
<file path=[Content_Types].xml><?xml version="1.0" encoding="utf-8"?>
<Types xmlns="http://schemas.openxmlformats.org/package/2006/content-types">
  <Default Extension="emf" ContentType="image/x-emf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vinnsw-my.sharepoint.com/personal/kathy_jiang_vinnies_org_au/Documents/Website/Energy/"/>
    </mc:Choice>
  </mc:AlternateContent>
  <xr:revisionPtr revIDLastSave="0" documentId="8_{4E5FE0E2-6CAE-4F0D-8B07-E148BD4E0D59}" xr6:coauthVersionLast="47" xr6:coauthVersionMax="47" xr10:uidLastSave="{00000000-0000-0000-0000-000000000000}"/>
  <workbookProtection workbookAlgorithmName="SHA-512" workbookHashValue="HlEqNxHfSlqKKgPhPBVfToloeRzq/sEtEa0A9mgYceDFZ5wwtpHB/tpFu5pkxpzjB/8ml+QrzKLQcYUwrDcUhQ==" workbookSaltValue="G3cVn73Cl46vGO6e4T5LSA==" workbookSpinCount="100000" lockStructure="1"/>
  <bookViews>
    <workbookView xWindow="-110" yWindow="-110" windowWidth="19420" windowHeight="10420" tabRatio="500" xr2:uid="{00000000-000D-0000-FFFF-FFFF00000000}"/>
  </bookViews>
  <sheets>
    <sheet name="Summary" sheetId="1" r:id="rId1"/>
    <sheet name="ESS Bills July2022" sheetId="66" r:id="rId2"/>
    <sheet name="AG Bills July2022" sheetId="67" r:id="rId3"/>
    <sheet name="END Bills July2022" sheetId="68" r:id="rId4"/>
    <sheet name="ESS Bills July2021" sheetId="61" r:id="rId5"/>
    <sheet name="AG Bills July2021" sheetId="60" r:id="rId6"/>
    <sheet name="END Bills July2021" sheetId="62" r:id="rId7"/>
    <sheet name="ESS Bills July2020" sheetId="54" r:id="rId8"/>
    <sheet name="AG Bills July2020" sheetId="55" r:id="rId9"/>
    <sheet name="END Bills July2020" sheetId="56" r:id="rId10"/>
    <sheet name="ESS Bills July2019" sheetId="48" r:id="rId11"/>
    <sheet name="AG Bills July2019" sheetId="49" r:id="rId12"/>
    <sheet name="END Bills July2019" sheetId="50" r:id="rId13"/>
    <sheet name="ESS Bills July2018" sheetId="42" r:id="rId14"/>
    <sheet name="AG Bills July2018" sheetId="43" r:id="rId15"/>
    <sheet name="END Bills July2018" sheetId="44" r:id="rId16"/>
    <sheet name="ESS Bills July2017" sheetId="33" r:id="rId17"/>
    <sheet name="AG Bills July2017" sheetId="34" r:id="rId18"/>
    <sheet name="END Bills July2017" sheetId="35" r:id="rId19"/>
    <sheet name="ESS Bills July2016" sheetId="30" r:id="rId20"/>
    <sheet name="AG Bills July2016" sheetId="31" r:id="rId21"/>
    <sheet name="END Bills July2016" sheetId="32" r:id="rId22"/>
    <sheet name="Bills Jul'15" sheetId="23" r:id="rId23"/>
    <sheet name="Bills Jul'14" sheetId="19" r:id="rId24"/>
    <sheet name="Bills Jul'13" sheetId="17" r:id="rId25"/>
    <sheet name="Bills Jul'12" sheetId="15" r:id="rId26"/>
    <sheet name="Bills Jul'11" sheetId="2" r:id="rId27"/>
    <sheet name="Bills Jul'10" sheetId="3" r:id="rId28"/>
    <sheet name="Bills Jul'09" sheetId="4" r:id="rId29"/>
    <sheet name="Bills Jul'08" sheetId="14" r:id="rId30"/>
    <sheet name="ESS Jul 2022" sheetId="63" state="hidden" r:id="rId31"/>
    <sheet name="AG Jul 2022" sheetId="64" state="hidden" r:id="rId32"/>
    <sheet name="END Jul 2022" sheetId="65" state="hidden" r:id="rId33"/>
    <sheet name="ESS Jul 2021" sheetId="57" state="hidden" r:id="rId34"/>
    <sheet name="AG Jul 2021" sheetId="58" state="hidden" r:id="rId35"/>
    <sheet name="END Jul 2021" sheetId="59" state="hidden" r:id="rId36"/>
    <sheet name="ESS Jul 2020" sheetId="51" state="hidden" r:id="rId37"/>
    <sheet name="AG Jul 2020" sheetId="52" state="hidden" r:id="rId38"/>
    <sheet name="END Jul 2020" sheetId="53" state="hidden" r:id="rId39"/>
    <sheet name="ESS Jul 2019" sheetId="45" state="hidden" r:id="rId40"/>
    <sheet name="AG Jul 2019" sheetId="46" state="hidden" r:id="rId41"/>
    <sheet name="END Jul 2019" sheetId="47" state="hidden" r:id="rId42"/>
    <sheet name="ESS Jul 2018" sheetId="39" state="hidden" r:id="rId43"/>
    <sheet name="AG Jul 2018" sheetId="40" state="hidden" r:id="rId44"/>
    <sheet name="END Jul 2018" sheetId="41" state="hidden" r:id="rId45"/>
    <sheet name="ESS Jul 2017" sheetId="36" state="hidden" r:id="rId46"/>
    <sheet name="AG Jul 2017" sheetId="37" state="hidden" r:id="rId47"/>
    <sheet name="END Jul 2017" sheetId="38" state="hidden" r:id="rId48"/>
    <sheet name="ESS Jul 2016" sheetId="27" state="hidden" r:id="rId49"/>
    <sheet name="AG Jul 2016" sheetId="28" state="hidden" r:id="rId50"/>
    <sheet name="END Jul 2016" sheetId="29" state="hidden" r:id="rId51"/>
    <sheet name="Essential Jul'15" sheetId="24" state="hidden" r:id="rId52"/>
    <sheet name="Ausgrid Jul'15" sheetId="25" state="hidden" r:id="rId53"/>
    <sheet name="Endeavour Jul'15" sheetId="26" state="hidden" r:id="rId54"/>
    <sheet name="Essential Jul'14" sheetId="20" state="hidden" r:id="rId55"/>
    <sheet name="Ausgrid Jul'14" sheetId="21" state="hidden" r:id="rId56"/>
    <sheet name="Endeavour Jul'14" sheetId="22" state="hidden" r:id="rId57"/>
    <sheet name="Tariffs Jul'13" sheetId="18" state="hidden" r:id="rId58"/>
    <sheet name="Tariffs Jul'12" sheetId="16" state="hidden" r:id="rId59"/>
    <sheet name="Tariffs Jul'11" sheetId="5" state="hidden" r:id="rId60"/>
    <sheet name="Tariffs Jul'10" sheetId="8" state="hidden" r:id="rId61"/>
    <sheet name="Tariffs Jul'09" sheetId="12" state="hidden" r:id="rId62"/>
    <sheet name="Tariffs Jul'08" sheetId="13" state="hidden" r:id="rId6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2" i="66" l="1"/>
  <c r="H10" i="66"/>
  <c r="H11" i="66"/>
  <c r="M55" i="63"/>
  <c r="G26" i="66"/>
  <c r="D26" i="66"/>
  <c r="A24" i="66"/>
  <c r="B24" i="66"/>
  <c r="C24" i="66"/>
  <c r="D24" i="66"/>
  <c r="H24" i="66"/>
  <c r="I24" i="66" s="1"/>
  <c r="F38" i="66"/>
  <c r="D38" i="66"/>
  <c r="A38" i="66"/>
  <c r="B38" i="66"/>
  <c r="C38" i="66"/>
  <c r="G38" i="66"/>
  <c r="G11" i="66"/>
  <c r="D11" i="66"/>
  <c r="A11" i="66"/>
  <c r="B11" i="66"/>
  <c r="C11" i="66"/>
  <c r="H38" i="66" l="1"/>
  <c r="I38" i="66" s="1"/>
  <c r="I11" i="66"/>
  <c r="D64" i="67" l="1"/>
  <c r="F39" i="67"/>
  <c r="E39" i="67"/>
  <c r="D39" i="67"/>
  <c r="D48" i="67"/>
  <c r="E48" i="67"/>
  <c r="F48" i="67"/>
  <c r="D46" i="67"/>
  <c r="G11" i="67"/>
  <c r="D11" i="67"/>
  <c r="A49" i="68"/>
  <c r="B49" i="68"/>
  <c r="C49" i="68"/>
  <c r="D49" i="68"/>
  <c r="G49" i="68"/>
  <c r="A22" i="68"/>
  <c r="B22" i="68"/>
  <c r="C22" i="68"/>
  <c r="D22" i="68"/>
  <c r="F38" i="68"/>
  <c r="D38" i="68"/>
  <c r="F47" i="68"/>
  <c r="F46" i="68"/>
  <c r="G11" i="68"/>
  <c r="D11" i="68"/>
  <c r="G26" i="68"/>
  <c r="G20" i="68"/>
  <c r="G19" i="68"/>
  <c r="G73" i="66"/>
  <c r="F73" i="66"/>
  <c r="D73" i="66"/>
  <c r="C73" i="66"/>
  <c r="B73" i="66"/>
  <c r="A73" i="66"/>
  <c r="G72" i="66"/>
  <c r="F72" i="66"/>
  <c r="D72" i="66"/>
  <c r="C72" i="66"/>
  <c r="B72" i="66"/>
  <c r="A72" i="66"/>
  <c r="G71" i="66"/>
  <c r="F71" i="66"/>
  <c r="D71" i="66"/>
  <c r="C71" i="66"/>
  <c r="B71" i="66"/>
  <c r="A71" i="66"/>
  <c r="G70" i="66"/>
  <c r="F70" i="66"/>
  <c r="D70" i="66"/>
  <c r="C70" i="66"/>
  <c r="B70" i="66"/>
  <c r="A70" i="66"/>
  <c r="G69" i="66"/>
  <c r="F69" i="66"/>
  <c r="D69" i="66"/>
  <c r="C69" i="66"/>
  <c r="B69" i="66"/>
  <c r="A69" i="66"/>
  <c r="G68" i="66"/>
  <c r="F68" i="66"/>
  <c r="D68" i="66"/>
  <c r="C68" i="66"/>
  <c r="B68" i="66"/>
  <c r="A68" i="66"/>
  <c r="G67" i="66"/>
  <c r="F67" i="66"/>
  <c r="D67" i="66"/>
  <c r="C67" i="66"/>
  <c r="B67" i="66"/>
  <c r="A67" i="66"/>
  <c r="G66" i="66"/>
  <c r="F66" i="66"/>
  <c r="D66" i="66"/>
  <c r="C66" i="66"/>
  <c r="B66" i="66"/>
  <c r="A66" i="66"/>
  <c r="G65" i="66"/>
  <c r="F65" i="66"/>
  <c r="D65" i="66"/>
  <c r="C65" i="66"/>
  <c r="B65" i="66"/>
  <c r="A65" i="66"/>
  <c r="G64" i="66"/>
  <c r="F64" i="66"/>
  <c r="D64" i="66"/>
  <c r="C64" i="66"/>
  <c r="B64" i="66"/>
  <c r="A64" i="66"/>
  <c r="G63" i="66"/>
  <c r="F63" i="66"/>
  <c r="D63" i="66"/>
  <c r="C63" i="66"/>
  <c r="B63" i="66"/>
  <c r="A63" i="66"/>
  <c r="G62" i="66"/>
  <c r="F62" i="66"/>
  <c r="D62" i="66"/>
  <c r="C62" i="66"/>
  <c r="B62" i="66"/>
  <c r="A62" i="66"/>
  <c r="G61" i="66"/>
  <c r="F61" i="66"/>
  <c r="D61" i="66"/>
  <c r="C61" i="66"/>
  <c r="B61" i="66"/>
  <c r="A61" i="66"/>
  <c r="G60" i="66"/>
  <c r="F60" i="66"/>
  <c r="D60" i="66"/>
  <c r="C60" i="66"/>
  <c r="B60" i="66"/>
  <c r="A60" i="66"/>
  <c r="G50" i="66"/>
  <c r="D50" i="66"/>
  <c r="C50" i="66"/>
  <c r="B50" i="66"/>
  <c r="A50" i="66"/>
  <c r="G49" i="66"/>
  <c r="D49" i="66"/>
  <c r="C49" i="66"/>
  <c r="B49" i="66"/>
  <c r="A49" i="66"/>
  <c r="G48" i="66"/>
  <c r="D48" i="66"/>
  <c r="C48" i="66"/>
  <c r="B48" i="66"/>
  <c r="A48" i="66"/>
  <c r="G47" i="66"/>
  <c r="F47" i="66"/>
  <c r="D47" i="66"/>
  <c r="C47" i="66"/>
  <c r="B47" i="66"/>
  <c r="A47" i="66"/>
  <c r="G46" i="66"/>
  <c r="F46" i="66"/>
  <c r="D46" i="66"/>
  <c r="C46" i="66"/>
  <c r="B46" i="66"/>
  <c r="A46" i="66"/>
  <c r="G45" i="66"/>
  <c r="D45" i="66"/>
  <c r="C45" i="66"/>
  <c r="B45" i="66"/>
  <c r="A45" i="66"/>
  <c r="G44" i="66"/>
  <c r="D44" i="66"/>
  <c r="C44" i="66"/>
  <c r="B44" i="66"/>
  <c r="A44" i="66"/>
  <c r="G43" i="66"/>
  <c r="D43" i="66"/>
  <c r="C43" i="66"/>
  <c r="B43" i="66"/>
  <c r="A43" i="66"/>
  <c r="G42" i="66"/>
  <c r="D42" i="66"/>
  <c r="C42" i="66"/>
  <c r="B42" i="66"/>
  <c r="A42" i="66"/>
  <c r="G41" i="66"/>
  <c r="D41" i="66"/>
  <c r="C41" i="66"/>
  <c r="B41" i="66"/>
  <c r="A41" i="66"/>
  <c r="G40" i="66"/>
  <c r="D40" i="66"/>
  <c r="C40" i="66"/>
  <c r="B40" i="66"/>
  <c r="A40" i="66"/>
  <c r="G39" i="66"/>
  <c r="D39" i="66"/>
  <c r="C39" i="66"/>
  <c r="B39" i="66"/>
  <c r="A39" i="66"/>
  <c r="G37" i="66"/>
  <c r="D37" i="66"/>
  <c r="C37" i="66"/>
  <c r="B37" i="66"/>
  <c r="A37" i="66"/>
  <c r="G36" i="66"/>
  <c r="D36" i="66"/>
  <c r="C36" i="66"/>
  <c r="B36" i="66"/>
  <c r="A36" i="66"/>
  <c r="G35" i="66"/>
  <c r="D35" i="66"/>
  <c r="C35" i="66"/>
  <c r="B35" i="66"/>
  <c r="A35" i="66"/>
  <c r="C26" i="66"/>
  <c r="B26" i="66"/>
  <c r="A26" i="66"/>
  <c r="G25" i="66"/>
  <c r="D25" i="66"/>
  <c r="C25" i="66"/>
  <c r="B25" i="66"/>
  <c r="A25" i="66"/>
  <c r="D23" i="66"/>
  <c r="C23" i="66"/>
  <c r="B23" i="66"/>
  <c r="A23" i="66"/>
  <c r="D22" i="66"/>
  <c r="C22" i="66"/>
  <c r="B22" i="66"/>
  <c r="A22" i="66"/>
  <c r="D21" i="66"/>
  <c r="C21" i="66"/>
  <c r="B21" i="66"/>
  <c r="A21" i="66"/>
  <c r="G20" i="66"/>
  <c r="D20" i="66"/>
  <c r="C20" i="66"/>
  <c r="B20" i="66"/>
  <c r="A20" i="66"/>
  <c r="G19" i="66"/>
  <c r="D19" i="66"/>
  <c r="C19" i="66"/>
  <c r="B19" i="66"/>
  <c r="A19" i="66"/>
  <c r="D18" i="66"/>
  <c r="C18" i="66"/>
  <c r="B18" i="66"/>
  <c r="A18" i="66"/>
  <c r="D17" i="66"/>
  <c r="C17" i="66"/>
  <c r="B17" i="66"/>
  <c r="A17" i="66"/>
  <c r="D16" i="66"/>
  <c r="C16" i="66"/>
  <c r="B16" i="66"/>
  <c r="A16" i="66"/>
  <c r="D15" i="66"/>
  <c r="C15" i="66"/>
  <c r="B15" i="66"/>
  <c r="A15" i="66"/>
  <c r="D14" i="66"/>
  <c r="C14" i="66"/>
  <c r="B14" i="66"/>
  <c r="A14" i="66"/>
  <c r="D13" i="66"/>
  <c r="C13" i="66"/>
  <c r="B13" i="66"/>
  <c r="A13" i="66"/>
  <c r="D12" i="66"/>
  <c r="C12" i="66"/>
  <c r="B12" i="66"/>
  <c r="A12" i="66"/>
  <c r="D10" i="66"/>
  <c r="C10" i="66"/>
  <c r="B10" i="66"/>
  <c r="A10" i="66"/>
  <c r="D9" i="66"/>
  <c r="C9" i="66"/>
  <c r="B9" i="66"/>
  <c r="A9" i="66"/>
  <c r="D8" i="66"/>
  <c r="C8" i="66"/>
  <c r="B8" i="66"/>
  <c r="A8" i="66"/>
  <c r="G76" i="67"/>
  <c r="F76" i="67"/>
  <c r="D76" i="67"/>
  <c r="C76" i="67"/>
  <c r="B76" i="67"/>
  <c r="A76" i="67"/>
  <c r="G75" i="67"/>
  <c r="F75" i="67"/>
  <c r="D75" i="67"/>
  <c r="C75" i="67"/>
  <c r="B75" i="67"/>
  <c r="A75" i="67"/>
  <c r="G74" i="67"/>
  <c r="F74" i="67"/>
  <c r="D74" i="67"/>
  <c r="C74" i="67"/>
  <c r="B74" i="67"/>
  <c r="A74" i="67"/>
  <c r="G73" i="67"/>
  <c r="F73" i="67"/>
  <c r="D73" i="67"/>
  <c r="C73" i="67"/>
  <c r="B73" i="67"/>
  <c r="A73" i="67"/>
  <c r="G72" i="67"/>
  <c r="F72" i="67"/>
  <c r="D72" i="67"/>
  <c r="C72" i="67"/>
  <c r="B72" i="67"/>
  <c r="A72" i="67"/>
  <c r="G71" i="67"/>
  <c r="F71" i="67"/>
  <c r="D71" i="67"/>
  <c r="C71" i="67"/>
  <c r="B71" i="67"/>
  <c r="A71" i="67"/>
  <c r="G70" i="67"/>
  <c r="F70" i="67"/>
  <c r="D70" i="67"/>
  <c r="C70" i="67"/>
  <c r="B70" i="67"/>
  <c r="A70" i="67"/>
  <c r="G69" i="67"/>
  <c r="F69" i="67"/>
  <c r="D69" i="67"/>
  <c r="C69" i="67"/>
  <c r="B69" i="67"/>
  <c r="A69" i="67"/>
  <c r="G68" i="67"/>
  <c r="F68" i="67"/>
  <c r="D68" i="67"/>
  <c r="C68" i="67"/>
  <c r="B68" i="67"/>
  <c r="A68" i="67"/>
  <c r="G67" i="67"/>
  <c r="F67" i="67"/>
  <c r="D67" i="67"/>
  <c r="C67" i="67"/>
  <c r="B67" i="67"/>
  <c r="A67" i="67"/>
  <c r="G66" i="67"/>
  <c r="F66" i="67"/>
  <c r="D66" i="67"/>
  <c r="C66" i="67"/>
  <c r="B66" i="67"/>
  <c r="A66" i="67"/>
  <c r="G65" i="67"/>
  <c r="F65" i="67"/>
  <c r="D65" i="67"/>
  <c r="C65" i="67"/>
  <c r="B65" i="67"/>
  <c r="A65" i="67"/>
  <c r="G64" i="67"/>
  <c r="F64" i="67"/>
  <c r="E64" i="67"/>
  <c r="C64" i="67"/>
  <c r="B64" i="67"/>
  <c r="A64" i="67"/>
  <c r="G63" i="67"/>
  <c r="F63" i="67"/>
  <c r="D63" i="67"/>
  <c r="C63" i="67"/>
  <c r="B63" i="67"/>
  <c r="A63" i="67"/>
  <c r="G62" i="67"/>
  <c r="F62" i="67"/>
  <c r="D62" i="67"/>
  <c r="C62" i="67"/>
  <c r="B62" i="67"/>
  <c r="A62" i="67"/>
  <c r="G61" i="67"/>
  <c r="F61" i="67"/>
  <c r="D61" i="67"/>
  <c r="C61" i="67"/>
  <c r="B61" i="67"/>
  <c r="A61" i="67"/>
  <c r="G51" i="67"/>
  <c r="D51" i="67"/>
  <c r="C51" i="67"/>
  <c r="B51" i="67"/>
  <c r="A51" i="67"/>
  <c r="G50" i="67"/>
  <c r="D50" i="67"/>
  <c r="C50" i="67"/>
  <c r="B50" i="67"/>
  <c r="A50" i="67"/>
  <c r="G49" i="67"/>
  <c r="D49" i="67"/>
  <c r="C49" i="67"/>
  <c r="B49" i="67"/>
  <c r="A49" i="67"/>
  <c r="G48" i="67"/>
  <c r="C48" i="67"/>
  <c r="B48" i="67"/>
  <c r="A48" i="67"/>
  <c r="G47" i="67"/>
  <c r="F47" i="67"/>
  <c r="E47" i="67"/>
  <c r="D47" i="67"/>
  <c r="C47" i="67"/>
  <c r="B47" i="67"/>
  <c r="A47" i="67"/>
  <c r="G46" i="67"/>
  <c r="E46" i="67"/>
  <c r="C46" i="67"/>
  <c r="B46" i="67"/>
  <c r="A46" i="67"/>
  <c r="G45" i="67"/>
  <c r="D45" i="67"/>
  <c r="C45" i="67"/>
  <c r="B45" i="67"/>
  <c r="A45" i="67"/>
  <c r="G44" i="67"/>
  <c r="D44" i="67"/>
  <c r="C44" i="67"/>
  <c r="B44" i="67"/>
  <c r="A44" i="67"/>
  <c r="G43" i="67"/>
  <c r="D43" i="67"/>
  <c r="C43" i="67"/>
  <c r="B43" i="67"/>
  <c r="A43" i="67"/>
  <c r="G42" i="67"/>
  <c r="D42" i="67"/>
  <c r="C42" i="67"/>
  <c r="B42" i="67"/>
  <c r="A42" i="67"/>
  <c r="G41" i="67"/>
  <c r="D41" i="67"/>
  <c r="C41" i="67"/>
  <c r="B41" i="67"/>
  <c r="A41" i="67"/>
  <c r="G40" i="67"/>
  <c r="D40" i="67"/>
  <c r="C40" i="67"/>
  <c r="B40" i="67"/>
  <c r="A40" i="67"/>
  <c r="G39" i="67"/>
  <c r="C39" i="67"/>
  <c r="B39" i="67"/>
  <c r="A39" i="67"/>
  <c r="G38" i="67"/>
  <c r="D38" i="67"/>
  <c r="C38" i="67"/>
  <c r="B38" i="67"/>
  <c r="A38" i="67"/>
  <c r="G37" i="67"/>
  <c r="D37" i="67"/>
  <c r="C37" i="67"/>
  <c r="B37" i="67"/>
  <c r="A37" i="67"/>
  <c r="G36" i="67"/>
  <c r="D36" i="67"/>
  <c r="C36" i="67"/>
  <c r="B36" i="67"/>
  <c r="A36" i="67"/>
  <c r="G35" i="67"/>
  <c r="D35" i="67"/>
  <c r="C35" i="67"/>
  <c r="B35" i="67"/>
  <c r="A35" i="67"/>
  <c r="G26" i="67"/>
  <c r="D26" i="67"/>
  <c r="C26" i="67"/>
  <c r="B26" i="67"/>
  <c r="A26" i="67"/>
  <c r="D25" i="67"/>
  <c r="C25" i="67"/>
  <c r="B25" i="67"/>
  <c r="A25" i="67"/>
  <c r="D24" i="67"/>
  <c r="C24" i="67"/>
  <c r="B24" i="67"/>
  <c r="A24" i="67"/>
  <c r="D23" i="67"/>
  <c r="C23" i="67"/>
  <c r="B23" i="67"/>
  <c r="A23" i="67"/>
  <c r="D22" i="67"/>
  <c r="C22" i="67"/>
  <c r="B22" i="67"/>
  <c r="A22" i="67"/>
  <c r="D21" i="67"/>
  <c r="C21" i="67"/>
  <c r="B21" i="67"/>
  <c r="A21" i="67"/>
  <c r="G20" i="67"/>
  <c r="D20" i="67"/>
  <c r="C20" i="67"/>
  <c r="B20" i="67"/>
  <c r="A20" i="67"/>
  <c r="G19" i="67"/>
  <c r="D19" i="67"/>
  <c r="C19" i="67"/>
  <c r="B19" i="67"/>
  <c r="A19" i="67"/>
  <c r="D18" i="67"/>
  <c r="C18" i="67"/>
  <c r="B18" i="67"/>
  <c r="A18" i="67"/>
  <c r="D17" i="67"/>
  <c r="C17" i="67"/>
  <c r="B17" i="67"/>
  <c r="A17" i="67"/>
  <c r="D16" i="67"/>
  <c r="C16" i="67"/>
  <c r="B16" i="67"/>
  <c r="A16" i="67"/>
  <c r="D15" i="67"/>
  <c r="C15" i="67"/>
  <c r="B15" i="67"/>
  <c r="A15" i="67"/>
  <c r="D14" i="67"/>
  <c r="C14" i="67"/>
  <c r="B14" i="67"/>
  <c r="A14" i="67"/>
  <c r="D13" i="67"/>
  <c r="C13" i="67"/>
  <c r="B13" i="67"/>
  <c r="A13" i="67"/>
  <c r="D12" i="67"/>
  <c r="C12" i="67"/>
  <c r="B12" i="67"/>
  <c r="A12" i="67"/>
  <c r="C11" i="67"/>
  <c r="B11" i="67"/>
  <c r="A11" i="67"/>
  <c r="D10" i="67"/>
  <c r="C10" i="67"/>
  <c r="B10" i="67"/>
  <c r="A10" i="67"/>
  <c r="D9" i="67"/>
  <c r="C9" i="67"/>
  <c r="B9" i="67"/>
  <c r="A9" i="67"/>
  <c r="D8" i="67"/>
  <c r="C8" i="67"/>
  <c r="B8" i="67"/>
  <c r="A8" i="67"/>
  <c r="G72" i="68"/>
  <c r="F72" i="68"/>
  <c r="D72" i="68"/>
  <c r="C72" i="68"/>
  <c r="B72" i="68"/>
  <c r="A72" i="68"/>
  <c r="G71" i="68"/>
  <c r="F71" i="68"/>
  <c r="D71" i="68"/>
  <c r="C71" i="68"/>
  <c r="B71" i="68"/>
  <c r="A71" i="68"/>
  <c r="G70" i="68"/>
  <c r="F70" i="68"/>
  <c r="D70" i="68"/>
  <c r="C70" i="68"/>
  <c r="B70" i="68"/>
  <c r="A70" i="68"/>
  <c r="G69" i="68"/>
  <c r="F69" i="68"/>
  <c r="D69" i="68"/>
  <c r="C69" i="68"/>
  <c r="B69" i="68"/>
  <c r="A69" i="68"/>
  <c r="G68" i="68"/>
  <c r="F68" i="68"/>
  <c r="D68" i="68"/>
  <c r="C68" i="68"/>
  <c r="B68" i="68"/>
  <c r="A68" i="68"/>
  <c r="G67" i="68"/>
  <c r="F67" i="68"/>
  <c r="D67" i="68"/>
  <c r="C67" i="68"/>
  <c r="B67" i="68"/>
  <c r="A67" i="68"/>
  <c r="G66" i="68"/>
  <c r="F66" i="68"/>
  <c r="D66" i="68"/>
  <c r="C66" i="68"/>
  <c r="B66" i="68"/>
  <c r="A66" i="68"/>
  <c r="G65" i="68"/>
  <c r="F65" i="68"/>
  <c r="D65" i="68"/>
  <c r="C65" i="68"/>
  <c r="B65" i="68"/>
  <c r="A65" i="68"/>
  <c r="G64" i="68"/>
  <c r="F64" i="68"/>
  <c r="E64" i="68"/>
  <c r="D64" i="68"/>
  <c r="C64" i="68"/>
  <c r="B64" i="68"/>
  <c r="A64" i="68"/>
  <c r="G63" i="68"/>
  <c r="F63" i="68"/>
  <c r="D63" i="68"/>
  <c r="C63" i="68"/>
  <c r="B63" i="68"/>
  <c r="A63" i="68"/>
  <c r="G62" i="68"/>
  <c r="F62" i="68"/>
  <c r="D62" i="68"/>
  <c r="C62" i="68"/>
  <c r="B62" i="68"/>
  <c r="A62" i="68"/>
  <c r="G61" i="68"/>
  <c r="F61" i="68"/>
  <c r="D61" i="68"/>
  <c r="C61" i="68"/>
  <c r="B61" i="68"/>
  <c r="A61" i="68"/>
  <c r="G51" i="68"/>
  <c r="D51" i="68"/>
  <c r="C51" i="68"/>
  <c r="B51" i="68"/>
  <c r="A51" i="68"/>
  <c r="G50" i="68"/>
  <c r="D50" i="68"/>
  <c r="C50" i="68"/>
  <c r="B50" i="68"/>
  <c r="A50" i="68"/>
  <c r="G48" i="68"/>
  <c r="D48" i="68"/>
  <c r="C48" i="68"/>
  <c r="B48" i="68"/>
  <c r="A48" i="68"/>
  <c r="G47" i="68"/>
  <c r="D47" i="68"/>
  <c r="C47" i="68"/>
  <c r="B47" i="68"/>
  <c r="A47" i="68"/>
  <c r="G46" i="68"/>
  <c r="D46" i="68"/>
  <c r="C46" i="68"/>
  <c r="B46" i="68"/>
  <c r="A46" i="68"/>
  <c r="G45" i="68"/>
  <c r="D45" i="68"/>
  <c r="C45" i="68"/>
  <c r="B45" i="68"/>
  <c r="A45" i="68"/>
  <c r="G44" i="68"/>
  <c r="D44" i="68"/>
  <c r="C44" i="68"/>
  <c r="B44" i="68"/>
  <c r="A44" i="68"/>
  <c r="G43" i="68"/>
  <c r="D43" i="68"/>
  <c r="C43" i="68"/>
  <c r="B43" i="68"/>
  <c r="A43" i="68"/>
  <c r="G42" i="68"/>
  <c r="D42" i="68"/>
  <c r="C42" i="68"/>
  <c r="B42" i="68"/>
  <c r="A42" i="68"/>
  <c r="G41" i="68"/>
  <c r="D41" i="68"/>
  <c r="C41" i="68"/>
  <c r="B41" i="68"/>
  <c r="A41" i="68"/>
  <c r="G40" i="68"/>
  <c r="D40" i="68"/>
  <c r="C40" i="68"/>
  <c r="B40" i="68"/>
  <c r="A40" i="68"/>
  <c r="G39" i="68"/>
  <c r="D39" i="68"/>
  <c r="C39" i="68"/>
  <c r="B39" i="68"/>
  <c r="A39" i="68"/>
  <c r="G38" i="68"/>
  <c r="C38" i="68"/>
  <c r="B38" i="68"/>
  <c r="A38" i="68"/>
  <c r="G37" i="68"/>
  <c r="D37" i="68"/>
  <c r="C37" i="68"/>
  <c r="B37" i="68"/>
  <c r="A37" i="68"/>
  <c r="G36" i="68"/>
  <c r="D36" i="68"/>
  <c r="C36" i="68"/>
  <c r="B36" i="68"/>
  <c r="A36" i="68"/>
  <c r="G35" i="68"/>
  <c r="D35" i="68"/>
  <c r="C35" i="68"/>
  <c r="B35" i="68"/>
  <c r="A35" i="68"/>
  <c r="D26" i="68"/>
  <c r="C26" i="68"/>
  <c r="B26" i="68"/>
  <c r="A26" i="68"/>
  <c r="D25" i="68"/>
  <c r="C25" i="68"/>
  <c r="B25" i="68"/>
  <c r="A25" i="68"/>
  <c r="D24" i="68"/>
  <c r="C24" i="68"/>
  <c r="B24" i="68"/>
  <c r="A24" i="68"/>
  <c r="D23" i="68"/>
  <c r="C23" i="68"/>
  <c r="B23" i="68"/>
  <c r="A23" i="68"/>
  <c r="D21" i="68"/>
  <c r="C21" i="68"/>
  <c r="B21" i="68"/>
  <c r="A21" i="68"/>
  <c r="D20" i="68"/>
  <c r="C20" i="68"/>
  <c r="B20" i="68"/>
  <c r="A20" i="68"/>
  <c r="D19" i="68"/>
  <c r="C19" i="68"/>
  <c r="B19" i="68"/>
  <c r="A19" i="68"/>
  <c r="D18" i="68"/>
  <c r="C18" i="68"/>
  <c r="B18" i="68"/>
  <c r="A18" i="68"/>
  <c r="D17" i="68"/>
  <c r="C17" i="68"/>
  <c r="B17" i="68"/>
  <c r="A17" i="68"/>
  <c r="D16" i="68"/>
  <c r="C16" i="68"/>
  <c r="B16" i="68"/>
  <c r="A16" i="68"/>
  <c r="D15" i="68"/>
  <c r="C15" i="68"/>
  <c r="B15" i="68"/>
  <c r="A15" i="68"/>
  <c r="D14" i="68"/>
  <c r="C14" i="68"/>
  <c r="B14" i="68"/>
  <c r="A14" i="68"/>
  <c r="D13" i="68"/>
  <c r="C13" i="68"/>
  <c r="B13" i="68"/>
  <c r="A13" i="68"/>
  <c r="D12" i="68"/>
  <c r="C12" i="68"/>
  <c r="B12" i="68"/>
  <c r="A12" i="68"/>
  <c r="C11" i="68"/>
  <c r="B11" i="68"/>
  <c r="A11" i="68"/>
  <c r="D10" i="68"/>
  <c r="C10" i="68"/>
  <c r="B10" i="68"/>
  <c r="A10" i="68"/>
  <c r="D9" i="68"/>
  <c r="C9" i="68"/>
  <c r="B9" i="68"/>
  <c r="A9" i="68"/>
  <c r="D8" i="68"/>
  <c r="C8" i="68"/>
  <c r="B8" i="68"/>
  <c r="A8" i="68"/>
  <c r="D20" i="62"/>
  <c r="D19" i="61"/>
  <c r="E75" i="62"/>
  <c r="D75" i="62"/>
  <c r="E76" i="60"/>
  <c r="D76" i="60"/>
  <c r="A85" i="62"/>
  <c r="B85" i="62"/>
  <c r="C85" i="62"/>
  <c r="D85" i="62"/>
  <c r="F85" i="62"/>
  <c r="G85" i="62"/>
  <c r="H85" i="62"/>
  <c r="I85" i="62"/>
  <c r="G61" i="62"/>
  <c r="G62" i="62"/>
  <c r="D62" i="62"/>
  <c r="F61" i="62"/>
  <c r="D61" i="62"/>
  <c r="F52" i="62"/>
  <c r="D52" i="62"/>
  <c r="A61" i="62"/>
  <c r="B61" i="62"/>
  <c r="C61" i="62"/>
  <c r="A62" i="62"/>
  <c r="B62" i="62"/>
  <c r="C62" i="62"/>
  <c r="H62" i="62"/>
  <c r="I62" i="62"/>
  <c r="D31" i="62"/>
  <c r="G30" i="62"/>
  <c r="D30" i="62"/>
  <c r="A30" i="62"/>
  <c r="B30" i="62"/>
  <c r="C30" i="62"/>
  <c r="A31" i="62"/>
  <c r="B31" i="62"/>
  <c r="C31" i="62"/>
  <c r="H31" i="62"/>
  <c r="I31" i="62"/>
  <c r="G20" i="62"/>
  <c r="G84" i="62"/>
  <c r="F84" i="62"/>
  <c r="D84" i="62"/>
  <c r="C84" i="62"/>
  <c r="B84" i="62"/>
  <c r="A84" i="62"/>
  <c r="G83" i="62"/>
  <c r="F83" i="62"/>
  <c r="D83" i="62"/>
  <c r="C83" i="62"/>
  <c r="B83" i="62"/>
  <c r="A83" i="62"/>
  <c r="G82" i="62"/>
  <c r="F82" i="62"/>
  <c r="D82" i="62"/>
  <c r="C82" i="62"/>
  <c r="B82" i="62"/>
  <c r="A82" i="62"/>
  <c r="G81" i="62"/>
  <c r="F81" i="62"/>
  <c r="D81" i="62"/>
  <c r="C81" i="62"/>
  <c r="B81" i="62"/>
  <c r="A81" i="62"/>
  <c r="G80" i="62"/>
  <c r="F80" i="62"/>
  <c r="D80" i="62"/>
  <c r="C80" i="62"/>
  <c r="B80" i="62"/>
  <c r="A80" i="62"/>
  <c r="G79" i="62"/>
  <c r="F79" i="62"/>
  <c r="D79" i="62"/>
  <c r="C79" i="62"/>
  <c r="B79" i="62"/>
  <c r="A79" i="62"/>
  <c r="G78" i="62"/>
  <c r="F78" i="62"/>
  <c r="D78" i="62"/>
  <c r="C78" i="62"/>
  <c r="B78" i="62"/>
  <c r="A78" i="62"/>
  <c r="G77" i="62"/>
  <c r="F77" i="62"/>
  <c r="D77" i="62"/>
  <c r="C77" i="62"/>
  <c r="B77" i="62"/>
  <c r="A77" i="62"/>
  <c r="G76" i="62"/>
  <c r="F76" i="62"/>
  <c r="D76" i="62"/>
  <c r="C76" i="62"/>
  <c r="B76" i="62"/>
  <c r="A76" i="62"/>
  <c r="G75" i="62"/>
  <c r="F75" i="62"/>
  <c r="C75" i="62"/>
  <c r="B75" i="62"/>
  <c r="A75" i="62"/>
  <c r="G74" i="62"/>
  <c r="F74" i="62"/>
  <c r="D74" i="62"/>
  <c r="C74" i="62"/>
  <c r="B74" i="62"/>
  <c r="A74" i="62"/>
  <c r="G73" i="62"/>
  <c r="F73" i="62"/>
  <c r="D73" i="62"/>
  <c r="C73" i="62"/>
  <c r="B73" i="62"/>
  <c r="A73" i="62"/>
  <c r="G72" i="62"/>
  <c r="F72" i="62"/>
  <c r="D72" i="62"/>
  <c r="C72" i="62"/>
  <c r="B72" i="62"/>
  <c r="A72" i="62"/>
  <c r="G60" i="62"/>
  <c r="D60" i="62"/>
  <c r="C60" i="62"/>
  <c r="B60" i="62"/>
  <c r="A60" i="62"/>
  <c r="G59" i="62"/>
  <c r="D59" i="62"/>
  <c r="C59" i="62"/>
  <c r="B59" i="62"/>
  <c r="A59" i="62"/>
  <c r="G58" i="62"/>
  <c r="D58" i="62"/>
  <c r="C58" i="62"/>
  <c r="B58" i="62"/>
  <c r="A58" i="62"/>
  <c r="G57" i="62"/>
  <c r="D57" i="62"/>
  <c r="C57" i="62"/>
  <c r="B57" i="62"/>
  <c r="A57" i="62"/>
  <c r="G56" i="62"/>
  <c r="D56" i="62"/>
  <c r="C56" i="62"/>
  <c r="B56" i="62"/>
  <c r="A56" i="62"/>
  <c r="G55" i="62"/>
  <c r="D55" i="62"/>
  <c r="C55" i="62"/>
  <c r="B55" i="62"/>
  <c r="A55" i="62"/>
  <c r="G54" i="62"/>
  <c r="D54" i="62"/>
  <c r="C54" i="62"/>
  <c r="B54" i="62"/>
  <c r="A54" i="62"/>
  <c r="G53" i="62"/>
  <c r="F53" i="62"/>
  <c r="D53" i="62"/>
  <c r="C53" i="62"/>
  <c r="B53" i="62"/>
  <c r="A53" i="62"/>
  <c r="G52" i="62"/>
  <c r="C52" i="62"/>
  <c r="B52" i="62"/>
  <c r="A52" i="62"/>
  <c r="G51" i="62"/>
  <c r="D51" i="62"/>
  <c r="C51" i="62"/>
  <c r="B51" i="62"/>
  <c r="A51" i="62"/>
  <c r="G50" i="62"/>
  <c r="D50" i="62"/>
  <c r="C50" i="62"/>
  <c r="B50" i="62"/>
  <c r="A50" i="62"/>
  <c r="G49" i="62"/>
  <c r="D49" i="62"/>
  <c r="C49" i="62"/>
  <c r="B49" i="62"/>
  <c r="A49" i="62"/>
  <c r="G48" i="62"/>
  <c r="D48" i="62"/>
  <c r="C48" i="62"/>
  <c r="B48" i="62"/>
  <c r="A48" i="62"/>
  <c r="G47" i="62"/>
  <c r="D47" i="62"/>
  <c r="C47" i="62"/>
  <c r="B47" i="62"/>
  <c r="A47" i="62"/>
  <c r="G46" i="62"/>
  <c r="D46" i="62"/>
  <c r="C46" i="62"/>
  <c r="B46" i="62"/>
  <c r="A46" i="62"/>
  <c r="G45" i="62"/>
  <c r="D45" i="62"/>
  <c r="C45" i="62"/>
  <c r="B45" i="62"/>
  <c r="A45" i="62"/>
  <c r="G44" i="62"/>
  <c r="D44" i="62"/>
  <c r="C44" i="62"/>
  <c r="B44" i="62"/>
  <c r="A44" i="62"/>
  <c r="G43" i="62"/>
  <c r="D43" i="62"/>
  <c r="C43" i="62"/>
  <c r="B43" i="62"/>
  <c r="A43" i="62"/>
  <c r="G42" i="62"/>
  <c r="D42" i="62"/>
  <c r="C42" i="62"/>
  <c r="B42" i="62"/>
  <c r="A42" i="62"/>
  <c r="G41" i="62"/>
  <c r="D41" i="62"/>
  <c r="C41" i="62"/>
  <c r="B41" i="62"/>
  <c r="A41" i="62"/>
  <c r="G40" i="62"/>
  <c r="D40" i="62"/>
  <c r="C40" i="62"/>
  <c r="B40" i="62"/>
  <c r="A40" i="62"/>
  <c r="D29" i="62"/>
  <c r="C29" i="62"/>
  <c r="B29" i="62"/>
  <c r="A29" i="62"/>
  <c r="D28" i="62"/>
  <c r="C28" i="62"/>
  <c r="B28" i="62"/>
  <c r="A28" i="62"/>
  <c r="D27" i="62"/>
  <c r="C27" i="62"/>
  <c r="B27" i="62"/>
  <c r="A27" i="62"/>
  <c r="D26" i="62"/>
  <c r="C26" i="62"/>
  <c r="B26" i="62"/>
  <c r="A26" i="62"/>
  <c r="D25" i="62"/>
  <c r="C25" i="62"/>
  <c r="B25" i="62"/>
  <c r="A25" i="62"/>
  <c r="D24" i="62"/>
  <c r="C24" i="62"/>
  <c r="B24" i="62"/>
  <c r="A24" i="62"/>
  <c r="D23" i="62"/>
  <c r="C23" i="62"/>
  <c r="B23" i="62"/>
  <c r="A23" i="62"/>
  <c r="D22" i="62"/>
  <c r="C22" i="62"/>
  <c r="B22" i="62"/>
  <c r="A22" i="62"/>
  <c r="G21" i="62"/>
  <c r="D21" i="62"/>
  <c r="C21" i="62"/>
  <c r="B21" i="62"/>
  <c r="A21" i="62"/>
  <c r="C20" i="62"/>
  <c r="B20" i="62"/>
  <c r="A20" i="62"/>
  <c r="D19" i="62"/>
  <c r="C19" i="62"/>
  <c r="B19" i="62"/>
  <c r="A19" i="62"/>
  <c r="D18" i="62"/>
  <c r="C18" i="62"/>
  <c r="B18" i="62"/>
  <c r="A18" i="62"/>
  <c r="D17" i="62"/>
  <c r="C17" i="62"/>
  <c r="B17" i="62"/>
  <c r="A17" i="62"/>
  <c r="D16" i="62"/>
  <c r="C16" i="62"/>
  <c r="B16" i="62"/>
  <c r="A16" i="62"/>
  <c r="D15" i="62"/>
  <c r="C15" i="62"/>
  <c r="B15" i="62"/>
  <c r="A15" i="62"/>
  <c r="D14" i="62"/>
  <c r="C14" i="62"/>
  <c r="B14" i="62"/>
  <c r="A14" i="62"/>
  <c r="D13" i="62"/>
  <c r="C13" i="62"/>
  <c r="B13" i="62"/>
  <c r="A13" i="62"/>
  <c r="D12" i="62"/>
  <c r="C12" i="62"/>
  <c r="B12" i="62"/>
  <c r="A12" i="62"/>
  <c r="D11" i="62"/>
  <c r="C11" i="62"/>
  <c r="B11" i="62"/>
  <c r="A11" i="62"/>
  <c r="D10" i="62"/>
  <c r="C10" i="62"/>
  <c r="B10" i="62"/>
  <c r="A10" i="62"/>
  <c r="D9" i="62"/>
  <c r="C9" i="62"/>
  <c r="B9" i="62"/>
  <c r="A9" i="62"/>
  <c r="D8" i="62"/>
  <c r="C8" i="62"/>
  <c r="B8" i="62"/>
  <c r="A8" i="62"/>
  <c r="A87" i="61"/>
  <c r="B87" i="61"/>
  <c r="C87" i="61"/>
  <c r="D87" i="61"/>
  <c r="F87" i="61"/>
  <c r="G87" i="61"/>
  <c r="H87" i="61"/>
  <c r="I87" i="61"/>
  <c r="G58" i="61"/>
  <c r="G59" i="61"/>
  <c r="G60" i="61"/>
  <c r="H60" i="61"/>
  <c r="I60" i="61"/>
  <c r="G61" i="61"/>
  <c r="H61" i="61"/>
  <c r="I61" i="61"/>
  <c r="D60" i="61"/>
  <c r="D61" i="61"/>
  <c r="D59" i="61"/>
  <c r="F58" i="61"/>
  <c r="D58" i="61"/>
  <c r="C58" i="61"/>
  <c r="C59" i="61"/>
  <c r="H59" i="61"/>
  <c r="I59" i="61"/>
  <c r="C60" i="61"/>
  <c r="C61" i="61"/>
  <c r="A58" i="61"/>
  <c r="B58" i="61"/>
  <c r="A59" i="61"/>
  <c r="B59" i="61"/>
  <c r="A60" i="61"/>
  <c r="B60" i="61"/>
  <c r="A61" i="61"/>
  <c r="B61" i="61"/>
  <c r="C30" i="61"/>
  <c r="D30" i="61"/>
  <c r="C31" i="61"/>
  <c r="D31" i="61"/>
  <c r="D29" i="61"/>
  <c r="C29" i="61"/>
  <c r="G28" i="61"/>
  <c r="D28" i="61"/>
  <c r="C28" i="61"/>
  <c r="G19" i="61"/>
  <c r="A28" i="61"/>
  <c r="B28" i="61"/>
  <c r="A29" i="61"/>
  <c r="B29" i="61"/>
  <c r="A30" i="61"/>
  <c r="B30" i="61"/>
  <c r="A31" i="61"/>
  <c r="B31" i="61"/>
  <c r="F51" i="61"/>
  <c r="D51" i="61"/>
  <c r="G86" i="61"/>
  <c r="F86" i="61"/>
  <c r="D86" i="61"/>
  <c r="C86" i="61"/>
  <c r="B86" i="61"/>
  <c r="A86" i="61"/>
  <c r="G85" i="61"/>
  <c r="F85" i="61"/>
  <c r="D85" i="61"/>
  <c r="C85" i="61"/>
  <c r="B85" i="61"/>
  <c r="A85" i="61"/>
  <c r="G84" i="61"/>
  <c r="F84" i="61"/>
  <c r="D84" i="61"/>
  <c r="C84" i="61"/>
  <c r="B84" i="61"/>
  <c r="A84" i="61"/>
  <c r="G83" i="61"/>
  <c r="F83" i="61"/>
  <c r="D83" i="61"/>
  <c r="C83" i="61"/>
  <c r="B83" i="61"/>
  <c r="A83" i="61"/>
  <c r="G82" i="61"/>
  <c r="F82" i="61"/>
  <c r="D82" i="61"/>
  <c r="C82" i="61"/>
  <c r="B82" i="61"/>
  <c r="A82" i="61"/>
  <c r="G81" i="61"/>
  <c r="F81" i="61"/>
  <c r="D81" i="61"/>
  <c r="C81" i="61"/>
  <c r="B81" i="61"/>
  <c r="A81" i="61"/>
  <c r="G80" i="61"/>
  <c r="F80" i="61"/>
  <c r="D80" i="61"/>
  <c r="C80" i="61"/>
  <c r="B80" i="61"/>
  <c r="A80" i="61"/>
  <c r="G79" i="61"/>
  <c r="F79" i="61"/>
  <c r="D79" i="61"/>
  <c r="C79" i="61"/>
  <c r="B79" i="61"/>
  <c r="A79" i="61"/>
  <c r="G78" i="61"/>
  <c r="F78" i="61"/>
  <c r="D78" i="61"/>
  <c r="C78" i="61"/>
  <c r="B78" i="61"/>
  <c r="A78" i="61"/>
  <c r="G77" i="61"/>
  <c r="F77" i="61"/>
  <c r="D77" i="61"/>
  <c r="C77" i="61"/>
  <c r="B77" i="61"/>
  <c r="A77" i="61"/>
  <c r="G76" i="61"/>
  <c r="F76" i="61"/>
  <c r="D76" i="61"/>
  <c r="C76" i="61"/>
  <c r="B76" i="61"/>
  <c r="A76" i="61"/>
  <c r="G75" i="61"/>
  <c r="F75" i="61"/>
  <c r="D75" i="61"/>
  <c r="C75" i="61"/>
  <c r="B75" i="61"/>
  <c r="A75" i="61"/>
  <c r="G74" i="61"/>
  <c r="F74" i="61"/>
  <c r="D74" i="61"/>
  <c r="C74" i="61"/>
  <c r="B74" i="61"/>
  <c r="A74" i="61"/>
  <c r="G73" i="61"/>
  <c r="F73" i="61"/>
  <c r="D73" i="61"/>
  <c r="C73" i="61"/>
  <c r="B73" i="61"/>
  <c r="A73" i="61"/>
  <c r="G72" i="61"/>
  <c r="F72" i="61"/>
  <c r="D72" i="61"/>
  <c r="C72" i="61"/>
  <c r="B72" i="61"/>
  <c r="A72" i="61"/>
  <c r="G71" i="61"/>
  <c r="F71" i="61"/>
  <c r="D71" i="61"/>
  <c r="C71" i="61"/>
  <c r="B71" i="61"/>
  <c r="A71" i="61"/>
  <c r="G57" i="61"/>
  <c r="D57" i="61"/>
  <c r="C57" i="61"/>
  <c r="B57" i="61"/>
  <c r="A57" i="61"/>
  <c r="G56" i="61"/>
  <c r="D56" i="61"/>
  <c r="C56" i="61"/>
  <c r="B56" i="61"/>
  <c r="A56" i="61"/>
  <c r="G55" i="61"/>
  <c r="D55" i="61"/>
  <c r="C55" i="61"/>
  <c r="B55" i="61"/>
  <c r="A55" i="61"/>
  <c r="G54" i="61"/>
  <c r="D54" i="61"/>
  <c r="C54" i="61"/>
  <c r="B54" i="61"/>
  <c r="A54" i="61"/>
  <c r="G53" i="61"/>
  <c r="D53" i="61"/>
  <c r="C53" i="61"/>
  <c r="B53" i="61"/>
  <c r="A53" i="61"/>
  <c r="G52" i="61"/>
  <c r="F52" i="61"/>
  <c r="D52" i="61"/>
  <c r="C52" i="61"/>
  <c r="B52" i="61"/>
  <c r="A52" i="61"/>
  <c r="G51" i="61"/>
  <c r="C51" i="61"/>
  <c r="B51" i="61"/>
  <c r="A51" i="61"/>
  <c r="G50" i="61"/>
  <c r="D50" i="61"/>
  <c r="C50" i="61"/>
  <c r="B50" i="61"/>
  <c r="A50" i="61"/>
  <c r="G49" i="61"/>
  <c r="D49" i="61"/>
  <c r="C49" i="61"/>
  <c r="B49" i="61"/>
  <c r="A49" i="61"/>
  <c r="G48" i="61"/>
  <c r="D48" i="61"/>
  <c r="C48" i="61"/>
  <c r="B48" i="61"/>
  <c r="A48" i="61"/>
  <c r="G47" i="61"/>
  <c r="D47" i="61"/>
  <c r="C47" i="61"/>
  <c r="B47" i="61"/>
  <c r="A47" i="61"/>
  <c r="G46" i="61"/>
  <c r="D46" i="61"/>
  <c r="C46" i="61"/>
  <c r="B46" i="61"/>
  <c r="A46" i="61"/>
  <c r="G45" i="61"/>
  <c r="D45" i="61"/>
  <c r="C45" i="61"/>
  <c r="B45" i="61"/>
  <c r="A45" i="61"/>
  <c r="G44" i="61"/>
  <c r="D44" i="61"/>
  <c r="C44" i="61"/>
  <c r="B44" i="61"/>
  <c r="A44" i="61"/>
  <c r="G43" i="61"/>
  <c r="D43" i="61"/>
  <c r="C43" i="61"/>
  <c r="B43" i="61"/>
  <c r="A43" i="61"/>
  <c r="G42" i="61"/>
  <c r="D42" i="61"/>
  <c r="C42" i="61"/>
  <c r="B42" i="61"/>
  <c r="A42" i="61"/>
  <c r="G41" i="61"/>
  <c r="D41" i="61"/>
  <c r="C41" i="61"/>
  <c r="B41" i="61"/>
  <c r="A41" i="61"/>
  <c r="G40" i="61"/>
  <c r="D40" i="61"/>
  <c r="C40" i="61"/>
  <c r="B40" i="61"/>
  <c r="A40" i="61"/>
  <c r="D27" i="61"/>
  <c r="C27" i="61"/>
  <c r="B27" i="61"/>
  <c r="A27" i="61"/>
  <c r="D26" i="61"/>
  <c r="C26" i="61"/>
  <c r="B26" i="61"/>
  <c r="A26" i="61"/>
  <c r="D25" i="61"/>
  <c r="C25" i="61"/>
  <c r="B25" i="61"/>
  <c r="A25" i="61"/>
  <c r="D24" i="61"/>
  <c r="C24" i="61"/>
  <c r="B24" i="61"/>
  <c r="A24" i="61"/>
  <c r="D23" i="61"/>
  <c r="C23" i="61"/>
  <c r="B23" i="61"/>
  <c r="A23" i="61"/>
  <c r="D22" i="61"/>
  <c r="C22" i="61"/>
  <c r="B22" i="61"/>
  <c r="A22" i="61"/>
  <c r="D21" i="61"/>
  <c r="C21" i="61"/>
  <c r="B21" i="61"/>
  <c r="A21" i="61"/>
  <c r="G20" i="61"/>
  <c r="D20" i="61"/>
  <c r="C20" i="61"/>
  <c r="B20" i="61"/>
  <c r="A20" i="61"/>
  <c r="C19" i="61"/>
  <c r="B19" i="61"/>
  <c r="A19" i="61"/>
  <c r="D18" i="61"/>
  <c r="C18" i="61"/>
  <c r="B18" i="61"/>
  <c r="A18" i="61"/>
  <c r="D17" i="61"/>
  <c r="C17" i="61"/>
  <c r="B17" i="61"/>
  <c r="A17" i="61"/>
  <c r="D16" i="61"/>
  <c r="C16" i="61"/>
  <c r="B16" i="61"/>
  <c r="A16" i="61"/>
  <c r="D15" i="61"/>
  <c r="C15" i="61"/>
  <c r="B15" i="61"/>
  <c r="A15" i="61"/>
  <c r="D14" i="61"/>
  <c r="C14" i="61"/>
  <c r="B14" i="61"/>
  <c r="A14" i="61"/>
  <c r="D13" i="61"/>
  <c r="C13" i="61"/>
  <c r="B13" i="61"/>
  <c r="A13" i="61"/>
  <c r="D12" i="61"/>
  <c r="C12" i="61"/>
  <c r="B12" i="61"/>
  <c r="A12" i="61"/>
  <c r="D11" i="61"/>
  <c r="C11" i="61"/>
  <c r="B11" i="61"/>
  <c r="A11" i="61"/>
  <c r="D10" i="61"/>
  <c r="C10" i="61"/>
  <c r="B10" i="61"/>
  <c r="A10" i="61"/>
  <c r="D9" i="61"/>
  <c r="C9" i="61"/>
  <c r="B9" i="61"/>
  <c r="A9" i="61"/>
  <c r="D8" i="61"/>
  <c r="C8" i="61"/>
  <c r="B8" i="61"/>
  <c r="A8" i="61"/>
  <c r="G62" i="60"/>
  <c r="G63" i="60"/>
  <c r="D63" i="60"/>
  <c r="C62" i="60"/>
  <c r="C63" i="60"/>
  <c r="F62" i="60"/>
  <c r="E62" i="60"/>
  <c r="D62" i="60"/>
  <c r="F53" i="60"/>
  <c r="E53" i="60"/>
  <c r="D53" i="60"/>
  <c r="A62" i="60"/>
  <c r="B62" i="60"/>
  <c r="A63" i="60"/>
  <c r="B63" i="60"/>
  <c r="G20" i="60"/>
  <c r="D32" i="60"/>
  <c r="C32" i="60"/>
  <c r="B31" i="60"/>
  <c r="B32" i="60"/>
  <c r="G31" i="60"/>
  <c r="D31" i="60"/>
  <c r="C31" i="60"/>
  <c r="A31" i="60"/>
  <c r="A32" i="60"/>
  <c r="D20" i="60"/>
  <c r="G91" i="60"/>
  <c r="F91" i="60"/>
  <c r="D91" i="60"/>
  <c r="C91" i="60"/>
  <c r="B91" i="60"/>
  <c r="A91" i="60"/>
  <c r="G90" i="60"/>
  <c r="F90" i="60"/>
  <c r="D90" i="60"/>
  <c r="C90" i="60"/>
  <c r="B90" i="60"/>
  <c r="A90" i="60"/>
  <c r="G89" i="60"/>
  <c r="F89" i="60"/>
  <c r="D89" i="60"/>
  <c r="C89" i="60"/>
  <c r="B89" i="60"/>
  <c r="A89" i="60"/>
  <c r="G88" i="60"/>
  <c r="F88" i="60"/>
  <c r="D88" i="60"/>
  <c r="C88" i="60"/>
  <c r="B88" i="60"/>
  <c r="A88" i="60"/>
  <c r="G87" i="60"/>
  <c r="F87" i="60"/>
  <c r="D87" i="60"/>
  <c r="C87" i="60"/>
  <c r="B87" i="60"/>
  <c r="A87" i="60"/>
  <c r="G86" i="60"/>
  <c r="F86" i="60"/>
  <c r="D86" i="60"/>
  <c r="C86" i="60"/>
  <c r="B86" i="60"/>
  <c r="A86" i="60"/>
  <c r="G85" i="60"/>
  <c r="F85" i="60"/>
  <c r="D85" i="60"/>
  <c r="C85" i="60"/>
  <c r="B85" i="60"/>
  <c r="A85" i="60"/>
  <c r="G84" i="60"/>
  <c r="F84" i="60"/>
  <c r="D84" i="60"/>
  <c r="C84" i="60"/>
  <c r="B84" i="60"/>
  <c r="A84" i="60"/>
  <c r="G83" i="60"/>
  <c r="F83" i="60"/>
  <c r="D83" i="60"/>
  <c r="C83" i="60"/>
  <c r="B83" i="60"/>
  <c r="A83" i="60"/>
  <c r="G82" i="60"/>
  <c r="F82" i="60"/>
  <c r="D82" i="60"/>
  <c r="C82" i="60"/>
  <c r="B82" i="60"/>
  <c r="A82" i="60"/>
  <c r="G81" i="60"/>
  <c r="F81" i="60"/>
  <c r="D81" i="60"/>
  <c r="C81" i="60"/>
  <c r="B81" i="60"/>
  <c r="A81" i="60"/>
  <c r="G80" i="60"/>
  <c r="F80" i="60"/>
  <c r="D80" i="60"/>
  <c r="C80" i="60"/>
  <c r="B80" i="60"/>
  <c r="A80" i="60"/>
  <c r="G79" i="60"/>
  <c r="F79" i="60"/>
  <c r="D79" i="60"/>
  <c r="C79" i="60"/>
  <c r="B79" i="60"/>
  <c r="A79" i="60"/>
  <c r="G78" i="60"/>
  <c r="F78" i="60"/>
  <c r="D78" i="60"/>
  <c r="C78" i="60"/>
  <c r="B78" i="60"/>
  <c r="A78" i="60"/>
  <c r="G77" i="60"/>
  <c r="F77" i="60"/>
  <c r="D77" i="60"/>
  <c r="C77" i="60"/>
  <c r="B77" i="60"/>
  <c r="A77" i="60"/>
  <c r="G76" i="60"/>
  <c r="F76" i="60"/>
  <c r="C76" i="60"/>
  <c r="B76" i="60"/>
  <c r="A76" i="60"/>
  <c r="G75" i="60"/>
  <c r="F75" i="60"/>
  <c r="D75" i="60"/>
  <c r="C75" i="60"/>
  <c r="B75" i="60"/>
  <c r="A75" i="60"/>
  <c r="G74" i="60"/>
  <c r="F74" i="60"/>
  <c r="D74" i="60"/>
  <c r="C74" i="60"/>
  <c r="B74" i="60"/>
  <c r="A74" i="60"/>
  <c r="G73" i="60"/>
  <c r="F73" i="60"/>
  <c r="D73" i="60"/>
  <c r="C73" i="60"/>
  <c r="B73" i="60"/>
  <c r="A73" i="60"/>
  <c r="G61" i="60"/>
  <c r="D61" i="60"/>
  <c r="C61" i="60"/>
  <c r="B61" i="60"/>
  <c r="A61" i="60"/>
  <c r="G60" i="60"/>
  <c r="D60" i="60"/>
  <c r="C60" i="60"/>
  <c r="B60" i="60"/>
  <c r="A60" i="60"/>
  <c r="G59" i="60"/>
  <c r="D59" i="60"/>
  <c r="C59" i="60"/>
  <c r="B59" i="60"/>
  <c r="A59" i="60"/>
  <c r="G58" i="60"/>
  <c r="D58" i="60"/>
  <c r="C58" i="60"/>
  <c r="B58" i="60"/>
  <c r="A58" i="60"/>
  <c r="G57" i="60"/>
  <c r="D57" i="60"/>
  <c r="C57" i="60"/>
  <c r="B57" i="60"/>
  <c r="A57" i="60"/>
  <c r="G56" i="60"/>
  <c r="D56" i="60"/>
  <c r="C56" i="60"/>
  <c r="B56" i="60"/>
  <c r="A56" i="60"/>
  <c r="G55" i="60"/>
  <c r="D55" i="60"/>
  <c r="C55" i="60"/>
  <c r="B55" i="60"/>
  <c r="A55" i="60"/>
  <c r="G54" i="60"/>
  <c r="F54" i="60"/>
  <c r="E54" i="60"/>
  <c r="D54" i="60"/>
  <c r="C54" i="60"/>
  <c r="B54" i="60"/>
  <c r="A54" i="60"/>
  <c r="G53" i="60"/>
  <c r="C53" i="60"/>
  <c r="B53" i="60"/>
  <c r="A53" i="60"/>
  <c r="G52" i="60"/>
  <c r="D52" i="60"/>
  <c r="C52" i="60"/>
  <c r="B52" i="60"/>
  <c r="A52" i="60"/>
  <c r="G51" i="60"/>
  <c r="D51" i="60"/>
  <c r="C51" i="60"/>
  <c r="B51" i="60"/>
  <c r="A51" i="60"/>
  <c r="G50" i="60"/>
  <c r="D50" i="60"/>
  <c r="C50" i="60"/>
  <c r="B50" i="60"/>
  <c r="A50" i="60"/>
  <c r="G49" i="60"/>
  <c r="D49" i="60"/>
  <c r="C49" i="60"/>
  <c r="B49" i="60"/>
  <c r="A49" i="60"/>
  <c r="G48" i="60"/>
  <c r="D48" i="60"/>
  <c r="C48" i="60"/>
  <c r="B48" i="60"/>
  <c r="A48" i="60"/>
  <c r="G47" i="60"/>
  <c r="D47" i="60"/>
  <c r="C47" i="60"/>
  <c r="B47" i="60"/>
  <c r="A47" i="60"/>
  <c r="G46" i="60"/>
  <c r="D46" i="60"/>
  <c r="C46" i="60"/>
  <c r="B46" i="60"/>
  <c r="A46" i="60"/>
  <c r="G45" i="60"/>
  <c r="D45" i="60"/>
  <c r="C45" i="60"/>
  <c r="B45" i="60"/>
  <c r="A45" i="60"/>
  <c r="G44" i="60"/>
  <c r="D44" i="60"/>
  <c r="C44" i="60"/>
  <c r="B44" i="60"/>
  <c r="A44" i="60"/>
  <c r="G43" i="60"/>
  <c r="D43" i="60"/>
  <c r="C43" i="60"/>
  <c r="B43" i="60"/>
  <c r="A43" i="60"/>
  <c r="G42" i="60"/>
  <c r="D42" i="60"/>
  <c r="C42" i="60"/>
  <c r="B42" i="60"/>
  <c r="A42" i="60"/>
  <c r="G41" i="60"/>
  <c r="D41" i="60"/>
  <c r="C41" i="60"/>
  <c r="B41" i="60"/>
  <c r="A41" i="60"/>
  <c r="D30" i="60"/>
  <c r="C30" i="60"/>
  <c r="B30" i="60"/>
  <c r="A30" i="60"/>
  <c r="D29" i="60"/>
  <c r="C29" i="60"/>
  <c r="B29" i="60"/>
  <c r="A29" i="60"/>
  <c r="D28" i="60"/>
  <c r="C28" i="60"/>
  <c r="B28" i="60"/>
  <c r="A28" i="60"/>
  <c r="D27" i="60"/>
  <c r="C27" i="60"/>
  <c r="B27" i="60"/>
  <c r="A27" i="60"/>
  <c r="D26" i="60"/>
  <c r="C26" i="60"/>
  <c r="B26" i="60"/>
  <c r="A26" i="60"/>
  <c r="D25" i="60"/>
  <c r="C25" i="60"/>
  <c r="B25" i="60"/>
  <c r="A25" i="60"/>
  <c r="D24" i="60"/>
  <c r="C24" i="60"/>
  <c r="B24" i="60"/>
  <c r="A24" i="60"/>
  <c r="D23" i="60"/>
  <c r="C23" i="60"/>
  <c r="B23" i="60"/>
  <c r="A23" i="60"/>
  <c r="D22" i="60"/>
  <c r="C22" i="60"/>
  <c r="B22" i="60"/>
  <c r="A22" i="60"/>
  <c r="G21" i="60"/>
  <c r="D21" i="60"/>
  <c r="C21" i="60"/>
  <c r="B21" i="60"/>
  <c r="A21" i="60"/>
  <c r="C20" i="60"/>
  <c r="B20" i="60"/>
  <c r="A20" i="60"/>
  <c r="D19" i="60"/>
  <c r="C19" i="60"/>
  <c r="B19" i="60"/>
  <c r="A19" i="60"/>
  <c r="D18" i="60"/>
  <c r="C18" i="60"/>
  <c r="B18" i="60"/>
  <c r="A18" i="60"/>
  <c r="D17" i="60"/>
  <c r="C17" i="60"/>
  <c r="B17" i="60"/>
  <c r="A17" i="60"/>
  <c r="D16" i="60"/>
  <c r="C16" i="60"/>
  <c r="B16" i="60"/>
  <c r="A16" i="60"/>
  <c r="D15" i="60"/>
  <c r="C15" i="60"/>
  <c r="B15" i="60"/>
  <c r="A15" i="60"/>
  <c r="D14" i="60"/>
  <c r="C14" i="60"/>
  <c r="B14" i="60"/>
  <c r="A14" i="60"/>
  <c r="D13" i="60"/>
  <c r="C13" i="60"/>
  <c r="B13" i="60"/>
  <c r="A13" i="60"/>
  <c r="D12" i="60"/>
  <c r="C12" i="60"/>
  <c r="B12" i="60"/>
  <c r="A12" i="60"/>
  <c r="D11" i="60"/>
  <c r="C11" i="60"/>
  <c r="B11" i="60"/>
  <c r="A11" i="60"/>
  <c r="D10" i="60"/>
  <c r="C10" i="60"/>
  <c r="B10" i="60"/>
  <c r="A10" i="60"/>
  <c r="D9" i="60"/>
  <c r="C9" i="60"/>
  <c r="B9" i="60"/>
  <c r="A9" i="60"/>
  <c r="D8" i="60"/>
  <c r="C8" i="60"/>
  <c r="B8" i="60"/>
  <c r="A8" i="60"/>
  <c r="H30" i="62"/>
  <c r="I30" i="62"/>
  <c r="H32" i="60"/>
  <c r="I32" i="60"/>
  <c r="H61" i="62"/>
  <c r="I61" i="62"/>
  <c r="H84" i="62"/>
  <c r="I84" i="62"/>
  <c r="H28" i="62"/>
  <c r="I28" i="62"/>
  <c r="H80" i="62"/>
  <c r="I80" i="62"/>
  <c r="H77" i="62"/>
  <c r="I77" i="62"/>
  <c r="H56" i="62"/>
  <c r="I56" i="62"/>
  <c r="H76" i="62"/>
  <c r="I76" i="62"/>
  <c r="H46" i="62"/>
  <c r="I46" i="62"/>
  <c r="H59" i="62"/>
  <c r="I59" i="62"/>
  <c r="H40" i="62"/>
  <c r="I40" i="62"/>
  <c r="H49" i="62"/>
  <c r="I49" i="62"/>
  <c r="H22" i="62"/>
  <c r="I22" i="62"/>
  <c r="H24" i="62"/>
  <c r="I24" i="62"/>
  <c r="H26" i="62"/>
  <c r="I26" i="62"/>
  <c r="H43" i="62"/>
  <c r="I43" i="62"/>
  <c r="H51" i="62"/>
  <c r="I51" i="62"/>
  <c r="H9" i="62"/>
  <c r="I9" i="62"/>
  <c r="H11" i="62"/>
  <c r="I11" i="62"/>
  <c r="H13" i="62"/>
  <c r="I13" i="62"/>
  <c r="H15" i="62"/>
  <c r="I15" i="62"/>
  <c r="H17" i="62"/>
  <c r="I17" i="62"/>
  <c r="H19" i="62"/>
  <c r="I19" i="62"/>
  <c r="H21" i="62"/>
  <c r="I21" i="62"/>
  <c r="H10" i="62"/>
  <c r="I10" i="62"/>
  <c r="H12" i="62"/>
  <c r="I12" i="62"/>
  <c r="H16" i="62"/>
  <c r="I16" i="62"/>
  <c r="H18" i="62"/>
  <c r="I18" i="62"/>
  <c r="H45" i="62"/>
  <c r="I45" i="62"/>
  <c r="H73" i="62"/>
  <c r="I73" i="62"/>
  <c r="H74" i="62"/>
  <c r="I74" i="62"/>
  <c r="H79" i="62"/>
  <c r="I79" i="62"/>
  <c r="H82" i="62"/>
  <c r="I82" i="62"/>
  <c r="H41" i="62"/>
  <c r="I41" i="62"/>
  <c r="H47" i="62"/>
  <c r="I47" i="62"/>
  <c r="H78" i="62"/>
  <c r="I78" i="62"/>
  <c r="H83" i="62"/>
  <c r="I83" i="62"/>
  <c r="H23" i="62"/>
  <c r="I23" i="62"/>
  <c r="H25" i="62"/>
  <c r="I25" i="62"/>
  <c r="H27" i="62"/>
  <c r="I27" i="62"/>
  <c r="H29" i="62"/>
  <c r="I29" i="62"/>
  <c r="H42" i="62"/>
  <c r="I42" i="62"/>
  <c r="H50" i="62"/>
  <c r="I50" i="62"/>
  <c r="H53" i="62"/>
  <c r="I53" i="62"/>
  <c r="H8" i="62"/>
  <c r="I8" i="62"/>
  <c r="H14" i="62"/>
  <c r="I14" i="62"/>
  <c r="H20" i="62"/>
  <c r="I20" i="62"/>
  <c r="H48" i="62"/>
  <c r="I48" i="62"/>
  <c r="H55" i="62"/>
  <c r="I55" i="62"/>
  <c r="H58" i="62"/>
  <c r="I58" i="62"/>
  <c r="H72" i="62"/>
  <c r="I72" i="62"/>
  <c r="H75" i="62"/>
  <c r="I75" i="62"/>
  <c r="H57" i="62"/>
  <c r="I57" i="62"/>
  <c r="H81" i="62"/>
  <c r="I81" i="62"/>
  <c r="H44" i="62"/>
  <c r="I44" i="62"/>
  <c r="H52" i="62"/>
  <c r="I52" i="62"/>
  <c r="H54" i="62"/>
  <c r="I54" i="62"/>
  <c r="H60" i="62"/>
  <c r="I60" i="62"/>
  <c r="H30" i="61"/>
  <c r="I30" i="61"/>
  <c r="H58" i="61"/>
  <c r="I58" i="61"/>
  <c r="H29" i="61"/>
  <c r="I29" i="61"/>
  <c r="H31" i="61"/>
  <c r="I31" i="61"/>
  <c r="H28" i="61"/>
  <c r="I28" i="61"/>
  <c r="H85" i="61"/>
  <c r="I85" i="61"/>
  <c r="H74" i="61"/>
  <c r="I74" i="61"/>
  <c r="H78" i="61"/>
  <c r="I78" i="61"/>
  <c r="H82" i="61"/>
  <c r="I82" i="61"/>
  <c r="H72" i="61"/>
  <c r="I72" i="61"/>
  <c r="H55" i="61"/>
  <c r="I55" i="61"/>
  <c r="H48" i="61"/>
  <c r="I48" i="61"/>
  <c r="H21" i="61"/>
  <c r="I21" i="61"/>
  <c r="H23" i="61"/>
  <c r="I23" i="61"/>
  <c r="H25" i="61"/>
  <c r="I25" i="61"/>
  <c r="H27" i="61"/>
  <c r="I27" i="61"/>
  <c r="H45" i="61"/>
  <c r="I45" i="61"/>
  <c r="H42" i="61"/>
  <c r="I42" i="61"/>
  <c r="H50" i="61"/>
  <c r="I50" i="61"/>
  <c r="H8" i="61"/>
  <c r="I8" i="61"/>
  <c r="H10" i="61"/>
  <c r="I10" i="61"/>
  <c r="H12" i="61"/>
  <c r="I12" i="61"/>
  <c r="H14" i="61"/>
  <c r="I14" i="61"/>
  <c r="H16" i="61"/>
  <c r="I16" i="61"/>
  <c r="H18" i="61"/>
  <c r="I18" i="61"/>
  <c r="H20" i="61"/>
  <c r="I20" i="61"/>
  <c r="H9" i="61"/>
  <c r="I9" i="61"/>
  <c r="H11" i="61"/>
  <c r="I11" i="61"/>
  <c r="H13" i="61"/>
  <c r="I13" i="61"/>
  <c r="H15" i="61"/>
  <c r="I15" i="61"/>
  <c r="H83" i="61"/>
  <c r="I83" i="61"/>
  <c r="H80" i="61"/>
  <c r="I80" i="61"/>
  <c r="H49" i="61"/>
  <c r="I49" i="61"/>
  <c r="H40" i="61"/>
  <c r="I40" i="61"/>
  <c r="H56" i="61"/>
  <c r="I56" i="61"/>
  <c r="H75" i="61"/>
  <c r="I75" i="61"/>
  <c r="H43" i="61"/>
  <c r="I43" i="61"/>
  <c r="H51" i="61"/>
  <c r="I51" i="61"/>
  <c r="H53" i="61"/>
  <c r="I53" i="61"/>
  <c r="H41" i="61"/>
  <c r="I41" i="61"/>
  <c r="H44" i="61"/>
  <c r="I44" i="61"/>
  <c r="H47" i="61"/>
  <c r="I47" i="61"/>
  <c r="H52" i="61"/>
  <c r="I52" i="61"/>
  <c r="H54" i="61"/>
  <c r="I54" i="61"/>
  <c r="H57" i="61"/>
  <c r="I57" i="61"/>
  <c r="H71" i="61"/>
  <c r="I71" i="61"/>
  <c r="H73" i="61"/>
  <c r="I73" i="61"/>
  <c r="H76" i="61"/>
  <c r="I76" i="61"/>
  <c r="H77" i="61"/>
  <c r="I77" i="61"/>
  <c r="H81" i="61"/>
  <c r="I81" i="61"/>
  <c r="H84" i="61"/>
  <c r="I84" i="61"/>
  <c r="H86" i="61"/>
  <c r="I86" i="61"/>
  <c r="H17" i="61"/>
  <c r="I17" i="61"/>
  <c r="H19" i="61"/>
  <c r="I19" i="61"/>
  <c r="H46" i="61"/>
  <c r="I46" i="61"/>
  <c r="H79" i="61"/>
  <c r="I79" i="61"/>
  <c r="H26" i="61"/>
  <c r="I26" i="61"/>
  <c r="H22" i="61"/>
  <c r="I22" i="61"/>
  <c r="H24" i="61"/>
  <c r="I24" i="61"/>
  <c r="H63" i="60"/>
  <c r="I63" i="60"/>
  <c r="H62" i="60"/>
  <c r="I62" i="60"/>
  <c r="H91" i="60"/>
  <c r="I91" i="60"/>
  <c r="H31" i="60"/>
  <c r="I31" i="60"/>
  <c r="H89" i="60"/>
  <c r="I89" i="60"/>
  <c r="H79" i="60"/>
  <c r="I79" i="60"/>
  <c r="H83" i="60"/>
  <c r="I83" i="60"/>
  <c r="H58" i="60"/>
  <c r="I58" i="60"/>
  <c r="H14" i="60"/>
  <c r="I14" i="60"/>
  <c r="H23" i="60"/>
  <c r="I23" i="60"/>
  <c r="H25" i="60"/>
  <c r="I25" i="60"/>
  <c r="H27" i="60"/>
  <c r="I27" i="60"/>
  <c r="H29" i="60"/>
  <c r="I29" i="60"/>
  <c r="H55" i="60"/>
  <c r="I55" i="60"/>
  <c r="H61" i="60"/>
  <c r="I61" i="60"/>
  <c r="H45" i="60"/>
  <c r="I45" i="60"/>
  <c r="H53" i="60"/>
  <c r="I53" i="60"/>
  <c r="H8" i="60"/>
  <c r="I8" i="60"/>
  <c r="H10" i="60"/>
  <c r="I10" i="60"/>
  <c r="H12" i="60"/>
  <c r="I12" i="60"/>
  <c r="H16" i="60"/>
  <c r="I16" i="60"/>
  <c r="H20" i="60"/>
  <c r="I20" i="60"/>
  <c r="H48" i="60"/>
  <c r="I48" i="60"/>
  <c r="H50" i="60"/>
  <c r="I50" i="60"/>
  <c r="H18" i="60"/>
  <c r="I18" i="60"/>
  <c r="H42" i="60"/>
  <c r="I42" i="60"/>
  <c r="H22" i="60"/>
  <c r="I22" i="60"/>
  <c r="H24" i="60"/>
  <c r="I24" i="60"/>
  <c r="H26" i="60"/>
  <c r="I26" i="60"/>
  <c r="H28" i="60"/>
  <c r="I28" i="60"/>
  <c r="H30" i="60"/>
  <c r="I30" i="60"/>
  <c r="H43" i="60"/>
  <c r="I43" i="60"/>
  <c r="H51" i="60"/>
  <c r="I51" i="60"/>
  <c r="H86" i="60"/>
  <c r="I86" i="60"/>
  <c r="H56" i="60"/>
  <c r="I56" i="60"/>
  <c r="H73" i="60"/>
  <c r="I73" i="60"/>
  <c r="H41" i="60"/>
  <c r="I41" i="60"/>
  <c r="H47" i="60"/>
  <c r="I47" i="60"/>
  <c r="H52" i="60"/>
  <c r="I52" i="60"/>
  <c r="H77" i="60"/>
  <c r="I77" i="60"/>
  <c r="H78" i="60"/>
  <c r="I78" i="60"/>
  <c r="H81" i="60"/>
  <c r="I81" i="60"/>
  <c r="H82" i="60"/>
  <c r="I82" i="60"/>
  <c r="H85" i="60"/>
  <c r="I85" i="60"/>
  <c r="H88" i="60"/>
  <c r="I88" i="60"/>
  <c r="H90" i="60"/>
  <c r="I90" i="60"/>
  <c r="H75" i="60"/>
  <c r="I75" i="60"/>
  <c r="H9" i="60"/>
  <c r="I9" i="60"/>
  <c r="H11" i="60"/>
  <c r="I11" i="60"/>
  <c r="H13" i="60"/>
  <c r="I13" i="60"/>
  <c r="H15" i="60"/>
  <c r="I15" i="60"/>
  <c r="H17" i="60"/>
  <c r="I17" i="60"/>
  <c r="H19" i="60"/>
  <c r="I19" i="60"/>
  <c r="H21" i="60"/>
  <c r="I21" i="60"/>
  <c r="H44" i="60"/>
  <c r="I44" i="60"/>
  <c r="H46" i="60"/>
  <c r="I46" i="60"/>
  <c r="H49" i="60"/>
  <c r="I49" i="60"/>
  <c r="H54" i="60"/>
  <c r="I54" i="60"/>
  <c r="H57" i="60"/>
  <c r="I57" i="60"/>
  <c r="H59" i="60"/>
  <c r="I59" i="60"/>
  <c r="H60" i="60"/>
  <c r="I60" i="60"/>
  <c r="H74" i="60"/>
  <c r="I74" i="60"/>
  <c r="H76" i="60"/>
  <c r="I76" i="60"/>
  <c r="H80" i="60"/>
  <c r="I80" i="60"/>
  <c r="H84" i="60"/>
  <c r="I84" i="60"/>
  <c r="H87" i="60"/>
  <c r="I87" i="60"/>
  <c r="D91" i="56"/>
  <c r="D87" i="56"/>
  <c r="D83" i="56"/>
  <c r="D92" i="55"/>
  <c r="D81" i="54"/>
  <c r="G100" i="56"/>
  <c r="F100" i="56"/>
  <c r="D100" i="56"/>
  <c r="C100" i="56"/>
  <c r="H100" i="56"/>
  <c r="I100" i="56"/>
  <c r="B100" i="56"/>
  <c r="A100" i="56"/>
  <c r="G99" i="56"/>
  <c r="F99" i="56"/>
  <c r="D99" i="56"/>
  <c r="C99" i="56"/>
  <c r="H99" i="56"/>
  <c r="I99" i="56"/>
  <c r="B99" i="56"/>
  <c r="A99" i="56"/>
  <c r="G98" i="56"/>
  <c r="F98" i="56"/>
  <c r="D98" i="56"/>
  <c r="C98" i="56"/>
  <c r="H98" i="56"/>
  <c r="I98" i="56"/>
  <c r="B98" i="56"/>
  <c r="A98" i="56"/>
  <c r="G97" i="56"/>
  <c r="F97" i="56"/>
  <c r="D97" i="56"/>
  <c r="C97" i="56"/>
  <c r="H97" i="56"/>
  <c r="I97" i="56"/>
  <c r="B97" i="56"/>
  <c r="A97" i="56"/>
  <c r="G96" i="56"/>
  <c r="F96" i="56"/>
  <c r="D96" i="56"/>
  <c r="C96" i="56"/>
  <c r="H96" i="56"/>
  <c r="I96" i="56"/>
  <c r="B96" i="56"/>
  <c r="A96" i="56"/>
  <c r="G95" i="56"/>
  <c r="F95" i="56"/>
  <c r="D95" i="56"/>
  <c r="C95" i="56"/>
  <c r="H95" i="56"/>
  <c r="I95" i="56"/>
  <c r="B95" i="56"/>
  <c r="A95" i="56"/>
  <c r="G94" i="56"/>
  <c r="F94" i="56"/>
  <c r="H94" i="56"/>
  <c r="I94" i="56"/>
  <c r="D94" i="56"/>
  <c r="C94" i="56"/>
  <c r="B94" i="56"/>
  <c r="A94" i="56"/>
  <c r="G68" i="56"/>
  <c r="D68" i="56"/>
  <c r="C68" i="56"/>
  <c r="B68" i="56"/>
  <c r="A68" i="56"/>
  <c r="G67" i="56"/>
  <c r="D67" i="56"/>
  <c r="C67" i="56"/>
  <c r="B67" i="56"/>
  <c r="A67" i="56"/>
  <c r="G66" i="56"/>
  <c r="D66" i="56"/>
  <c r="C66" i="56"/>
  <c r="H66" i="56"/>
  <c r="I66" i="56"/>
  <c r="B66" i="56"/>
  <c r="A66" i="56"/>
  <c r="G65" i="56"/>
  <c r="D65" i="56"/>
  <c r="C65" i="56"/>
  <c r="H65" i="56"/>
  <c r="I65" i="56"/>
  <c r="B65" i="56"/>
  <c r="A65" i="56"/>
  <c r="G64" i="56"/>
  <c r="D64" i="56"/>
  <c r="C64" i="56"/>
  <c r="B64" i="56"/>
  <c r="A64" i="56"/>
  <c r="G63" i="56"/>
  <c r="D63" i="56"/>
  <c r="C63" i="56"/>
  <c r="B63" i="56"/>
  <c r="A63" i="56"/>
  <c r="G62" i="56"/>
  <c r="D62" i="56"/>
  <c r="C62" i="56"/>
  <c r="H62" i="56"/>
  <c r="I62" i="56"/>
  <c r="B62" i="56"/>
  <c r="A62" i="56"/>
  <c r="G61" i="56"/>
  <c r="D61" i="56"/>
  <c r="C61" i="56"/>
  <c r="H61" i="56"/>
  <c r="I61" i="56"/>
  <c r="B61" i="56"/>
  <c r="A61" i="56"/>
  <c r="G60" i="56"/>
  <c r="D60" i="56"/>
  <c r="C60" i="56"/>
  <c r="B60" i="56"/>
  <c r="A60" i="56"/>
  <c r="D34" i="56"/>
  <c r="C34" i="56"/>
  <c r="B34" i="56"/>
  <c r="A34" i="56"/>
  <c r="D33" i="56"/>
  <c r="C33" i="56"/>
  <c r="B33" i="56"/>
  <c r="A33" i="56"/>
  <c r="D32" i="56"/>
  <c r="C32" i="56"/>
  <c r="B32" i="56"/>
  <c r="A32" i="56"/>
  <c r="D31" i="56"/>
  <c r="C31" i="56"/>
  <c r="B31" i="56"/>
  <c r="A31" i="56"/>
  <c r="D30" i="56"/>
  <c r="C30" i="56"/>
  <c r="B30" i="56"/>
  <c r="A30" i="56"/>
  <c r="D29" i="56"/>
  <c r="C29" i="56"/>
  <c r="B29" i="56"/>
  <c r="A29" i="56"/>
  <c r="D28" i="56"/>
  <c r="C28" i="56"/>
  <c r="B28" i="56"/>
  <c r="A28" i="56"/>
  <c r="D27" i="56"/>
  <c r="C27" i="56"/>
  <c r="B27" i="56"/>
  <c r="A27" i="56"/>
  <c r="D26" i="56"/>
  <c r="C26" i="56"/>
  <c r="B26" i="56"/>
  <c r="A26" i="56"/>
  <c r="G103" i="55"/>
  <c r="F103" i="55"/>
  <c r="D103" i="55"/>
  <c r="C103" i="55"/>
  <c r="H103" i="55"/>
  <c r="I103" i="55"/>
  <c r="B103" i="55"/>
  <c r="A103" i="55"/>
  <c r="G102" i="55"/>
  <c r="F102" i="55"/>
  <c r="D102" i="55"/>
  <c r="C102" i="55"/>
  <c r="H102" i="55"/>
  <c r="I102" i="55"/>
  <c r="B102" i="55"/>
  <c r="A102" i="55"/>
  <c r="G101" i="55"/>
  <c r="F101" i="55"/>
  <c r="D101" i="55"/>
  <c r="C101" i="55"/>
  <c r="H101" i="55"/>
  <c r="I101" i="55"/>
  <c r="B101" i="55"/>
  <c r="A101" i="55"/>
  <c r="G100" i="55"/>
  <c r="F100" i="55"/>
  <c r="D100" i="55"/>
  <c r="C100" i="55"/>
  <c r="H100" i="55"/>
  <c r="I100" i="55"/>
  <c r="B100" i="55"/>
  <c r="A100" i="55"/>
  <c r="H99" i="55"/>
  <c r="I99" i="55"/>
  <c r="G99" i="55"/>
  <c r="F99" i="55"/>
  <c r="D99" i="55"/>
  <c r="C99" i="55"/>
  <c r="B99" i="55"/>
  <c r="A99" i="55"/>
  <c r="G98" i="55"/>
  <c r="F98" i="55"/>
  <c r="D98" i="55"/>
  <c r="C98" i="55"/>
  <c r="H98" i="55"/>
  <c r="I98" i="55"/>
  <c r="B98" i="55"/>
  <c r="A98" i="55"/>
  <c r="G97" i="55"/>
  <c r="F97" i="55"/>
  <c r="D97" i="55"/>
  <c r="C97" i="55"/>
  <c r="H97" i="55"/>
  <c r="I97" i="55"/>
  <c r="B97" i="55"/>
  <c r="A97" i="55"/>
  <c r="G96" i="55"/>
  <c r="F96" i="55"/>
  <c r="H96" i="55"/>
  <c r="I96" i="55"/>
  <c r="D96" i="55"/>
  <c r="C96" i="55"/>
  <c r="B96" i="55"/>
  <c r="A96" i="55"/>
  <c r="G95" i="55"/>
  <c r="F95" i="55"/>
  <c r="D95" i="55"/>
  <c r="C95" i="55"/>
  <c r="H95" i="55"/>
  <c r="I95" i="55"/>
  <c r="B95" i="55"/>
  <c r="A95" i="55"/>
  <c r="G69" i="55"/>
  <c r="D69" i="55"/>
  <c r="C69" i="55"/>
  <c r="H69" i="55"/>
  <c r="I69" i="55"/>
  <c r="B69" i="55"/>
  <c r="A69" i="55"/>
  <c r="G68" i="55"/>
  <c r="D68" i="55"/>
  <c r="C68" i="55"/>
  <c r="B68" i="55"/>
  <c r="A68" i="55"/>
  <c r="G67" i="55"/>
  <c r="D67" i="55"/>
  <c r="C67" i="55"/>
  <c r="B67" i="55"/>
  <c r="A67" i="55"/>
  <c r="G66" i="55"/>
  <c r="D66" i="55"/>
  <c r="C66" i="55"/>
  <c r="B66" i="55"/>
  <c r="A66" i="55"/>
  <c r="G65" i="55"/>
  <c r="D65" i="55"/>
  <c r="C65" i="55"/>
  <c r="B65" i="55"/>
  <c r="A65" i="55"/>
  <c r="G64" i="55"/>
  <c r="D64" i="55"/>
  <c r="C64" i="55"/>
  <c r="B64" i="55"/>
  <c r="A64" i="55"/>
  <c r="G63" i="55"/>
  <c r="D63" i="55"/>
  <c r="C63" i="55"/>
  <c r="B63" i="55"/>
  <c r="A63" i="55"/>
  <c r="G62" i="55"/>
  <c r="D62" i="55"/>
  <c r="C62" i="55"/>
  <c r="B62" i="55"/>
  <c r="A62" i="55"/>
  <c r="G61" i="55"/>
  <c r="D61" i="55"/>
  <c r="C61" i="55"/>
  <c r="B61" i="55"/>
  <c r="A61" i="55"/>
  <c r="D35" i="55"/>
  <c r="C35" i="55"/>
  <c r="B35" i="55"/>
  <c r="A35" i="55"/>
  <c r="D34" i="55"/>
  <c r="C34" i="55"/>
  <c r="B34" i="55"/>
  <c r="A34" i="55"/>
  <c r="D33" i="55"/>
  <c r="C33" i="55"/>
  <c r="B33" i="55"/>
  <c r="A33" i="55"/>
  <c r="D32" i="55"/>
  <c r="C32" i="55"/>
  <c r="B32" i="55"/>
  <c r="A32" i="55"/>
  <c r="D31" i="55"/>
  <c r="C31" i="55"/>
  <c r="B31" i="55"/>
  <c r="A31" i="55"/>
  <c r="D30" i="55"/>
  <c r="C30" i="55"/>
  <c r="B30" i="55"/>
  <c r="A30" i="55"/>
  <c r="D29" i="55"/>
  <c r="C29" i="55"/>
  <c r="B29" i="55"/>
  <c r="A29" i="55"/>
  <c r="D28" i="55"/>
  <c r="C28" i="55"/>
  <c r="B28" i="55"/>
  <c r="A28" i="55"/>
  <c r="D27" i="55"/>
  <c r="C27" i="55"/>
  <c r="B27" i="55"/>
  <c r="A27" i="55"/>
  <c r="D26" i="55"/>
  <c r="C26" i="55"/>
  <c r="B26" i="55"/>
  <c r="A26" i="55"/>
  <c r="G94" i="54"/>
  <c r="F94" i="54"/>
  <c r="D94" i="54"/>
  <c r="C94" i="54"/>
  <c r="H94" i="54"/>
  <c r="I94" i="54"/>
  <c r="B94" i="54"/>
  <c r="A94" i="54"/>
  <c r="G93" i="54"/>
  <c r="F93" i="54"/>
  <c r="D93" i="54"/>
  <c r="C93" i="54"/>
  <c r="H93" i="54"/>
  <c r="I93" i="54"/>
  <c r="B93" i="54"/>
  <c r="A93" i="54"/>
  <c r="G92" i="54"/>
  <c r="F92" i="54"/>
  <c r="D92" i="54"/>
  <c r="C92" i="54"/>
  <c r="H92" i="54"/>
  <c r="I92" i="54"/>
  <c r="B92" i="54"/>
  <c r="A92" i="54"/>
  <c r="G91" i="54"/>
  <c r="F91" i="54"/>
  <c r="D91" i="54"/>
  <c r="C91" i="54"/>
  <c r="H91" i="54"/>
  <c r="I91" i="54"/>
  <c r="B91" i="54"/>
  <c r="A91" i="54"/>
  <c r="G90" i="54"/>
  <c r="F90" i="54"/>
  <c r="D90" i="54"/>
  <c r="C90" i="54"/>
  <c r="H90" i="54"/>
  <c r="I90" i="54"/>
  <c r="B90" i="54"/>
  <c r="A90" i="54"/>
  <c r="G89" i="54"/>
  <c r="F89" i="54"/>
  <c r="D89" i="54"/>
  <c r="C89" i="54"/>
  <c r="H89" i="54"/>
  <c r="I89" i="54"/>
  <c r="B89" i="54"/>
  <c r="A89" i="54"/>
  <c r="G63" i="54"/>
  <c r="D63" i="54"/>
  <c r="C63" i="54"/>
  <c r="B63" i="54"/>
  <c r="A63" i="54"/>
  <c r="G62" i="54"/>
  <c r="D62" i="54"/>
  <c r="C62" i="54"/>
  <c r="B62" i="54"/>
  <c r="A62" i="54"/>
  <c r="G61" i="54"/>
  <c r="D61" i="54"/>
  <c r="C61" i="54"/>
  <c r="B61" i="54"/>
  <c r="A61" i="54"/>
  <c r="G60" i="54"/>
  <c r="D60" i="54"/>
  <c r="C60" i="54"/>
  <c r="B60" i="54"/>
  <c r="A60" i="54"/>
  <c r="G59" i="54"/>
  <c r="D59" i="54"/>
  <c r="C59" i="54"/>
  <c r="B59" i="54"/>
  <c r="A59" i="54"/>
  <c r="G58" i="54"/>
  <c r="D58" i="54"/>
  <c r="C58" i="54"/>
  <c r="B58" i="54"/>
  <c r="A58" i="54"/>
  <c r="D32" i="54"/>
  <c r="C32" i="54"/>
  <c r="B32" i="54"/>
  <c r="A32" i="54"/>
  <c r="D31" i="54"/>
  <c r="C31" i="54"/>
  <c r="B31" i="54"/>
  <c r="A31" i="54"/>
  <c r="D30" i="54"/>
  <c r="C30" i="54"/>
  <c r="B30" i="54"/>
  <c r="A30" i="54"/>
  <c r="D29" i="54"/>
  <c r="C29" i="54"/>
  <c r="B29" i="54"/>
  <c r="A29" i="54"/>
  <c r="D28" i="54"/>
  <c r="C28" i="54"/>
  <c r="B28" i="54"/>
  <c r="A28" i="54"/>
  <c r="D27" i="54"/>
  <c r="C27" i="54"/>
  <c r="B27" i="54"/>
  <c r="A27" i="54"/>
  <c r="D26" i="54"/>
  <c r="C26" i="54"/>
  <c r="B26" i="54"/>
  <c r="A26" i="54"/>
  <c r="H67" i="56"/>
  <c r="I67" i="56"/>
  <c r="H68" i="56"/>
  <c r="I68" i="56"/>
  <c r="H60" i="56"/>
  <c r="I60" i="56"/>
  <c r="H63" i="56"/>
  <c r="I63" i="56"/>
  <c r="H64" i="56"/>
  <c r="I64" i="56"/>
  <c r="H26" i="56"/>
  <c r="I26" i="56"/>
  <c r="H27" i="56"/>
  <c r="I27" i="56"/>
  <c r="H28" i="56"/>
  <c r="I28" i="56"/>
  <c r="H29" i="56"/>
  <c r="I29" i="56"/>
  <c r="H30" i="56"/>
  <c r="I30" i="56"/>
  <c r="H31" i="56"/>
  <c r="I31" i="56"/>
  <c r="H32" i="56"/>
  <c r="I32" i="56"/>
  <c r="H33" i="56"/>
  <c r="I33" i="56"/>
  <c r="H34" i="56"/>
  <c r="I34" i="56"/>
  <c r="H68" i="55"/>
  <c r="I68" i="55"/>
  <c r="H63" i="55"/>
  <c r="I63" i="55"/>
  <c r="H64" i="55"/>
  <c r="I64" i="55"/>
  <c r="H67" i="55"/>
  <c r="I67" i="55"/>
  <c r="H61" i="55"/>
  <c r="I61" i="55"/>
  <c r="H65" i="55"/>
  <c r="I65" i="55"/>
  <c r="H62" i="55"/>
  <c r="I62" i="55"/>
  <c r="H66" i="55"/>
  <c r="I66" i="55"/>
  <c r="H26" i="55"/>
  <c r="I26" i="55"/>
  <c r="H35" i="55"/>
  <c r="I35" i="55"/>
  <c r="H27" i="55"/>
  <c r="I27" i="55"/>
  <c r="H28" i="55"/>
  <c r="I28" i="55"/>
  <c r="H29" i="55"/>
  <c r="I29" i="55"/>
  <c r="H30" i="55"/>
  <c r="I30" i="55"/>
  <c r="H31" i="55"/>
  <c r="I31" i="55"/>
  <c r="H32" i="55"/>
  <c r="I32" i="55"/>
  <c r="H33" i="55"/>
  <c r="I33" i="55"/>
  <c r="H34" i="55"/>
  <c r="I34" i="55"/>
  <c r="H62" i="54"/>
  <c r="I62" i="54"/>
  <c r="H59" i="54"/>
  <c r="I59" i="54"/>
  <c r="H61" i="54"/>
  <c r="I61" i="54"/>
  <c r="H63" i="54"/>
  <c r="I63" i="54"/>
  <c r="H60" i="54"/>
  <c r="I60" i="54"/>
  <c r="H29" i="54"/>
  <c r="I29" i="54"/>
  <c r="H30" i="54"/>
  <c r="I30" i="54"/>
  <c r="H31" i="54"/>
  <c r="I31" i="54"/>
  <c r="H32" i="54"/>
  <c r="I32" i="54"/>
  <c r="H58" i="54"/>
  <c r="I58" i="54"/>
  <c r="H26" i="54"/>
  <c r="I26" i="54"/>
  <c r="H27" i="54"/>
  <c r="I27" i="54"/>
  <c r="H28" i="54"/>
  <c r="I28" i="54"/>
  <c r="G93" i="56"/>
  <c r="F93" i="56"/>
  <c r="D93" i="56"/>
  <c r="C93" i="56"/>
  <c r="B93" i="56"/>
  <c r="A93" i="56"/>
  <c r="G92" i="56"/>
  <c r="F92" i="56"/>
  <c r="D92" i="56"/>
  <c r="C92" i="56"/>
  <c r="B92" i="56"/>
  <c r="A92" i="56"/>
  <c r="G91" i="56"/>
  <c r="F91" i="56"/>
  <c r="C91" i="56"/>
  <c r="B91" i="56"/>
  <c r="A91" i="56"/>
  <c r="G90" i="56"/>
  <c r="F90" i="56"/>
  <c r="D90" i="56"/>
  <c r="C90" i="56"/>
  <c r="B90" i="56"/>
  <c r="A90" i="56"/>
  <c r="G89" i="56"/>
  <c r="F89" i="56"/>
  <c r="D89" i="56"/>
  <c r="C89" i="56"/>
  <c r="B89" i="56"/>
  <c r="A89" i="56"/>
  <c r="G88" i="56"/>
  <c r="F88" i="56"/>
  <c r="D88" i="56"/>
  <c r="C88" i="56"/>
  <c r="B88" i="56"/>
  <c r="A88" i="56"/>
  <c r="G87" i="56"/>
  <c r="F87" i="56"/>
  <c r="C87" i="56"/>
  <c r="B87" i="56"/>
  <c r="A87" i="56"/>
  <c r="G86" i="56"/>
  <c r="F86" i="56"/>
  <c r="D86" i="56"/>
  <c r="C86" i="56"/>
  <c r="B86" i="56"/>
  <c r="A86" i="56"/>
  <c r="G85" i="56"/>
  <c r="F85" i="56"/>
  <c r="D85" i="56"/>
  <c r="C85" i="56"/>
  <c r="B85" i="56"/>
  <c r="A85" i="56"/>
  <c r="G84" i="56"/>
  <c r="F84" i="56"/>
  <c r="D84" i="56"/>
  <c r="C84" i="56"/>
  <c r="B84" i="56"/>
  <c r="A84" i="56"/>
  <c r="G83" i="56"/>
  <c r="F83" i="56"/>
  <c r="C83" i="56"/>
  <c r="B83" i="56"/>
  <c r="A83" i="56"/>
  <c r="G82" i="56"/>
  <c r="F82" i="56"/>
  <c r="D82" i="56"/>
  <c r="C82" i="56"/>
  <c r="B82" i="56"/>
  <c r="A82" i="56"/>
  <c r="G81" i="56"/>
  <c r="F81" i="56"/>
  <c r="D81" i="56"/>
  <c r="C81" i="56"/>
  <c r="B81" i="56"/>
  <c r="A81" i="56"/>
  <c r="G80" i="56"/>
  <c r="F80" i="56"/>
  <c r="D80" i="56"/>
  <c r="C80" i="56"/>
  <c r="B80" i="56"/>
  <c r="A80" i="56"/>
  <c r="G79" i="56"/>
  <c r="F79" i="56"/>
  <c r="D79" i="56"/>
  <c r="C79" i="56"/>
  <c r="B79" i="56"/>
  <c r="A79" i="56"/>
  <c r="G78" i="56"/>
  <c r="F78" i="56"/>
  <c r="D78" i="56"/>
  <c r="C78" i="56"/>
  <c r="B78" i="56"/>
  <c r="A78" i="56"/>
  <c r="G59" i="56"/>
  <c r="D59" i="56"/>
  <c r="C59" i="56"/>
  <c r="B59" i="56"/>
  <c r="A59" i="56"/>
  <c r="G58" i="56"/>
  <c r="F58" i="56"/>
  <c r="D58" i="56"/>
  <c r="C58" i="56"/>
  <c r="B58" i="56"/>
  <c r="A58" i="56"/>
  <c r="G57" i="56"/>
  <c r="D57" i="56"/>
  <c r="C57" i="56"/>
  <c r="B57" i="56"/>
  <c r="A57" i="56"/>
  <c r="G56" i="56"/>
  <c r="D56" i="56"/>
  <c r="C56" i="56"/>
  <c r="B56" i="56"/>
  <c r="A56" i="56"/>
  <c r="G55" i="56"/>
  <c r="D55" i="56"/>
  <c r="C55" i="56"/>
  <c r="B55" i="56"/>
  <c r="A55" i="56"/>
  <c r="G54" i="56"/>
  <c r="D54" i="56"/>
  <c r="C54" i="56"/>
  <c r="B54" i="56"/>
  <c r="A54" i="56"/>
  <c r="G53" i="56"/>
  <c r="D53" i="56"/>
  <c r="C53" i="56"/>
  <c r="B53" i="56"/>
  <c r="A53" i="56"/>
  <c r="G52" i="56"/>
  <c r="D52" i="56"/>
  <c r="C52" i="56"/>
  <c r="B52" i="56"/>
  <c r="A52" i="56"/>
  <c r="G51" i="56"/>
  <c r="D51" i="56"/>
  <c r="C51" i="56"/>
  <c r="B51" i="56"/>
  <c r="A51" i="56"/>
  <c r="G50" i="56"/>
  <c r="D50" i="56"/>
  <c r="C50" i="56"/>
  <c r="B50" i="56"/>
  <c r="A50" i="56"/>
  <c r="G49" i="56"/>
  <c r="D49" i="56"/>
  <c r="C49" i="56"/>
  <c r="B49" i="56"/>
  <c r="A49" i="56"/>
  <c r="G48" i="56"/>
  <c r="D48" i="56"/>
  <c r="C48" i="56"/>
  <c r="B48" i="56"/>
  <c r="A48" i="56"/>
  <c r="G47" i="56"/>
  <c r="D47" i="56"/>
  <c r="C47" i="56"/>
  <c r="B47" i="56"/>
  <c r="A47" i="56"/>
  <c r="G46" i="56"/>
  <c r="D46" i="56"/>
  <c r="C46" i="56"/>
  <c r="B46" i="56"/>
  <c r="A46" i="56"/>
  <c r="G45" i="56"/>
  <c r="D45" i="56"/>
  <c r="C45" i="56"/>
  <c r="B45" i="56"/>
  <c r="A45" i="56"/>
  <c r="G44" i="56"/>
  <c r="D44" i="56"/>
  <c r="C44" i="56"/>
  <c r="B44" i="56"/>
  <c r="A44" i="56"/>
  <c r="G43" i="56"/>
  <c r="D43" i="56"/>
  <c r="C43" i="56"/>
  <c r="B43" i="56"/>
  <c r="A43" i="56"/>
  <c r="D25" i="56"/>
  <c r="C25" i="56"/>
  <c r="B25" i="56"/>
  <c r="A25" i="56"/>
  <c r="D24" i="56"/>
  <c r="C24" i="56"/>
  <c r="B24" i="56"/>
  <c r="A24" i="56"/>
  <c r="G23" i="56"/>
  <c r="D23" i="56"/>
  <c r="C23" i="56"/>
  <c r="B23" i="56"/>
  <c r="A23" i="56"/>
  <c r="D22" i="56"/>
  <c r="C22" i="56"/>
  <c r="B22" i="56"/>
  <c r="A22" i="56"/>
  <c r="D21" i="56"/>
  <c r="C21" i="56"/>
  <c r="B21" i="56"/>
  <c r="A21" i="56"/>
  <c r="D20" i="56"/>
  <c r="C20" i="56"/>
  <c r="B20" i="56"/>
  <c r="A20" i="56"/>
  <c r="D19" i="56"/>
  <c r="C19" i="56"/>
  <c r="B19" i="56"/>
  <c r="A19" i="56"/>
  <c r="D18" i="56"/>
  <c r="C18" i="56"/>
  <c r="B18" i="56"/>
  <c r="A18" i="56"/>
  <c r="D17" i="56"/>
  <c r="C17" i="56"/>
  <c r="B17" i="56"/>
  <c r="A17" i="56"/>
  <c r="D16" i="56"/>
  <c r="C16" i="56"/>
  <c r="B16" i="56"/>
  <c r="A16" i="56"/>
  <c r="D15" i="56"/>
  <c r="C15" i="56"/>
  <c r="B15" i="56"/>
  <c r="A15" i="56"/>
  <c r="D14" i="56"/>
  <c r="C14" i="56"/>
  <c r="B14" i="56"/>
  <c r="A14" i="56"/>
  <c r="D13" i="56"/>
  <c r="C13" i="56"/>
  <c r="B13" i="56"/>
  <c r="A13" i="56"/>
  <c r="D12" i="56"/>
  <c r="C12" i="56"/>
  <c r="B12" i="56"/>
  <c r="A12" i="56"/>
  <c r="D11" i="56"/>
  <c r="C11" i="56"/>
  <c r="B11" i="56"/>
  <c r="A11" i="56"/>
  <c r="D10" i="56"/>
  <c r="C10" i="56"/>
  <c r="B10" i="56"/>
  <c r="A10" i="56"/>
  <c r="D9" i="56"/>
  <c r="C9" i="56"/>
  <c r="B9" i="56"/>
  <c r="A9" i="56"/>
  <c r="D8" i="56"/>
  <c r="C8" i="56"/>
  <c r="B8" i="56"/>
  <c r="A8" i="56"/>
  <c r="G94" i="55"/>
  <c r="F94" i="55"/>
  <c r="D94" i="55"/>
  <c r="C94" i="55"/>
  <c r="B94" i="55"/>
  <c r="A94" i="55"/>
  <c r="G93" i="55"/>
  <c r="F93" i="55"/>
  <c r="D93" i="55"/>
  <c r="C93" i="55"/>
  <c r="B93" i="55"/>
  <c r="A93" i="55"/>
  <c r="G92" i="55"/>
  <c r="F92" i="55"/>
  <c r="C92" i="55"/>
  <c r="B92" i="55"/>
  <c r="A92" i="55"/>
  <c r="G91" i="55"/>
  <c r="F91" i="55"/>
  <c r="D91" i="55"/>
  <c r="C91" i="55"/>
  <c r="B91" i="55"/>
  <c r="A91" i="55"/>
  <c r="G90" i="55"/>
  <c r="F90" i="55"/>
  <c r="D90" i="55"/>
  <c r="C90" i="55"/>
  <c r="B90" i="55"/>
  <c r="A90" i="55"/>
  <c r="G89" i="55"/>
  <c r="F89" i="55"/>
  <c r="D89" i="55"/>
  <c r="C89" i="55"/>
  <c r="B89" i="55"/>
  <c r="A89" i="55"/>
  <c r="G88" i="55"/>
  <c r="F88" i="55"/>
  <c r="D88" i="55"/>
  <c r="C88" i="55"/>
  <c r="B88" i="55"/>
  <c r="A88" i="55"/>
  <c r="G87" i="55"/>
  <c r="F87" i="55"/>
  <c r="D87" i="55"/>
  <c r="C87" i="55"/>
  <c r="B87" i="55"/>
  <c r="A87" i="55"/>
  <c r="G86" i="55"/>
  <c r="F86" i="55"/>
  <c r="D86" i="55"/>
  <c r="C86" i="55"/>
  <c r="B86" i="55"/>
  <c r="A86" i="55"/>
  <c r="G85" i="55"/>
  <c r="F85" i="55"/>
  <c r="D85" i="55"/>
  <c r="C85" i="55"/>
  <c r="B85" i="55"/>
  <c r="A85" i="55"/>
  <c r="G84" i="55"/>
  <c r="F84" i="55"/>
  <c r="E84" i="55"/>
  <c r="D84" i="55"/>
  <c r="C84" i="55"/>
  <c r="B84" i="55"/>
  <c r="A84" i="55"/>
  <c r="G83" i="55"/>
  <c r="F83" i="55"/>
  <c r="D83" i="55"/>
  <c r="C83" i="55"/>
  <c r="B83" i="55"/>
  <c r="A83" i="55"/>
  <c r="G82" i="55"/>
  <c r="F82" i="55"/>
  <c r="D82" i="55"/>
  <c r="C82" i="55"/>
  <c r="B82" i="55"/>
  <c r="A82" i="55"/>
  <c r="G81" i="55"/>
  <c r="F81" i="55"/>
  <c r="D81" i="55"/>
  <c r="C81" i="55"/>
  <c r="B81" i="55"/>
  <c r="A81" i="55"/>
  <c r="G80" i="55"/>
  <c r="F80" i="55"/>
  <c r="D80" i="55"/>
  <c r="C80" i="55"/>
  <c r="B80" i="55"/>
  <c r="A80" i="55"/>
  <c r="G79" i="55"/>
  <c r="F79" i="55"/>
  <c r="D79" i="55"/>
  <c r="C79" i="55"/>
  <c r="B79" i="55"/>
  <c r="A79" i="55"/>
  <c r="G60" i="55"/>
  <c r="D60" i="55"/>
  <c r="C60" i="55"/>
  <c r="B60" i="55"/>
  <c r="A60" i="55"/>
  <c r="G59" i="55"/>
  <c r="F59" i="55"/>
  <c r="E59" i="55"/>
  <c r="D59" i="55"/>
  <c r="C59" i="55"/>
  <c r="B59" i="55"/>
  <c r="A59" i="55"/>
  <c r="G58" i="55"/>
  <c r="D58" i="55"/>
  <c r="C58" i="55"/>
  <c r="B58" i="55"/>
  <c r="A58" i="55"/>
  <c r="G57" i="55"/>
  <c r="D57" i="55"/>
  <c r="C57" i="55"/>
  <c r="B57" i="55"/>
  <c r="A57" i="55"/>
  <c r="G56" i="55"/>
  <c r="D56" i="55"/>
  <c r="C56" i="55"/>
  <c r="B56" i="55"/>
  <c r="A56" i="55"/>
  <c r="G55" i="55"/>
  <c r="D55" i="55"/>
  <c r="C55" i="55"/>
  <c r="B55" i="55"/>
  <c r="A55" i="55"/>
  <c r="G54" i="55"/>
  <c r="D54" i="55"/>
  <c r="C54" i="55"/>
  <c r="B54" i="55"/>
  <c r="A54" i="55"/>
  <c r="G53" i="55"/>
  <c r="D53" i="55"/>
  <c r="C53" i="55"/>
  <c r="B53" i="55"/>
  <c r="A53" i="55"/>
  <c r="G52" i="55"/>
  <c r="D52" i="55"/>
  <c r="C52" i="55"/>
  <c r="B52" i="55"/>
  <c r="A52" i="55"/>
  <c r="G51" i="55"/>
  <c r="D51" i="55"/>
  <c r="C51" i="55"/>
  <c r="B51" i="55"/>
  <c r="A51" i="55"/>
  <c r="G50" i="55"/>
  <c r="D50" i="55"/>
  <c r="C50" i="55"/>
  <c r="B50" i="55"/>
  <c r="A50" i="55"/>
  <c r="G49" i="55"/>
  <c r="D49" i="55"/>
  <c r="C49" i="55"/>
  <c r="B49" i="55"/>
  <c r="A49" i="55"/>
  <c r="G48" i="55"/>
  <c r="D48" i="55"/>
  <c r="C48" i="55"/>
  <c r="B48" i="55"/>
  <c r="A48" i="55"/>
  <c r="G47" i="55"/>
  <c r="D47" i="55"/>
  <c r="C47" i="55"/>
  <c r="B47" i="55"/>
  <c r="A47" i="55"/>
  <c r="G46" i="55"/>
  <c r="D46" i="55"/>
  <c r="C46" i="55"/>
  <c r="B46" i="55"/>
  <c r="A46" i="55"/>
  <c r="G45" i="55"/>
  <c r="D45" i="55"/>
  <c r="C45" i="55"/>
  <c r="B45" i="55"/>
  <c r="A45" i="55"/>
  <c r="G44" i="55"/>
  <c r="D44" i="55"/>
  <c r="C44" i="55"/>
  <c r="B44" i="55"/>
  <c r="A44" i="55"/>
  <c r="D25" i="55"/>
  <c r="C25" i="55"/>
  <c r="B25" i="55"/>
  <c r="A25" i="55"/>
  <c r="D24" i="55"/>
  <c r="C24" i="55"/>
  <c r="B24" i="55"/>
  <c r="A24" i="55"/>
  <c r="G23" i="55"/>
  <c r="D23" i="55"/>
  <c r="C23" i="55"/>
  <c r="B23" i="55"/>
  <c r="A23" i="55"/>
  <c r="D22" i="55"/>
  <c r="C22" i="55"/>
  <c r="B22" i="55"/>
  <c r="A22" i="55"/>
  <c r="D21" i="55"/>
  <c r="C21" i="55"/>
  <c r="B21" i="55"/>
  <c r="A21" i="55"/>
  <c r="D20" i="55"/>
  <c r="C20" i="55"/>
  <c r="B20" i="55"/>
  <c r="A20" i="55"/>
  <c r="D19" i="55"/>
  <c r="C19" i="55"/>
  <c r="B19" i="55"/>
  <c r="A19" i="55"/>
  <c r="D18" i="55"/>
  <c r="C18" i="55"/>
  <c r="B18" i="55"/>
  <c r="A18" i="55"/>
  <c r="D17" i="55"/>
  <c r="C17" i="55"/>
  <c r="B17" i="55"/>
  <c r="A17" i="55"/>
  <c r="D16" i="55"/>
  <c r="C16" i="55"/>
  <c r="B16" i="55"/>
  <c r="A16" i="55"/>
  <c r="D15" i="55"/>
  <c r="C15" i="55"/>
  <c r="B15" i="55"/>
  <c r="A15" i="55"/>
  <c r="D14" i="55"/>
  <c r="C14" i="55"/>
  <c r="B14" i="55"/>
  <c r="A14" i="55"/>
  <c r="D13" i="55"/>
  <c r="C13" i="55"/>
  <c r="B13" i="55"/>
  <c r="A13" i="55"/>
  <c r="D12" i="55"/>
  <c r="C12" i="55"/>
  <c r="B12" i="55"/>
  <c r="A12" i="55"/>
  <c r="D11" i="55"/>
  <c r="C11" i="55"/>
  <c r="B11" i="55"/>
  <c r="A11" i="55"/>
  <c r="D10" i="55"/>
  <c r="C10" i="55"/>
  <c r="B10" i="55"/>
  <c r="A10" i="55"/>
  <c r="D9" i="55"/>
  <c r="C9" i="55"/>
  <c r="B9" i="55"/>
  <c r="A9" i="55"/>
  <c r="D8" i="55"/>
  <c r="C8" i="55"/>
  <c r="B8" i="55"/>
  <c r="A8" i="55"/>
  <c r="G88" i="54"/>
  <c r="F88" i="54"/>
  <c r="D88" i="54"/>
  <c r="C88" i="54"/>
  <c r="B88" i="54"/>
  <c r="A88" i="54"/>
  <c r="G87" i="54"/>
  <c r="F87" i="54"/>
  <c r="D87" i="54"/>
  <c r="C87" i="54"/>
  <c r="B87" i="54"/>
  <c r="A87" i="54"/>
  <c r="G86" i="54"/>
  <c r="F86" i="54"/>
  <c r="D86" i="54"/>
  <c r="C86" i="54"/>
  <c r="B86" i="54"/>
  <c r="A86" i="54"/>
  <c r="G85" i="54"/>
  <c r="F85" i="54"/>
  <c r="D85" i="54"/>
  <c r="C85" i="54"/>
  <c r="B85" i="54"/>
  <c r="A85" i="54"/>
  <c r="G84" i="54"/>
  <c r="F84" i="54"/>
  <c r="D84" i="54"/>
  <c r="C84" i="54"/>
  <c r="B84" i="54"/>
  <c r="A84" i="54"/>
  <c r="G83" i="54"/>
  <c r="F83" i="54"/>
  <c r="D83" i="54"/>
  <c r="C83" i="54"/>
  <c r="B83" i="54"/>
  <c r="A83" i="54"/>
  <c r="G82" i="54"/>
  <c r="F82" i="54"/>
  <c r="D82" i="54"/>
  <c r="C82" i="54"/>
  <c r="B82" i="54"/>
  <c r="A82" i="54"/>
  <c r="G81" i="54"/>
  <c r="F81" i="54"/>
  <c r="C81" i="54"/>
  <c r="B81" i="54"/>
  <c r="A81" i="54"/>
  <c r="G80" i="54"/>
  <c r="F80" i="54"/>
  <c r="D80" i="54"/>
  <c r="C80" i="54"/>
  <c r="B80" i="54"/>
  <c r="A80" i="54"/>
  <c r="G79" i="54"/>
  <c r="F79" i="54"/>
  <c r="D79" i="54"/>
  <c r="C79" i="54"/>
  <c r="B79" i="54"/>
  <c r="A79" i="54"/>
  <c r="G78" i="54"/>
  <c r="F78" i="54"/>
  <c r="D78" i="54"/>
  <c r="C78" i="54"/>
  <c r="B78" i="54"/>
  <c r="A78" i="54"/>
  <c r="G77" i="54"/>
  <c r="F77" i="54"/>
  <c r="D77" i="54"/>
  <c r="C77" i="54"/>
  <c r="B77" i="54"/>
  <c r="A77" i="54"/>
  <c r="G76" i="54"/>
  <c r="F76" i="54"/>
  <c r="D76" i="54"/>
  <c r="C76" i="54"/>
  <c r="B76" i="54"/>
  <c r="A76" i="54"/>
  <c r="G75" i="54"/>
  <c r="F75" i="54"/>
  <c r="D75" i="54"/>
  <c r="C75" i="54"/>
  <c r="B75" i="54"/>
  <c r="A75" i="54"/>
  <c r="G74" i="54"/>
  <c r="F74" i="54"/>
  <c r="D74" i="54"/>
  <c r="C74" i="54"/>
  <c r="B74" i="54"/>
  <c r="A74" i="54"/>
  <c r="G73" i="54"/>
  <c r="F73" i="54"/>
  <c r="D73" i="54"/>
  <c r="C73" i="54"/>
  <c r="B73" i="54"/>
  <c r="A73" i="54"/>
  <c r="G57" i="54"/>
  <c r="D57" i="54"/>
  <c r="C57" i="54"/>
  <c r="B57" i="54"/>
  <c r="A57" i="54"/>
  <c r="G56" i="54"/>
  <c r="D56" i="54"/>
  <c r="C56" i="54"/>
  <c r="B56" i="54"/>
  <c r="A56" i="54"/>
  <c r="G55" i="54"/>
  <c r="F55" i="54"/>
  <c r="D55" i="54"/>
  <c r="C55" i="54"/>
  <c r="B55" i="54"/>
  <c r="A55" i="54"/>
  <c r="G54" i="54"/>
  <c r="D54" i="54"/>
  <c r="C54" i="54"/>
  <c r="B54" i="54"/>
  <c r="A54" i="54"/>
  <c r="G53" i="54"/>
  <c r="D53" i="54"/>
  <c r="C53" i="54"/>
  <c r="B53" i="54"/>
  <c r="A53" i="54"/>
  <c r="G52" i="54"/>
  <c r="D52" i="54"/>
  <c r="C52" i="54"/>
  <c r="B52" i="54"/>
  <c r="A52" i="54"/>
  <c r="G51" i="54"/>
  <c r="D51" i="54"/>
  <c r="C51" i="54"/>
  <c r="B51" i="54"/>
  <c r="A51" i="54"/>
  <c r="G50" i="54"/>
  <c r="D50" i="54"/>
  <c r="C50" i="54"/>
  <c r="B50" i="54"/>
  <c r="A50" i="54"/>
  <c r="G49" i="54"/>
  <c r="D49" i="54"/>
  <c r="C49" i="54"/>
  <c r="B49" i="54"/>
  <c r="A49" i="54"/>
  <c r="G48" i="54"/>
  <c r="D48" i="54"/>
  <c r="C48" i="54"/>
  <c r="B48" i="54"/>
  <c r="A48" i="54"/>
  <c r="G47" i="54"/>
  <c r="D47" i="54"/>
  <c r="C47" i="54"/>
  <c r="B47" i="54"/>
  <c r="A47" i="54"/>
  <c r="G46" i="54"/>
  <c r="D46" i="54"/>
  <c r="C46" i="54"/>
  <c r="B46" i="54"/>
  <c r="A46" i="54"/>
  <c r="G45" i="54"/>
  <c r="D45" i="54"/>
  <c r="C45" i="54"/>
  <c r="B45" i="54"/>
  <c r="A45" i="54"/>
  <c r="G44" i="54"/>
  <c r="D44" i="54"/>
  <c r="C44" i="54"/>
  <c r="B44" i="54"/>
  <c r="A44" i="54"/>
  <c r="G43" i="54"/>
  <c r="D43" i="54"/>
  <c r="C43" i="54"/>
  <c r="B43" i="54"/>
  <c r="A43" i="54"/>
  <c r="G42" i="54"/>
  <c r="D42" i="54"/>
  <c r="C42" i="54"/>
  <c r="B42" i="54"/>
  <c r="A42" i="54"/>
  <c r="G41" i="54"/>
  <c r="D41" i="54"/>
  <c r="C41" i="54"/>
  <c r="B41" i="54"/>
  <c r="A41" i="54"/>
  <c r="D25" i="54"/>
  <c r="C25" i="54"/>
  <c r="B25" i="54"/>
  <c r="A25" i="54"/>
  <c r="D24" i="54"/>
  <c r="C24" i="54"/>
  <c r="B24" i="54"/>
  <c r="A24" i="54"/>
  <c r="D23" i="54"/>
  <c r="C23" i="54"/>
  <c r="B23" i="54"/>
  <c r="A23" i="54"/>
  <c r="G22" i="54"/>
  <c r="D22" i="54"/>
  <c r="C22" i="54"/>
  <c r="B22" i="54"/>
  <c r="A22" i="54"/>
  <c r="D21" i="54"/>
  <c r="C21" i="54"/>
  <c r="B21" i="54"/>
  <c r="A21" i="54"/>
  <c r="D20" i="54"/>
  <c r="C20" i="54"/>
  <c r="B20" i="54"/>
  <c r="A20" i="54"/>
  <c r="D19" i="54"/>
  <c r="C19" i="54"/>
  <c r="B19" i="54"/>
  <c r="A19" i="54"/>
  <c r="D18" i="54"/>
  <c r="C18" i="54"/>
  <c r="B18" i="54"/>
  <c r="A18" i="54"/>
  <c r="D17" i="54"/>
  <c r="C17" i="54"/>
  <c r="B17" i="54"/>
  <c r="A17" i="54"/>
  <c r="D16" i="54"/>
  <c r="C16" i="54"/>
  <c r="B16" i="54"/>
  <c r="A16" i="54"/>
  <c r="D15" i="54"/>
  <c r="C15" i="54"/>
  <c r="B15" i="54"/>
  <c r="A15" i="54"/>
  <c r="D14" i="54"/>
  <c r="C14" i="54"/>
  <c r="B14" i="54"/>
  <c r="A14" i="54"/>
  <c r="D13" i="54"/>
  <c r="C13" i="54"/>
  <c r="B13" i="54"/>
  <c r="A13" i="54"/>
  <c r="D12" i="54"/>
  <c r="C12" i="54"/>
  <c r="B12" i="54"/>
  <c r="A12" i="54"/>
  <c r="D11" i="54"/>
  <c r="C11" i="54"/>
  <c r="B11" i="54"/>
  <c r="A11" i="54"/>
  <c r="D10" i="54"/>
  <c r="C10" i="54"/>
  <c r="B10" i="54"/>
  <c r="A10" i="54"/>
  <c r="D9" i="54"/>
  <c r="C9" i="54"/>
  <c r="B9" i="54"/>
  <c r="A9" i="54"/>
  <c r="D8" i="54"/>
  <c r="C8" i="54"/>
  <c r="B8" i="54"/>
  <c r="A8" i="54"/>
  <c r="H46" i="56"/>
  <c r="I46" i="56"/>
  <c r="H50" i="56"/>
  <c r="I50" i="56"/>
  <c r="H54" i="56"/>
  <c r="I54" i="56"/>
  <c r="H8" i="56"/>
  <c r="I8" i="56"/>
  <c r="H11" i="56"/>
  <c r="I11" i="56"/>
  <c r="H14" i="56"/>
  <c r="I14" i="56"/>
  <c r="H18" i="56"/>
  <c r="I18" i="56"/>
  <c r="H22" i="56"/>
  <c r="I22" i="56"/>
  <c r="H84" i="56"/>
  <c r="I84" i="56"/>
  <c r="H9" i="56"/>
  <c r="I9" i="56"/>
  <c r="H13" i="56"/>
  <c r="I13" i="56"/>
  <c r="H16" i="56"/>
  <c r="I16" i="56"/>
  <c r="H19" i="56"/>
  <c r="I19" i="56"/>
  <c r="H21" i="56"/>
  <c r="I21" i="56"/>
  <c r="H59" i="56"/>
  <c r="I59" i="56"/>
  <c r="H80" i="56"/>
  <c r="I80" i="56"/>
  <c r="H10" i="56"/>
  <c r="I10" i="56"/>
  <c r="H12" i="56"/>
  <c r="I12" i="56"/>
  <c r="H15" i="56"/>
  <c r="I15" i="56"/>
  <c r="H17" i="56"/>
  <c r="I17" i="56"/>
  <c r="H20" i="56"/>
  <c r="I20" i="56"/>
  <c r="H43" i="56"/>
  <c r="I43" i="56"/>
  <c r="H47" i="56"/>
  <c r="I47" i="56"/>
  <c r="H51" i="56"/>
  <c r="I51" i="56"/>
  <c r="H55" i="56"/>
  <c r="I55" i="56"/>
  <c r="H92" i="56"/>
  <c r="I92" i="56"/>
  <c r="H23" i="56"/>
  <c r="I23" i="56"/>
  <c r="H24" i="56"/>
  <c r="I24" i="56"/>
  <c r="H45" i="56"/>
  <c r="I45" i="56"/>
  <c r="H81" i="56"/>
  <c r="I81" i="56"/>
  <c r="H83" i="56"/>
  <c r="I83" i="56"/>
  <c r="H85" i="56"/>
  <c r="I85" i="56"/>
  <c r="H86" i="56"/>
  <c r="I86" i="56"/>
  <c r="H87" i="56"/>
  <c r="I87" i="56"/>
  <c r="H48" i="56"/>
  <c r="I48" i="56"/>
  <c r="H56" i="56"/>
  <c r="I56" i="56"/>
  <c r="H78" i="56"/>
  <c r="I78" i="56"/>
  <c r="H82" i="56"/>
  <c r="I82" i="56"/>
  <c r="H25" i="56"/>
  <c r="I25" i="56"/>
  <c r="H53" i="56"/>
  <c r="I53" i="56"/>
  <c r="H25" i="55"/>
  <c r="I25" i="55"/>
  <c r="H8" i="55"/>
  <c r="I8" i="55"/>
  <c r="H17" i="55"/>
  <c r="I17" i="55"/>
  <c r="H45" i="55"/>
  <c r="I45" i="55"/>
  <c r="H49" i="55"/>
  <c r="I49" i="55"/>
  <c r="H53" i="55"/>
  <c r="I53" i="55"/>
  <c r="H9" i="55"/>
  <c r="I9" i="55"/>
  <c r="H10" i="55"/>
  <c r="I10" i="55"/>
  <c r="H11" i="55"/>
  <c r="I11" i="55"/>
  <c r="H12" i="55"/>
  <c r="I12" i="55"/>
  <c r="H13" i="55"/>
  <c r="I13" i="55"/>
  <c r="H14" i="55"/>
  <c r="I14" i="55"/>
  <c r="H15" i="55"/>
  <c r="I15" i="55"/>
  <c r="H16" i="55"/>
  <c r="I16" i="55"/>
  <c r="H57" i="55"/>
  <c r="I57" i="55"/>
  <c r="H84" i="55"/>
  <c r="I84" i="55"/>
  <c r="H86" i="55"/>
  <c r="I86" i="55"/>
  <c r="H18" i="55"/>
  <c r="I18" i="55"/>
  <c r="H19" i="55"/>
  <c r="I19" i="55"/>
  <c r="H20" i="55"/>
  <c r="I20" i="55"/>
  <c r="H21" i="55"/>
  <c r="I21" i="55"/>
  <c r="H22" i="55"/>
  <c r="I22" i="55"/>
  <c r="H46" i="55"/>
  <c r="I46" i="55"/>
  <c r="H58" i="55"/>
  <c r="I58" i="55"/>
  <c r="H88" i="55"/>
  <c r="I88" i="55"/>
  <c r="H89" i="55"/>
  <c r="I89" i="55"/>
  <c r="H92" i="55"/>
  <c r="I92" i="55"/>
  <c r="H24" i="55"/>
  <c r="I24" i="55"/>
  <c r="H94" i="55"/>
  <c r="I94" i="55"/>
  <c r="H23" i="55"/>
  <c r="I23" i="55"/>
  <c r="H47" i="55"/>
  <c r="I47" i="55"/>
  <c r="H48" i="55"/>
  <c r="I48" i="55"/>
  <c r="H50" i="55"/>
  <c r="I50" i="55"/>
  <c r="H54" i="55"/>
  <c r="I54" i="55"/>
  <c r="H55" i="55"/>
  <c r="I55" i="55"/>
  <c r="H56" i="55"/>
  <c r="I56" i="55"/>
  <c r="H59" i="55"/>
  <c r="I59" i="55"/>
  <c r="H60" i="55"/>
  <c r="I60" i="55"/>
  <c r="H80" i="55"/>
  <c r="I80" i="55"/>
  <c r="H82" i="55"/>
  <c r="I82" i="55"/>
  <c r="H85" i="55"/>
  <c r="I85" i="55"/>
  <c r="H90" i="55"/>
  <c r="I90" i="55"/>
  <c r="H93" i="55"/>
  <c r="I93" i="55"/>
  <c r="H83" i="54"/>
  <c r="I83" i="54"/>
  <c r="H87" i="54"/>
  <c r="I87" i="54"/>
  <c r="H46" i="54"/>
  <c r="I46" i="54"/>
  <c r="H50" i="54"/>
  <c r="I50" i="54"/>
  <c r="H54" i="54"/>
  <c r="I54" i="54"/>
  <c r="H57" i="54"/>
  <c r="I57" i="54"/>
  <c r="H25" i="54"/>
  <c r="I25" i="54"/>
  <c r="H56" i="54"/>
  <c r="I56" i="54"/>
  <c r="H8" i="54"/>
  <c r="I8" i="54"/>
  <c r="H9" i="54"/>
  <c r="I9" i="54"/>
  <c r="H10" i="54"/>
  <c r="I10" i="54"/>
  <c r="H11" i="54"/>
  <c r="I11" i="54"/>
  <c r="H12" i="54"/>
  <c r="I12" i="54"/>
  <c r="H13" i="54"/>
  <c r="I13" i="54"/>
  <c r="H14" i="54"/>
  <c r="I14" i="54"/>
  <c r="H15" i="54"/>
  <c r="I15" i="54"/>
  <c r="H16" i="54"/>
  <c r="I16" i="54"/>
  <c r="H17" i="54"/>
  <c r="I17" i="54"/>
  <c r="H18" i="54"/>
  <c r="I18" i="54"/>
  <c r="H19" i="54"/>
  <c r="I19" i="54"/>
  <c r="H20" i="54"/>
  <c r="I20" i="54"/>
  <c r="H21" i="54"/>
  <c r="I21" i="54"/>
  <c r="H43" i="54"/>
  <c r="I43" i="54"/>
  <c r="H22" i="54"/>
  <c r="I22" i="54"/>
  <c r="H88" i="54"/>
  <c r="I88" i="54"/>
  <c r="H51" i="54"/>
  <c r="I51" i="54"/>
  <c r="H44" i="54"/>
  <c r="I44" i="54"/>
  <c r="H47" i="54"/>
  <c r="I47" i="54"/>
  <c r="H78" i="54"/>
  <c r="I78" i="54"/>
  <c r="H41" i="54"/>
  <c r="I41" i="54"/>
  <c r="H42" i="54"/>
  <c r="I42" i="54"/>
  <c r="H45" i="54"/>
  <c r="I45" i="54"/>
  <c r="H48" i="54"/>
  <c r="I48" i="54"/>
  <c r="H49" i="54"/>
  <c r="I49" i="54"/>
  <c r="H52" i="54"/>
  <c r="I52" i="54"/>
  <c r="H53" i="54"/>
  <c r="I53" i="54"/>
  <c r="H74" i="54"/>
  <c r="I74" i="54"/>
  <c r="H76" i="54"/>
  <c r="I76" i="54"/>
  <c r="H79" i="54"/>
  <c r="I79" i="54"/>
  <c r="H81" i="54"/>
  <c r="I81" i="54"/>
  <c r="H82" i="54"/>
  <c r="I82" i="54"/>
  <c r="H84" i="54"/>
  <c r="I84" i="54"/>
  <c r="H85" i="54"/>
  <c r="I85" i="54"/>
  <c r="H86" i="54"/>
  <c r="I86" i="54"/>
  <c r="H89" i="56"/>
  <c r="I89" i="56"/>
  <c r="H91" i="56"/>
  <c r="I91" i="56"/>
  <c r="H23" i="54"/>
  <c r="I23" i="54"/>
  <c r="H55" i="54"/>
  <c r="I55" i="54"/>
  <c r="H51" i="55"/>
  <c r="I51" i="55"/>
  <c r="H49" i="56"/>
  <c r="I49" i="56"/>
  <c r="H57" i="56"/>
  <c r="I57" i="56"/>
  <c r="H93" i="56"/>
  <c r="I93" i="56"/>
  <c r="H24" i="54"/>
  <c r="I24" i="54"/>
  <c r="H73" i="54"/>
  <c r="I73" i="54"/>
  <c r="H75" i="54"/>
  <c r="I75" i="54"/>
  <c r="H77" i="54"/>
  <c r="I77" i="54"/>
  <c r="H80" i="54"/>
  <c r="I80" i="54"/>
  <c r="H44" i="55"/>
  <c r="I44" i="55"/>
  <c r="H52" i="55"/>
  <c r="I52" i="55"/>
  <c r="H79" i="55"/>
  <c r="I79" i="55"/>
  <c r="H81" i="55"/>
  <c r="I81" i="55"/>
  <c r="H83" i="55"/>
  <c r="I83" i="55"/>
  <c r="H87" i="55"/>
  <c r="I87" i="55"/>
  <c r="H91" i="55"/>
  <c r="I91" i="55"/>
  <c r="H44" i="56"/>
  <c r="I44" i="56"/>
  <c r="H52" i="56"/>
  <c r="I52" i="56"/>
  <c r="H58" i="56"/>
  <c r="I58" i="56"/>
  <c r="H79" i="56"/>
  <c r="I79" i="56"/>
  <c r="H88" i="56"/>
  <c r="I88" i="56"/>
  <c r="H90" i="56"/>
  <c r="I90" i="56"/>
  <c r="E78" i="50"/>
  <c r="D78" i="50"/>
  <c r="D52" i="50"/>
  <c r="D24" i="50"/>
  <c r="D54" i="50"/>
  <c r="D53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F52" i="50"/>
  <c r="C27" i="50"/>
  <c r="D26" i="50"/>
  <c r="D27" i="50"/>
  <c r="D25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G24" i="50"/>
  <c r="E79" i="49"/>
  <c r="D79" i="49"/>
  <c r="D75" i="49"/>
  <c r="F75" i="49"/>
  <c r="G75" i="49"/>
  <c r="D55" i="49"/>
  <c r="G55" i="49"/>
  <c r="G54" i="49"/>
  <c r="D54" i="49"/>
  <c r="D38" i="49"/>
  <c r="G38" i="49"/>
  <c r="D39" i="49"/>
  <c r="G39" i="49"/>
  <c r="D40" i="49"/>
  <c r="G40" i="49"/>
  <c r="D41" i="49"/>
  <c r="G41" i="49"/>
  <c r="D42" i="49"/>
  <c r="G42" i="49"/>
  <c r="D43" i="49"/>
  <c r="G43" i="49"/>
  <c r="D44" i="49"/>
  <c r="G44" i="49"/>
  <c r="D45" i="49"/>
  <c r="G45" i="49"/>
  <c r="D46" i="49"/>
  <c r="G46" i="49"/>
  <c r="D47" i="49"/>
  <c r="G47" i="49"/>
  <c r="D48" i="49"/>
  <c r="G48" i="49"/>
  <c r="D49" i="49"/>
  <c r="G49" i="49"/>
  <c r="D50" i="49"/>
  <c r="G50" i="49"/>
  <c r="D51" i="49"/>
  <c r="G51" i="49"/>
  <c r="D52" i="49"/>
  <c r="G52" i="49"/>
  <c r="G53" i="49"/>
  <c r="F53" i="49"/>
  <c r="E53" i="49"/>
  <c r="D53" i="49"/>
  <c r="B27" i="49"/>
  <c r="C27" i="49"/>
  <c r="B28" i="49"/>
  <c r="C28" i="49"/>
  <c r="D26" i="49"/>
  <c r="D27" i="49"/>
  <c r="H27" i="49"/>
  <c r="I27" i="49"/>
  <c r="D28" i="49"/>
  <c r="D25" i="49"/>
  <c r="D9" i="49"/>
  <c r="D10" i="49"/>
  <c r="D11" i="49"/>
  <c r="D12" i="49"/>
  <c r="D13" i="49"/>
  <c r="D14" i="49"/>
  <c r="D15" i="49"/>
  <c r="D16" i="49"/>
  <c r="D17" i="49"/>
  <c r="D18" i="49"/>
  <c r="D19" i="49"/>
  <c r="D20" i="49"/>
  <c r="D21" i="49"/>
  <c r="D22" i="49"/>
  <c r="D23" i="49"/>
  <c r="G24" i="49"/>
  <c r="D24" i="49"/>
  <c r="C14" i="49"/>
  <c r="C84" i="48"/>
  <c r="D84" i="48"/>
  <c r="F84" i="48"/>
  <c r="G84" i="48"/>
  <c r="G72" i="48"/>
  <c r="F72" i="48"/>
  <c r="E72" i="48"/>
  <c r="D72" i="48"/>
  <c r="C56" i="48"/>
  <c r="D55" i="48"/>
  <c r="G55" i="48"/>
  <c r="D56" i="48"/>
  <c r="G56" i="48"/>
  <c r="G54" i="48"/>
  <c r="D54" i="48"/>
  <c r="D52" i="48"/>
  <c r="G52" i="48"/>
  <c r="D38" i="48"/>
  <c r="G38" i="48"/>
  <c r="D39" i="48"/>
  <c r="G39" i="48"/>
  <c r="D40" i="48"/>
  <c r="G40" i="48"/>
  <c r="D41" i="48"/>
  <c r="G41" i="48"/>
  <c r="D42" i="48"/>
  <c r="G42" i="48"/>
  <c r="D43" i="48"/>
  <c r="G43" i="48"/>
  <c r="D44" i="48"/>
  <c r="G44" i="48"/>
  <c r="D45" i="48"/>
  <c r="G45" i="48"/>
  <c r="D46" i="48"/>
  <c r="G46" i="48"/>
  <c r="D47" i="48"/>
  <c r="G47" i="48"/>
  <c r="D48" i="48"/>
  <c r="G48" i="48"/>
  <c r="D49" i="48"/>
  <c r="G49" i="48"/>
  <c r="D50" i="48"/>
  <c r="G50" i="48"/>
  <c r="D51" i="48"/>
  <c r="G51" i="48"/>
  <c r="G53" i="48"/>
  <c r="F53" i="48"/>
  <c r="D53" i="48"/>
  <c r="C27" i="48"/>
  <c r="H27" i="48"/>
  <c r="I27" i="48"/>
  <c r="C28" i="48"/>
  <c r="D26" i="48"/>
  <c r="D27" i="48"/>
  <c r="D28" i="48"/>
  <c r="D25" i="48"/>
  <c r="D23" i="48"/>
  <c r="D9" i="48"/>
  <c r="D10" i="48"/>
  <c r="D11" i="48"/>
  <c r="D12" i="48"/>
  <c r="D13" i="48"/>
  <c r="D14" i="48"/>
  <c r="D15" i="48"/>
  <c r="D16" i="48"/>
  <c r="D17" i="48"/>
  <c r="D18" i="48"/>
  <c r="D19" i="48"/>
  <c r="D20" i="48"/>
  <c r="D21" i="48"/>
  <c r="D22" i="48"/>
  <c r="G24" i="48"/>
  <c r="D24" i="48"/>
  <c r="C24" i="48"/>
  <c r="H28" i="49"/>
  <c r="I28" i="49"/>
  <c r="H28" i="48"/>
  <c r="I28" i="48"/>
  <c r="H56" i="48"/>
  <c r="I56" i="48"/>
  <c r="H84" i="48"/>
  <c r="I84" i="48"/>
  <c r="B27" i="50"/>
  <c r="A27" i="50"/>
  <c r="A27" i="49"/>
  <c r="A28" i="49"/>
  <c r="B84" i="48"/>
  <c r="A84" i="48"/>
  <c r="A56" i="48"/>
  <c r="B56" i="48"/>
  <c r="A27" i="48"/>
  <c r="B27" i="48"/>
  <c r="A28" i="48"/>
  <c r="B28" i="48"/>
  <c r="G83" i="48"/>
  <c r="F83" i="48"/>
  <c r="D83" i="48"/>
  <c r="C83" i="48"/>
  <c r="B83" i="48"/>
  <c r="A83" i="48"/>
  <c r="G82" i="48"/>
  <c r="F82" i="48"/>
  <c r="D82" i="48"/>
  <c r="C82" i="48"/>
  <c r="B82" i="48"/>
  <c r="A82" i="48"/>
  <c r="G81" i="48"/>
  <c r="F81" i="48"/>
  <c r="D81" i="48"/>
  <c r="C81" i="48"/>
  <c r="B81" i="48"/>
  <c r="A81" i="48"/>
  <c r="G80" i="48"/>
  <c r="F80" i="48"/>
  <c r="D80" i="48"/>
  <c r="C80" i="48"/>
  <c r="B80" i="48"/>
  <c r="A80" i="48"/>
  <c r="G79" i="48"/>
  <c r="F79" i="48"/>
  <c r="D79" i="48"/>
  <c r="C79" i="48"/>
  <c r="B79" i="48"/>
  <c r="A79" i="48"/>
  <c r="G78" i="48"/>
  <c r="F78" i="48"/>
  <c r="D78" i="48"/>
  <c r="C78" i="48"/>
  <c r="B78" i="48"/>
  <c r="A78" i="48"/>
  <c r="G77" i="48"/>
  <c r="F77" i="48"/>
  <c r="D77" i="48"/>
  <c r="C77" i="48"/>
  <c r="B77" i="48"/>
  <c r="A77" i="48"/>
  <c r="G76" i="48"/>
  <c r="F76" i="48"/>
  <c r="E76" i="48"/>
  <c r="D76" i="48"/>
  <c r="C76" i="48"/>
  <c r="B76" i="48"/>
  <c r="A76" i="48"/>
  <c r="G75" i="48"/>
  <c r="F75" i="48"/>
  <c r="D75" i="48"/>
  <c r="C75" i="48"/>
  <c r="B75" i="48"/>
  <c r="A75" i="48"/>
  <c r="G74" i="48"/>
  <c r="F74" i="48"/>
  <c r="D74" i="48"/>
  <c r="C74" i="48"/>
  <c r="B74" i="48"/>
  <c r="A74" i="48"/>
  <c r="G73" i="48"/>
  <c r="F73" i="48"/>
  <c r="D73" i="48"/>
  <c r="C73" i="48"/>
  <c r="B73" i="48"/>
  <c r="A73" i="48"/>
  <c r="C72" i="48"/>
  <c r="H72" i="48"/>
  <c r="I72" i="48"/>
  <c r="B72" i="48"/>
  <c r="A72" i="48"/>
  <c r="G71" i="48"/>
  <c r="F71" i="48"/>
  <c r="D71" i="48"/>
  <c r="C71" i="48"/>
  <c r="B71" i="48"/>
  <c r="A71" i="48"/>
  <c r="G70" i="48"/>
  <c r="F70" i="48"/>
  <c r="D70" i="48"/>
  <c r="C70" i="48"/>
  <c r="B70" i="48"/>
  <c r="A70" i="48"/>
  <c r="G69" i="48"/>
  <c r="F69" i="48"/>
  <c r="D69" i="48"/>
  <c r="C69" i="48"/>
  <c r="B69" i="48"/>
  <c r="A69" i="48"/>
  <c r="G68" i="48"/>
  <c r="F68" i="48"/>
  <c r="D68" i="48"/>
  <c r="C68" i="48"/>
  <c r="B68" i="48"/>
  <c r="A68" i="48"/>
  <c r="G67" i="48"/>
  <c r="F67" i="48"/>
  <c r="D67" i="48"/>
  <c r="C67" i="48"/>
  <c r="B67" i="48"/>
  <c r="A67" i="48"/>
  <c r="G66" i="48"/>
  <c r="F66" i="48"/>
  <c r="D66" i="48"/>
  <c r="C66" i="48"/>
  <c r="B66" i="48"/>
  <c r="A66" i="48"/>
  <c r="C55" i="48"/>
  <c r="B55" i="48"/>
  <c r="A55" i="48"/>
  <c r="C54" i="48"/>
  <c r="H54" i="48"/>
  <c r="I54" i="48"/>
  <c r="B54" i="48"/>
  <c r="A54" i="48"/>
  <c r="C53" i="48"/>
  <c r="H53" i="48"/>
  <c r="I53" i="48"/>
  <c r="B53" i="48"/>
  <c r="A53" i="48"/>
  <c r="C52" i="48"/>
  <c r="H52" i="48"/>
  <c r="I52" i="48"/>
  <c r="B52" i="48"/>
  <c r="A52" i="48"/>
  <c r="C51" i="48"/>
  <c r="H51" i="48"/>
  <c r="I51" i="48"/>
  <c r="B51" i="48"/>
  <c r="A51" i="48"/>
  <c r="C50" i="48"/>
  <c r="H50" i="48"/>
  <c r="I50" i="48"/>
  <c r="B50" i="48"/>
  <c r="A50" i="48"/>
  <c r="C49" i="48"/>
  <c r="B49" i="48"/>
  <c r="A49" i="48"/>
  <c r="C48" i="48"/>
  <c r="H48" i="48"/>
  <c r="I48" i="48"/>
  <c r="B48" i="48"/>
  <c r="A48" i="48"/>
  <c r="C47" i="48"/>
  <c r="B47" i="48"/>
  <c r="A47" i="48"/>
  <c r="C46" i="48"/>
  <c r="B46" i="48"/>
  <c r="A46" i="48"/>
  <c r="C45" i="48"/>
  <c r="H45" i="48"/>
  <c r="I45" i="48"/>
  <c r="B45" i="48"/>
  <c r="A45" i="48"/>
  <c r="C44" i="48"/>
  <c r="H44" i="48"/>
  <c r="I44" i="48"/>
  <c r="B44" i="48"/>
  <c r="A44" i="48"/>
  <c r="C43" i="48"/>
  <c r="B43" i="48"/>
  <c r="A43" i="48"/>
  <c r="C42" i="48"/>
  <c r="B42" i="48"/>
  <c r="A42" i="48"/>
  <c r="C41" i="48"/>
  <c r="B41" i="48"/>
  <c r="A41" i="48"/>
  <c r="C40" i="48"/>
  <c r="H40" i="48"/>
  <c r="I40" i="48"/>
  <c r="B40" i="48"/>
  <c r="A40" i="48"/>
  <c r="C39" i="48"/>
  <c r="B39" i="48"/>
  <c r="A39" i="48"/>
  <c r="C38" i="48"/>
  <c r="B38" i="48"/>
  <c r="A38" i="48"/>
  <c r="G37" i="48"/>
  <c r="D37" i="48"/>
  <c r="C37" i="48"/>
  <c r="B37" i="48"/>
  <c r="A37" i="48"/>
  <c r="C26" i="48"/>
  <c r="H26" i="48"/>
  <c r="I26" i="48"/>
  <c r="B26" i="48"/>
  <c r="A26" i="48"/>
  <c r="C25" i="48"/>
  <c r="H25" i="48"/>
  <c r="I25" i="48"/>
  <c r="B25" i="48"/>
  <c r="A25" i="48"/>
  <c r="B24" i="48"/>
  <c r="A24" i="48"/>
  <c r="C23" i="48"/>
  <c r="H23" i="48"/>
  <c r="I23" i="48"/>
  <c r="B23" i="48"/>
  <c r="A23" i="48"/>
  <c r="C22" i="48"/>
  <c r="H22" i="48"/>
  <c r="I22" i="48"/>
  <c r="B22" i="48"/>
  <c r="A22" i="48"/>
  <c r="C21" i="48"/>
  <c r="H21" i="48"/>
  <c r="I21" i="48"/>
  <c r="B21" i="48"/>
  <c r="A21" i="48"/>
  <c r="C20" i="48"/>
  <c r="H20" i="48"/>
  <c r="B20" i="48"/>
  <c r="A20" i="48"/>
  <c r="C19" i="48"/>
  <c r="H19" i="48"/>
  <c r="I19" i="48"/>
  <c r="B19" i="48"/>
  <c r="A19" i="48"/>
  <c r="C18" i="48"/>
  <c r="H18" i="48"/>
  <c r="I18" i="48"/>
  <c r="B18" i="48"/>
  <c r="A18" i="48"/>
  <c r="C17" i="48"/>
  <c r="H17" i="48"/>
  <c r="I17" i="48"/>
  <c r="B17" i="48"/>
  <c r="A17" i="48"/>
  <c r="C16" i="48"/>
  <c r="H16" i="48"/>
  <c r="I16" i="48"/>
  <c r="B16" i="48"/>
  <c r="A16" i="48"/>
  <c r="C15" i="48"/>
  <c r="H15" i="48"/>
  <c r="I15" i="48"/>
  <c r="B15" i="48"/>
  <c r="A15" i="48"/>
  <c r="C14" i="48"/>
  <c r="H14" i="48"/>
  <c r="B14" i="48"/>
  <c r="A14" i="48"/>
  <c r="C13" i="48"/>
  <c r="H13" i="48"/>
  <c r="I13" i="48"/>
  <c r="B13" i="48"/>
  <c r="A13" i="48"/>
  <c r="C12" i="48"/>
  <c r="H12" i="48"/>
  <c r="B12" i="48"/>
  <c r="A12" i="48"/>
  <c r="C11" i="48"/>
  <c r="H11" i="48"/>
  <c r="I11" i="48"/>
  <c r="B11" i="48"/>
  <c r="A11" i="48"/>
  <c r="C10" i="48"/>
  <c r="H10" i="48"/>
  <c r="B10" i="48"/>
  <c r="A10" i="48"/>
  <c r="C9" i="48"/>
  <c r="H9" i="48"/>
  <c r="B9" i="48"/>
  <c r="A9" i="48"/>
  <c r="D8" i="48"/>
  <c r="C8" i="48"/>
  <c r="B8" i="48"/>
  <c r="A8" i="48"/>
  <c r="G82" i="49"/>
  <c r="F82" i="49"/>
  <c r="D82" i="49"/>
  <c r="C82" i="49"/>
  <c r="B82" i="49"/>
  <c r="A82" i="49"/>
  <c r="G81" i="49"/>
  <c r="F81" i="49"/>
  <c r="D81" i="49"/>
  <c r="C81" i="49"/>
  <c r="B81" i="49"/>
  <c r="A81" i="49"/>
  <c r="G80" i="49"/>
  <c r="F80" i="49"/>
  <c r="D80" i="49"/>
  <c r="C80" i="49"/>
  <c r="B80" i="49"/>
  <c r="A80" i="49"/>
  <c r="G79" i="49"/>
  <c r="F79" i="49"/>
  <c r="H79" i="49"/>
  <c r="I79" i="49"/>
  <c r="C79" i="49"/>
  <c r="B79" i="49"/>
  <c r="A79" i="49"/>
  <c r="G78" i="49"/>
  <c r="F78" i="49"/>
  <c r="D78" i="49"/>
  <c r="C78" i="49"/>
  <c r="B78" i="49"/>
  <c r="A78" i="49"/>
  <c r="G77" i="49"/>
  <c r="F77" i="49"/>
  <c r="D77" i="49"/>
  <c r="C77" i="49"/>
  <c r="B77" i="49"/>
  <c r="A77" i="49"/>
  <c r="G76" i="49"/>
  <c r="F76" i="49"/>
  <c r="D76" i="49"/>
  <c r="C76" i="49"/>
  <c r="H76" i="49"/>
  <c r="I76" i="49"/>
  <c r="B76" i="49"/>
  <c r="A76" i="49"/>
  <c r="C75" i="49"/>
  <c r="B75" i="49"/>
  <c r="A75" i="49"/>
  <c r="G74" i="49"/>
  <c r="F74" i="49"/>
  <c r="D74" i="49"/>
  <c r="C74" i="49"/>
  <c r="B74" i="49"/>
  <c r="A74" i="49"/>
  <c r="G73" i="49"/>
  <c r="F73" i="49"/>
  <c r="D73" i="49"/>
  <c r="C73" i="49"/>
  <c r="B73" i="49"/>
  <c r="A73" i="49"/>
  <c r="G72" i="49"/>
  <c r="F72" i="49"/>
  <c r="D72" i="49"/>
  <c r="C72" i="49"/>
  <c r="B72" i="49"/>
  <c r="A72" i="49"/>
  <c r="G71" i="49"/>
  <c r="F71" i="49"/>
  <c r="E71" i="49"/>
  <c r="D71" i="49"/>
  <c r="C71" i="49"/>
  <c r="B71" i="49"/>
  <c r="A71" i="49"/>
  <c r="G70" i="49"/>
  <c r="F70" i="49"/>
  <c r="D70" i="49"/>
  <c r="C70" i="49"/>
  <c r="B70" i="49"/>
  <c r="A70" i="49"/>
  <c r="G69" i="49"/>
  <c r="F69" i="49"/>
  <c r="D69" i="49"/>
  <c r="C69" i="49"/>
  <c r="B69" i="49"/>
  <c r="A69" i="49"/>
  <c r="G68" i="49"/>
  <c r="F68" i="49"/>
  <c r="D68" i="49"/>
  <c r="C68" i="49"/>
  <c r="B68" i="49"/>
  <c r="A68" i="49"/>
  <c r="G67" i="49"/>
  <c r="F67" i="49"/>
  <c r="D67" i="49"/>
  <c r="C67" i="49"/>
  <c r="H67" i="49"/>
  <c r="I67" i="49"/>
  <c r="B67" i="49"/>
  <c r="A67" i="49"/>
  <c r="G66" i="49"/>
  <c r="F66" i="49"/>
  <c r="D66" i="49"/>
  <c r="C66" i="49"/>
  <c r="B66" i="49"/>
  <c r="A66" i="49"/>
  <c r="G65" i="49"/>
  <c r="F65" i="49"/>
  <c r="D65" i="49"/>
  <c r="C65" i="49"/>
  <c r="B65" i="49"/>
  <c r="A65" i="49"/>
  <c r="C55" i="49"/>
  <c r="H55" i="49"/>
  <c r="I55" i="49"/>
  <c r="B55" i="49"/>
  <c r="A55" i="49"/>
  <c r="C54" i="49"/>
  <c r="H54" i="49"/>
  <c r="I54" i="49"/>
  <c r="B54" i="49"/>
  <c r="A54" i="49"/>
  <c r="C53" i="49"/>
  <c r="B53" i="49"/>
  <c r="A53" i="49"/>
  <c r="C52" i="49"/>
  <c r="H52" i="49"/>
  <c r="I52" i="49"/>
  <c r="B52" i="49"/>
  <c r="A52" i="49"/>
  <c r="C51" i="49"/>
  <c r="H51" i="49"/>
  <c r="I51" i="49"/>
  <c r="B51" i="49"/>
  <c r="A51" i="49"/>
  <c r="C50" i="49"/>
  <c r="H50" i="49"/>
  <c r="I50" i="49"/>
  <c r="B50" i="49"/>
  <c r="A50" i="49"/>
  <c r="C49" i="49"/>
  <c r="H49" i="49"/>
  <c r="I49" i="49"/>
  <c r="B49" i="49"/>
  <c r="A49" i="49"/>
  <c r="C48" i="49"/>
  <c r="H48" i="49"/>
  <c r="I48" i="49"/>
  <c r="B48" i="49"/>
  <c r="A48" i="49"/>
  <c r="C47" i="49"/>
  <c r="H47" i="49"/>
  <c r="I47" i="49"/>
  <c r="B47" i="49"/>
  <c r="A47" i="49"/>
  <c r="C46" i="49"/>
  <c r="H46" i="49"/>
  <c r="I46" i="49"/>
  <c r="B46" i="49"/>
  <c r="A46" i="49"/>
  <c r="C45" i="49"/>
  <c r="H45" i="49"/>
  <c r="I45" i="49"/>
  <c r="B45" i="49"/>
  <c r="A45" i="49"/>
  <c r="C44" i="49"/>
  <c r="H44" i="49"/>
  <c r="I44" i="49"/>
  <c r="B44" i="49"/>
  <c r="A44" i="49"/>
  <c r="C43" i="49"/>
  <c r="H43" i="49"/>
  <c r="I43" i="49"/>
  <c r="B43" i="49"/>
  <c r="A43" i="49"/>
  <c r="C42" i="49"/>
  <c r="H42" i="49"/>
  <c r="I42" i="49"/>
  <c r="B42" i="49"/>
  <c r="A42" i="49"/>
  <c r="C41" i="49"/>
  <c r="H41" i="49"/>
  <c r="I41" i="49"/>
  <c r="B41" i="49"/>
  <c r="A41" i="49"/>
  <c r="C40" i="49"/>
  <c r="H40" i="49"/>
  <c r="B40" i="49"/>
  <c r="A40" i="49"/>
  <c r="C39" i="49"/>
  <c r="H39" i="49"/>
  <c r="B39" i="49"/>
  <c r="A39" i="49"/>
  <c r="C38" i="49"/>
  <c r="H38" i="49"/>
  <c r="B38" i="49"/>
  <c r="A38" i="49"/>
  <c r="G37" i="49"/>
  <c r="D37" i="49"/>
  <c r="C37" i="49"/>
  <c r="B37" i="49"/>
  <c r="A37" i="49"/>
  <c r="C26" i="49"/>
  <c r="B26" i="49"/>
  <c r="A26" i="49"/>
  <c r="C25" i="49"/>
  <c r="H25" i="49"/>
  <c r="I25" i="49"/>
  <c r="B25" i="49"/>
  <c r="A25" i="49"/>
  <c r="C24" i="49"/>
  <c r="B24" i="49"/>
  <c r="A24" i="49"/>
  <c r="C23" i="49"/>
  <c r="B23" i="49"/>
  <c r="A23" i="49"/>
  <c r="C22" i="49"/>
  <c r="H22" i="49"/>
  <c r="I22" i="49"/>
  <c r="B22" i="49"/>
  <c r="A22" i="49"/>
  <c r="C21" i="49"/>
  <c r="B21" i="49"/>
  <c r="A21" i="49"/>
  <c r="C20" i="49"/>
  <c r="B20" i="49"/>
  <c r="A20" i="49"/>
  <c r="C19" i="49"/>
  <c r="H19" i="49"/>
  <c r="I19" i="49"/>
  <c r="B19" i="49"/>
  <c r="A19" i="49"/>
  <c r="C18" i="49"/>
  <c r="B18" i="49"/>
  <c r="A18" i="49"/>
  <c r="C17" i="49"/>
  <c r="B17" i="49"/>
  <c r="A17" i="49"/>
  <c r="C16" i="49"/>
  <c r="B16" i="49"/>
  <c r="A16" i="49"/>
  <c r="C15" i="49"/>
  <c r="H15" i="49"/>
  <c r="I15" i="49"/>
  <c r="B15" i="49"/>
  <c r="A15" i="49"/>
  <c r="B14" i="49"/>
  <c r="A14" i="49"/>
  <c r="C13" i="49"/>
  <c r="B13" i="49"/>
  <c r="A13" i="49"/>
  <c r="C12" i="49"/>
  <c r="B12" i="49"/>
  <c r="A12" i="49"/>
  <c r="C11" i="49"/>
  <c r="H11" i="49"/>
  <c r="I11" i="49"/>
  <c r="B11" i="49"/>
  <c r="A11" i="49"/>
  <c r="C10" i="49"/>
  <c r="B10" i="49"/>
  <c r="A10" i="49"/>
  <c r="C9" i="49"/>
  <c r="B9" i="49"/>
  <c r="A9" i="49"/>
  <c r="D8" i="49"/>
  <c r="C8" i="49"/>
  <c r="B8" i="49"/>
  <c r="A8" i="49"/>
  <c r="G81" i="50"/>
  <c r="F81" i="50"/>
  <c r="D81" i="50"/>
  <c r="C81" i="50"/>
  <c r="B81" i="50"/>
  <c r="A81" i="50"/>
  <c r="G80" i="50"/>
  <c r="F80" i="50"/>
  <c r="D80" i="50"/>
  <c r="C80" i="50"/>
  <c r="B80" i="50"/>
  <c r="A80" i="50"/>
  <c r="G79" i="50"/>
  <c r="F79" i="50"/>
  <c r="D79" i="50"/>
  <c r="C79" i="50"/>
  <c r="B79" i="50"/>
  <c r="A79" i="50"/>
  <c r="G78" i="50"/>
  <c r="F78" i="50"/>
  <c r="C78" i="50"/>
  <c r="B78" i="50"/>
  <c r="A78" i="50"/>
  <c r="G77" i="50"/>
  <c r="F77" i="50"/>
  <c r="D77" i="50"/>
  <c r="C77" i="50"/>
  <c r="B77" i="50"/>
  <c r="A77" i="50"/>
  <c r="G76" i="50"/>
  <c r="F76" i="50"/>
  <c r="D76" i="50"/>
  <c r="C76" i="50"/>
  <c r="B76" i="50"/>
  <c r="A76" i="50"/>
  <c r="G75" i="50"/>
  <c r="F75" i="50"/>
  <c r="D75" i="50"/>
  <c r="C75" i="50"/>
  <c r="B75" i="50"/>
  <c r="A75" i="50"/>
  <c r="G74" i="50"/>
  <c r="F74" i="50"/>
  <c r="E74" i="50"/>
  <c r="D74" i="50"/>
  <c r="C74" i="50"/>
  <c r="B74" i="50"/>
  <c r="A74" i="50"/>
  <c r="G73" i="50"/>
  <c r="F73" i="50"/>
  <c r="D73" i="50"/>
  <c r="C73" i="50"/>
  <c r="B73" i="50"/>
  <c r="A73" i="50"/>
  <c r="G72" i="50"/>
  <c r="F72" i="50"/>
  <c r="D72" i="50"/>
  <c r="C72" i="50"/>
  <c r="B72" i="50"/>
  <c r="A72" i="50"/>
  <c r="G71" i="50"/>
  <c r="F71" i="50"/>
  <c r="D71" i="50"/>
  <c r="C71" i="50"/>
  <c r="B71" i="50"/>
  <c r="A71" i="50"/>
  <c r="G70" i="50"/>
  <c r="F70" i="50"/>
  <c r="E70" i="50"/>
  <c r="D70" i="50"/>
  <c r="C70" i="50"/>
  <c r="B70" i="50"/>
  <c r="A70" i="50"/>
  <c r="G69" i="50"/>
  <c r="F69" i="50"/>
  <c r="D69" i="50"/>
  <c r="C69" i="50"/>
  <c r="B69" i="50"/>
  <c r="A69" i="50"/>
  <c r="G68" i="50"/>
  <c r="F68" i="50"/>
  <c r="D68" i="50"/>
  <c r="C68" i="50"/>
  <c r="B68" i="50"/>
  <c r="A68" i="50"/>
  <c r="G67" i="50"/>
  <c r="F67" i="50"/>
  <c r="D67" i="50"/>
  <c r="C67" i="50"/>
  <c r="B67" i="50"/>
  <c r="A67" i="50"/>
  <c r="G66" i="50"/>
  <c r="F66" i="50"/>
  <c r="D66" i="50"/>
  <c r="C66" i="50"/>
  <c r="B66" i="50"/>
  <c r="A66" i="50"/>
  <c r="G65" i="50"/>
  <c r="F65" i="50"/>
  <c r="D65" i="50"/>
  <c r="C65" i="50"/>
  <c r="B65" i="50"/>
  <c r="A65" i="50"/>
  <c r="G64" i="50"/>
  <c r="F64" i="50"/>
  <c r="D64" i="50"/>
  <c r="C64" i="50"/>
  <c r="B64" i="50"/>
  <c r="A64" i="50"/>
  <c r="G54" i="50"/>
  <c r="C54" i="50"/>
  <c r="B54" i="50"/>
  <c r="A54" i="50"/>
  <c r="G53" i="50"/>
  <c r="C53" i="50"/>
  <c r="B53" i="50"/>
  <c r="A53" i="50"/>
  <c r="G52" i="50"/>
  <c r="C52" i="50"/>
  <c r="B52" i="50"/>
  <c r="A52" i="50"/>
  <c r="G51" i="50"/>
  <c r="C51" i="50"/>
  <c r="B51" i="50"/>
  <c r="A51" i="50"/>
  <c r="G50" i="50"/>
  <c r="C50" i="50"/>
  <c r="B50" i="50"/>
  <c r="A50" i="50"/>
  <c r="G49" i="50"/>
  <c r="C49" i="50"/>
  <c r="B49" i="50"/>
  <c r="A49" i="50"/>
  <c r="G48" i="50"/>
  <c r="C48" i="50"/>
  <c r="B48" i="50"/>
  <c r="A48" i="50"/>
  <c r="G47" i="50"/>
  <c r="C47" i="50"/>
  <c r="B47" i="50"/>
  <c r="A47" i="50"/>
  <c r="G46" i="50"/>
  <c r="C46" i="50"/>
  <c r="B46" i="50"/>
  <c r="A46" i="50"/>
  <c r="G45" i="50"/>
  <c r="C45" i="50"/>
  <c r="B45" i="50"/>
  <c r="A45" i="50"/>
  <c r="G44" i="50"/>
  <c r="C44" i="50"/>
  <c r="B44" i="50"/>
  <c r="A44" i="50"/>
  <c r="G43" i="50"/>
  <c r="C43" i="50"/>
  <c r="B43" i="50"/>
  <c r="A43" i="50"/>
  <c r="G42" i="50"/>
  <c r="C42" i="50"/>
  <c r="B42" i="50"/>
  <c r="A42" i="50"/>
  <c r="G41" i="50"/>
  <c r="C41" i="50"/>
  <c r="B41" i="50"/>
  <c r="A41" i="50"/>
  <c r="G40" i="50"/>
  <c r="C40" i="50"/>
  <c r="B40" i="50"/>
  <c r="A40" i="50"/>
  <c r="G39" i="50"/>
  <c r="C39" i="50"/>
  <c r="B39" i="50"/>
  <c r="A39" i="50"/>
  <c r="G38" i="50"/>
  <c r="C38" i="50"/>
  <c r="B38" i="50"/>
  <c r="A38" i="50"/>
  <c r="G37" i="50"/>
  <c r="C37" i="50"/>
  <c r="B37" i="50"/>
  <c r="A37" i="50"/>
  <c r="G36" i="50"/>
  <c r="D36" i="50"/>
  <c r="C36" i="50"/>
  <c r="B36" i="50"/>
  <c r="A36" i="50"/>
  <c r="C26" i="50"/>
  <c r="B26" i="50"/>
  <c r="A26" i="50"/>
  <c r="C25" i="50"/>
  <c r="B25" i="50"/>
  <c r="A25" i="50"/>
  <c r="C24" i="50"/>
  <c r="B24" i="50"/>
  <c r="A24" i="50"/>
  <c r="C23" i="50"/>
  <c r="B23" i="50"/>
  <c r="A23" i="50"/>
  <c r="C22" i="50"/>
  <c r="B22" i="50"/>
  <c r="A22" i="50"/>
  <c r="C21" i="50"/>
  <c r="B21" i="50"/>
  <c r="A21" i="50"/>
  <c r="C20" i="50"/>
  <c r="B20" i="50"/>
  <c r="A20" i="50"/>
  <c r="C19" i="50"/>
  <c r="B19" i="50"/>
  <c r="A19" i="50"/>
  <c r="C18" i="50"/>
  <c r="B18" i="50"/>
  <c r="A18" i="50"/>
  <c r="C17" i="50"/>
  <c r="B17" i="50"/>
  <c r="A17" i="50"/>
  <c r="C16" i="50"/>
  <c r="B16" i="50"/>
  <c r="A16" i="50"/>
  <c r="C15" i="50"/>
  <c r="B15" i="50"/>
  <c r="A15" i="50"/>
  <c r="C14" i="50"/>
  <c r="B14" i="50"/>
  <c r="A14" i="50"/>
  <c r="C13" i="50"/>
  <c r="B13" i="50"/>
  <c r="A13" i="50"/>
  <c r="C12" i="50"/>
  <c r="B12" i="50"/>
  <c r="A12" i="50"/>
  <c r="C11" i="50"/>
  <c r="B11" i="50"/>
  <c r="A11" i="50"/>
  <c r="C10" i="50"/>
  <c r="B10" i="50"/>
  <c r="A10" i="50"/>
  <c r="C9" i="50"/>
  <c r="B9" i="50"/>
  <c r="A9" i="50"/>
  <c r="D8" i="50"/>
  <c r="C8" i="50"/>
  <c r="B8" i="50"/>
  <c r="A8" i="50"/>
  <c r="H75" i="49"/>
  <c r="I75" i="49"/>
  <c r="I40" i="49"/>
  <c r="I39" i="49"/>
  <c r="I38" i="49"/>
  <c r="H23" i="49"/>
  <c r="I23" i="49"/>
  <c r="H73" i="48"/>
  <c r="I73" i="48"/>
  <c r="H55" i="48"/>
  <c r="I55" i="48"/>
  <c r="H49" i="48"/>
  <c r="I49" i="48"/>
  <c r="H47" i="48"/>
  <c r="I47" i="48"/>
  <c r="H46" i="48"/>
  <c r="I46" i="48"/>
  <c r="H43" i="48"/>
  <c r="I43" i="48"/>
  <c r="H42" i="48"/>
  <c r="I42" i="48"/>
  <c r="H41" i="48"/>
  <c r="I41" i="48"/>
  <c r="H39" i="48"/>
  <c r="I39" i="48"/>
  <c r="H38" i="48"/>
  <c r="I38" i="48"/>
  <c r="H24" i="48"/>
  <c r="I24" i="48"/>
  <c r="I20" i="48"/>
  <c r="I14" i="48"/>
  <c r="V6" i="41"/>
  <c r="W6" i="41"/>
  <c r="V5" i="41"/>
  <c r="W5" i="41"/>
  <c r="D82" i="44"/>
  <c r="F82" i="44"/>
  <c r="G82" i="44"/>
  <c r="C82" i="44"/>
  <c r="H82" i="44"/>
  <c r="I82" i="44"/>
  <c r="D83" i="44"/>
  <c r="F83" i="44"/>
  <c r="C83" i="44"/>
  <c r="G83" i="44"/>
  <c r="H83" i="44"/>
  <c r="I83" i="44"/>
  <c r="D84" i="44"/>
  <c r="C84" i="44"/>
  <c r="H84" i="44"/>
  <c r="I84" i="44"/>
  <c r="F84" i="44"/>
  <c r="G84" i="44"/>
  <c r="A82" i="44"/>
  <c r="B82" i="44"/>
  <c r="A83" i="44"/>
  <c r="B83" i="44"/>
  <c r="A84" i="44"/>
  <c r="B84" i="44"/>
  <c r="D54" i="44"/>
  <c r="C54" i="44"/>
  <c r="G54" i="44"/>
  <c r="D55" i="44"/>
  <c r="C55" i="44"/>
  <c r="G55" i="44"/>
  <c r="H55" i="44"/>
  <c r="I55" i="44"/>
  <c r="G53" i="44"/>
  <c r="D53" i="44"/>
  <c r="C53" i="44"/>
  <c r="A53" i="44"/>
  <c r="B53" i="44"/>
  <c r="A54" i="44"/>
  <c r="B54" i="44"/>
  <c r="A55" i="44"/>
  <c r="B55" i="44"/>
  <c r="D26" i="44"/>
  <c r="G26" i="44"/>
  <c r="D27" i="44"/>
  <c r="H27" i="44"/>
  <c r="I27" i="44"/>
  <c r="G27" i="44"/>
  <c r="C27" i="44"/>
  <c r="G25" i="44"/>
  <c r="D25" i="44"/>
  <c r="A25" i="44"/>
  <c r="B25" i="44"/>
  <c r="C25" i="44"/>
  <c r="A26" i="44"/>
  <c r="B26" i="44"/>
  <c r="C26" i="44"/>
  <c r="H26" i="44"/>
  <c r="I26" i="44"/>
  <c r="A27" i="44"/>
  <c r="B27" i="44"/>
  <c r="A82" i="43"/>
  <c r="B82" i="43"/>
  <c r="C82" i="43"/>
  <c r="D82" i="43"/>
  <c r="H82" i="43"/>
  <c r="I82" i="43"/>
  <c r="F82" i="43"/>
  <c r="G82" i="43"/>
  <c r="A83" i="43"/>
  <c r="B83" i="43"/>
  <c r="C83" i="43"/>
  <c r="D83" i="43"/>
  <c r="H83" i="43"/>
  <c r="I83" i="43"/>
  <c r="F83" i="43"/>
  <c r="G83" i="43"/>
  <c r="A84" i="43"/>
  <c r="B84" i="43"/>
  <c r="C84" i="43"/>
  <c r="D84" i="43"/>
  <c r="H84" i="43"/>
  <c r="I84" i="43"/>
  <c r="F84" i="43"/>
  <c r="G84" i="43"/>
  <c r="C53" i="43"/>
  <c r="H53" i="43"/>
  <c r="I53" i="43"/>
  <c r="D53" i="43"/>
  <c r="G53" i="43"/>
  <c r="M40" i="40"/>
  <c r="C54" i="43"/>
  <c r="H54" i="43"/>
  <c r="I54" i="43"/>
  <c r="D54" i="43"/>
  <c r="G54" i="43"/>
  <c r="C55" i="43"/>
  <c r="D55" i="43"/>
  <c r="E55" i="43"/>
  <c r="F55" i="43"/>
  <c r="G55" i="43"/>
  <c r="H55" i="43"/>
  <c r="I55" i="43"/>
  <c r="B53" i="43"/>
  <c r="B54" i="43"/>
  <c r="B55" i="43"/>
  <c r="A53" i="43"/>
  <c r="A54" i="43"/>
  <c r="A55" i="43"/>
  <c r="G27" i="43"/>
  <c r="E27" i="43"/>
  <c r="D27" i="43"/>
  <c r="D25" i="43"/>
  <c r="G25" i="43"/>
  <c r="N20" i="40"/>
  <c r="D26" i="43"/>
  <c r="H26" i="43"/>
  <c r="I26" i="43"/>
  <c r="G26" i="43"/>
  <c r="B25" i="43"/>
  <c r="C25" i="43"/>
  <c r="B26" i="43"/>
  <c r="C26" i="43"/>
  <c r="B27" i="43"/>
  <c r="C27" i="43"/>
  <c r="A25" i="43"/>
  <c r="A26" i="43"/>
  <c r="A27" i="43"/>
  <c r="D82" i="42"/>
  <c r="F82" i="42"/>
  <c r="G82" i="42"/>
  <c r="C82" i="42"/>
  <c r="H82" i="42"/>
  <c r="I82" i="42"/>
  <c r="D83" i="42"/>
  <c r="C83" i="42"/>
  <c r="F83" i="42"/>
  <c r="H83" i="42"/>
  <c r="I83" i="42"/>
  <c r="G83" i="42"/>
  <c r="D84" i="42"/>
  <c r="C84" i="42"/>
  <c r="F84" i="42"/>
  <c r="G84" i="42"/>
  <c r="H84" i="42"/>
  <c r="I84" i="42"/>
  <c r="A82" i="42"/>
  <c r="B82" i="42"/>
  <c r="A83" i="42"/>
  <c r="B83" i="42"/>
  <c r="A84" i="42"/>
  <c r="B84" i="42"/>
  <c r="A53" i="42"/>
  <c r="B53" i="42"/>
  <c r="C53" i="42"/>
  <c r="H53" i="42"/>
  <c r="I53" i="42"/>
  <c r="D53" i="42"/>
  <c r="G53" i="42"/>
  <c r="A54" i="42"/>
  <c r="B54" i="42"/>
  <c r="C54" i="42"/>
  <c r="D54" i="42"/>
  <c r="G54" i="42"/>
  <c r="H54" i="42"/>
  <c r="I54" i="42"/>
  <c r="A55" i="42"/>
  <c r="B55" i="42"/>
  <c r="C55" i="42"/>
  <c r="H55" i="42"/>
  <c r="I55" i="42"/>
  <c r="D55" i="42"/>
  <c r="G55" i="42"/>
  <c r="D25" i="42"/>
  <c r="E25" i="42"/>
  <c r="G25" i="42"/>
  <c r="D26" i="42"/>
  <c r="E26" i="42"/>
  <c r="G26" i="42"/>
  <c r="D27" i="42"/>
  <c r="E27" i="42"/>
  <c r="G27" i="42"/>
  <c r="B25" i="42"/>
  <c r="C25" i="42"/>
  <c r="H25" i="42"/>
  <c r="I25" i="42"/>
  <c r="B26" i="42"/>
  <c r="C26" i="42"/>
  <c r="B27" i="42"/>
  <c r="C27" i="42"/>
  <c r="A25" i="42"/>
  <c r="A26" i="42"/>
  <c r="A27" i="42"/>
  <c r="H25" i="44"/>
  <c r="I25" i="44"/>
  <c r="H27" i="43"/>
  <c r="I27" i="43"/>
  <c r="H25" i="43"/>
  <c r="I25" i="43"/>
  <c r="H27" i="42"/>
  <c r="I27" i="42"/>
  <c r="H26" i="42"/>
  <c r="I26" i="42"/>
  <c r="D52" i="43"/>
  <c r="D24" i="43"/>
  <c r="D8" i="43"/>
  <c r="G8" i="43"/>
  <c r="D38" i="42"/>
  <c r="AE38" i="39"/>
  <c r="G81" i="44"/>
  <c r="F81" i="44"/>
  <c r="D81" i="44"/>
  <c r="C81" i="44"/>
  <c r="B81" i="44"/>
  <c r="A81" i="44"/>
  <c r="G80" i="44"/>
  <c r="F80" i="44"/>
  <c r="D80" i="44"/>
  <c r="C80" i="44"/>
  <c r="H80" i="44"/>
  <c r="I80" i="44"/>
  <c r="B80" i="44"/>
  <c r="A80" i="44"/>
  <c r="G79" i="44"/>
  <c r="F79" i="44"/>
  <c r="D79" i="44"/>
  <c r="C79" i="44"/>
  <c r="B79" i="44"/>
  <c r="A79" i="44"/>
  <c r="G78" i="44"/>
  <c r="F78" i="44"/>
  <c r="D78" i="44"/>
  <c r="C78" i="44"/>
  <c r="H78" i="44"/>
  <c r="I78" i="44"/>
  <c r="B78" i="44"/>
  <c r="A78" i="44"/>
  <c r="G77" i="44"/>
  <c r="F77" i="44"/>
  <c r="D77" i="44"/>
  <c r="C77" i="44"/>
  <c r="B77" i="44"/>
  <c r="A77" i="44"/>
  <c r="G76" i="44"/>
  <c r="F76" i="44"/>
  <c r="D76" i="44"/>
  <c r="C76" i="44"/>
  <c r="H76" i="44"/>
  <c r="I76" i="44"/>
  <c r="B76" i="44"/>
  <c r="A76" i="44"/>
  <c r="G75" i="44"/>
  <c r="F75" i="44"/>
  <c r="E75" i="44"/>
  <c r="D75" i="44"/>
  <c r="C75" i="44"/>
  <c r="H75" i="44"/>
  <c r="I75" i="44"/>
  <c r="B75" i="44"/>
  <c r="A75" i="44"/>
  <c r="G74" i="44"/>
  <c r="F74" i="44"/>
  <c r="C74" i="44"/>
  <c r="H74" i="44"/>
  <c r="I74" i="44"/>
  <c r="D74" i="44"/>
  <c r="B74" i="44"/>
  <c r="A74" i="44"/>
  <c r="G73" i="44"/>
  <c r="F73" i="44"/>
  <c r="D73" i="44"/>
  <c r="C73" i="44"/>
  <c r="H73" i="44"/>
  <c r="I73" i="44"/>
  <c r="B73" i="44"/>
  <c r="A73" i="44"/>
  <c r="G72" i="44"/>
  <c r="F72" i="44"/>
  <c r="C72" i="44"/>
  <c r="H72" i="44"/>
  <c r="I72" i="44"/>
  <c r="D72" i="44"/>
  <c r="B72" i="44"/>
  <c r="A72" i="44"/>
  <c r="G71" i="44"/>
  <c r="F71" i="44"/>
  <c r="E71" i="44"/>
  <c r="D71" i="44"/>
  <c r="C71" i="44"/>
  <c r="H71" i="44"/>
  <c r="I71" i="44"/>
  <c r="B71" i="44"/>
  <c r="A71" i="44"/>
  <c r="G70" i="44"/>
  <c r="C70" i="44"/>
  <c r="H70" i="44"/>
  <c r="I70" i="44"/>
  <c r="D70" i="44"/>
  <c r="F70" i="44"/>
  <c r="B70" i="44"/>
  <c r="A70" i="44"/>
  <c r="G69" i="44"/>
  <c r="F69" i="44"/>
  <c r="D69" i="44"/>
  <c r="C69" i="44"/>
  <c r="H69" i="44"/>
  <c r="I69" i="44"/>
  <c r="B69" i="44"/>
  <c r="A69" i="44"/>
  <c r="G68" i="44"/>
  <c r="C68" i="44"/>
  <c r="H68" i="44"/>
  <c r="I68" i="44"/>
  <c r="D68" i="44"/>
  <c r="F68" i="44"/>
  <c r="B68" i="44"/>
  <c r="A68" i="44"/>
  <c r="G67" i="44"/>
  <c r="F67" i="44"/>
  <c r="D67" i="44"/>
  <c r="C67" i="44"/>
  <c r="H67" i="44"/>
  <c r="I67" i="44"/>
  <c r="B67" i="44"/>
  <c r="A67" i="44"/>
  <c r="G66" i="44"/>
  <c r="F66" i="44"/>
  <c r="D66" i="44"/>
  <c r="C66" i="44"/>
  <c r="B66" i="44"/>
  <c r="A66" i="44"/>
  <c r="G65" i="44"/>
  <c r="F65" i="44"/>
  <c r="D65" i="44"/>
  <c r="C65" i="44"/>
  <c r="H65" i="44"/>
  <c r="I65" i="44"/>
  <c r="B65" i="44"/>
  <c r="A65" i="44"/>
  <c r="G52" i="44"/>
  <c r="F52" i="44"/>
  <c r="E52" i="44"/>
  <c r="D52" i="44"/>
  <c r="C52" i="44"/>
  <c r="B52" i="44"/>
  <c r="A52" i="44"/>
  <c r="G51" i="44"/>
  <c r="F51" i="44"/>
  <c r="E51" i="44"/>
  <c r="D51" i="44"/>
  <c r="C51" i="44"/>
  <c r="B51" i="44"/>
  <c r="A51" i="44"/>
  <c r="G50" i="44"/>
  <c r="F50" i="44"/>
  <c r="E50" i="44"/>
  <c r="D50" i="44"/>
  <c r="C50" i="44"/>
  <c r="B50" i="44"/>
  <c r="A50" i="44"/>
  <c r="G49" i="44"/>
  <c r="D49" i="44"/>
  <c r="H49" i="44"/>
  <c r="I49" i="44"/>
  <c r="C49" i="44"/>
  <c r="B49" i="44"/>
  <c r="A49" i="44"/>
  <c r="G48" i="44"/>
  <c r="D48" i="44"/>
  <c r="C48" i="44"/>
  <c r="B48" i="44"/>
  <c r="A48" i="44"/>
  <c r="G47" i="44"/>
  <c r="D47" i="44"/>
  <c r="C47" i="44"/>
  <c r="B47" i="44"/>
  <c r="A47" i="44"/>
  <c r="G46" i="44"/>
  <c r="F46" i="44"/>
  <c r="E46" i="44"/>
  <c r="H46" i="44"/>
  <c r="I46" i="44"/>
  <c r="D46" i="44"/>
  <c r="C46" i="44"/>
  <c r="B46" i="44"/>
  <c r="A46" i="44"/>
  <c r="G45" i="44"/>
  <c r="D45" i="44"/>
  <c r="C45" i="44"/>
  <c r="H45" i="44"/>
  <c r="I45" i="44"/>
  <c r="B45" i="44"/>
  <c r="A45" i="44"/>
  <c r="G44" i="44"/>
  <c r="C44" i="44"/>
  <c r="D44" i="44"/>
  <c r="B44" i="44"/>
  <c r="A44" i="44"/>
  <c r="G43" i="44"/>
  <c r="F43" i="44"/>
  <c r="E43" i="44"/>
  <c r="D43" i="44"/>
  <c r="C43" i="44"/>
  <c r="B43" i="44"/>
  <c r="A43" i="44"/>
  <c r="G42" i="44"/>
  <c r="F42" i="44"/>
  <c r="E42" i="44"/>
  <c r="D42" i="44"/>
  <c r="C42" i="44"/>
  <c r="B42" i="44"/>
  <c r="A42" i="44"/>
  <c r="G41" i="44"/>
  <c r="D41" i="44"/>
  <c r="C41" i="44"/>
  <c r="B41" i="44"/>
  <c r="A41" i="44"/>
  <c r="G40" i="44"/>
  <c r="F40" i="44"/>
  <c r="E40" i="44"/>
  <c r="D40" i="44"/>
  <c r="C40" i="44"/>
  <c r="B40" i="44"/>
  <c r="A40" i="44"/>
  <c r="G39" i="44"/>
  <c r="D39" i="44"/>
  <c r="C39" i="44"/>
  <c r="B39" i="44"/>
  <c r="A39" i="44"/>
  <c r="G38" i="44"/>
  <c r="F38" i="44"/>
  <c r="E38" i="44"/>
  <c r="D38" i="44"/>
  <c r="C38" i="44"/>
  <c r="B38" i="44"/>
  <c r="A38" i="44"/>
  <c r="G37" i="44"/>
  <c r="D37" i="44"/>
  <c r="C37" i="44"/>
  <c r="B37" i="44"/>
  <c r="A37" i="44"/>
  <c r="G36" i="44"/>
  <c r="C36" i="44"/>
  <c r="D36" i="44"/>
  <c r="B36" i="44"/>
  <c r="A36" i="44"/>
  <c r="G24" i="44"/>
  <c r="E24" i="44"/>
  <c r="D24" i="44"/>
  <c r="H24" i="44"/>
  <c r="I24" i="44"/>
  <c r="C24" i="44"/>
  <c r="B24" i="44"/>
  <c r="A24" i="44"/>
  <c r="G23" i="44"/>
  <c r="E23" i="44"/>
  <c r="C23" i="44"/>
  <c r="H23" i="44"/>
  <c r="I23" i="44"/>
  <c r="D23" i="44"/>
  <c r="B23" i="44"/>
  <c r="A23" i="44"/>
  <c r="G22" i="44"/>
  <c r="E22" i="44"/>
  <c r="D22" i="44"/>
  <c r="H22" i="44"/>
  <c r="I22" i="44"/>
  <c r="C22" i="44"/>
  <c r="B22" i="44"/>
  <c r="A22" i="44"/>
  <c r="D21" i="44"/>
  <c r="C21" i="44"/>
  <c r="H21" i="44"/>
  <c r="I21" i="44"/>
  <c r="B21" i="44"/>
  <c r="A21" i="44"/>
  <c r="G20" i="44"/>
  <c r="H20" i="44"/>
  <c r="I20" i="44"/>
  <c r="D20" i="44"/>
  <c r="C20" i="44"/>
  <c r="B20" i="44"/>
  <c r="A20" i="44"/>
  <c r="D19" i="44"/>
  <c r="C19" i="44"/>
  <c r="H19" i="44"/>
  <c r="I19" i="44"/>
  <c r="B19" i="44"/>
  <c r="A19" i="44"/>
  <c r="G18" i="44"/>
  <c r="E18" i="44"/>
  <c r="D18" i="44"/>
  <c r="C18" i="44"/>
  <c r="B18" i="44"/>
  <c r="A18" i="44"/>
  <c r="G17" i="44"/>
  <c r="D17" i="44"/>
  <c r="H17" i="44"/>
  <c r="I17" i="44"/>
  <c r="C17" i="44"/>
  <c r="B17" i="44"/>
  <c r="A17" i="44"/>
  <c r="G16" i="44"/>
  <c r="D16" i="44"/>
  <c r="C16" i="44"/>
  <c r="B16" i="44"/>
  <c r="A16" i="44"/>
  <c r="G15" i="44"/>
  <c r="E15" i="44"/>
  <c r="D15" i="44"/>
  <c r="C15" i="44"/>
  <c r="B15" i="44"/>
  <c r="A15" i="44"/>
  <c r="G14" i="44"/>
  <c r="E14" i="44"/>
  <c r="D14" i="44"/>
  <c r="C14" i="44"/>
  <c r="B14" i="44"/>
  <c r="A14" i="44"/>
  <c r="G13" i="44"/>
  <c r="D13" i="44"/>
  <c r="C13" i="44"/>
  <c r="B13" i="44"/>
  <c r="A13" i="44"/>
  <c r="G12" i="44"/>
  <c r="E12" i="44"/>
  <c r="D12" i="44"/>
  <c r="C12" i="44"/>
  <c r="B12" i="44"/>
  <c r="A12" i="44"/>
  <c r="G11" i="44"/>
  <c r="D11" i="44"/>
  <c r="C11" i="44"/>
  <c r="B11" i="44"/>
  <c r="A11" i="44"/>
  <c r="G10" i="44"/>
  <c r="E10" i="44"/>
  <c r="D10" i="44"/>
  <c r="C10" i="44"/>
  <c r="B10" i="44"/>
  <c r="A10" i="44"/>
  <c r="G9" i="44"/>
  <c r="D9" i="44"/>
  <c r="C9" i="44"/>
  <c r="H9" i="44"/>
  <c r="I9" i="44"/>
  <c r="B9" i="44"/>
  <c r="A9" i="44"/>
  <c r="G8" i="44"/>
  <c r="D8" i="44"/>
  <c r="C8" i="44"/>
  <c r="B8" i="44"/>
  <c r="A8" i="44"/>
  <c r="G81" i="43"/>
  <c r="C81" i="43"/>
  <c r="D81" i="43"/>
  <c r="F81" i="43"/>
  <c r="H81" i="43"/>
  <c r="I81" i="43"/>
  <c r="B81" i="43"/>
  <c r="A81" i="43"/>
  <c r="G80" i="43"/>
  <c r="F80" i="43"/>
  <c r="D80" i="43"/>
  <c r="C80" i="43"/>
  <c r="H80" i="43"/>
  <c r="I80" i="43"/>
  <c r="B80" i="43"/>
  <c r="A80" i="43"/>
  <c r="G79" i="43"/>
  <c r="C79" i="43"/>
  <c r="D79" i="43"/>
  <c r="F79" i="43"/>
  <c r="H79" i="43"/>
  <c r="I79" i="43"/>
  <c r="B79" i="43"/>
  <c r="A79" i="43"/>
  <c r="G78" i="43"/>
  <c r="F78" i="43"/>
  <c r="D78" i="43"/>
  <c r="C78" i="43"/>
  <c r="H78" i="43"/>
  <c r="I78" i="43"/>
  <c r="B78" i="43"/>
  <c r="A78" i="43"/>
  <c r="G77" i="43"/>
  <c r="C77" i="43"/>
  <c r="D77" i="43"/>
  <c r="F77" i="43"/>
  <c r="H77" i="43"/>
  <c r="I77" i="43"/>
  <c r="B77" i="43"/>
  <c r="A77" i="43"/>
  <c r="G76" i="43"/>
  <c r="F76" i="43"/>
  <c r="D76" i="43"/>
  <c r="C76" i="43"/>
  <c r="H76" i="43"/>
  <c r="I76" i="43"/>
  <c r="B76" i="43"/>
  <c r="A76" i="43"/>
  <c r="G75" i="43"/>
  <c r="F75" i="43"/>
  <c r="E75" i="43"/>
  <c r="D75" i="43"/>
  <c r="C75" i="43"/>
  <c r="B75" i="43"/>
  <c r="A75" i="43"/>
  <c r="G74" i="43"/>
  <c r="F74" i="43"/>
  <c r="C74" i="43"/>
  <c r="D74" i="43"/>
  <c r="H74" i="43"/>
  <c r="I74" i="43"/>
  <c r="B74" i="43"/>
  <c r="A74" i="43"/>
  <c r="G73" i="43"/>
  <c r="F73" i="43"/>
  <c r="D73" i="43"/>
  <c r="C73" i="43"/>
  <c r="H73" i="43"/>
  <c r="I73" i="43"/>
  <c r="B73" i="43"/>
  <c r="A73" i="43"/>
  <c r="G72" i="43"/>
  <c r="F72" i="43"/>
  <c r="C72" i="43"/>
  <c r="D72" i="43"/>
  <c r="H72" i="43"/>
  <c r="I72" i="43"/>
  <c r="B72" i="43"/>
  <c r="A72" i="43"/>
  <c r="G71" i="43"/>
  <c r="F71" i="43"/>
  <c r="E71" i="43"/>
  <c r="D71" i="43"/>
  <c r="C71" i="43"/>
  <c r="H71" i="43"/>
  <c r="I71" i="43"/>
  <c r="B71" i="43"/>
  <c r="A71" i="43"/>
  <c r="G70" i="43"/>
  <c r="F70" i="43"/>
  <c r="D70" i="43"/>
  <c r="C70" i="43"/>
  <c r="B70" i="43"/>
  <c r="A70" i="43"/>
  <c r="G69" i="43"/>
  <c r="F69" i="43"/>
  <c r="H69" i="43"/>
  <c r="I69" i="43"/>
  <c r="D69" i="43"/>
  <c r="C69" i="43"/>
  <c r="B69" i="43"/>
  <c r="A69" i="43"/>
  <c r="G68" i="43"/>
  <c r="F68" i="43"/>
  <c r="D68" i="43"/>
  <c r="C68" i="43"/>
  <c r="B68" i="43"/>
  <c r="A68" i="43"/>
  <c r="G67" i="43"/>
  <c r="F67" i="43"/>
  <c r="D67" i="43"/>
  <c r="C67" i="43"/>
  <c r="H67" i="43"/>
  <c r="I67" i="43"/>
  <c r="B67" i="43"/>
  <c r="A67" i="43"/>
  <c r="G66" i="43"/>
  <c r="F66" i="43"/>
  <c r="D66" i="43"/>
  <c r="C66" i="43"/>
  <c r="B66" i="43"/>
  <c r="A66" i="43"/>
  <c r="G65" i="43"/>
  <c r="F65" i="43"/>
  <c r="H65" i="43"/>
  <c r="I65" i="43"/>
  <c r="D65" i="43"/>
  <c r="C65" i="43"/>
  <c r="B65" i="43"/>
  <c r="A65" i="43"/>
  <c r="G52" i="43"/>
  <c r="C52" i="43"/>
  <c r="B52" i="43"/>
  <c r="A52" i="43"/>
  <c r="G51" i="43"/>
  <c r="F51" i="43"/>
  <c r="E51" i="43"/>
  <c r="D51" i="43"/>
  <c r="C51" i="43"/>
  <c r="H51" i="43"/>
  <c r="I51" i="43"/>
  <c r="B51" i="43"/>
  <c r="A51" i="43"/>
  <c r="G50" i="43"/>
  <c r="F50" i="43"/>
  <c r="E50" i="43"/>
  <c r="D50" i="43"/>
  <c r="C50" i="43"/>
  <c r="B50" i="43"/>
  <c r="A50" i="43"/>
  <c r="G49" i="43"/>
  <c r="D49" i="43"/>
  <c r="H49" i="43"/>
  <c r="I49" i="43"/>
  <c r="C49" i="43"/>
  <c r="B49" i="43"/>
  <c r="A49" i="43"/>
  <c r="G48" i="43"/>
  <c r="D48" i="43"/>
  <c r="C48" i="43"/>
  <c r="B48" i="43"/>
  <c r="A48" i="43"/>
  <c r="G47" i="43"/>
  <c r="C47" i="43"/>
  <c r="H47" i="43"/>
  <c r="I47" i="43"/>
  <c r="D47" i="43"/>
  <c r="B47" i="43"/>
  <c r="A47" i="43"/>
  <c r="G46" i="43"/>
  <c r="F46" i="43"/>
  <c r="E46" i="43"/>
  <c r="D46" i="43"/>
  <c r="C46" i="43"/>
  <c r="B46" i="43"/>
  <c r="A46" i="43"/>
  <c r="G45" i="43"/>
  <c r="C45" i="43"/>
  <c r="D45" i="43"/>
  <c r="H45" i="43"/>
  <c r="I45" i="43"/>
  <c r="B45" i="43"/>
  <c r="A45" i="43"/>
  <c r="G44" i="43"/>
  <c r="D44" i="43"/>
  <c r="C44" i="43"/>
  <c r="B44" i="43"/>
  <c r="A44" i="43"/>
  <c r="G43" i="43"/>
  <c r="F43" i="43"/>
  <c r="E43" i="43"/>
  <c r="C43" i="43"/>
  <c r="H43" i="43"/>
  <c r="I43" i="43"/>
  <c r="D43" i="43"/>
  <c r="B43" i="43"/>
  <c r="A43" i="43"/>
  <c r="G42" i="43"/>
  <c r="F42" i="43"/>
  <c r="E42" i="43"/>
  <c r="D42" i="43"/>
  <c r="C42" i="43"/>
  <c r="B42" i="43"/>
  <c r="A42" i="43"/>
  <c r="G41" i="43"/>
  <c r="C41" i="43"/>
  <c r="D41" i="43"/>
  <c r="H41" i="43"/>
  <c r="I41" i="43"/>
  <c r="B41" i="43"/>
  <c r="A41" i="43"/>
  <c r="G40" i="43"/>
  <c r="F40" i="43"/>
  <c r="E40" i="43"/>
  <c r="D40" i="43"/>
  <c r="C40" i="43"/>
  <c r="B40" i="43"/>
  <c r="A40" i="43"/>
  <c r="G39" i="43"/>
  <c r="C39" i="43"/>
  <c r="H39" i="43"/>
  <c r="I39" i="43"/>
  <c r="D39" i="43"/>
  <c r="B39" i="43"/>
  <c r="A39" i="43"/>
  <c r="G38" i="43"/>
  <c r="F38" i="43"/>
  <c r="E38" i="43"/>
  <c r="D38" i="43"/>
  <c r="C38" i="43"/>
  <c r="B38" i="43"/>
  <c r="A38" i="43"/>
  <c r="G37" i="43"/>
  <c r="C37" i="43"/>
  <c r="D37" i="43"/>
  <c r="H37" i="43"/>
  <c r="I37" i="43"/>
  <c r="B37" i="43"/>
  <c r="A37" i="43"/>
  <c r="G36" i="43"/>
  <c r="D36" i="43"/>
  <c r="C36" i="43"/>
  <c r="B36" i="43"/>
  <c r="A36" i="43"/>
  <c r="G24" i="43"/>
  <c r="C24" i="43"/>
  <c r="B24" i="43"/>
  <c r="A24" i="43"/>
  <c r="G23" i="43"/>
  <c r="E23" i="43"/>
  <c r="D23" i="43"/>
  <c r="C23" i="43"/>
  <c r="B23" i="43"/>
  <c r="A23" i="43"/>
  <c r="G22" i="43"/>
  <c r="C22" i="43"/>
  <c r="H22" i="43"/>
  <c r="I22" i="43"/>
  <c r="D22" i="43"/>
  <c r="E22" i="43"/>
  <c r="B22" i="43"/>
  <c r="A22" i="43"/>
  <c r="D21" i="43"/>
  <c r="C21" i="43"/>
  <c r="H21" i="43"/>
  <c r="I21" i="43"/>
  <c r="B21" i="43"/>
  <c r="A21" i="43"/>
  <c r="D20" i="43"/>
  <c r="C20" i="43"/>
  <c r="H20" i="43"/>
  <c r="I20" i="43"/>
  <c r="B20" i="43"/>
  <c r="A20" i="43"/>
  <c r="D19" i="43"/>
  <c r="C19" i="43"/>
  <c r="H19" i="43"/>
  <c r="I19" i="43"/>
  <c r="B19" i="43"/>
  <c r="A19" i="43"/>
  <c r="G18" i="43"/>
  <c r="E18" i="43"/>
  <c r="D18" i="43"/>
  <c r="C18" i="43"/>
  <c r="H18" i="43"/>
  <c r="I18" i="43"/>
  <c r="B18" i="43"/>
  <c r="A18" i="43"/>
  <c r="D17" i="43"/>
  <c r="C17" i="43"/>
  <c r="H17" i="43"/>
  <c r="I17" i="43"/>
  <c r="B17" i="43"/>
  <c r="A17" i="43"/>
  <c r="D16" i="43"/>
  <c r="C16" i="43"/>
  <c r="H16" i="43"/>
  <c r="I16" i="43"/>
  <c r="B16" i="43"/>
  <c r="A16" i="43"/>
  <c r="G15" i="43"/>
  <c r="E15" i="43"/>
  <c r="D15" i="43"/>
  <c r="C15" i="43"/>
  <c r="B15" i="43"/>
  <c r="A15" i="43"/>
  <c r="G14" i="43"/>
  <c r="E14" i="43"/>
  <c r="H14" i="43"/>
  <c r="I14" i="43"/>
  <c r="D14" i="43"/>
  <c r="C14" i="43"/>
  <c r="B14" i="43"/>
  <c r="A14" i="43"/>
  <c r="D13" i="43"/>
  <c r="C13" i="43"/>
  <c r="H13" i="43"/>
  <c r="I13" i="43"/>
  <c r="B13" i="43"/>
  <c r="A13" i="43"/>
  <c r="G12" i="43"/>
  <c r="E12" i="43"/>
  <c r="D12" i="43"/>
  <c r="C12" i="43"/>
  <c r="B12" i="43"/>
  <c r="A12" i="43"/>
  <c r="D11" i="43"/>
  <c r="C11" i="43"/>
  <c r="H11" i="43"/>
  <c r="I11" i="43"/>
  <c r="B11" i="43"/>
  <c r="A11" i="43"/>
  <c r="G10" i="43"/>
  <c r="E10" i="43"/>
  <c r="D10" i="43"/>
  <c r="C10" i="43"/>
  <c r="H10" i="43"/>
  <c r="I10" i="43"/>
  <c r="B10" i="43"/>
  <c r="A10" i="43"/>
  <c r="D9" i="43"/>
  <c r="C9" i="43"/>
  <c r="H9" i="43"/>
  <c r="I9" i="43"/>
  <c r="B9" i="43"/>
  <c r="A9" i="43"/>
  <c r="C8" i="43"/>
  <c r="H8" i="43"/>
  <c r="I8" i="43"/>
  <c r="B8" i="43"/>
  <c r="A8" i="43"/>
  <c r="G81" i="42"/>
  <c r="F81" i="42"/>
  <c r="D81" i="42"/>
  <c r="C81" i="42"/>
  <c r="B81" i="42"/>
  <c r="A81" i="42"/>
  <c r="G80" i="42"/>
  <c r="F80" i="42"/>
  <c r="D80" i="42"/>
  <c r="H80" i="42"/>
  <c r="I80" i="42"/>
  <c r="C80" i="42"/>
  <c r="B80" i="42"/>
  <c r="A80" i="42"/>
  <c r="G79" i="42"/>
  <c r="F79" i="42"/>
  <c r="D79" i="42"/>
  <c r="C79" i="42"/>
  <c r="B79" i="42"/>
  <c r="A79" i="42"/>
  <c r="G78" i="42"/>
  <c r="F78" i="42"/>
  <c r="D78" i="42"/>
  <c r="C78" i="42"/>
  <c r="H78" i="42"/>
  <c r="I78" i="42"/>
  <c r="B78" i="42"/>
  <c r="A78" i="42"/>
  <c r="G77" i="42"/>
  <c r="F77" i="42"/>
  <c r="D77" i="42"/>
  <c r="C77" i="42"/>
  <c r="B77" i="42"/>
  <c r="A77" i="42"/>
  <c r="G76" i="42"/>
  <c r="F76" i="42"/>
  <c r="D76" i="42"/>
  <c r="H76" i="42"/>
  <c r="I76" i="42"/>
  <c r="C76" i="42"/>
  <c r="B76" i="42"/>
  <c r="A76" i="42"/>
  <c r="G75" i="42"/>
  <c r="F75" i="42"/>
  <c r="E75" i="42"/>
  <c r="D75" i="42"/>
  <c r="C75" i="42"/>
  <c r="B75" i="42"/>
  <c r="A75" i="42"/>
  <c r="G74" i="42"/>
  <c r="F74" i="42"/>
  <c r="D74" i="42"/>
  <c r="C74" i="42"/>
  <c r="H74" i="42"/>
  <c r="I74" i="42"/>
  <c r="B74" i="42"/>
  <c r="A74" i="42"/>
  <c r="G73" i="42"/>
  <c r="F73" i="42"/>
  <c r="D73" i="42"/>
  <c r="C73" i="42"/>
  <c r="B73" i="42"/>
  <c r="A73" i="42"/>
  <c r="G72" i="42"/>
  <c r="F72" i="42"/>
  <c r="H72" i="42"/>
  <c r="I72" i="42"/>
  <c r="D72" i="42"/>
  <c r="C72" i="42"/>
  <c r="B72" i="42"/>
  <c r="A72" i="42"/>
  <c r="G71" i="42"/>
  <c r="F71" i="42"/>
  <c r="E71" i="42"/>
  <c r="D71" i="42"/>
  <c r="C71" i="42"/>
  <c r="B71" i="42"/>
  <c r="A71" i="42"/>
  <c r="G70" i="42"/>
  <c r="F70" i="42"/>
  <c r="C70" i="42"/>
  <c r="H70" i="42"/>
  <c r="I70" i="42"/>
  <c r="D70" i="42"/>
  <c r="B70" i="42"/>
  <c r="A70" i="42"/>
  <c r="G69" i="42"/>
  <c r="F69" i="42"/>
  <c r="D69" i="42"/>
  <c r="C69" i="42"/>
  <c r="B69" i="42"/>
  <c r="A69" i="42"/>
  <c r="G68" i="42"/>
  <c r="F68" i="42"/>
  <c r="C68" i="42"/>
  <c r="D68" i="42"/>
  <c r="H68" i="42"/>
  <c r="I68" i="42"/>
  <c r="B68" i="42"/>
  <c r="A68" i="42"/>
  <c r="G67" i="42"/>
  <c r="F67" i="42"/>
  <c r="D67" i="42"/>
  <c r="C67" i="42"/>
  <c r="B67" i="42"/>
  <c r="A67" i="42"/>
  <c r="G66" i="42"/>
  <c r="F66" i="42"/>
  <c r="C66" i="42"/>
  <c r="H66" i="42"/>
  <c r="I66" i="42"/>
  <c r="D66" i="42"/>
  <c r="B66" i="42"/>
  <c r="A66" i="42"/>
  <c r="G65" i="42"/>
  <c r="F65" i="42"/>
  <c r="D65" i="42"/>
  <c r="C65" i="42"/>
  <c r="B65" i="42"/>
  <c r="A65" i="42"/>
  <c r="G52" i="42"/>
  <c r="H52" i="42"/>
  <c r="I52" i="42"/>
  <c r="D52" i="42"/>
  <c r="C52" i="42"/>
  <c r="B52" i="42"/>
  <c r="A52" i="42"/>
  <c r="G51" i="42"/>
  <c r="D51" i="42"/>
  <c r="C51" i="42"/>
  <c r="B51" i="42"/>
  <c r="A51" i="42"/>
  <c r="G50" i="42"/>
  <c r="F50" i="42"/>
  <c r="E50" i="42"/>
  <c r="D50" i="42"/>
  <c r="C50" i="42"/>
  <c r="H50" i="42"/>
  <c r="I50" i="42"/>
  <c r="B50" i="42"/>
  <c r="A50" i="42"/>
  <c r="G49" i="42"/>
  <c r="D49" i="42"/>
  <c r="C49" i="42"/>
  <c r="B49" i="42"/>
  <c r="A49" i="42"/>
  <c r="G48" i="42"/>
  <c r="D48" i="42"/>
  <c r="C48" i="42"/>
  <c r="H48" i="42"/>
  <c r="I48" i="42"/>
  <c r="B48" i="42"/>
  <c r="A48" i="42"/>
  <c r="G47" i="42"/>
  <c r="D47" i="42"/>
  <c r="C47" i="42"/>
  <c r="B47" i="42"/>
  <c r="A47" i="42"/>
  <c r="G46" i="42"/>
  <c r="F46" i="42"/>
  <c r="C46" i="42"/>
  <c r="D46" i="42"/>
  <c r="E46" i="42"/>
  <c r="B46" i="42"/>
  <c r="A46" i="42"/>
  <c r="G45" i="42"/>
  <c r="D45" i="42"/>
  <c r="C45" i="42"/>
  <c r="B45" i="42"/>
  <c r="A45" i="42"/>
  <c r="G44" i="42"/>
  <c r="D44" i="42"/>
  <c r="C44" i="42"/>
  <c r="H44" i="42"/>
  <c r="I44" i="42"/>
  <c r="B44" i="42"/>
  <c r="A44" i="42"/>
  <c r="G43" i="42"/>
  <c r="F43" i="42"/>
  <c r="E43" i="42"/>
  <c r="D43" i="42"/>
  <c r="C43" i="42"/>
  <c r="B43" i="42"/>
  <c r="A43" i="42"/>
  <c r="G42" i="42"/>
  <c r="F42" i="42"/>
  <c r="C42" i="42"/>
  <c r="H42" i="42"/>
  <c r="I42" i="42"/>
  <c r="D42" i="42"/>
  <c r="E42" i="42"/>
  <c r="B42" i="42"/>
  <c r="A42" i="42"/>
  <c r="G41" i="42"/>
  <c r="D41" i="42"/>
  <c r="C41" i="42"/>
  <c r="B41" i="42"/>
  <c r="A41" i="42"/>
  <c r="G40" i="42"/>
  <c r="F40" i="42"/>
  <c r="C40" i="42"/>
  <c r="D40" i="42"/>
  <c r="E40" i="42"/>
  <c r="H40" i="42"/>
  <c r="I40" i="42"/>
  <c r="B40" i="42"/>
  <c r="A40" i="42"/>
  <c r="G39" i="42"/>
  <c r="D39" i="42"/>
  <c r="C39" i="42"/>
  <c r="B39" i="42"/>
  <c r="A39" i="42"/>
  <c r="G38" i="42"/>
  <c r="C38" i="42"/>
  <c r="H38" i="42"/>
  <c r="I38" i="42"/>
  <c r="B38" i="42"/>
  <c r="A38" i="42"/>
  <c r="G37" i="42"/>
  <c r="D37" i="42"/>
  <c r="C37" i="42"/>
  <c r="B37" i="42"/>
  <c r="A37" i="42"/>
  <c r="G36" i="42"/>
  <c r="H36" i="42"/>
  <c r="I36" i="42"/>
  <c r="C36" i="42"/>
  <c r="D36" i="42"/>
  <c r="B36" i="42"/>
  <c r="A36" i="42"/>
  <c r="G24" i="42"/>
  <c r="E24" i="42"/>
  <c r="D24" i="42"/>
  <c r="C24" i="42"/>
  <c r="B24" i="42"/>
  <c r="A24" i="42"/>
  <c r="D23" i="42"/>
  <c r="C23" i="42"/>
  <c r="H23" i="42"/>
  <c r="I23" i="42"/>
  <c r="B23" i="42"/>
  <c r="A23" i="42"/>
  <c r="G22" i="42"/>
  <c r="E22" i="42"/>
  <c r="D22" i="42"/>
  <c r="C22" i="42"/>
  <c r="B22" i="42"/>
  <c r="A22" i="42"/>
  <c r="D21" i="42"/>
  <c r="C21" i="42"/>
  <c r="B21" i="42"/>
  <c r="A21" i="42"/>
  <c r="G20" i="42"/>
  <c r="E20" i="42"/>
  <c r="D20" i="42"/>
  <c r="C20" i="42"/>
  <c r="B20" i="42"/>
  <c r="A20" i="42"/>
  <c r="D19" i="42"/>
  <c r="C19" i="42"/>
  <c r="H19" i="42"/>
  <c r="I19" i="42"/>
  <c r="B19" i="42"/>
  <c r="A19" i="42"/>
  <c r="G18" i="42"/>
  <c r="E18" i="42"/>
  <c r="D18" i="42"/>
  <c r="C18" i="42"/>
  <c r="B18" i="42"/>
  <c r="A18" i="42"/>
  <c r="G17" i="42"/>
  <c r="E17" i="42"/>
  <c r="H17" i="42"/>
  <c r="I17" i="42"/>
  <c r="D17" i="42"/>
  <c r="C17" i="42"/>
  <c r="B17" i="42"/>
  <c r="A17" i="42"/>
  <c r="G16" i="42"/>
  <c r="E16" i="42"/>
  <c r="D16" i="42"/>
  <c r="C16" i="42"/>
  <c r="B16" i="42"/>
  <c r="A16" i="42"/>
  <c r="G15" i="42"/>
  <c r="E15" i="42"/>
  <c r="D15" i="42"/>
  <c r="C15" i="42"/>
  <c r="H15" i="42"/>
  <c r="I15" i="42"/>
  <c r="B15" i="42"/>
  <c r="A15" i="42"/>
  <c r="G14" i="42"/>
  <c r="E14" i="42"/>
  <c r="D14" i="42"/>
  <c r="C14" i="42"/>
  <c r="B14" i="42"/>
  <c r="A14" i="42"/>
  <c r="G13" i="42"/>
  <c r="E13" i="42"/>
  <c r="D13" i="42"/>
  <c r="C13" i="42"/>
  <c r="B13" i="42"/>
  <c r="A13" i="42"/>
  <c r="G12" i="42"/>
  <c r="E12" i="42"/>
  <c r="C12" i="42"/>
  <c r="H12" i="42"/>
  <c r="I12" i="42"/>
  <c r="D12" i="42"/>
  <c r="B12" i="42"/>
  <c r="A12" i="42"/>
  <c r="G11" i="42"/>
  <c r="E11" i="42"/>
  <c r="D11" i="42"/>
  <c r="C11" i="42"/>
  <c r="B11" i="42"/>
  <c r="A11" i="42"/>
  <c r="G10" i="42"/>
  <c r="E10" i="42"/>
  <c r="D10" i="42"/>
  <c r="C10" i="42"/>
  <c r="B10" i="42"/>
  <c r="A10" i="42"/>
  <c r="G9" i="42"/>
  <c r="E9" i="42"/>
  <c r="D9" i="42"/>
  <c r="C9" i="42"/>
  <c r="B9" i="42"/>
  <c r="A9" i="42"/>
  <c r="G8" i="42"/>
  <c r="E8" i="42"/>
  <c r="H8" i="42"/>
  <c r="I8" i="42"/>
  <c r="C8" i="42"/>
  <c r="D8" i="42"/>
  <c r="B8" i="42"/>
  <c r="A8" i="42"/>
  <c r="H24" i="43"/>
  <c r="I24" i="43"/>
  <c r="H21" i="42"/>
  <c r="I21" i="42"/>
  <c r="D33" i="35"/>
  <c r="D34" i="35"/>
  <c r="D36" i="35"/>
  <c r="D38" i="35"/>
  <c r="D41" i="35"/>
  <c r="C41" i="35"/>
  <c r="G41" i="35"/>
  <c r="H41" i="35"/>
  <c r="I41" i="35"/>
  <c r="D42" i="35"/>
  <c r="D45" i="35"/>
  <c r="D44" i="35"/>
  <c r="D8" i="35"/>
  <c r="D9" i="35"/>
  <c r="D11" i="35"/>
  <c r="D13" i="35"/>
  <c r="D16" i="35"/>
  <c r="C16" i="35"/>
  <c r="G16" i="35"/>
  <c r="H16" i="35"/>
  <c r="I16" i="35"/>
  <c r="D17" i="35"/>
  <c r="D20" i="35"/>
  <c r="D19" i="35"/>
  <c r="C19" i="35"/>
  <c r="H19" i="35"/>
  <c r="I19" i="35"/>
  <c r="D33" i="34"/>
  <c r="D34" i="34"/>
  <c r="D36" i="34"/>
  <c r="D38" i="34"/>
  <c r="D41" i="34"/>
  <c r="D42" i="34"/>
  <c r="D45" i="34"/>
  <c r="D44" i="34"/>
  <c r="D8" i="34"/>
  <c r="D9" i="34"/>
  <c r="D11" i="34"/>
  <c r="D13" i="34"/>
  <c r="D16" i="34"/>
  <c r="C16" i="34"/>
  <c r="H16" i="34"/>
  <c r="I16" i="34"/>
  <c r="D17" i="34"/>
  <c r="D20" i="34"/>
  <c r="D19" i="34"/>
  <c r="D34" i="33"/>
  <c r="D33" i="33"/>
  <c r="D36" i="33"/>
  <c r="D38" i="33"/>
  <c r="D41" i="33"/>
  <c r="D42" i="33"/>
  <c r="D49" i="33"/>
  <c r="D45" i="33"/>
  <c r="D8" i="33"/>
  <c r="D9" i="33"/>
  <c r="D11" i="33"/>
  <c r="D13" i="33"/>
  <c r="D16" i="33"/>
  <c r="D17" i="33"/>
  <c r="D24" i="33"/>
  <c r="D20" i="33"/>
  <c r="D19" i="33"/>
  <c r="G75" i="35"/>
  <c r="F75" i="35"/>
  <c r="D75" i="35"/>
  <c r="C75" i="35"/>
  <c r="B75" i="35"/>
  <c r="A75" i="35"/>
  <c r="G74" i="35"/>
  <c r="F74" i="35"/>
  <c r="D74" i="35"/>
  <c r="C74" i="35"/>
  <c r="B74" i="35"/>
  <c r="A74" i="35"/>
  <c r="G73" i="35"/>
  <c r="F73" i="35"/>
  <c r="D73" i="35"/>
  <c r="C73" i="35"/>
  <c r="B73" i="35"/>
  <c r="A73" i="35"/>
  <c r="G72" i="35"/>
  <c r="F72" i="35"/>
  <c r="D72" i="35"/>
  <c r="C72" i="35"/>
  <c r="B72" i="35"/>
  <c r="A72" i="35"/>
  <c r="G71" i="35"/>
  <c r="F71" i="35"/>
  <c r="D71" i="35"/>
  <c r="C71" i="35"/>
  <c r="B71" i="35"/>
  <c r="A71" i="35"/>
  <c r="G70" i="35"/>
  <c r="F70" i="35"/>
  <c r="D70" i="35"/>
  <c r="C70" i="35"/>
  <c r="H70" i="35"/>
  <c r="I70" i="35"/>
  <c r="B70" i="35"/>
  <c r="A70" i="35"/>
  <c r="G69" i="35"/>
  <c r="F69" i="35"/>
  <c r="E69" i="35"/>
  <c r="D69" i="35"/>
  <c r="C69" i="35"/>
  <c r="B69" i="35"/>
  <c r="A69" i="35"/>
  <c r="G68" i="35"/>
  <c r="F68" i="35"/>
  <c r="D68" i="35"/>
  <c r="C68" i="35"/>
  <c r="H68" i="35"/>
  <c r="B68" i="35"/>
  <c r="A68" i="35"/>
  <c r="G67" i="35"/>
  <c r="F67" i="35"/>
  <c r="D67" i="35"/>
  <c r="C67" i="35"/>
  <c r="B67" i="35"/>
  <c r="A67" i="35"/>
  <c r="G66" i="35"/>
  <c r="F66" i="35"/>
  <c r="D66" i="35"/>
  <c r="C66" i="35"/>
  <c r="H66" i="35"/>
  <c r="I66" i="35"/>
  <c r="B66" i="35"/>
  <c r="A66" i="35"/>
  <c r="G65" i="35"/>
  <c r="F65" i="35"/>
  <c r="E65" i="35"/>
  <c r="D65" i="35"/>
  <c r="C65" i="35"/>
  <c r="B65" i="35"/>
  <c r="A65" i="35"/>
  <c r="G64" i="35"/>
  <c r="F64" i="35"/>
  <c r="C64" i="35"/>
  <c r="D64" i="35"/>
  <c r="H64" i="35"/>
  <c r="B64" i="35"/>
  <c r="A64" i="35"/>
  <c r="G63" i="35"/>
  <c r="F63" i="35"/>
  <c r="D63" i="35"/>
  <c r="C63" i="35"/>
  <c r="B63" i="35"/>
  <c r="A63" i="35"/>
  <c r="G62" i="35"/>
  <c r="F62" i="35"/>
  <c r="D62" i="35"/>
  <c r="C62" i="35"/>
  <c r="B62" i="35"/>
  <c r="A62" i="35"/>
  <c r="G61" i="35"/>
  <c r="F61" i="35"/>
  <c r="D61" i="35"/>
  <c r="C61" i="35"/>
  <c r="B61" i="35"/>
  <c r="A61" i="35"/>
  <c r="G60" i="35"/>
  <c r="F60" i="35"/>
  <c r="D60" i="35"/>
  <c r="C60" i="35"/>
  <c r="B60" i="35"/>
  <c r="A60" i="35"/>
  <c r="G59" i="35"/>
  <c r="F59" i="35"/>
  <c r="D59" i="35"/>
  <c r="C59" i="35"/>
  <c r="B59" i="35"/>
  <c r="A59" i="35"/>
  <c r="G49" i="35"/>
  <c r="F49" i="35"/>
  <c r="E49" i="35"/>
  <c r="D49" i="35"/>
  <c r="C49" i="35"/>
  <c r="H49" i="35"/>
  <c r="I49" i="35"/>
  <c r="B49" i="35"/>
  <c r="A49" i="35"/>
  <c r="G48" i="35"/>
  <c r="F48" i="35"/>
  <c r="E48" i="35"/>
  <c r="D48" i="35"/>
  <c r="C48" i="35"/>
  <c r="B48" i="35"/>
  <c r="A48" i="35"/>
  <c r="G47" i="35"/>
  <c r="F47" i="35"/>
  <c r="E47" i="35"/>
  <c r="D47" i="35"/>
  <c r="C47" i="35"/>
  <c r="B47" i="35"/>
  <c r="A47" i="35"/>
  <c r="G46" i="35"/>
  <c r="D46" i="35"/>
  <c r="C46" i="35"/>
  <c r="B46" i="35"/>
  <c r="A46" i="35"/>
  <c r="G45" i="35"/>
  <c r="C45" i="35"/>
  <c r="B45" i="35"/>
  <c r="A45" i="35"/>
  <c r="G44" i="35"/>
  <c r="C44" i="35"/>
  <c r="B44" i="35"/>
  <c r="A44" i="35"/>
  <c r="G43" i="35"/>
  <c r="F43" i="35"/>
  <c r="C43" i="35"/>
  <c r="D43" i="35"/>
  <c r="H43" i="35"/>
  <c r="I43" i="35"/>
  <c r="E43" i="35"/>
  <c r="B43" i="35"/>
  <c r="A43" i="35"/>
  <c r="G42" i="35"/>
  <c r="C42" i="35"/>
  <c r="B42" i="35"/>
  <c r="A42" i="35"/>
  <c r="B41" i="35"/>
  <c r="A41" i="35"/>
  <c r="G40" i="35"/>
  <c r="F40" i="35"/>
  <c r="E40" i="35"/>
  <c r="C40" i="35"/>
  <c r="D40" i="35"/>
  <c r="H40" i="35"/>
  <c r="I40" i="35"/>
  <c r="B40" i="35"/>
  <c r="A40" i="35"/>
  <c r="G39" i="35"/>
  <c r="F39" i="35"/>
  <c r="E39" i="35"/>
  <c r="D39" i="35"/>
  <c r="C39" i="35"/>
  <c r="B39" i="35"/>
  <c r="A39" i="35"/>
  <c r="G38" i="35"/>
  <c r="C38" i="35"/>
  <c r="B38" i="35"/>
  <c r="A38" i="35"/>
  <c r="G37" i="35"/>
  <c r="F37" i="35"/>
  <c r="E37" i="35"/>
  <c r="C37" i="35"/>
  <c r="D37" i="35"/>
  <c r="H37" i="35"/>
  <c r="I37" i="35"/>
  <c r="B37" i="35"/>
  <c r="A37" i="35"/>
  <c r="G36" i="35"/>
  <c r="C36" i="35"/>
  <c r="B36" i="35"/>
  <c r="A36" i="35"/>
  <c r="G35" i="35"/>
  <c r="F35" i="35"/>
  <c r="E35" i="35"/>
  <c r="D35" i="35"/>
  <c r="C35" i="35"/>
  <c r="B35" i="35"/>
  <c r="A35" i="35"/>
  <c r="G34" i="35"/>
  <c r="C34" i="35"/>
  <c r="B34" i="35"/>
  <c r="A34" i="35"/>
  <c r="G33" i="35"/>
  <c r="C33" i="35"/>
  <c r="B33" i="35"/>
  <c r="A33" i="35"/>
  <c r="G24" i="35"/>
  <c r="E24" i="35"/>
  <c r="D24" i="35"/>
  <c r="C24" i="35"/>
  <c r="B24" i="35"/>
  <c r="A24" i="35"/>
  <c r="G23" i="35"/>
  <c r="E23" i="35"/>
  <c r="D23" i="35"/>
  <c r="C23" i="35"/>
  <c r="B23" i="35"/>
  <c r="A23" i="35"/>
  <c r="G22" i="35"/>
  <c r="E22" i="35"/>
  <c r="D22" i="35"/>
  <c r="C22" i="35"/>
  <c r="H22" i="35"/>
  <c r="I22" i="35"/>
  <c r="B22" i="35"/>
  <c r="A22" i="35"/>
  <c r="D21" i="35"/>
  <c r="C21" i="35"/>
  <c r="H21" i="35"/>
  <c r="I21" i="35"/>
  <c r="B21" i="35"/>
  <c r="A21" i="35"/>
  <c r="G20" i="35"/>
  <c r="C20" i="35"/>
  <c r="H20" i="35"/>
  <c r="I20" i="35"/>
  <c r="B20" i="35"/>
  <c r="A20" i="35"/>
  <c r="B19" i="35"/>
  <c r="A19" i="35"/>
  <c r="G18" i="35"/>
  <c r="E18" i="35"/>
  <c r="D18" i="35"/>
  <c r="C18" i="35"/>
  <c r="B18" i="35"/>
  <c r="A18" i="35"/>
  <c r="G17" i="35"/>
  <c r="C17" i="35"/>
  <c r="H17" i="35"/>
  <c r="I17" i="35"/>
  <c r="B17" i="35"/>
  <c r="A17" i="35"/>
  <c r="B16" i="35"/>
  <c r="A16" i="35"/>
  <c r="G15" i="35"/>
  <c r="E15" i="35"/>
  <c r="D15" i="35"/>
  <c r="C15" i="35"/>
  <c r="B15" i="35"/>
  <c r="A15" i="35"/>
  <c r="G14" i="35"/>
  <c r="E14" i="35"/>
  <c r="C14" i="35"/>
  <c r="H14" i="35"/>
  <c r="I14" i="35"/>
  <c r="D14" i="35"/>
  <c r="B14" i="35"/>
  <c r="A14" i="35"/>
  <c r="G13" i="35"/>
  <c r="C13" i="35"/>
  <c r="B13" i="35"/>
  <c r="A13" i="35"/>
  <c r="G12" i="35"/>
  <c r="E12" i="35"/>
  <c r="D12" i="35"/>
  <c r="C12" i="35"/>
  <c r="H12" i="35"/>
  <c r="I12" i="35"/>
  <c r="B12" i="35"/>
  <c r="A12" i="35"/>
  <c r="G11" i="35"/>
  <c r="C11" i="35"/>
  <c r="B11" i="35"/>
  <c r="A11" i="35"/>
  <c r="G10" i="35"/>
  <c r="E10" i="35"/>
  <c r="D10" i="35"/>
  <c r="C10" i="35"/>
  <c r="B10" i="35"/>
  <c r="A10" i="35"/>
  <c r="G9" i="35"/>
  <c r="C9" i="35"/>
  <c r="B9" i="35"/>
  <c r="A9" i="35"/>
  <c r="G8" i="35"/>
  <c r="C8" i="35"/>
  <c r="B8" i="35"/>
  <c r="A8" i="35"/>
  <c r="G75" i="34"/>
  <c r="F75" i="34"/>
  <c r="C75" i="34"/>
  <c r="D75" i="34"/>
  <c r="H75" i="34"/>
  <c r="I75" i="34"/>
  <c r="B75" i="34"/>
  <c r="A75" i="34"/>
  <c r="G74" i="34"/>
  <c r="F74" i="34"/>
  <c r="D74" i="34"/>
  <c r="C74" i="34"/>
  <c r="B74" i="34"/>
  <c r="A74" i="34"/>
  <c r="G73" i="34"/>
  <c r="F73" i="34"/>
  <c r="C73" i="34"/>
  <c r="H73" i="34"/>
  <c r="I73" i="34"/>
  <c r="D73" i="34"/>
  <c r="B73" i="34"/>
  <c r="A73" i="34"/>
  <c r="G72" i="34"/>
  <c r="F72" i="34"/>
  <c r="D72" i="34"/>
  <c r="C72" i="34"/>
  <c r="B72" i="34"/>
  <c r="A72" i="34"/>
  <c r="G71" i="34"/>
  <c r="F71" i="34"/>
  <c r="C71" i="34"/>
  <c r="D71" i="34"/>
  <c r="H71" i="34"/>
  <c r="I71" i="34"/>
  <c r="B71" i="34"/>
  <c r="A71" i="34"/>
  <c r="G70" i="34"/>
  <c r="F70" i="34"/>
  <c r="D70" i="34"/>
  <c r="C70" i="34"/>
  <c r="B70" i="34"/>
  <c r="A70" i="34"/>
  <c r="G69" i="34"/>
  <c r="F69" i="34"/>
  <c r="C69" i="34"/>
  <c r="H69" i="34"/>
  <c r="I69" i="34"/>
  <c r="D69" i="34"/>
  <c r="E69" i="34"/>
  <c r="B69" i="34"/>
  <c r="A69" i="34"/>
  <c r="G68" i="34"/>
  <c r="F68" i="34"/>
  <c r="D68" i="34"/>
  <c r="C68" i="34"/>
  <c r="B68" i="34"/>
  <c r="A68" i="34"/>
  <c r="G67" i="34"/>
  <c r="C67" i="34"/>
  <c r="D67" i="34"/>
  <c r="F67" i="34"/>
  <c r="H67" i="34"/>
  <c r="I67" i="34"/>
  <c r="B67" i="34"/>
  <c r="A67" i="34"/>
  <c r="G66" i="34"/>
  <c r="F66" i="34"/>
  <c r="D66" i="34"/>
  <c r="C66" i="34"/>
  <c r="B66" i="34"/>
  <c r="A66" i="34"/>
  <c r="G65" i="34"/>
  <c r="F65" i="34"/>
  <c r="E65" i="34"/>
  <c r="D65" i="34"/>
  <c r="C65" i="34"/>
  <c r="H65" i="34"/>
  <c r="I65" i="34"/>
  <c r="B65" i="34"/>
  <c r="A65" i="34"/>
  <c r="G64" i="34"/>
  <c r="F64" i="34"/>
  <c r="D64" i="34"/>
  <c r="C64" i="34"/>
  <c r="B64" i="34"/>
  <c r="A64" i="34"/>
  <c r="G63" i="34"/>
  <c r="F63" i="34"/>
  <c r="D63" i="34"/>
  <c r="C63" i="34"/>
  <c r="H63" i="34"/>
  <c r="I63" i="34"/>
  <c r="B63" i="34"/>
  <c r="A63" i="34"/>
  <c r="G62" i="34"/>
  <c r="F62" i="34"/>
  <c r="D62" i="34"/>
  <c r="C62" i="34"/>
  <c r="B62" i="34"/>
  <c r="A62" i="34"/>
  <c r="G61" i="34"/>
  <c r="F61" i="34"/>
  <c r="H61" i="34"/>
  <c r="I61" i="34"/>
  <c r="D61" i="34"/>
  <c r="C61" i="34"/>
  <c r="B61" i="34"/>
  <c r="A61" i="34"/>
  <c r="G60" i="34"/>
  <c r="F60" i="34"/>
  <c r="D60" i="34"/>
  <c r="C60" i="34"/>
  <c r="B60" i="34"/>
  <c r="A60" i="34"/>
  <c r="G59" i="34"/>
  <c r="F59" i="34"/>
  <c r="D59" i="34"/>
  <c r="C59" i="34"/>
  <c r="H59" i="34"/>
  <c r="I59" i="34"/>
  <c r="B59" i="34"/>
  <c r="A59" i="34"/>
  <c r="G49" i="34"/>
  <c r="F49" i="34"/>
  <c r="E49" i="34"/>
  <c r="D49" i="34"/>
  <c r="C49" i="34"/>
  <c r="B49" i="34"/>
  <c r="A49" i="34"/>
  <c r="G48" i="34"/>
  <c r="F48" i="34"/>
  <c r="E48" i="34"/>
  <c r="C48" i="34"/>
  <c r="H48" i="34"/>
  <c r="I48" i="34"/>
  <c r="D48" i="34"/>
  <c r="B48" i="34"/>
  <c r="A48" i="34"/>
  <c r="G47" i="34"/>
  <c r="F47" i="34"/>
  <c r="E47" i="34"/>
  <c r="D47" i="34"/>
  <c r="C47" i="34"/>
  <c r="B47" i="34"/>
  <c r="A47" i="34"/>
  <c r="G46" i="34"/>
  <c r="H46" i="34"/>
  <c r="I46" i="34"/>
  <c r="C46" i="34"/>
  <c r="D46" i="34"/>
  <c r="B46" i="34"/>
  <c r="A46" i="34"/>
  <c r="G45" i="34"/>
  <c r="C45" i="34"/>
  <c r="B45" i="34"/>
  <c r="A45" i="34"/>
  <c r="G44" i="34"/>
  <c r="C44" i="34"/>
  <c r="B44" i="34"/>
  <c r="A44" i="34"/>
  <c r="G43" i="34"/>
  <c r="F43" i="34"/>
  <c r="E43" i="34"/>
  <c r="D43" i="34"/>
  <c r="C43" i="34"/>
  <c r="B43" i="34"/>
  <c r="A43" i="34"/>
  <c r="G42" i="34"/>
  <c r="C42" i="34"/>
  <c r="H42" i="34"/>
  <c r="I42" i="34"/>
  <c r="B42" i="34"/>
  <c r="A42" i="34"/>
  <c r="G41" i="34"/>
  <c r="C41" i="34"/>
  <c r="B41" i="34"/>
  <c r="A41" i="34"/>
  <c r="G40" i="34"/>
  <c r="F40" i="34"/>
  <c r="E40" i="34"/>
  <c r="D40" i="34"/>
  <c r="C40" i="34"/>
  <c r="H40" i="34"/>
  <c r="I40" i="34"/>
  <c r="B40" i="34"/>
  <c r="A40" i="34"/>
  <c r="G39" i="34"/>
  <c r="F39" i="34"/>
  <c r="E39" i="34"/>
  <c r="D39" i="34"/>
  <c r="C39" i="34"/>
  <c r="B39" i="34"/>
  <c r="A39" i="34"/>
  <c r="G38" i="34"/>
  <c r="C38" i="34"/>
  <c r="B38" i="34"/>
  <c r="A38" i="34"/>
  <c r="G37" i="34"/>
  <c r="F37" i="34"/>
  <c r="E37" i="34"/>
  <c r="D37" i="34"/>
  <c r="C37" i="34"/>
  <c r="B37" i="34"/>
  <c r="A37" i="34"/>
  <c r="G36" i="34"/>
  <c r="C36" i="34"/>
  <c r="B36" i="34"/>
  <c r="A36" i="34"/>
  <c r="G35" i="34"/>
  <c r="F35" i="34"/>
  <c r="E35" i="34"/>
  <c r="D35" i="34"/>
  <c r="C35" i="34"/>
  <c r="B35" i="34"/>
  <c r="A35" i="34"/>
  <c r="G34" i="34"/>
  <c r="C34" i="34"/>
  <c r="H34" i="34"/>
  <c r="I34" i="34"/>
  <c r="B34" i="34"/>
  <c r="A34" i="34"/>
  <c r="G33" i="34"/>
  <c r="C33" i="34"/>
  <c r="B33" i="34"/>
  <c r="A33" i="34"/>
  <c r="G24" i="34"/>
  <c r="E24" i="34"/>
  <c r="D24" i="34"/>
  <c r="C24" i="34"/>
  <c r="B24" i="34"/>
  <c r="A24" i="34"/>
  <c r="G23" i="34"/>
  <c r="C23" i="34"/>
  <c r="H23" i="34"/>
  <c r="I23" i="34"/>
  <c r="D23" i="34"/>
  <c r="E23" i="34"/>
  <c r="B23" i="34"/>
  <c r="A23" i="34"/>
  <c r="G22" i="34"/>
  <c r="E22" i="34"/>
  <c r="D22" i="34"/>
  <c r="C22" i="34"/>
  <c r="B22" i="34"/>
  <c r="A22" i="34"/>
  <c r="D21" i="34"/>
  <c r="C21" i="34"/>
  <c r="H21" i="34"/>
  <c r="I21" i="34"/>
  <c r="B21" i="34"/>
  <c r="A21" i="34"/>
  <c r="C20" i="34"/>
  <c r="B20" i="34"/>
  <c r="A20" i="34"/>
  <c r="C19" i="34"/>
  <c r="B19" i="34"/>
  <c r="A19" i="34"/>
  <c r="G18" i="34"/>
  <c r="E18" i="34"/>
  <c r="D18" i="34"/>
  <c r="C18" i="34"/>
  <c r="B18" i="34"/>
  <c r="A18" i="34"/>
  <c r="C17" i="34"/>
  <c r="B17" i="34"/>
  <c r="A17" i="34"/>
  <c r="B16" i="34"/>
  <c r="A16" i="34"/>
  <c r="G15" i="34"/>
  <c r="E15" i="34"/>
  <c r="D15" i="34"/>
  <c r="C15" i="34"/>
  <c r="B15" i="34"/>
  <c r="A15" i="34"/>
  <c r="G14" i="34"/>
  <c r="E14" i="34"/>
  <c r="D14" i="34"/>
  <c r="C14" i="34"/>
  <c r="B14" i="34"/>
  <c r="A14" i="34"/>
  <c r="C13" i="34"/>
  <c r="B13" i="34"/>
  <c r="A13" i="34"/>
  <c r="G12" i="34"/>
  <c r="E12" i="34"/>
  <c r="C12" i="34"/>
  <c r="H12" i="34"/>
  <c r="I12" i="34"/>
  <c r="D12" i="34"/>
  <c r="B12" i="34"/>
  <c r="A12" i="34"/>
  <c r="C11" i="34"/>
  <c r="B11" i="34"/>
  <c r="A11" i="34"/>
  <c r="G10" i="34"/>
  <c r="E10" i="34"/>
  <c r="D10" i="34"/>
  <c r="C10" i="34"/>
  <c r="B10" i="34"/>
  <c r="A10" i="34"/>
  <c r="C9" i="34"/>
  <c r="B9" i="34"/>
  <c r="A9" i="34"/>
  <c r="C8" i="34"/>
  <c r="B8" i="34"/>
  <c r="A8" i="34"/>
  <c r="D44" i="33"/>
  <c r="G75" i="33"/>
  <c r="F75" i="33"/>
  <c r="D75" i="33"/>
  <c r="C75" i="33"/>
  <c r="B75" i="33"/>
  <c r="A75" i="33"/>
  <c r="G74" i="33"/>
  <c r="F74" i="33"/>
  <c r="C74" i="33"/>
  <c r="D74" i="33"/>
  <c r="H74" i="33"/>
  <c r="I74" i="33"/>
  <c r="B74" i="33"/>
  <c r="A74" i="33"/>
  <c r="G73" i="33"/>
  <c r="F73" i="33"/>
  <c r="D73" i="33"/>
  <c r="C73" i="33"/>
  <c r="B73" i="33"/>
  <c r="A73" i="33"/>
  <c r="G72" i="33"/>
  <c r="F72" i="33"/>
  <c r="C72" i="33"/>
  <c r="H72" i="33"/>
  <c r="I72" i="33"/>
  <c r="D72" i="33"/>
  <c r="B72" i="33"/>
  <c r="A72" i="33"/>
  <c r="G71" i="33"/>
  <c r="F71" i="33"/>
  <c r="D71" i="33"/>
  <c r="C71" i="33"/>
  <c r="B71" i="33"/>
  <c r="A71" i="33"/>
  <c r="G70" i="33"/>
  <c r="F70" i="33"/>
  <c r="C70" i="33"/>
  <c r="D70" i="33"/>
  <c r="H70" i="33"/>
  <c r="I70" i="33"/>
  <c r="B70" i="33"/>
  <c r="A70" i="33"/>
  <c r="G69" i="33"/>
  <c r="F69" i="33"/>
  <c r="E69" i="33"/>
  <c r="D69" i="33"/>
  <c r="C69" i="33"/>
  <c r="B69" i="33"/>
  <c r="A69" i="33"/>
  <c r="G68" i="33"/>
  <c r="C68" i="33"/>
  <c r="D68" i="33"/>
  <c r="F68" i="33"/>
  <c r="H68" i="33"/>
  <c r="I68" i="33"/>
  <c r="B68" i="33"/>
  <c r="A68" i="33"/>
  <c r="G67" i="33"/>
  <c r="F67" i="33"/>
  <c r="D67" i="33"/>
  <c r="C67" i="33"/>
  <c r="B67" i="33"/>
  <c r="A67" i="33"/>
  <c r="G66" i="33"/>
  <c r="C66" i="33"/>
  <c r="D66" i="33"/>
  <c r="H66" i="33"/>
  <c r="I66" i="33"/>
  <c r="F66" i="33"/>
  <c r="B66" i="33"/>
  <c r="A66" i="33"/>
  <c r="G65" i="33"/>
  <c r="F65" i="33"/>
  <c r="E65" i="33"/>
  <c r="C65" i="33"/>
  <c r="H65" i="33"/>
  <c r="I65" i="33"/>
  <c r="D65" i="33"/>
  <c r="B65" i="33"/>
  <c r="A65" i="33"/>
  <c r="G64" i="33"/>
  <c r="F64" i="33"/>
  <c r="D64" i="33"/>
  <c r="C64" i="33"/>
  <c r="H64" i="33"/>
  <c r="I64" i="33"/>
  <c r="B64" i="33"/>
  <c r="A64" i="33"/>
  <c r="G63" i="33"/>
  <c r="F63" i="33"/>
  <c r="C63" i="33"/>
  <c r="H63" i="33"/>
  <c r="I63" i="33"/>
  <c r="D63" i="33"/>
  <c r="B63" i="33"/>
  <c r="A63" i="33"/>
  <c r="G62" i="33"/>
  <c r="F62" i="33"/>
  <c r="D62" i="33"/>
  <c r="C62" i="33"/>
  <c r="H62" i="33"/>
  <c r="I62" i="33"/>
  <c r="B62" i="33"/>
  <c r="A62" i="33"/>
  <c r="G61" i="33"/>
  <c r="F61" i="33"/>
  <c r="C61" i="33"/>
  <c r="H61" i="33"/>
  <c r="I61" i="33"/>
  <c r="D61" i="33"/>
  <c r="B61" i="33"/>
  <c r="A61" i="33"/>
  <c r="G60" i="33"/>
  <c r="F60" i="33"/>
  <c r="D60" i="33"/>
  <c r="C60" i="33"/>
  <c r="H60" i="33"/>
  <c r="I60" i="33"/>
  <c r="B60" i="33"/>
  <c r="A60" i="33"/>
  <c r="G59" i="33"/>
  <c r="F59" i="33"/>
  <c r="C59" i="33"/>
  <c r="H59" i="33"/>
  <c r="I59" i="33"/>
  <c r="D59" i="33"/>
  <c r="B59" i="33"/>
  <c r="A59" i="33"/>
  <c r="G49" i="33"/>
  <c r="C49" i="33"/>
  <c r="B49" i="33"/>
  <c r="A49" i="33"/>
  <c r="G48" i="33"/>
  <c r="D48" i="33"/>
  <c r="C48" i="33"/>
  <c r="B48" i="33"/>
  <c r="A48" i="33"/>
  <c r="G47" i="33"/>
  <c r="F47" i="33"/>
  <c r="E47" i="33"/>
  <c r="C47" i="33"/>
  <c r="D47" i="33"/>
  <c r="H47" i="33"/>
  <c r="I47" i="33"/>
  <c r="B47" i="33"/>
  <c r="A47" i="33"/>
  <c r="G46" i="33"/>
  <c r="D46" i="33"/>
  <c r="C46" i="33"/>
  <c r="B46" i="33"/>
  <c r="A46" i="33"/>
  <c r="G45" i="33"/>
  <c r="C45" i="33"/>
  <c r="B45" i="33"/>
  <c r="A45" i="33"/>
  <c r="G44" i="33"/>
  <c r="C44" i="33"/>
  <c r="B44" i="33"/>
  <c r="A44" i="33"/>
  <c r="G43" i="33"/>
  <c r="F43" i="33"/>
  <c r="E43" i="33"/>
  <c r="C43" i="33"/>
  <c r="H43" i="33"/>
  <c r="I43" i="33"/>
  <c r="D43" i="33"/>
  <c r="B43" i="33"/>
  <c r="A43" i="33"/>
  <c r="G42" i="33"/>
  <c r="C42" i="33"/>
  <c r="B42" i="33"/>
  <c r="A42" i="33"/>
  <c r="G41" i="33"/>
  <c r="C41" i="33"/>
  <c r="B41" i="33"/>
  <c r="A41" i="33"/>
  <c r="G40" i="33"/>
  <c r="F40" i="33"/>
  <c r="E40" i="33"/>
  <c r="D40" i="33"/>
  <c r="C40" i="33"/>
  <c r="H40" i="33"/>
  <c r="I40" i="33"/>
  <c r="B40" i="33"/>
  <c r="A40" i="33"/>
  <c r="G39" i="33"/>
  <c r="F39" i="33"/>
  <c r="E39" i="33"/>
  <c r="D39" i="33"/>
  <c r="C39" i="33"/>
  <c r="H39" i="33"/>
  <c r="I39" i="33"/>
  <c r="B39" i="33"/>
  <c r="A39" i="33"/>
  <c r="G38" i="33"/>
  <c r="C38" i="33"/>
  <c r="H38" i="33"/>
  <c r="I38" i="33"/>
  <c r="B38" i="33"/>
  <c r="A38" i="33"/>
  <c r="G37" i="33"/>
  <c r="F37" i="33"/>
  <c r="E37" i="33"/>
  <c r="D37" i="33"/>
  <c r="C37" i="33"/>
  <c r="B37" i="33"/>
  <c r="A37" i="33"/>
  <c r="G36" i="33"/>
  <c r="C36" i="33"/>
  <c r="B36" i="33"/>
  <c r="A36" i="33"/>
  <c r="G35" i="33"/>
  <c r="F35" i="33"/>
  <c r="E35" i="33"/>
  <c r="C35" i="33"/>
  <c r="H35" i="33"/>
  <c r="I35" i="33"/>
  <c r="D35" i="33"/>
  <c r="B35" i="33"/>
  <c r="A35" i="33"/>
  <c r="G34" i="33"/>
  <c r="C34" i="33"/>
  <c r="B34" i="33"/>
  <c r="A34" i="33"/>
  <c r="G33" i="33"/>
  <c r="C33" i="33"/>
  <c r="B33" i="33"/>
  <c r="A33" i="33"/>
  <c r="G24" i="33"/>
  <c r="E24" i="33"/>
  <c r="C24" i="33"/>
  <c r="B24" i="33"/>
  <c r="A24" i="33"/>
  <c r="D23" i="33"/>
  <c r="C23" i="33"/>
  <c r="H23" i="33"/>
  <c r="I23" i="33"/>
  <c r="B23" i="33"/>
  <c r="A23" i="33"/>
  <c r="G22" i="33"/>
  <c r="E22" i="33"/>
  <c r="D22" i="33"/>
  <c r="C22" i="33"/>
  <c r="H22" i="33"/>
  <c r="I22" i="33"/>
  <c r="B22" i="33"/>
  <c r="A22" i="33"/>
  <c r="D21" i="33"/>
  <c r="C21" i="33"/>
  <c r="H21" i="33"/>
  <c r="I21" i="33"/>
  <c r="B21" i="33"/>
  <c r="A21" i="33"/>
  <c r="G20" i="33"/>
  <c r="C20" i="33"/>
  <c r="H20" i="33"/>
  <c r="I20" i="33"/>
  <c r="E20" i="33"/>
  <c r="B20" i="33"/>
  <c r="A20" i="33"/>
  <c r="C19" i="33"/>
  <c r="B19" i="33"/>
  <c r="A19" i="33"/>
  <c r="G18" i="33"/>
  <c r="C18" i="33"/>
  <c r="D18" i="33"/>
  <c r="H18" i="33"/>
  <c r="I18" i="33"/>
  <c r="E18" i="33"/>
  <c r="B18" i="33"/>
  <c r="A18" i="33"/>
  <c r="G17" i="33"/>
  <c r="E17" i="33"/>
  <c r="C17" i="33"/>
  <c r="H17" i="33"/>
  <c r="I17" i="33"/>
  <c r="B17" i="33"/>
  <c r="A17" i="33"/>
  <c r="G16" i="33"/>
  <c r="E16" i="33"/>
  <c r="C16" i="33"/>
  <c r="H16" i="33"/>
  <c r="I16" i="33"/>
  <c r="B16" i="33"/>
  <c r="A16" i="33"/>
  <c r="G15" i="33"/>
  <c r="E15" i="33"/>
  <c r="D15" i="33"/>
  <c r="C15" i="33"/>
  <c r="H15" i="33"/>
  <c r="I15" i="33"/>
  <c r="B15" i="33"/>
  <c r="A15" i="33"/>
  <c r="G14" i="33"/>
  <c r="E14" i="33"/>
  <c r="D14" i="33"/>
  <c r="C14" i="33"/>
  <c r="H14" i="33"/>
  <c r="I14" i="33"/>
  <c r="B14" i="33"/>
  <c r="A14" i="33"/>
  <c r="G13" i="33"/>
  <c r="C13" i="33"/>
  <c r="H13" i="33"/>
  <c r="I13" i="33"/>
  <c r="E13" i="33"/>
  <c r="B13" i="33"/>
  <c r="A13" i="33"/>
  <c r="G12" i="33"/>
  <c r="E12" i="33"/>
  <c r="D12" i="33"/>
  <c r="C12" i="33"/>
  <c r="H12" i="33"/>
  <c r="I12" i="33"/>
  <c r="B12" i="33"/>
  <c r="A12" i="33"/>
  <c r="G11" i="33"/>
  <c r="E11" i="33"/>
  <c r="C11" i="33"/>
  <c r="H11" i="33"/>
  <c r="I11" i="33"/>
  <c r="B11" i="33"/>
  <c r="A11" i="33"/>
  <c r="G10" i="33"/>
  <c r="C10" i="33"/>
  <c r="D10" i="33"/>
  <c r="H10" i="33"/>
  <c r="I10" i="33"/>
  <c r="E10" i="33"/>
  <c r="B10" i="33"/>
  <c r="A10" i="33"/>
  <c r="G9" i="33"/>
  <c r="E9" i="33"/>
  <c r="C9" i="33"/>
  <c r="H9" i="33"/>
  <c r="I9" i="33"/>
  <c r="B9" i="33"/>
  <c r="A9" i="33"/>
  <c r="G8" i="33"/>
  <c r="H8" i="33"/>
  <c r="I8" i="33"/>
  <c r="E8" i="33"/>
  <c r="C8" i="33"/>
  <c r="B8" i="33"/>
  <c r="A8" i="33"/>
  <c r="H75" i="35"/>
  <c r="I75" i="35"/>
  <c r="H74" i="35"/>
  <c r="I74" i="35"/>
  <c r="H73" i="35"/>
  <c r="I73" i="35"/>
  <c r="H72" i="35"/>
  <c r="I72" i="35"/>
  <c r="H71" i="35"/>
  <c r="I71" i="35"/>
  <c r="H69" i="35"/>
  <c r="I69" i="35"/>
  <c r="I68" i="35"/>
  <c r="H67" i="35"/>
  <c r="I67" i="35"/>
  <c r="H65" i="35"/>
  <c r="I65" i="35"/>
  <c r="I64" i="35"/>
  <c r="H63" i="35"/>
  <c r="I63" i="35"/>
  <c r="H62" i="35"/>
  <c r="I62" i="35"/>
  <c r="H61" i="35"/>
  <c r="I61" i="35"/>
  <c r="H60" i="35"/>
  <c r="I60" i="35"/>
  <c r="H59" i="35"/>
  <c r="I59" i="35"/>
  <c r="H48" i="35"/>
  <c r="I48" i="35"/>
  <c r="H46" i="35"/>
  <c r="I46" i="35"/>
  <c r="H45" i="35"/>
  <c r="I45" i="35"/>
  <c r="H44" i="35"/>
  <c r="I44" i="35"/>
  <c r="H42" i="35"/>
  <c r="I42" i="35"/>
  <c r="H38" i="35"/>
  <c r="I38" i="35"/>
  <c r="H36" i="35"/>
  <c r="I36" i="35"/>
  <c r="H34" i="35"/>
  <c r="I34" i="35"/>
  <c r="H18" i="35"/>
  <c r="I18" i="35"/>
  <c r="H11" i="35"/>
  <c r="I11" i="35"/>
  <c r="H8" i="35"/>
  <c r="I8" i="35"/>
  <c r="H74" i="34"/>
  <c r="I74" i="34"/>
  <c r="H72" i="34"/>
  <c r="I72" i="34"/>
  <c r="H70" i="34"/>
  <c r="I70" i="34"/>
  <c r="H68" i="34"/>
  <c r="I68" i="34"/>
  <c r="H66" i="34"/>
  <c r="I66" i="34"/>
  <c r="H64" i="34"/>
  <c r="I64" i="34"/>
  <c r="H62" i="34"/>
  <c r="I62" i="34"/>
  <c r="H60" i="34"/>
  <c r="I60" i="34"/>
  <c r="H49" i="34"/>
  <c r="I49" i="34"/>
  <c r="H47" i="34"/>
  <c r="I47" i="34"/>
  <c r="H45" i="34"/>
  <c r="I45" i="34"/>
  <c r="H44" i="34"/>
  <c r="I44" i="34"/>
  <c r="H43" i="34"/>
  <c r="I43" i="34"/>
  <c r="H41" i="34"/>
  <c r="I41" i="34"/>
  <c r="H39" i="34"/>
  <c r="I39" i="34"/>
  <c r="H38" i="34"/>
  <c r="I38" i="34"/>
  <c r="H37" i="34"/>
  <c r="I37" i="34"/>
  <c r="H36" i="34"/>
  <c r="I36" i="34"/>
  <c r="H35" i="34"/>
  <c r="I35" i="34"/>
  <c r="H33" i="34"/>
  <c r="I33" i="34"/>
  <c r="H20" i="34"/>
  <c r="I20" i="34"/>
  <c r="H19" i="34"/>
  <c r="I19" i="34"/>
  <c r="H17" i="34"/>
  <c r="I17" i="34"/>
  <c r="H15" i="34"/>
  <c r="I15" i="34"/>
  <c r="H13" i="34"/>
  <c r="I13" i="34"/>
  <c r="H11" i="34"/>
  <c r="I11" i="34"/>
  <c r="H9" i="34"/>
  <c r="I9" i="34"/>
  <c r="H8" i="34"/>
  <c r="I8" i="34"/>
  <c r="H75" i="33"/>
  <c r="I75" i="33"/>
  <c r="H73" i="33"/>
  <c r="I73" i="33"/>
  <c r="H71" i="33"/>
  <c r="I71" i="33"/>
  <c r="H69" i="33"/>
  <c r="I69" i="33"/>
  <c r="H67" i="33"/>
  <c r="I67" i="33"/>
  <c r="H49" i="33"/>
  <c r="I49" i="33"/>
  <c r="H48" i="33"/>
  <c r="I48" i="33"/>
  <c r="H46" i="33"/>
  <c r="I46" i="33"/>
  <c r="H45" i="33"/>
  <c r="I45" i="33"/>
  <c r="H44" i="33"/>
  <c r="I44" i="33"/>
  <c r="H42" i="33"/>
  <c r="I42" i="33"/>
  <c r="H41" i="33"/>
  <c r="I41" i="33"/>
  <c r="H36" i="33"/>
  <c r="I36" i="33"/>
  <c r="H34" i="33"/>
  <c r="I34" i="33"/>
  <c r="H33" i="33"/>
  <c r="I33" i="33"/>
  <c r="H24" i="33"/>
  <c r="I24" i="33"/>
  <c r="H19" i="33"/>
  <c r="I19" i="33"/>
  <c r="E8" i="31"/>
  <c r="E33" i="31"/>
  <c r="E43" i="31"/>
  <c r="E44" i="31"/>
  <c r="E45" i="31"/>
  <c r="E47" i="31"/>
  <c r="E48" i="31"/>
  <c r="E49" i="31"/>
  <c r="E35" i="31"/>
  <c r="E36" i="31"/>
  <c r="E37" i="31"/>
  <c r="E38" i="31"/>
  <c r="E39" i="31"/>
  <c r="E40" i="31"/>
  <c r="E41" i="31"/>
  <c r="E42" i="31"/>
  <c r="E34" i="31"/>
  <c r="E14" i="31"/>
  <c r="E15" i="31"/>
  <c r="E16" i="31"/>
  <c r="C16" i="31"/>
  <c r="D16" i="31"/>
  <c r="G16" i="31"/>
  <c r="H16" i="31"/>
  <c r="I16" i="31"/>
  <c r="E17" i="31"/>
  <c r="E18" i="31"/>
  <c r="E19" i="31"/>
  <c r="E20" i="31"/>
  <c r="E22" i="31"/>
  <c r="E23" i="31"/>
  <c r="E24" i="31"/>
  <c r="E10" i="31"/>
  <c r="E11" i="31"/>
  <c r="E12" i="31"/>
  <c r="E13" i="31"/>
  <c r="E9" i="31"/>
  <c r="C59" i="31"/>
  <c r="D59" i="31"/>
  <c r="F59" i="31"/>
  <c r="G59" i="31"/>
  <c r="C60" i="31"/>
  <c r="D60" i="31"/>
  <c r="F60" i="31"/>
  <c r="G60" i="31"/>
  <c r="C61" i="31"/>
  <c r="D61" i="31"/>
  <c r="H61" i="31"/>
  <c r="F61" i="31"/>
  <c r="G61" i="31"/>
  <c r="I61" i="31"/>
  <c r="C62" i="31"/>
  <c r="D62" i="31"/>
  <c r="F62" i="31"/>
  <c r="G62" i="31"/>
  <c r="C63" i="31"/>
  <c r="D63" i="31"/>
  <c r="F63" i="31"/>
  <c r="G63" i="31"/>
  <c r="H63" i="31"/>
  <c r="I63" i="31"/>
  <c r="C64" i="31"/>
  <c r="D64" i="31"/>
  <c r="F64" i="31"/>
  <c r="G64" i="31"/>
  <c r="C65" i="31"/>
  <c r="D65" i="31"/>
  <c r="E65" i="31"/>
  <c r="F65" i="31"/>
  <c r="G65" i="31"/>
  <c r="C66" i="31"/>
  <c r="D66" i="31"/>
  <c r="F66" i="31"/>
  <c r="G66" i="31"/>
  <c r="C67" i="31"/>
  <c r="D67" i="31"/>
  <c r="F67" i="31"/>
  <c r="G67" i="31"/>
  <c r="C68" i="31"/>
  <c r="D68" i="31"/>
  <c r="F68" i="31"/>
  <c r="G68" i="31"/>
  <c r="H68" i="31"/>
  <c r="I68" i="31"/>
  <c r="C69" i="31"/>
  <c r="D69" i="31"/>
  <c r="E69" i="31"/>
  <c r="H69" i="31"/>
  <c r="I69" i="31"/>
  <c r="F69" i="31"/>
  <c r="G69" i="31"/>
  <c r="C70" i="31"/>
  <c r="D70" i="31"/>
  <c r="F70" i="31"/>
  <c r="G70" i="31"/>
  <c r="H70" i="31"/>
  <c r="I70" i="31"/>
  <c r="C71" i="31"/>
  <c r="D71" i="31"/>
  <c r="F71" i="31"/>
  <c r="G71" i="31"/>
  <c r="C72" i="31"/>
  <c r="D72" i="31"/>
  <c r="F72" i="31"/>
  <c r="G72" i="31"/>
  <c r="C73" i="31"/>
  <c r="D73" i="31"/>
  <c r="F73" i="31"/>
  <c r="G73" i="31"/>
  <c r="C74" i="31"/>
  <c r="D74" i="31"/>
  <c r="F74" i="31"/>
  <c r="G74" i="31"/>
  <c r="H74" i="31"/>
  <c r="I74" i="31"/>
  <c r="C75" i="31"/>
  <c r="D75" i="31"/>
  <c r="F75" i="31"/>
  <c r="G75" i="31"/>
  <c r="C34" i="31"/>
  <c r="D34" i="31"/>
  <c r="H34" i="31"/>
  <c r="I34" i="31"/>
  <c r="F34" i="31"/>
  <c r="G34" i="31"/>
  <c r="C35" i="31"/>
  <c r="D35" i="31"/>
  <c r="F35" i="31"/>
  <c r="G35" i="31"/>
  <c r="H35" i="31"/>
  <c r="I35" i="31"/>
  <c r="C36" i="31"/>
  <c r="D36" i="31"/>
  <c r="F36" i="31"/>
  <c r="G36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H39" i="31"/>
  <c r="I39" i="31"/>
  <c r="C40" i="31"/>
  <c r="D40" i="31"/>
  <c r="H40" i="31"/>
  <c r="I40" i="31"/>
  <c r="F40" i="31"/>
  <c r="G40" i="31"/>
  <c r="C41" i="31"/>
  <c r="D41" i="31"/>
  <c r="F41" i="31"/>
  <c r="G41" i="31"/>
  <c r="H41" i="31"/>
  <c r="I41" i="31"/>
  <c r="C42" i="31"/>
  <c r="D42" i="31"/>
  <c r="F42" i="31"/>
  <c r="G42" i="31"/>
  <c r="C43" i="31"/>
  <c r="D43" i="31"/>
  <c r="F43" i="31"/>
  <c r="H43" i="31"/>
  <c r="I43" i="31"/>
  <c r="G43" i="31"/>
  <c r="C44" i="31"/>
  <c r="D44" i="31"/>
  <c r="F44" i="31"/>
  <c r="G44" i="31"/>
  <c r="C45" i="31"/>
  <c r="D45" i="31"/>
  <c r="F45" i="31"/>
  <c r="G45" i="31"/>
  <c r="H45" i="31"/>
  <c r="I45" i="31"/>
  <c r="C46" i="31"/>
  <c r="H46" i="31"/>
  <c r="I46" i="31"/>
  <c r="D46" i="31"/>
  <c r="G46" i="31"/>
  <c r="C47" i="31"/>
  <c r="D47" i="31"/>
  <c r="F47" i="31"/>
  <c r="G47" i="31"/>
  <c r="C48" i="31"/>
  <c r="D48" i="31"/>
  <c r="H48" i="31"/>
  <c r="I48" i="31"/>
  <c r="F48" i="31"/>
  <c r="G48" i="31"/>
  <c r="C49" i="31"/>
  <c r="D49" i="31"/>
  <c r="F49" i="31"/>
  <c r="G49" i="31"/>
  <c r="C33" i="31"/>
  <c r="D33" i="31"/>
  <c r="H33" i="31"/>
  <c r="I33" i="31"/>
  <c r="F33" i="31"/>
  <c r="G33" i="31"/>
  <c r="C9" i="31"/>
  <c r="H9" i="31"/>
  <c r="I9" i="31"/>
  <c r="D9" i="31"/>
  <c r="G9" i="31"/>
  <c r="C10" i="31"/>
  <c r="D10" i="31"/>
  <c r="G10" i="31"/>
  <c r="C11" i="31"/>
  <c r="H11" i="31"/>
  <c r="I11" i="31"/>
  <c r="D11" i="31"/>
  <c r="G11" i="31"/>
  <c r="C12" i="31"/>
  <c r="H12" i="31"/>
  <c r="I12" i="31"/>
  <c r="D12" i="31"/>
  <c r="G12" i="31"/>
  <c r="C13" i="31"/>
  <c r="D13" i="31"/>
  <c r="G13" i="31"/>
  <c r="C14" i="31"/>
  <c r="H14" i="31"/>
  <c r="I14" i="31"/>
  <c r="D14" i="31"/>
  <c r="G14" i="31"/>
  <c r="C15" i="31"/>
  <c r="D15" i="31"/>
  <c r="G15" i="31"/>
  <c r="H15" i="31"/>
  <c r="I15" i="31"/>
  <c r="C17" i="31"/>
  <c r="H17" i="31"/>
  <c r="I17" i="31"/>
  <c r="D17" i="31"/>
  <c r="G17" i="31"/>
  <c r="C18" i="31"/>
  <c r="D18" i="31"/>
  <c r="G18" i="31"/>
  <c r="C19" i="31"/>
  <c r="H19" i="31"/>
  <c r="I19" i="31"/>
  <c r="D19" i="31"/>
  <c r="G19" i="31"/>
  <c r="C20" i="31"/>
  <c r="H20" i="31"/>
  <c r="I20" i="31"/>
  <c r="D20" i="31"/>
  <c r="G20" i="31"/>
  <c r="C21" i="31"/>
  <c r="H21" i="31"/>
  <c r="I21" i="31"/>
  <c r="D21" i="31"/>
  <c r="C22" i="31"/>
  <c r="H22" i="31"/>
  <c r="I22" i="31"/>
  <c r="D22" i="31"/>
  <c r="G22" i="31"/>
  <c r="C23" i="31"/>
  <c r="D23" i="31"/>
  <c r="G23" i="31"/>
  <c r="C24" i="31"/>
  <c r="H24" i="31"/>
  <c r="I24" i="31"/>
  <c r="D24" i="31"/>
  <c r="G24" i="31"/>
  <c r="C8" i="31"/>
  <c r="D8" i="31"/>
  <c r="G8" i="31"/>
  <c r="H8" i="31"/>
  <c r="I8" i="31"/>
  <c r="A60" i="31"/>
  <c r="B60" i="31"/>
  <c r="A61" i="31"/>
  <c r="B61" i="31"/>
  <c r="A62" i="31"/>
  <c r="B62" i="31"/>
  <c r="A63" i="31"/>
  <c r="B63" i="31"/>
  <c r="A64" i="31"/>
  <c r="B64" i="31"/>
  <c r="A65" i="31"/>
  <c r="B65" i="31"/>
  <c r="A66" i="31"/>
  <c r="B66" i="31"/>
  <c r="A67" i="31"/>
  <c r="B67" i="31"/>
  <c r="A68" i="31"/>
  <c r="B68" i="31"/>
  <c r="A69" i="31"/>
  <c r="B69" i="31"/>
  <c r="A70" i="31"/>
  <c r="B70" i="31"/>
  <c r="A71" i="31"/>
  <c r="B71" i="31"/>
  <c r="A72" i="31"/>
  <c r="B72" i="31"/>
  <c r="A73" i="31"/>
  <c r="B73" i="31"/>
  <c r="A74" i="31"/>
  <c r="B74" i="31"/>
  <c r="A75" i="31"/>
  <c r="B75" i="31"/>
  <c r="B59" i="31"/>
  <c r="B49" i="31"/>
  <c r="A59" i="31"/>
  <c r="A49" i="31"/>
  <c r="A34" i="31"/>
  <c r="B34" i="31"/>
  <c r="A35" i="31"/>
  <c r="B35" i="31"/>
  <c r="A36" i="31"/>
  <c r="B36" i="31"/>
  <c r="A37" i="31"/>
  <c r="B37" i="31"/>
  <c r="A38" i="31"/>
  <c r="B38" i="31"/>
  <c r="A39" i="31"/>
  <c r="B39" i="31"/>
  <c r="A40" i="31"/>
  <c r="B40" i="31"/>
  <c r="A41" i="31"/>
  <c r="B41" i="31"/>
  <c r="A42" i="31"/>
  <c r="B42" i="31"/>
  <c r="A43" i="31"/>
  <c r="B43" i="31"/>
  <c r="A44" i="31"/>
  <c r="B44" i="31"/>
  <c r="A45" i="31"/>
  <c r="B45" i="31"/>
  <c r="A46" i="31"/>
  <c r="B46" i="31"/>
  <c r="A47" i="31"/>
  <c r="B47" i="31"/>
  <c r="A48" i="31"/>
  <c r="B48" i="31"/>
  <c r="B33" i="31"/>
  <c r="B24" i="31"/>
  <c r="A33" i="31"/>
  <c r="A24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8" i="31"/>
  <c r="A9" i="31"/>
  <c r="A10" i="31"/>
  <c r="A11" i="31"/>
  <c r="A12" i="31"/>
  <c r="A13" i="31"/>
  <c r="A14" i="31"/>
  <c r="A15" i="31"/>
  <c r="A16" i="31"/>
  <c r="A17" i="31"/>
  <c r="A18" i="31"/>
  <c r="A19" i="31"/>
  <c r="A20" i="31"/>
  <c r="A21" i="31"/>
  <c r="A22" i="31"/>
  <c r="A23" i="31"/>
  <c r="A8" i="31"/>
  <c r="C39" i="14"/>
  <c r="C40" i="14"/>
  <c r="C41" i="14"/>
  <c r="C42" i="14"/>
  <c r="C43" i="14"/>
  <c r="C44" i="14"/>
  <c r="E39" i="14"/>
  <c r="E40" i="14"/>
  <c r="E41" i="14"/>
  <c r="E42" i="14"/>
  <c r="F39" i="14"/>
  <c r="F40" i="14"/>
  <c r="F43" i="14"/>
  <c r="F44" i="14"/>
  <c r="F41" i="14"/>
  <c r="F42" i="14"/>
  <c r="G42" i="14"/>
  <c r="C23" i="14"/>
  <c r="C25" i="14"/>
  <c r="C26" i="14"/>
  <c r="D26" i="14"/>
  <c r="G26" i="14"/>
  <c r="E26" i="14"/>
  <c r="F26" i="14"/>
  <c r="C27" i="14"/>
  <c r="D23" i="14"/>
  <c r="D24" i="14"/>
  <c r="D25" i="14"/>
  <c r="E23" i="14"/>
  <c r="E27" i="14"/>
  <c r="E28" i="14"/>
  <c r="E24" i="14"/>
  <c r="E25" i="14"/>
  <c r="F23" i="14"/>
  <c r="F24" i="14"/>
  <c r="F25" i="14"/>
  <c r="F27" i="14"/>
  <c r="F28" i="14"/>
  <c r="C9" i="14"/>
  <c r="C11" i="14"/>
  <c r="D9" i="14"/>
  <c r="D12" i="14"/>
  <c r="D13" i="14"/>
  <c r="D10" i="14"/>
  <c r="D11" i="14"/>
  <c r="E9" i="14"/>
  <c r="E10" i="14"/>
  <c r="E11" i="14"/>
  <c r="E12" i="14"/>
  <c r="E13" i="14"/>
  <c r="F9" i="14"/>
  <c r="F12" i="14"/>
  <c r="F13" i="14"/>
  <c r="F10" i="14"/>
  <c r="F11" i="14"/>
  <c r="G11" i="14"/>
  <c r="D9" i="4"/>
  <c r="E9" i="4"/>
  <c r="E10" i="4"/>
  <c r="E11" i="4"/>
  <c r="E12" i="4"/>
  <c r="E13" i="4"/>
  <c r="D10" i="4"/>
  <c r="D11" i="4"/>
  <c r="D12" i="4"/>
  <c r="D13" i="4"/>
  <c r="C39" i="4"/>
  <c r="C40" i="4"/>
  <c r="C41" i="4"/>
  <c r="C42" i="4"/>
  <c r="E42" i="4"/>
  <c r="F42" i="4"/>
  <c r="G42" i="4"/>
  <c r="E39" i="4"/>
  <c r="E40" i="4"/>
  <c r="E41" i="4"/>
  <c r="E43" i="4"/>
  <c r="E44" i="4"/>
  <c r="F39" i="4"/>
  <c r="F40" i="4"/>
  <c r="F41" i="4"/>
  <c r="C23" i="4"/>
  <c r="C25" i="4"/>
  <c r="C26" i="4"/>
  <c r="C27" i="4"/>
  <c r="D23" i="4"/>
  <c r="D24" i="4"/>
  <c r="D27" i="4"/>
  <c r="D28" i="4"/>
  <c r="D25" i="4"/>
  <c r="D26" i="4"/>
  <c r="G26" i="4"/>
  <c r="E23" i="4"/>
  <c r="E24" i="4"/>
  <c r="E27" i="4"/>
  <c r="E28" i="4"/>
  <c r="E25" i="4"/>
  <c r="E26" i="4"/>
  <c r="F23" i="4"/>
  <c r="F24" i="4"/>
  <c r="F25" i="4"/>
  <c r="F27" i="4"/>
  <c r="F28" i="4"/>
  <c r="F26" i="4"/>
  <c r="C9" i="4"/>
  <c r="C12" i="4"/>
  <c r="C11" i="4"/>
  <c r="F11" i="4"/>
  <c r="G11" i="4"/>
  <c r="F9" i="4"/>
  <c r="F10" i="4"/>
  <c r="F12" i="4"/>
  <c r="F13" i="4"/>
  <c r="D9" i="3"/>
  <c r="E9" i="3"/>
  <c r="E10" i="3"/>
  <c r="E12" i="3"/>
  <c r="E13" i="3"/>
  <c r="E11" i="3"/>
  <c r="D10" i="3"/>
  <c r="D12" i="3"/>
  <c r="D13" i="3"/>
  <c r="C39" i="3"/>
  <c r="C40" i="3"/>
  <c r="C41" i="3"/>
  <c r="C42" i="3"/>
  <c r="C43" i="3"/>
  <c r="E39" i="3"/>
  <c r="E40" i="3"/>
  <c r="E41" i="3"/>
  <c r="E43" i="3"/>
  <c r="E44" i="3"/>
  <c r="E42" i="3"/>
  <c r="F42" i="3"/>
  <c r="G42" i="3"/>
  <c r="F39" i="3"/>
  <c r="F40" i="3"/>
  <c r="F41" i="3"/>
  <c r="F43" i="3"/>
  <c r="F44" i="3"/>
  <c r="C23" i="3"/>
  <c r="C25" i="3"/>
  <c r="C27" i="3"/>
  <c r="C26" i="3"/>
  <c r="G26" i="3"/>
  <c r="D26" i="3"/>
  <c r="E26" i="3"/>
  <c r="F26" i="3"/>
  <c r="D23" i="3"/>
  <c r="D24" i="3"/>
  <c r="D27" i="3"/>
  <c r="D28" i="3"/>
  <c r="D25" i="3"/>
  <c r="E23" i="3"/>
  <c r="E27" i="3"/>
  <c r="E28" i="3"/>
  <c r="E24" i="3"/>
  <c r="E25" i="3"/>
  <c r="F23" i="3"/>
  <c r="F27" i="3"/>
  <c r="F28" i="3"/>
  <c r="F24" i="3"/>
  <c r="F25" i="3"/>
  <c r="D11" i="3"/>
  <c r="C9" i="3"/>
  <c r="C12" i="3"/>
  <c r="C11" i="3"/>
  <c r="F9" i="3"/>
  <c r="F12" i="3"/>
  <c r="F13" i="3"/>
  <c r="F10" i="3"/>
  <c r="F11" i="3"/>
  <c r="G11" i="3"/>
  <c r="C40" i="2"/>
  <c r="C25" i="2"/>
  <c r="E24" i="2"/>
  <c r="E23" i="2"/>
  <c r="F42" i="2"/>
  <c r="F39" i="2"/>
  <c r="F40" i="2"/>
  <c r="F43" i="2"/>
  <c r="F44" i="2"/>
  <c r="F41" i="2"/>
  <c r="C39" i="2"/>
  <c r="C43" i="2"/>
  <c r="C41" i="2"/>
  <c r="C42" i="2"/>
  <c r="E42" i="2"/>
  <c r="G42" i="2"/>
  <c r="E39" i="2"/>
  <c r="E40" i="2"/>
  <c r="E41" i="2"/>
  <c r="E43" i="2"/>
  <c r="E44" i="2"/>
  <c r="C23" i="2"/>
  <c r="C26" i="2"/>
  <c r="C27" i="2"/>
  <c r="D23" i="2"/>
  <c r="D24" i="2"/>
  <c r="D25" i="2"/>
  <c r="D26" i="2"/>
  <c r="G26" i="2"/>
  <c r="E26" i="2"/>
  <c r="F26" i="2"/>
  <c r="D27" i="2"/>
  <c r="D28" i="2"/>
  <c r="E25" i="2"/>
  <c r="E27" i="2"/>
  <c r="E28" i="2"/>
  <c r="F23" i="2"/>
  <c r="F24" i="2"/>
  <c r="F25" i="2"/>
  <c r="F27" i="2"/>
  <c r="F28" i="2"/>
  <c r="C9" i="2"/>
  <c r="C11" i="2"/>
  <c r="C12" i="2"/>
  <c r="D9" i="2"/>
  <c r="D10" i="2"/>
  <c r="D11" i="2"/>
  <c r="D12" i="2"/>
  <c r="D13" i="2"/>
  <c r="E9" i="2"/>
  <c r="E12" i="2"/>
  <c r="E13" i="2"/>
  <c r="E10" i="2"/>
  <c r="E11" i="2"/>
  <c r="F9" i="2"/>
  <c r="F12" i="2"/>
  <c r="F13" i="2"/>
  <c r="F10" i="2"/>
  <c r="F11" i="2"/>
  <c r="G11" i="2"/>
  <c r="D26" i="15"/>
  <c r="D25" i="15"/>
  <c r="D11" i="15"/>
  <c r="D10" i="15"/>
  <c r="D13" i="15"/>
  <c r="D14" i="15"/>
  <c r="D9" i="15"/>
  <c r="D12" i="15"/>
  <c r="C43" i="15"/>
  <c r="C42" i="15"/>
  <c r="C41" i="15"/>
  <c r="C45" i="15"/>
  <c r="C44" i="15"/>
  <c r="E44" i="15"/>
  <c r="D44" i="15"/>
  <c r="F44" i="15"/>
  <c r="E43" i="15"/>
  <c r="D43" i="15"/>
  <c r="E42" i="15"/>
  <c r="D42" i="15"/>
  <c r="E41" i="15"/>
  <c r="E45" i="15"/>
  <c r="E46" i="15"/>
  <c r="D41" i="15"/>
  <c r="C24" i="15"/>
  <c r="E28" i="15"/>
  <c r="D28" i="15"/>
  <c r="C28" i="15"/>
  <c r="F28" i="15"/>
  <c r="E27" i="15"/>
  <c r="D27" i="15"/>
  <c r="C27" i="15"/>
  <c r="C29" i="15"/>
  <c r="E26" i="15"/>
  <c r="E24" i="15"/>
  <c r="E29" i="15"/>
  <c r="E30" i="15"/>
  <c r="D24" i="15"/>
  <c r="D29" i="15"/>
  <c r="D30" i="15"/>
  <c r="C9" i="15"/>
  <c r="E12" i="15"/>
  <c r="C12" i="15"/>
  <c r="E11" i="15"/>
  <c r="E9" i="15"/>
  <c r="E13" i="15"/>
  <c r="E14" i="15"/>
  <c r="D45" i="15"/>
  <c r="D46" i="15"/>
  <c r="C13" i="15"/>
  <c r="C14" i="15"/>
  <c r="F12" i="15"/>
  <c r="D11" i="17"/>
  <c r="D9" i="17"/>
  <c r="E44" i="17"/>
  <c r="D44" i="17"/>
  <c r="F44" i="17"/>
  <c r="C44" i="17"/>
  <c r="E43" i="17"/>
  <c r="D43" i="17"/>
  <c r="C43" i="17"/>
  <c r="E42" i="17"/>
  <c r="D42" i="17"/>
  <c r="D45" i="17"/>
  <c r="D46" i="17"/>
  <c r="C42" i="17"/>
  <c r="C41" i="17"/>
  <c r="C45" i="17"/>
  <c r="E41" i="17"/>
  <c r="E45" i="17"/>
  <c r="E46" i="17"/>
  <c r="D41" i="17"/>
  <c r="E28" i="17"/>
  <c r="D28" i="17"/>
  <c r="F28" i="17"/>
  <c r="C28" i="17"/>
  <c r="E27" i="17"/>
  <c r="D27" i="17"/>
  <c r="C27" i="17"/>
  <c r="C24" i="17"/>
  <c r="C29" i="17"/>
  <c r="E26" i="17"/>
  <c r="D26" i="17"/>
  <c r="D25" i="17"/>
  <c r="D24" i="17"/>
  <c r="D29" i="17"/>
  <c r="D30" i="17"/>
  <c r="E24" i="17"/>
  <c r="E29" i="17"/>
  <c r="C9" i="17"/>
  <c r="C13" i="17"/>
  <c r="D12" i="17"/>
  <c r="E12" i="17"/>
  <c r="C12" i="17"/>
  <c r="E11" i="17"/>
  <c r="D10" i="17"/>
  <c r="D13" i="17"/>
  <c r="D14" i="17"/>
  <c r="E9" i="17"/>
  <c r="E13" i="17"/>
  <c r="E14" i="17"/>
  <c r="C30" i="17"/>
  <c r="E30" i="17"/>
  <c r="F12" i="17"/>
  <c r="C84" i="19"/>
  <c r="D84" i="19"/>
  <c r="E84" i="19"/>
  <c r="F84" i="19"/>
  <c r="G84" i="19"/>
  <c r="H84" i="19"/>
  <c r="I84" i="19"/>
  <c r="J84" i="19"/>
  <c r="K84" i="19"/>
  <c r="M84" i="19"/>
  <c r="C9" i="19"/>
  <c r="C13" i="19"/>
  <c r="C14" i="19"/>
  <c r="C12" i="19"/>
  <c r="D9" i="19"/>
  <c r="D13" i="19"/>
  <c r="D14" i="19"/>
  <c r="D12" i="19"/>
  <c r="E9" i="19"/>
  <c r="E13" i="19"/>
  <c r="E14" i="19"/>
  <c r="E12" i="19"/>
  <c r="F9" i="19"/>
  <c r="F13" i="19"/>
  <c r="F14" i="19"/>
  <c r="F12" i="19"/>
  <c r="G9" i="19"/>
  <c r="G13" i="19"/>
  <c r="G14" i="19"/>
  <c r="G12" i="19"/>
  <c r="H9" i="19"/>
  <c r="H13" i="19"/>
  <c r="H14" i="19"/>
  <c r="H12" i="19"/>
  <c r="I9" i="19"/>
  <c r="I13" i="19"/>
  <c r="I14" i="19"/>
  <c r="I12" i="19"/>
  <c r="J9" i="19"/>
  <c r="J13" i="19"/>
  <c r="J14" i="19"/>
  <c r="J12" i="19"/>
  <c r="K9" i="19"/>
  <c r="K13" i="19"/>
  <c r="K14" i="19"/>
  <c r="K12" i="19"/>
  <c r="L9" i="19"/>
  <c r="L13" i="19"/>
  <c r="L14" i="19"/>
  <c r="L12" i="19"/>
  <c r="B89" i="19"/>
  <c r="B90" i="19"/>
  <c r="B91" i="19"/>
  <c r="B92" i="19"/>
  <c r="B93" i="19"/>
  <c r="B94" i="19"/>
  <c r="C92" i="19"/>
  <c r="C91" i="19"/>
  <c r="C90" i="19"/>
  <c r="C93" i="19"/>
  <c r="C94" i="19"/>
  <c r="C89" i="19"/>
  <c r="B81" i="19"/>
  <c r="B82" i="19"/>
  <c r="B85" i="19"/>
  <c r="B86" i="19"/>
  <c r="B83" i="19"/>
  <c r="B84" i="19"/>
  <c r="C83" i="19"/>
  <c r="C82" i="19"/>
  <c r="C81" i="19"/>
  <c r="C85" i="19"/>
  <c r="B73" i="19"/>
  <c r="B74" i="19"/>
  <c r="B75" i="19"/>
  <c r="B76" i="19"/>
  <c r="B77" i="19"/>
  <c r="B78" i="19"/>
  <c r="C76" i="19"/>
  <c r="C75" i="19"/>
  <c r="C74" i="19"/>
  <c r="C77" i="19"/>
  <c r="C78" i="19"/>
  <c r="C73" i="19"/>
  <c r="B57" i="19"/>
  <c r="B59" i="19"/>
  <c r="B60" i="19"/>
  <c r="B61" i="19"/>
  <c r="C61" i="19"/>
  <c r="C57" i="19"/>
  <c r="C62" i="19"/>
  <c r="C59" i="19"/>
  <c r="C60" i="19"/>
  <c r="B48" i="19"/>
  <c r="B49" i="19"/>
  <c r="B50" i="19"/>
  <c r="B51" i="19"/>
  <c r="B52" i="19"/>
  <c r="C52" i="19"/>
  <c r="C51" i="19"/>
  <c r="C50" i="19"/>
  <c r="C49" i="19"/>
  <c r="C48" i="19"/>
  <c r="B39" i="19"/>
  <c r="B42" i="19"/>
  <c r="B43" i="19"/>
  <c r="B44" i="19"/>
  <c r="B45" i="19"/>
  <c r="C43" i="19"/>
  <c r="C42" i="19"/>
  <c r="C39" i="19"/>
  <c r="B25" i="19"/>
  <c r="B27" i="19"/>
  <c r="B28" i="19"/>
  <c r="B29" i="19"/>
  <c r="B30" i="19"/>
  <c r="C28" i="19"/>
  <c r="C27" i="19"/>
  <c r="C25" i="19"/>
  <c r="B17" i="19"/>
  <c r="B18" i="19"/>
  <c r="B19" i="19"/>
  <c r="B21" i="19"/>
  <c r="B22" i="19"/>
  <c r="B20" i="19"/>
  <c r="C20" i="19"/>
  <c r="C19" i="19"/>
  <c r="C18" i="19"/>
  <c r="C17" i="19"/>
  <c r="B9" i="19"/>
  <c r="B13" i="19"/>
  <c r="B14" i="19"/>
  <c r="B12" i="19"/>
  <c r="D17" i="19"/>
  <c r="D18" i="19"/>
  <c r="D21" i="19"/>
  <c r="D22" i="19"/>
  <c r="D19" i="19"/>
  <c r="D20" i="19"/>
  <c r="E17" i="19"/>
  <c r="E19" i="19"/>
  <c r="E20" i="19"/>
  <c r="E21" i="19"/>
  <c r="E22" i="19"/>
  <c r="F17" i="19"/>
  <c r="F18" i="19"/>
  <c r="F21" i="19"/>
  <c r="F22" i="19"/>
  <c r="F19" i="19"/>
  <c r="F20" i="19"/>
  <c r="G17" i="19"/>
  <c r="G18" i="19"/>
  <c r="G19" i="19"/>
  <c r="G20" i="19"/>
  <c r="H17" i="19"/>
  <c r="H18" i="19"/>
  <c r="H19" i="19"/>
  <c r="H20" i="19"/>
  <c r="H21" i="19"/>
  <c r="H22" i="19"/>
  <c r="I17" i="19"/>
  <c r="I18" i="19"/>
  <c r="I21" i="19"/>
  <c r="I22" i="19"/>
  <c r="I19" i="19"/>
  <c r="I20" i="19"/>
  <c r="J17" i="19"/>
  <c r="J18" i="19"/>
  <c r="J19" i="19"/>
  <c r="J20" i="19"/>
  <c r="J21" i="19"/>
  <c r="J22" i="19"/>
  <c r="K17" i="19"/>
  <c r="K18" i="19"/>
  <c r="K19" i="19"/>
  <c r="K20" i="19"/>
  <c r="M17" i="19"/>
  <c r="M18" i="19"/>
  <c r="M21" i="19"/>
  <c r="M22" i="19"/>
  <c r="M19" i="19"/>
  <c r="M20" i="19"/>
  <c r="E50" i="19"/>
  <c r="F50" i="19"/>
  <c r="G50" i="19"/>
  <c r="H50" i="19"/>
  <c r="I50" i="19"/>
  <c r="J50" i="19"/>
  <c r="K50" i="19"/>
  <c r="M50" i="19"/>
  <c r="E49" i="19"/>
  <c r="F49" i="19"/>
  <c r="G49" i="19"/>
  <c r="H49" i="19"/>
  <c r="I49" i="19"/>
  <c r="J49" i="19"/>
  <c r="K49" i="19"/>
  <c r="M49" i="19"/>
  <c r="L19" i="19"/>
  <c r="D89" i="19"/>
  <c r="D90" i="19"/>
  <c r="D91" i="19"/>
  <c r="D92" i="19"/>
  <c r="E89" i="19"/>
  <c r="E90" i="19"/>
  <c r="E91" i="19"/>
  <c r="E92" i="19"/>
  <c r="E93" i="19"/>
  <c r="E94" i="19"/>
  <c r="F89" i="19"/>
  <c r="F90" i="19"/>
  <c r="F91" i="19"/>
  <c r="F92" i="19"/>
  <c r="G89" i="19"/>
  <c r="G90" i="19"/>
  <c r="G91" i="19"/>
  <c r="G93" i="19"/>
  <c r="G94" i="19"/>
  <c r="G92" i="19"/>
  <c r="H89" i="19"/>
  <c r="H90" i="19"/>
  <c r="H91" i="19"/>
  <c r="H92" i="19"/>
  <c r="I89" i="19"/>
  <c r="I90" i="19"/>
  <c r="I91" i="19"/>
  <c r="I92" i="19"/>
  <c r="I93" i="19"/>
  <c r="I94" i="19"/>
  <c r="J89" i="19"/>
  <c r="J90" i="19"/>
  <c r="J91" i="19"/>
  <c r="J92" i="19"/>
  <c r="K89" i="19"/>
  <c r="K90" i="19"/>
  <c r="K91" i="19"/>
  <c r="K92" i="19"/>
  <c r="L89" i="19"/>
  <c r="L90" i="19"/>
  <c r="L91" i="19"/>
  <c r="L92" i="19"/>
  <c r="C86" i="19"/>
  <c r="D81" i="19"/>
  <c r="D82" i="19"/>
  <c r="D83" i="19"/>
  <c r="D85" i="19"/>
  <c r="D86" i="19"/>
  <c r="E81" i="19"/>
  <c r="E82" i="19"/>
  <c r="E83" i="19"/>
  <c r="E85" i="19"/>
  <c r="E86" i="19"/>
  <c r="F81" i="19"/>
  <c r="F82" i="19"/>
  <c r="F83" i="19"/>
  <c r="G81" i="19"/>
  <c r="G82" i="19"/>
  <c r="G83" i="19"/>
  <c r="H81" i="19"/>
  <c r="H85" i="19"/>
  <c r="H86" i="19"/>
  <c r="H82" i="19"/>
  <c r="H83" i="19"/>
  <c r="I81" i="19"/>
  <c r="I82" i="19"/>
  <c r="I83" i="19"/>
  <c r="I85" i="19"/>
  <c r="I86" i="19"/>
  <c r="J81" i="19"/>
  <c r="J82" i="19"/>
  <c r="J83" i="19"/>
  <c r="K81" i="19"/>
  <c r="K82" i="19"/>
  <c r="K83" i="19"/>
  <c r="M81" i="19"/>
  <c r="M85" i="19"/>
  <c r="M86" i="19"/>
  <c r="M82" i="19"/>
  <c r="M83" i="19"/>
  <c r="D73" i="19"/>
  <c r="D74" i="19"/>
  <c r="D75" i="19"/>
  <c r="D76" i="19"/>
  <c r="E73" i="19"/>
  <c r="E74" i="19"/>
  <c r="E75" i="19"/>
  <c r="E76" i="19"/>
  <c r="E77" i="19"/>
  <c r="E78" i="19"/>
  <c r="F73" i="19"/>
  <c r="F74" i="19"/>
  <c r="F75" i="19"/>
  <c r="F76" i="19"/>
  <c r="G73" i="19"/>
  <c r="G74" i="19"/>
  <c r="G75" i="19"/>
  <c r="G77" i="19"/>
  <c r="G78" i="19"/>
  <c r="G76" i="19"/>
  <c r="H73" i="19"/>
  <c r="H74" i="19"/>
  <c r="H75" i="19"/>
  <c r="H76" i="19"/>
  <c r="I73" i="19"/>
  <c r="I74" i="19"/>
  <c r="I77" i="19"/>
  <c r="I78" i="19"/>
  <c r="I75" i="19"/>
  <c r="I76" i="19"/>
  <c r="J73" i="19"/>
  <c r="J74" i="19"/>
  <c r="J75" i="19"/>
  <c r="J76" i="19"/>
  <c r="K73" i="19"/>
  <c r="K74" i="19"/>
  <c r="K75" i="19"/>
  <c r="K76" i="19"/>
  <c r="L73" i="19"/>
  <c r="L74" i="19"/>
  <c r="L75" i="19"/>
  <c r="L76" i="19"/>
  <c r="L77" i="19"/>
  <c r="L78" i="19"/>
  <c r="D57" i="19"/>
  <c r="D59" i="19"/>
  <c r="D60" i="19"/>
  <c r="D62" i="19"/>
  <c r="D63" i="19"/>
  <c r="D61" i="19"/>
  <c r="E61" i="19"/>
  <c r="F61" i="19"/>
  <c r="G61" i="19"/>
  <c r="H61" i="19"/>
  <c r="I61" i="19"/>
  <c r="J61" i="19"/>
  <c r="K61" i="19"/>
  <c r="L61" i="19"/>
  <c r="M61" i="19"/>
  <c r="E57" i="19"/>
  <c r="E59" i="19"/>
  <c r="E60" i="19"/>
  <c r="E62" i="19"/>
  <c r="E63" i="19"/>
  <c r="F57" i="19"/>
  <c r="F59" i="19"/>
  <c r="F60" i="19"/>
  <c r="G57" i="19"/>
  <c r="G62" i="19"/>
  <c r="G63" i="19"/>
  <c r="G59" i="19"/>
  <c r="G60" i="19"/>
  <c r="H57" i="19"/>
  <c r="H62" i="19"/>
  <c r="H63" i="19"/>
  <c r="H59" i="19"/>
  <c r="H60" i="19"/>
  <c r="I57" i="19"/>
  <c r="I59" i="19"/>
  <c r="I60" i="19"/>
  <c r="I62" i="19"/>
  <c r="I63" i="19"/>
  <c r="J57" i="19"/>
  <c r="J59" i="19"/>
  <c r="J60" i="19"/>
  <c r="K57" i="19"/>
  <c r="K62" i="19"/>
  <c r="K63" i="19"/>
  <c r="K59" i="19"/>
  <c r="K60" i="19"/>
  <c r="L57" i="19"/>
  <c r="L62" i="19"/>
  <c r="L63" i="19"/>
  <c r="L59" i="19"/>
  <c r="L60" i="19"/>
  <c r="M57" i="19"/>
  <c r="M59" i="19"/>
  <c r="M60" i="19"/>
  <c r="M62" i="19"/>
  <c r="M63" i="19"/>
  <c r="E48" i="19"/>
  <c r="E51" i="19"/>
  <c r="E52" i="19"/>
  <c r="F48" i="19"/>
  <c r="F53" i="19"/>
  <c r="F54" i="19"/>
  <c r="F51" i="19"/>
  <c r="F52" i="19"/>
  <c r="G48" i="19"/>
  <c r="G53" i="19"/>
  <c r="G54" i="19"/>
  <c r="G51" i="19"/>
  <c r="G52" i="19"/>
  <c r="D52" i="19"/>
  <c r="H52" i="19"/>
  <c r="I52" i="19"/>
  <c r="J52" i="19"/>
  <c r="K52" i="19"/>
  <c r="M52" i="19"/>
  <c r="H48" i="19"/>
  <c r="H51" i="19"/>
  <c r="I48" i="19"/>
  <c r="I53" i="19"/>
  <c r="I51" i="19"/>
  <c r="I54" i="19"/>
  <c r="J48" i="19"/>
  <c r="J53" i="19"/>
  <c r="J54" i="19"/>
  <c r="J51" i="19"/>
  <c r="K48" i="19"/>
  <c r="K53" i="19"/>
  <c r="K54" i="19"/>
  <c r="K51" i="19"/>
  <c r="M48" i="19"/>
  <c r="M51" i="19"/>
  <c r="C53" i="19"/>
  <c r="C54" i="19"/>
  <c r="D48" i="19"/>
  <c r="D49" i="19"/>
  <c r="D50" i="19"/>
  <c r="D51" i="19"/>
  <c r="C44" i="19"/>
  <c r="C45" i="19"/>
  <c r="D39" i="19"/>
  <c r="D44" i="19"/>
  <c r="D45" i="19"/>
  <c r="D42" i="19"/>
  <c r="D43" i="19"/>
  <c r="E39" i="19"/>
  <c r="E42" i="19"/>
  <c r="E43" i="19"/>
  <c r="F39" i="19"/>
  <c r="F44" i="19"/>
  <c r="F45" i="19"/>
  <c r="F42" i="19"/>
  <c r="F43" i="19"/>
  <c r="G39" i="19"/>
  <c r="G42" i="19"/>
  <c r="G43" i="19"/>
  <c r="G44" i="19"/>
  <c r="G45" i="19"/>
  <c r="H39" i="19"/>
  <c r="H42" i="19"/>
  <c r="H44" i="19"/>
  <c r="H45" i="19"/>
  <c r="H43" i="19"/>
  <c r="I39" i="19"/>
  <c r="I42" i="19"/>
  <c r="I43" i="19"/>
  <c r="J39" i="19"/>
  <c r="J44" i="19"/>
  <c r="J45" i="19"/>
  <c r="J42" i="19"/>
  <c r="J43" i="19"/>
  <c r="K39" i="19"/>
  <c r="K42" i="19"/>
  <c r="K43" i="19"/>
  <c r="K44" i="19"/>
  <c r="K45" i="19"/>
  <c r="L39" i="19"/>
  <c r="L44" i="19"/>
  <c r="L45" i="19"/>
  <c r="L42" i="19"/>
  <c r="L43" i="19"/>
  <c r="N43" i="19"/>
  <c r="C29" i="19"/>
  <c r="C30" i="19"/>
  <c r="D25" i="19"/>
  <c r="D27" i="19"/>
  <c r="D28" i="19"/>
  <c r="N28" i="19"/>
  <c r="E25" i="19"/>
  <c r="E29" i="19"/>
  <c r="E30" i="19"/>
  <c r="E27" i="19"/>
  <c r="E28" i="19"/>
  <c r="F25" i="19"/>
  <c r="F27" i="19"/>
  <c r="F28" i="19"/>
  <c r="G25" i="19"/>
  <c r="G29" i="19"/>
  <c r="G30" i="19"/>
  <c r="G27" i="19"/>
  <c r="G28" i="19"/>
  <c r="H28" i="19"/>
  <c r="I28" i="19"/>
  <c r="J28" i="19"/>
  <c r="K28" i="19"/>
  <c r="L28" i="19"/>
  <c r="M28" i="19"/>
  <c r="H25" i="19"/>
  <c r="H29" i="19"/>
  <c r="H30" i="19"/>
  <c r="H27" i="19"/>
  <c r="I25" i="19"/>
  <c r="I27" i="19"/>
  <c r="I29" i="19"/>
  <c r="I30" i="19"/>
  <c r="J25" i="19"/>
  <c r="J27" i="19"/>
  <c r="J29" i="19"/>
  <c r="J30" i="19"/>
  <c r="K25" i="19"/>
  <c r="K27" i="19"/>
  <c r="K29" i="19"/>
  <c r="K30" i="19"/>
  <c r="L25" i="19"/>
  <c r="L27" i="19"/>
  <c r="L29" i="19"/>
  <c r="L30" i="19"/>
  <c r="M25" i="19"/>
  <c r="M27" i="19"/>
  <c r="M29" i="19"/>
  <c r="M30" i="19"/>
  <c r="N20" i="19"/>
  <c r="N13" i="19"/>
  <c r="N12" i="19"/>
  <c r="L18" i="19"/>
  <c r="L17" i="19"/>
  <c r="L20" i="19"/>
  <c r="L21" i="19"/>
  <c r="L22" i="19"/>
  <c r="D40" i="23"/>
  <c r="D42" i="23"/>
  <c r="D10" i="23"/>
  <c r="C10" i="23"/>
  <c r="C9" i="23"/>
  <c r="C43" i="23"/>
  <c r="S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C57" i="23"/>
  <c r="C58" i="23"/>
  <c r="C59" i="23"/>
  <c r="C60" i="23"/>
  <c r="C61" i="23"/>
  <c r="S61" i="23"/>
  <c r="C62" i="23"/>
  <c r="D57" i="23"/>
  <c r="D58" i="23"/>
  <c r="D59" i="23"/>
  <c r="D62" i="23"/>
  <c r="D63" i="23"/>
  <c r="D60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E57" i="23"/>
  <c r="E58" i="23"/>
  <c r="E62" i="23"/>
  <c r="E63" i="23"/>
  <c r="E59" i="23"/>
  <c r="E60" i="23"/>
  <c r="F57" i="23"/>
  <c r="F58" i="23"/>
  <c r="F59" i="23"/>
  <c r="F60" i="23"/>
  <c r="F62" i="23"/>
  <c r="F63" i="23"/>
  <c r="G57" i="23"/>
  <c r="G58" i="23"/>
  <c r="G62" i="23"/>
  <c r="G63" i="23"/>
  <c r="G59" i="23"/>
  <c r="G60" i="23"/>
  <c r="H57" i="23"/>
  <c r="H58" i="23"/>
  <c r="H59" i="23"/>
  <c r="H60" i="23"/>
  <c r="H62" i="23"/>
  <c r="H63" i="23"/>
  <c r="I57" i="23"/>
  <c r="I58" i="23"/>
  <c r="I62" i="23"/>
  <c r="I63" i="23"/>
  <c r="I59" i="23"/>
  <c r="I60" i="23"/>
  <c r="J57" i="23"/>
  <c r="J58" i="23"/>
  <c r="J59" i="23"/>
  <c r="J60" i="23"/>
  <c r="J62" i="23"/>
  <c r="J63" i="23"/>
  <c r="K57" i="23"/>
  <c r="K58" i="23"/>
  <c r="K62" i="23"/>
  <c r="K63" i="23"/>
  <c r="K59" i="23"/>
  <c r="K60" i="23"/>
  <c r="L57" i="23"/>
  <c r="L58" i="23"/>
  <c r="L59" i="23"/>
  <c r="L60" i="23"/>
  <c r="L62" i="23"/>
  <c r="L63" i="23"/>
  <c r="M57" i="23"/>
  <c r="M60" i="23"/>
  <c r="M62" i="23"/>
  <c r="M63" i="23"/>
  <c r="N57" i="23"/>
  <c r="N58" i="23"/>
  <c r="N62" i="23"/>
  <c r="N63" i="23"/>
  <c r="N59" i="23"/>
  <c r="N60" i="23"/>
  <c r="O57" i="23"/>
  <c r="O58" i="23"/>
  <c r="O59" i="23"/>
  <c r="O60" i="23"/>
  <c r="O62" i="23"/>
  <c r="O63" i="23"/>
  <c r="P57" i="23"/>
  <c r="P58" i="23"/>
  <c r="P62" i="23"/>
  <c r="P63" i="23"/>
  <c r="P59" i="23"/>
  <c r="P60" i="23"/>
  <c r="Q57" i="23"/>
  <c r="Q58" i="23"/>
  <c r="Q59" i="23"/>
  <c r="Q60" i="23"/>
  <c r="Q62" i="23"/>
  <c r="Q63" i="23"/>
  <c r="C91" i="23"/>
  <c r="C96" i="23"/>
  <c r="C97" i="23"/>
  <c r="C93" i="23"/>
  <c r="C94" i="23"/>
  <c r="C95" i="23"/>
  <c r="D95" i="23"/>
  <c r="E95" i="23"/>
  <c r="F95" i="23"/>
  <c r="G95" i="23"/>
  <c r="H95" i="23"/>
  <c r="I95" i="23"/>
  <c r="J95" i="23"/>
  <c r="K95" i="23"/>
  <c r="L95" i="23"/>
  <c r="M95" i="23"/>
  <c r="N95" i="23"/>
  <c r="O95" i="23"/>
  <c r="P95" i="23"/>
  <c r="Q95" i="23"/>
  <c r="S95" i="23"/>
  <c r="D91" i="23"/>
  <c r="D96" i="23"/>
  <c r="D93" i="23"/>
  <c r="D94" i="23"/>
  <c r="E91" i="23"/>
  <c r="E96" i="23"/>
  <c r="E97" i="23"/>
  <c r="E93" i="23"/>
  <c r="E94" i="23"/>
  <c r="F91" i="23"/>
  <c r="F96" i="23"/>
  <c r="F97" i="23"/>
  <c r="F93" i="23"/>
  <c r="F94" i="23"/>
  <c r="G91" i="23"/>
  <c r="G93" i="23"/>
  <c r="G94" i="23"/>
  <c r="G96" i="23"/>
  <c r="G97" i="23"/>
  <c r="H91" i="23"/>
  <c r="H96" i="23"/>
  <c r="H97" i="23"/>
  <c r="H93" i="23"/>
  <c r="H94" i="23"/>
  <c r="I91" i="23"/>
  <c r="I96" i="23"/>
  <c r="I97" i="23"/>
  <c r="I93" i="23"/>
  <c r="I94" i="23"/>
  <c r="J91" i="23"/>
  <c r="J96" i="23"/>
  <c r="J97" i="23"/>
  <c r="J93" i="23"/>
  <c r="J94" i="23"/>
  <c r="K91" i="23"/>
  <c r="K92" i="23"/>
  <c r="K96" i="23"/>
  <c r="K97" i="23"/>
  <c r="K93" i="23"/>
  <c r="K94" i="23"/>
  <c r="L91" i="23"/>
  <c r="L96" i="23"/>
  <c r="L97" i="23"/>
  <c r="L93" i="23"/>
  <c r="L94" i="23"/>
  <c r="M91" i="23"/>
  <c r="M96" i="23"/>
  <c r="M97" i="23"/>
  <c r="M93" i="23"/>
  <c r="M94" i="23"/>
  <c r="N91" i="23"/>
  <c r="N93" i="23"/>
  <c r="N94" i="23"/>
  <c r="N96" i="23"/>
  <c r="N97" i="23"/>
  <c r="O91" i="23"/>
  <c r="O96" i="23"/>
  <c r="O97" i="23"/>
  <c r="O93" i="23"/>
  <c r="O94" i="23"/>
  <c r="P91" i="23"/>
  <c r="P96" i="23"/>
  <c r="P97" i="23"/>
  <c r="P93" i="23"/>
  <c r="P94" i="23"/>
  <c r="Q91" i="23"/>
  <c r="Q96" i="23"/>
  <c r="Q97" i="23"/>
  <c r="Q93" i="23"/>
  <c r="Q94" i="23"/>
  <c r="C73" i="23"/>
  <c r="C75" i="23"/>
  <c r="C78" i="23"/>
  <c r="C76" i="23"/>
  <c r="C77" i="23"/>
  <c r="D73" i="23"/>
  <c r="D75" i="23"/>
  <c r="D78" i="23"/>
  <c r="D79" i="23"/>
  <c r="D76" i="23"/>
  <c r="D77" i="23"/>
  <c r="E73" i="23"/>
  <c r="E75" i="23"/>
  <c r="E76" i="23"/>
  <c r="E77" i="23"/>
  <c r="E78" i="23"/>
  <c r="E79" i="23"/>
  <c r="F73" i="23"/>
  <c r="F75" i="23"/>
  <c r="F78" i="23"/>
  <c r="F79" i="23"/>
  <c r="F76" i="23"/>
  <c r="F77" i="23"/>
  <c r="G73" i="23"/>
  <c r="G75" i="23"/>
  <c r="G76" i="23"/>
  <c r="G77" i="23"/>
  <c r="G78" i="23"/>
  <c r="G79" i="23"/>
  <c r="H73" i="23"/>
  <c r="H75" i="23"/>
  <c r="H78" i="23"/>
  <c r="H79" i="23"/>
  <c r="H76" i="23"/>
  <c r="H77" i="23"/>
  <c r="J73" i="23"/>
  <c r="J75" i="23"/>
  <c r="J76" i="23"/>
  <c r="J77" i="23"/>
  <c r="J78" i="23"/>
  <c r="J79" i="23"/>
  <c r="K73" i="23"/>
  <c r="K74" i="23"/>
  <c r="K75" i="23"/>
  <c r="K78" i="23"/>
  <c r="K79" i="23"/>
  <c r="K76" i="23"/>
  <c r="K77" i="23"/>
  <c r="L77" i="23"/>
  <c r="M77" i="23"/>
  <c r="N77" i="23"/>
  <c r="O77" i="23"/>
  <c r="P77" i="23"/>
  <c r="Q77" i="23"/>
  <c r="R77" i="23"/>
  <c r="S77" i="23"/>
  <c r="L73" i="23"/>
  <c r="L75" i="23"/>
  <c r="L76" i="23"/>
  <c r="L78" i="23"/>
  <c r="L79" i="23"/>
  <c r="M73" i="23"/>
  <c r="M78" i="23"/>
  <c r="M79" i="23"/>
  <c r="M75" i="23"/>
  <c r="M76" i="23"/>
  <c r="N73" i="23"/>
  <c r="N78" i="23"/>
  <c r="N79" i="23"/>
  <c r="N75" i="23"/>
  <c r="N76" i="23"/>
  <c r="O73" i="23"/>
  <c r="O78" i="23"/>
  <c r="O79" i="23"/>
  <c r="O75" i="23"/>
  <c r="O76" i="23"/>
  <c r="P73" i="23"/>
  <c r="P75" i="23"/>
  <c r="P76" i="23"/>
  <c r="P78" i="23"/>
  <c r="P79" i="23"/>
  <c r="Q73" i="23"/>
  <c r="Q78" i="23"/>
  <c r="Q79" i="23"/>
  <c r="Q75" i="23"/>
  <c r="Q76" i="23"/>
  <c r="R73" i="23"/>
  <c r="R78" i="23"/>
  <c r="R79" i="23"/>
  <c r="R75" i="23"/>
  <c r="R76" i="23"/>
  <c r="K50" i="23"/>
  <c r="K49" i="23"/>
  <c r="K48" i="23"/>
  <c r="K19" i="23"/>
  <c r="K18" i="23"/>
  <c r="K17" i="23"/>
  <c r="J17" i="23"/>
  <c r="J18" i="23"/>
  <c r="J19" i="23"/>
  <c r="B59" i="23"/>
  <c r="B58" i="23"/>
  <c r="N41" i="23"/>
  <c r="N40" i="23"/>
  <c r="N39" i="23"/>
  <c r="J41" i="23"/>
  <c r="J40" i="23"/>
  <c r="J39" i="23"/>
  <c r="J44" i="23"/>
  <c r="J45" i="23"/>
  <c r="J42" i="23"/>
  <c r="C39" i="23"/>
  <c r="C44" i="23"/>
  <c r="D39" i="23"/>
  <c r="C40" i="23"/>
  <c r="C41" i="23"/>
  <c r="C42" i="23"/>
  <c r="D41" i="23"/>
  <c r="B41" i="23"/>
  <c r="B40" i="23"/>
  <c r="N27" i="23"/>
  <c r="N26" i="23"/>
  <c r="N25" i="23"/>
  <c r="J27" i="23"/>
  <c r="J26" i="23"/>
  <c r="J25" i="23"/>
  <c r="C25" i="23"/>
  <c r="C29" i="23"/>
  <c r="C30" i="23"/>
  <c r="D25" i="23"/>
  <c r="C26" i="23"/>
  <c r="D26" i="23"/>
  <c r="C27" i="23"/>
  <c r="D27" i="23"/>
  <c r="B27" i="23"/>
  <c r="B26" i="23"/>
  <c r="N11" i="23"/>
  <c r="N10" i="23"/>
  <c r="N13" i="23"/>
  <c r="N14" i="23"/>
  <c r="N9" i="23"/>
  <c r="N12" i="23"/>
  <c r="J11" i="23"/>
  <c r="J10" i="23"/>
  <c r="J9" i="23"/>
  <c r="J13" i="23"/>
  <c r="J14" i="23"/>
  <c r="D9" i="23"/>
  <c r="D13" i="23"/>
  <c r="D14" i="23"/>
  <c r="D11" i="23"/>
  <c r="D12" i="23"/>
  <c r="C11" i="23"/>
  <c r="B11" i="23"/>
  <c r="Q19" i="23"/>
  <c r="B10" i="23"/>
  <c r="Q18" i="23"/>
  <c r="B9" i="23"/>
  <c r="C12" i="23"/>
  <c r="S12" i="23"/>
  <c r="C13" i="23"/>
  <c r="E12" i="23"/>
  <c r="F12" i="23"/>
  <c r="G12" i="23"/>
  <c r="H12" i="23"/>
  <c r="I12" i="23"/>
  <c r="J12" i="23"/>
  <c r="K12" i="23"/>
  <c r="L12" i="23"/>
  <c r="M12" i="23"/>
  <c r="O12" i="23"/>
  <c r="P12" i="23"/>
  <c r="Q12" i="23"/>
  <c r="R12" i="23"/>
  <c r="Q50" i="23"/>
  <c r="Q49" i="23"/>
  <c r="Q53" i="23"/>
  <c r="Q54" i="23"/>
  <c r="Q48" i="23"/>
  <c r="Q17" i="23"/>
  <c r="Q20" i="23"/>
  <c r="Q21" i="23"/>
  <c r="Q22" i="23"/>
  <c r="J49" i="23"/>
  <c r="D44" i="23"/>
  <c r="E39" i="23"/>
  <c r="E40" i="23"/>
  <c r="E41" i="23"/>
  <c r="E42" i="23"/>
  <c r="E44" i="23"/>
  <c r="E45" i="23"/>
  <c r="F39" i="23"/>
  <c r="F42" i="23"/>
  <c r="F44" i="23"/>
  <c r="F45" i="23"/>
  <c r="G39" i="23"/>
  <c r="G42" i="23"/>
  <c r="G44" i="23"/>
  <c r="G45" i="23"/>
  <c r="H39" i="23"/>
  <c r="H42" i="23"/>
  <c r="H44" i="23"/>
  <c r="H45" i="23"/>
  <c r="I39" i="23"/>
  <c r="I42" i="23"/>
  <c r="I44" i="23"/>
  <c r="I45" i="23"/>
  <c r="K39" i="23"/>
  <c r="K40" i="23"/>
  <c r="K44" i="23"/>
  <c r="K45" i="23"/>
  <c r="K41" i="23"/>
  <c r="K42" i="23"/>
  <c r="L39" i="23"/>
  <c r="L44" i="23"/>
  <c r="L45" i="23"/>
  <c r="L42" i="23"/>
  <c r="M39" i="23"/>
  <c r="M42" i="23"/>
  <c r="M44" i="23"/>
  <c r="M45" i="23"/>
  <c r="N42" i="23"/>
  <c r="N44" i="23"/>
  <c r="N45" i="23"/>
  <c r="O39" i="23"/>
  <c r="O42" i="23"/>
  <c r="O44" i="23"/>
  <c r="P39" i="23"/>
  <c r="P44" i="23"/>
  <c r="P45" i="23"/>
  <c r="P42" i="23"/>
  <c r="Q39" i="23"/>
  <c r="Q44" i="23"/>
  <c r="Q45" i="23"/>
  <c r="Q42" i="23"/>
  <c r="D45" i="23"/>
  <c r="O45" i="23"/>
  <c r="E9" i="23"/>
  <c r="E13" i="23"/>
  <c r="E14" i="23"/>
  <c r="E10" i="23"/>
  <c r="E11" i="23"/>
  <c r="F9" i="23"/>
  <c r="F13" i="23"/>
  <c r="F14" i="23"/>
  <c r="G9" i="23"/>
  <c r="G13" i="23"/>
  <c r="G14" i="23"/>
  <c r="H9" i="23"/>
  <c r="H13" i="23"/>
  <c r="H14" i="23"/>
  <c r="I9" i="23"/>
  <c r="I13" i="23"/>
  <c r="I14" i="23"/>
  <c r="K9" i="23"/>
  <c r="K13" i="23"/>
  <c r="K14" i="23"/>
  <c r="K10" i="23"/>
  <c r="K11" i="23"/>
  <c r="L9" i="23"/>
  <c r="L13" i="23"/>
  <c r="L14" i="23"/>
  <c r="M9" i="23"/>
  <c r="M13" i="23"/>
  <c r="M14" i="23"/>
  <c r="O9" i="23"/>
  <c r="O13" i="23"/>
  <c r="O14" i="23"/>
  <c r="P9" i="23"/>
  <c r="P13" i="23"/>
  <c r="P14" i="23"/>
  <c r="Q9" i="23"/>
  <c r="Q13" i="23"/>
  <c r="Q14" i="23"/>
  <c r="R9" i="23"/>
  <c r="R13" i="23"/>
  <c r="R14" i="23"/>
  <c r="Q82" i="23"/>
  <c r="Q84" i="23"/>
  <c r="Q87" i="23"/>
  <c r="Q88" i="23"/>
  <c r="Q85" i="23"/>
  <c r="Q86" i="23"/>
  <c r="Q51" i="23"/>
  <c r="Q52" i="23"/>
  <c r="Q27" i="23"/>
  <c r="Q25" i="23"/>
  <c r="Q26" i="23"/>
  <c r="Q28" i="23"/>
  <c r="Q29" i="23"/>
  <c r="Q30" i="23"/>
  <c r="C82" i="23"/>
  <c r="C84" i="23"/>
  <c r="C87" i="23"/>
  <c r="C85" i="23"/>
  <c r="C86" i="23"/>
  <c r="D82" i="23"/>
  <c r="D84" i="23"/>
  <c r="D87" i="23"/>
  <c r="D88" i="23"/>
  <c r="D85" i="23"/>
  <c r="D86" i="23"/>
  <c r="E82" i="23"/>
  <c r="E84" i="23"/>
  <c r="E85" i="23"/>
  <c r="E87" i="23"/>
  <c r="E88" i="23"/>
  <c r="E86" i="23"/>
  <c r="F82" i="23"/>
  <c r="F84" i="23"/>
  <c r="F87" i="23"/>
  <c r="F88" i="23"/>
  <c r="F85" i="23"/>
  <c r="F86" i="23"/>
  <c r="G82" i="23"/>
  <c r="G84" i="23"/>
  <c r="G85" i="23"/>
  <c r="G87" i="23"/>
  <c r="G88" i="23"/>
  <c r="G86" i="23"/>
  <c r="H82" i="23"/>
  <c r="H84" i="23"/>
  <c r="H87" i="23"/>
  <c r="H88" i="23"/>
  <c r="H85" i="23"/>
  <c r="H86" i="23"/>
  <c r="I82" i="23"/>
  <c r="I84" i="23"/>
  <c r="I85" i="23"/>
  <c r="I87" i="23"/>
  <c r="I88" i="23"/>
  <c r="I86" i="23"/>
  <c r="J82" i="23"/>
  <c r="J84" i="23"/>
  <c r="J87" i="23"/>
  <c r="J88" i="23"/>
  <c r="J85" i="23"/>
  <c r="J86" i="23"/>
  <c r="K82" i="23"/>
  <c r="K87" i="23"/>
  <c r="K88" i="23"/>
  <c r="K83" i="23"/>
  <c r="K84" i="23"/>
  <c r="K85" i="23"/>
  <c r="K86" i="23"/>
  <c r="L82" i="23"/>
  <c r="L84" i="23"/>
  <c r="L85" i="23"/>
  <c r="L86" i="23"/>
  <c r="L87" i="23"/>
  <c r="L88" i="23"/>
  <c r="M82" i="23"/>
  <c r="M84" i="23"/>
  <c r="M87" i="23"/>
  <c r="M88" i="23"/>
  <c r="M85" i="23"/>
  <c r="M86" i="23"/>
  <c r="N82" i="23"/>
  <c r="N84" i="23"/>
  <c r="N85" i="23"/>
  <c r="N86" i="23"/>
  <c r="N87" i="23"/>
  <c r="N88" i="23"/>
  <c r="O82" i="23"/>
  <c r="O84" i="23"/>
  <c r="O87" i="23"/>
  <c r="O88" i="23"/>
  <c r="O85" i="23"/>
  <c r="O86" i="23"/>
  <c r="P82" i="23"/>
  <c r="P84" i="23"/>
  <c r="P85" i="23"/>
  <c r="P86" i="23"/>
  <c r="P87" i="23"/>
  <c r="P88" i="23"/>
  <c r="R82" i="23"/>
  <c r="R84" i="23"/>
  <c r="R87" i="23"/>
  <c r="R88" i="23"/>
  <c r="R85" i="23"/>
  <c r="R86" i="23"/>
  <c r="S86" i="23"/>
  <c r="C48" i="23"/>
  <c r="C49" i="23"/>
  <c r="C50" i="23"/>
  <c r="C53" i="23"/>
  <c r="C51" i="23"/>
  <c r="C52" i="23"/>
  <c r="D48" i="23"/>
  <c r="D49" i="23"/>
  <c r="D50" i="23"/>
  <c r="D51" i="23"/>
  <c r="D52" i="23"/>
  <c r="D53" i="23"/>
  <c r="D54" i="23"/>
  <c r="E52" i="23"/>
  <c r="F52" i="23"/>
  <c r="G52" i="23"/>
  <c r="S52" i="23"/>
  <c r="H52" i="23"/>
  <c r="I52" i="23"/>
  <c r="J52" i="23"/>
  <c r="K52" i="23"/>
  <c r="L52" i="23"/>
  <c r="M52" i="23"/>
  <c r="N52" i="23"/>
  <c r="O52" i="23"/>
  <c r="P52" i="23"/>
  <c r="R52" i="23"/>
  <c r="E48" i="23"/>
  <c r="E49" i="23"/>
  <c r="E50" i="23"/>
  <c r="E51" i="23"/>
  <c r="E53" i="23"/>
  <c r="E54" i="23"/>
  <c r="F48" i="23"/>
  <c r="F49" i="23"/>
  <c r="F53" i="23"/>
  <c r="F54" i="23"/>
  <c r="F50" i="23"/>
  <c r="F51" i="23"/>
  <c r="G48" i="23"/>
  <c r="G49" i="23"/>
  <c r="G50" i="23"/>
  <c r="G51" i="23"/>
  <c r="G53" i="23"/>
  <c r="G54" i="23"/>
  <c r="H48" i="23"/>
  <c r="H49" i="23"/>
  <c r="H53" i="23"/>
  <c r="H54" i="23"/>
  <c r="H50" i="23"/>
  <c r="H51" i="23"/>
  <c r="I48" i="23"/>
  <c r="I49" i="23"/>
  <c r="I50" i="23"/>
  <c r="I51" i="23"/>
  <c r="I53" i="23"/>
  <c r="I54" i="23"/>
  <c r="J48" i="23"/>
  <c r="J53" i="23"/>
  <c r="J54" i="23"/>
  <c r="J50" i="23"/>
  <c r="J51" i="23"/>
  <c r="K51" i="23"/>
  <c r="K53" i="23"/>
  <c r="K54" i="23"/>
  <c r="L48" i="23"/>
  <c r="L49" i="23"/>
  <c r="L53" i="23"/>
  <c r="L54" i="23"/>
  <c r="L50" i="23"/>
  <c r="L51" i="23"/>
  <c r="M48" i="23"/>
  <c r="M53" i="23"/>
  <c r="M54" i="23"/>
  <c r="M51" i="23"/>
  <c r="N48" i="23"/>
  <c r="N49" i="23"/>
  <c r="N50" i="23"/>
  <c r="N51" i="23"/>
  <c r="N53" i="23"/>
  <c r="N54" i="23"/>
  <c r="O48" i="23"/>
  <c r="O49" i="23"/>
  <c r="O53" i="23"/>
  <c r="O54" i="23"/>
  <c r="O50" i="23"/>
  <c r="O51" i="23"/>
  <c r="P48" i="23"/>
  <c r="P49" i="23"/>
  <c r="P50" i="23"/>
  <c r="P51" i="23"/>
  <c r="P53" i="23"/>
  <c r="P54" i="23"/>
  <c r="R48" i="23"/>
  <c r="R49" i="23"/>
  <c r="R53" i="23"/>
  <c r="R54" i="23"/>
  <c r="R50" i="23"/>
  <c r="R51" i="23"/>
  <c r="C28" i="23"/>
  <c r="D28" i="23"/>
  <c r="D29" i="23"/>
  <c r="D30" i="23"/>
  <c r="E25" i="23"/>
  <c r="E26" i="23"/>
  <c r="E29" i="23"/>
  <c r="E27" i="23"/>
  <c r="E28" i="23"/>
  <c r="F28" i="23"/>
  <c r="G28" i="23"/>
  <c r="S28" i="23"/>
  <c r="H28" i="23"/>
  <c r="I28" i="23"/>
  <c r="J28" i="23"/>
  <c r="K28" i="23"/>
  <c r="L28" i="23"/>
  <c r="M28" i="23"/>
  <c r="N28" i="23"/>
  <c r="O28" i="23"/>
  <c r="P28" i="23"/>
  <c r="R28" i="23"/>
  <c r="F25" i="23"/>
  <c r="F29" i="23"/>
  <c r="F30" i="23"/>
  <c r="F26" i="23"/>
  <c r="F27" i="23"/>
  <c r="G25" i="23"/>
  <c r="G26" i="23"/>
  <c r="G27" i="23"/>
  <c r="G29" i="23"/>
  <c r="G30" i="23"/>
  <c r="H25" i="23"/>
  <c r="H29" i="23"/>
  <c r="H30" i="23"/>
  <c r="H26" i="23"/>
  <c r="H27" i="23"/>
  <c r="I25" i="23"/>
  <c r="I29" i="23"/>
  <c r="I30" i="23"/>
  <c r="I26" i="23"/>
  <c r="I27" i="23"/>
  <c r="J29" i="23"/>
  <c r="J30" i="23"/>
  <c r="K25" i="23"/>
  <c r="K29" i="23"/>
  <c r="K30" i="23"/>
  <c r="K26" i="23"/>
  <c r="K27" i="23"/>
  <c r="L25" i="23"/>
  <c r="L29" i="23"/>
  <c r="L30" i="23"/>
  <c r="L26" i="23"/>
  <c r="L27" i="23"/>
  <c r="M25" i="23"/>
  <c r="M29" i="23"/>
  <c r="M30" i="23"/>
  <c r="N29" i="23"/>
  <c r="N30" i="23"/>
  <c r="O25" i="23"/>
  <c r="O26" i="23"/>
  <c r="O27" i="23"/>
  <c r="O29" i="23"/>
  <c r="O30" i="23"/>
  <c r="P25" i="23"/>
  <c r="P29" i="23"/>
  <c r="P30" i="23"/>
  <c r="P26" i="23"/>
  <c r="P27" i="23"/>
  <c r="R25" i="23"/>
  <c r="R29" i="23"/>
  <c r="R30" i="23"/>
  <c r="R26" i="23"/>
  <c r="R27" i="23"/>
  <c r="C17" i="23"/>
  <c r="C18" i="23"/>
  <c r="C19" i="23"/>
  <c r="C20" i="23"/>
  <c r="C21" i="23"/>
  <c r="D17" i="23"/>
  <c r="D18" i="23"/>
  <c r="D19" i="23"/>
  <c r="D21" i="23"/>
  <c r="D22" i="23"/>
  <c r="D20" i="23"/>
  <c r="E17" i="23"/>
  <c r="E18" i="23"/>
  <c r="E21" i="23"/>
  <c r="E22" i="23"/>
  <c r="E19" i="23"/>
  <c r="E20" i="23"/>
  <c r="F17" i="23"/>
  <c r="F18" i="23"/>
  <c r="F19" i="23"/>
  <c r="F21" i="23"/>
  <c r="F22" i="23"/>
  <c r="F20" i="23"/>
  <c r="G17" i="23"/>
  <c r="G18" i="23"/>
  <c r="G21" i="23"/>
  <c r="G22" i="23"/>
  <c r="G19" i="23"/>
  <c r="G20" i="23"/>
  <c r="H17" i="23"/>
  <c r="H18" i="23"/>
  <c r="H19" i="23"/>
  <c r="H21" i="23"/>
  <c r="H22" i="23"/>
  <c r="H20" i="23"/>
  <c r="I17" i="23"/>
  <c r="I18" i="23"/>
  <c r="I21" i="23"/>
  <c r="I22" i="23"/>
  <c r="I19" i="23"/>
  <c r="I20" i="23"/>
  <c r="J20" i="23"/>
  <c r="J21" i="23"/>
  <c r="J22" i="23"/>
  <c r="K20" i="23"/>
  <c r="K21" i="23"/>
  <c r="K22" i="23"/>
  <c r="L17" i="23"/>
  <c r="L18" i="23"/>
  <c r="L21" i="23"/>
  <c r="L22" i="23"/>
  <c r="L19" i="23"/>
  <c r="L20" i="23"/>
  <c r="M17" i="23"/>
  <c r="M20" i="23"/>
  <c r="M21" i="23"/>
  <c r="M22" i="23"/>
  <c r="N17" i="23"/>
  <c r="N18" i="23"/>
  <c r="N19" i="23"/>
  <c r="N21" i="23"/>
  <c r="N22" i="23"/>
  <c r="N20" i="23"/>
  <c r="O17" i="23"/>
  <c r="O18" i="23"/>
  <c r="O21" i="23"/>
  <c r="O22" i="23"/>
  <c r="O19" i="23"/>
  <c r="O20" i="23"/>
  <c r="P17" i="23"/>
  <c r="P18" i="23"/>
  <c r="P19" i="23"/>
  <c r="P21" i="23"/>
  <c r="P22" i="23"/>
  <c r="P20" i="23"/>
  <c r="R17" i="23"/>
  <c r="R18" i="23"/>
  <c r="R21" i="23"/>
  <c r="R22" i="23"/>
  <c r="R19" i="23"/>
  <c r="R20" i="23"/>
  <c r="B57" i="23"/>
  <c r="B48" i="23"/>
  <c r="B39" i="23"/>
  <c r="B44" i="23"/>
  <c r="B45" i="23"/>
  <c r="B50" i="23"/>
  <c r="B49" i="23"/>
  <c r="B51" i="23"/>
  <c r="B52" i="23"/>
  <c r="B53" i="23"/>
  <c r="B54" i="23"/>
  <c r="B19" i="23"/>
  <c r="B18" i="23"/>
  <c r="B95" i="23"/>
  <c r="B94" i="23"/>
  <c r="B91" i="23"/>
  <c r="B93" i="23"/>
  <c r="B96" i="23"/>
  <c r="B97" i="23"/>
  <c r="B86" i="23"/>
  <c r="B85" i="23"/>
  <c r="B84" i="23"/>
  <c r="B87" i="23"/>
  <c r="B88" i="23"/>
  <c r="B82" i="23"/>
  <c r="B77" i="23"/>
  <c r="B76" i="23"/>
  <c r="B73" i="23"/>
  <c r="B78" i="23"/>
  <c r="B79" i="23"/>
  <c r="B75" i="23"/>
  <c r="B61" i="23"/>
  <c r="B60" i="23"/>
  <c r="B43" i="23"/>
  <c r="B42" i="23"/>
  <c r="B28" i="23"/>
  <c r="B25" i="23"/>
  <c r="B20" i="23"/>
  <c r="B17" i="23"/>
  <c r="B21" i="23"/>
  <c r="B22" i="23"/>
  <c r="B12" i="23"/>
  <c r="B62" i="23"/>
  <c r="B63" i="23"/>
  <c r="B29" i="23"/>
  <c r="B30" i="23"/>
  <c r="B13" i="23"/>
  <c r="B14" i="23"/>
  <c r="E34" i="32"/>
  <c r="E35" i="32"/>
  <c r="E36" i="32"/>
  <c r="E37" i="32"/>
  <c r="E38" i="32"/>
  <c r="E39" i="32"/>
  <c r="E40" i="32"/>
  <c r="E41" i="32"/>
  <c r="E42" i="32"/>
  <c r="E43" i="32"/>
  <c r="E44" i="32"/>
  <c r="E45" i="32"/>
  <c r="E47" i="32"/>
  <c r="E48" i="32"/>
  <c r="E49" i="32"/>
  <c r="E33" i="32"/>
  <c r="E22" i="32"/>
  <c r="E23" i="32"/>
  <c r="E24" i="32"/>
  <c r="E16" i="32"/>
  <c r="E17" i="32"/>
  <c r="E18" i="32"/>
  <c r="E19" i="32"/>
  <c r="E20" i="32"/>
  <c r="E9" i="32"/>
  <c r="E10" i="32"/>
  <c r="E11" i="32"/>
  <c r="E12" i="32"/>
  <c r="E13" i="32"/>
  <c r="E14" i="32"/>
  <c r="E15" i="32"/>
  <c r="E8" i="32"/>
  <c r="G8" i="32"/>
  <c r="D22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2" i="32"/>
  <c r="G23" i="32"/>
  <c r="G24" i="32"/>
  <c r="C60" i="32"/>
  <c r="D60" i="32"/>
  <c r="H60" i="32"/>
  <c r="I60" i="32"/>
  <c r="F60" i="32"/>
  <c r="G60" i="32"/>
  <c r="C61" i="32"/>
  <c r="D61" i="32"/>
  <c r="F61" i="32"/>
  <c r="G61" i="32"/>
  <c r="H61" i="32"/>
  <c r="I61" i="32"/>
  <c r="C62" i="32"/>
  <c r="D62" i="32"/>
  <c r="H62" i="32"/>
  <c r="I62" i="32"/>
  <c r="F62" i="32"/>
  <c r="G62" i="32"/>
  <c r="C63" i="32"/>
  <c r="D63" i="32"/>
  <c r="F63" i="32"/>
  <c r="G63" i="32"/>
  <c r="H63" i="32"/>
  <c r="I63" i="32"/>
  <c r="C64" i="32"/>
  <c r="D64" i="32"/>
  <c r="H64" i="32"/>
  <c r="I64" i="32"/>
  <c r="F64" i="32"/>
  <c r="G64" i="32"/>
  <c r="C65" i="32"/>
  <c r="H65" i="32"/>
  <c r="I65" i="32"/>
  <c r="D65" i="32"/>
  <c r="E65" i="32"/>
  <c r="F65" i="32"/>
  <c r="G65" i="32"/>
  <c r="C66" i="32"/>
  <c r="D66" i="32"/>
  <c r="H66" i="32"/>
  <c r="I66" i="32"/>
  <c r="F66" i="32"/>
  <c r="G66" i="32"/>
  <c r="C67" i="32"/>
  <c r="D67" i="32"/>
  <c r="F67" i="32"/>
  <c r="H67" i="32"/>
  <c r="I67" i="32"/>
  <c r="G67" i="32"/>
  <c r="C68" i="32"/>
  <c r="D68" i="32"/>
  <c r="F68" i="32"/>
  <c r="G68" i="32"/>
  <c r="H68" i="32"/>
  <c r="I68" i="32"/>
  <c r="C69" i="32"/>
  <c r="D69" i="32"/>
  <c r="E69" i="32"/>
  <c r="H69" i="32"/>
  <c r="I69" i="32"/>
  <c r="F69" i="32"/>
  <c r="G69" i="32"/>
  <c r="C70" i="32"/>
  <c r="D70" i="32"/>
  <c r="F70" i="32"/>
  <c r="G70" i="32"/>
  <c r="H70" i="32"/>
  <c r="I70" i="32"/>
  <c r="C71" i="32"/>
  <c r="D71" i="32"/>
  <c r="H71" i="32"/>
  <c r="I71" i="32"/>
  <c r="F71" i="32"/>
  <c r="G71" i="32"/>
  <c r="C72" i="32"/>
  <c r="D72" i="32"/>
  <c r="F72" i="32"/>
  <c r="G72" i="32"/>
  <c r="H72" i="32"/>
  <c r="I72" i="32"/>
  <c r="C73" i="32"/>
  <c r="D73" i="32"/>
  <c r="H73" i="32"/>
  <c r="I73" i="32"/>
  <c r="F73" i="32"/>
  <c r="G73" i="32"/>
  <c r="C74" i="32"/>
  <c r="D74" i="32"/>
  <c r="F74" i="32"/>
  <c r="G74" i="32"/>
  <c r="H74" i="32"/>
  <c r="I74" i="32"/>
  <c r="C75" i="32"/>
  <c r="D75" i="32"/>
  <c r="F75" i="32"/>
  <c r="G75" i="32"/>
  <c r="C59" i="32"/>
  <c r="D59" i="32"/>
  <c r="F59" i="32"/>
  <c r="G59" i="32"/>
  <c r="H59" i="32"/>
  <c r="I59" i="32"/>
  <c r="C34" i="32"/>
  <c r="D34" i="32"/>
  <c r="H34" i="32"/>
  <c r="I34" i="32"/>
  <c r="F34" i="32"/>
  <c r="G34" i="32"/>
  <c r="C35" i="32"/>
  <c r="D35" i="32"/>
  <c r="F35" i="32"/>
  <c r="G35" i="32"/>
  <c r="H35" i="32"/>
  <c r="I35" i="32"/>
  <c r="C36" i="32"/>
  <c r="D36" i="32"/>
  <c r="F36" i="32"/>
  <c r="G36" i="32"/>
  <c r="C37" i="32"/>
  <c r="D37" i="32"/>
  <c r="F37" i="32"/>
  <c r="G37" i="32"/>
  <c r="H37" i="32"/>
  <c r="I37" i="32"/>
  <c r="C38" i="32"/>
  <c r="D38" i="32"/>
  <c r="H38" i="32"/>
  <c r="I38" i="32"/>
  <c r="F38" i="32"/>
  <c r="G38" i="32"/>
  <c r="C39" i="32"/>
  <c r="D39" i="32"/>
  <c r="F39" i="32"/>
  <c r="G39" i="32"/>
  <c r="H39" i="32"/>
  <c r="I39" i="32"/>
  <c r="C40" i="32"/>
  <c r="D40" i="32"/>
  <c r="F40" i="32"/>
  <c r="G40" i="32"/>
  <c r="C41" i="32"/>
  <c r="D41" i="32"/>
  <c r="F41" i="32"/>
  <c r="G41" i="32"/>
  <c r="H41" i="32"/>
  <c r="I41" i="32"/>
  <c r="C42" i="32"/>
  <c r="D42" i="32"/>
  <c r="H42" i="32"/>
  <c r="I42" i="32"/>
  <c r="F42" i="32"/>
  <c r="G42" i="32"/>
  <c r="C43" i="32"/>
  <c r="D43" i="32"/>
  <c r="F43" i="32"/>
  <c r="G43" i="32"/>
  <c r="H43" i="32"/>
  <c r="I43" i="32"/>
  <c r="C44" i="32"/>
  <c r="D44" i="32"/>
  <c r="F44" i="32"/>
  <c r="G44" i="32"/>
  <c r="C45" i="32"/>
  <c r="D45" i="32"/>
  <c r="F45" i="32"/>
  <c r="G45" i="32"/>
  <c r="H45" i="32"/>
  <c r="I45" i="32"/>
  <c r="C46" i="32"/>
  <c r="D46" i="32"/>
  <c r="H46" i="32"/>
  <c r="I46" i="32"/>
  <c r="G46" i="32"/>
  <c r="C47" i="32"/>
  <c r="D47" i="32"/>
  <c r="H47" i="32"/>
  <c r="I47" i="32"/>
  <c r="F47" i="32"/>
  <c r="G47" i="32"/>
  <c r="C48" i="32"/>
  <c r="D48" i="32"/>
  <c r="F48" i="32"/>
  <c r="G48" i="32"/>
  <c r="C49" i="32"/>
  <c r="D49" i="32"/>
  <c r="F49" i="32"/>
  <c r="G49" i="32"/>
  <c r="H49" i="32"/>
  <c r="I49" i="32"/>
  <c r="C33" i="32"/>
  <c r="D33" i="32"/>
  <c r="F33" i="32"/>
  <c r="G33" i="32"/>
  <c r="C9" i="32"/>
  <c r="D9" i="32"/>
  <c r="C10" i="32"/>
  <c r="H10" i="32"/>
  <c r="I10" i="32"/>
  <c r="D10" i="32"/>
  <c r="C11" i="32"/>
  <c r="D11" i="32"/>
  <c r="C12" i="32"/>
  <c r="H12" i="32"/>
  <c r="I12" i="32"/>
  <c r="D12" i="32"/>
  <c r="C13" i="32"/>
  <c r="D13" i="32"/>
  <c r="C14" i="32"/>
  <c r="H14" i="32"/>
  <c r="I14" i="32"/>
  <c r="D14" i="32"/>
  <c r="C15" i="32"/>
  <c r="D15" i="32"/>
  <c r="C16" i="32"/>
  <c r="H16" i="32"/>
  <c r="I16" i="32"/>
  <c r="D16" i="32"/>
  <c r="C17" i="32"/>
  <c r="D17" i="32"/>
  <c r="C18" i="32"/>
  <c r="H18" i="32"/>
  <c r="I18" i="32"/>
  <c r="D18" i="32"/>
  <c r="C19" i="32"/>
  <c r="D19" i="32"/>
  <c r="C20" i="32"/>
  <c r="H20" i="32"/>
  <c r="I20" i="32"/>
  <c r="D20" i="32"/>
  <c r="C21" i="32"/>
  <c r="D21" i="32"/>
  <c r="C22" i="32"/>
  <c r="H22" i="32"/>
  <c r="I22" i="32"/>
  <c r="C23" i="32"/>
  <c r="D23" i="32"/>
  <c r="H23" i="32"/>
  <c r="I23" i="32"/>
  <c r="C24" i="32"/>
  <c r="D24" i="32"/>
  <c r="H24" i="32"/>
  <c r="I24" i="32"/>
  <c r="C8" i="32"/>
  <c r="D8" i="32"/>
  <c r="H8" i="32"/>
  <c r="I8" i="32"/>
  <c r="A74" i="32"/>
  <c r="B74" i="32"/>
  <c r="A75" i="32"/>
  <c r="B75" i="32"/>
  <c r="A60" i="32"/>
  <c r="B60" i="32"/>
  <c r="A61" i="32"/>
  <c r="B61" i="32"/>
  <c r="A62" i="32"/>
  <c r="B62" i="32"/>
  <c r="A63" i="32"/>
  <c r="B63" i="32"/>
  <c r="A64" i="32"/>
  <c r="B64" i="32"/>
  <c r="A65" i="32"/>
  <c r="B65" i="32"/>
  <c r="A66" i="32"/>
  <c r="B66" i="32"/>
  <c r="A67" i="32"/>
  <c r="B67" i="32"/>
  <c r="A68" i="32"/>
  <c r="B68" i="32"/>
  <c r="A69" i="32"/>
  <c r="B69" i="32"/>
  <c r="A70" i="32"/>
  <c r="B70" i="32"/>
  <c r="A71" i="32"/>
  <c r="B71" i="32"/>
  <c r="A72" i="32"/>
  <c r="B72" i="32"/>
  <c r="A73" i="32"/>
  <c r="B73" i="32"/>
  <c r="B59" i="32"/>
  <c r="B49" i="32"/>
  <c r="A59" i="32"/>
  <c r="A49" i="32"/>
  <c r="A34" i="32"/>
  <c r="B34" i="32"/>
  <c r="A35" i="32"/>
  <c r="B35" i="32"/>
  <c r="A36" i="32"/>
  <c r="B36" i="32"/>
  <c r="A37" i="32"/>
  <c r="B37" i="32"/>
  <c r="A38" i="32"/>
  <c r="B38" i="32"/>
  <c r="A39" i="32"/>
  <c r="B39" i="32"/>
  <c r="A40" i="32"/>
  <c r="B40" i="32"/>
  <c r="A41" i="32"/>
  <c r="B41" i="32"/>
  <c r="A42" i="32"/>
  <c r="B42" i="32"/>
  <c r="A43" i="32"/>
  <c r="B43" i="32"/>
  <c r="A44" i="32"/>
  <c r="B44" i="32"/>
  <c r="A45" i="32"/>
  <c r="B45" i="32"/>
  <c r="A46" i="32"/>
  <c r="B46" i="32"/>
  <c r="A47" i="32"/>
  <c r="B47" i="32"/>
  <c r="A48" i="32"/>
  <c r="B48" i="32"/>
  <c r="B33" i="32"/>
  <c r="B24" i="32"/>
  <c r="A33" i="32"/>
  <c r="A24" i="32"/>
  <c r="A9" i="32"/>
  <c r="B9" i="32"/>
  <c r="A10" i="32"/>
  <c r="B10" i="32"/>
  <c r="A11" i="32"/>
  <c r="B11" i="32"/>
  <c r="A12" i="32"/>
  <c r="B12" i="32"/>
  <c r="A13" i="32"/>
  <c r="B13" i="32"/>
  <c r="A14" i="32"/>
  <c r="B14" i="32"/>
  <c r="A15" i="32"/>
  <c r="B15" i="32"/>
  <c r="A16" i="32"/>
  <c r="B16" i="32"/>
  <c r="A17" i="32"/>
  <c r="B17" i="32"/>
  <c r="A18" i="32"/>
  <c r="B18" i="32"/>
  <c r="A19" i="32"/>
  <c r="B19" i="32"/>
  <c r="A20" i="32"/>
  <c r="B20" i="32"/>
  <c r="A21" i="32"/>
  <c r="B21" i="32"/>
  <c r="A22" i="32"/>
  <c r="B22" i="32"/>
  <c r="A23" i="32"/>
  <c r="B23" i="32"/>
  <c r="B8" i="32"/>
  <c r="A8" i="32"/>
  <c r="E33" i="30"/>
  <c r="E8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7" i="30"/>
  <c r="E49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2" i="30"/>
  <c r="E24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2" i="30"/>
  <c r="G24" i="30"/>
  <c r="G33" i="30"/>
  <c r="D33" i="30"/>
  <c r="F33" i="30"/>
  <c r="C33" i="30"/>
  <c r="F34" i="30"/>
  <c r="F35" i="30"/>
  <c r="F36" i="30"/>
  <c r="F37" i="30"/>
  <c r="F38" i="30"/>
  <c r="F39" i="30"/>
  <c r="F40" i="30"/>
  <c r="F41" i="30"/>
  <c r="F42" i="30"/>
  <c r="F43" i="30"/>
  <c r="F44" i="30"/>
  <c r="F45" i="30"/>
  <c r="F47" i="30"/>
  <c r="F49" i="30"/>
  <c r="E69" i="30"/>
  <c r="E65" i="30"/>
  <c r="C60" i="30"/>
  <c r="D60" i="30"/>
  <c r="F60" i="30"/>
  <c r="G60" i="30"/>
  <c r="C61" i="30"/>
  <c r="D61" i="30"/>
  <c r="F61" i="30"/>
  <c r="G61" i="30"/>
  <c r="H61" i="30"/>
  <c r="I61" i="30"/>
  <c r="C62" i="30"/>
  <c r="D62" i="30"/>
  <c r="H62" i="30"/>
  <c r="F62" i="30"/>
  <c r="G62" i="30"/>
  <c r="I62" i="30"/>
  <c r="C63" i="30"/>
  <c r="D63" i="30"/>
  <c r="F63" i="30"/>
  <c r="G63" i="30"/>
  <c r="H63" i="30"/>
  <c r="I63" i="30"/>
  <c r="C64" i="30"/>
  <c r="D64" i="30"/>
  <c r="F64" i="30"/>
  <c r="G64" i="30"/>
  <c r="C65" i="30"/>
  <c r="D65" i="30"/>
  <c r="F65" i="30"/>
  <c r="G65" i="30"/>
  <c r="H65" i="30"/>
  <c r="I65" i="30"/>
  <c r="C66" i="30"/>
  <c r="D66" i="30"/>
  <c r="H66" i="30"/>
  <c r="F66" i="30"/>
  <c r="G66" i="30"/>
  <c r="I66" i="30"/>
  <c r="C67" i="30"/>
  <c r="D67" i="30"/>
  <c r="F67" i="30"/>
  <c r="G67" i="30"/>
  <c r="H67" i="30"/>
  <c r="I67" i="30"/>
  <c r="C68" i="30"/>
  <c r="D68" i="30"/>
  <c r="H68" i="30"/>
  <c r="I68" i="30"/>
  <c r="F68" i="30"/>
  <c r="G68" i="30"/>
  <c r="C69" i="30"/>
  <c r="D69" i="30"/>
  <c r="F69" i="30"/>
  <c r="G69" i="30"/>
  <c r="H69" i="30"/>
  <c r="I69" i="30"/>
  <c r="C70" i="30"/>
  <c r="D70" i="30"/>
  <c r="H70" i="30"/>
  <c r="I70" i="30"/>
  <c r="F70" i="30"/>
  <c r="G70" i="30"/>
  <c r="C71" i="30"/>
  <c r="D71" i="30"/>
  <c r="F71" i="30"/>
  <c r="G71" i="30"/>
  <c r="H71" i="30"/>
  <c r="I71" i="30"/>
  <c r="C72" i="30"/>
  <c r="D72" i="30"/>
  <c r="H72" i="30"/>
  <c r="I72" i="30"/>
  <c r="F72" i="30"/>
  <c r="G72" i="30"/>
  <c r="C73" i="30"/>
  <c r="D73" i="30"/>
  <c r="F73" i="30"/>
  <c r="G73" i="30"/>
  <c r="H73" i="30"/>
  <c r="I73" i="30"/>
  <c r="C74" i="30"/>
  <c r="D74" i="30"/>
  <c r="H74" i="30"/>
  <c r="I74" i="30"/>
  <c r="F74" i="30"/>
  <c r="G74" i="30"/>
  <c r="C75" i="30"/>
  <c r="D75" i="30"/>
  <c r="F75" i="30"/>
  <c r="G75" i="30"/>
  <c r="H75" i="30"/>
  <c r="I75" i="30"/>
  <c r="C59" i="30"/>
  <c r="D59" i="30"/>
  <c r="H59" i="30"/>
  <c r="I59" i="30"/>
  <c r="F59" i="30"/>
  <c r="G59" i="30"/>
  <c r="C49" i="30"/>
  <c r="H49" i="30"/>
  <c r="I49" i="30"/>
  <c r="C34" i="30"/>
  <c r="D34" i="30"/>
  <c r="G34" i="30"/>
  <c r="H34" i="30"/>
  <c r="I34" i="30"/>
  <c r="C35" i="30"/>
  <c r="D35" i="30"/>
  <c r="H35" i="30"/>
  <c r="I35" i="30"/>
  <c r="G35" i="30"/>
  <c r="C36" i="30"/>
  <c r="H36" i="30"/>
  <c r="I36" i="30"/>
  <c r="D36" i="30"/>
  <c r="G36" i="30"/>
  <c r="C37" i="30"/>
  <c r="H37" i="30"/>
  <c r="I37" i="30"/>
  <c r="D37" i="30"/>
  <c r="G37" i="30"/>
  <c r="C38" i="30"/>
  <c r="D38" i="30"/>
  <c r="G38" i="30"/>
  <c r="H38" i="30"/>
  <c r="I38" i="30"/>
  <c r="C39" i="30"/>
  <c r="D39" i="30"/>
  <c r="H39" i="30"/>
  <c r="I39" i="30"/>
  <c r="G39" i="30"/>
  <c r="C40" i="30"/>
  <c r="H40" i="30"/>
  <c r="I40" i="30"/>
  <c r="D40" i="30"/>
  <c r="G40" i="30"/>
  <c r="C41" i="30"/>
  <c r="H41" i="30"/>
  <c r="I41" i="30"/>
  <c r="D41" i="30"/>
  <c r="G41" i="30"/>
  <c r="C42" i="30"/>
  <c r="D42" i="30"/>
  <c r="G42" i="30"/>
  <c r="H42" i="30"/>
  <c r="I42" i="30"/>
  <c r="C43" i="30"/>
  <c r="D43" i="30"/>
  <c r="H43" i="30"/>
  <c r="I43" i="30"/>
  <c r="G43" i="30"/>
  <c r="C44" i="30"/>
  <c r="H44" i="30"/>
  <c r="I44" i="30"/>
  <c r="D44" i="30"/>
  <c r="G44" i="30"/>
  <c r="C45" i="30"/>
  <c r="H45" i="30"/>
  <c r="I45" i="30"/>
  <c r="D45" i="30"/>
  <c r="G45" i="30"/>
  <c r="C46" i="30"/>
  <c r="D46" i="30"/>
  <c r="G46" i="30"/>
  <c r="H46" i="30"/>
  <c r="I46" i="30"/>
  <c r="C47" i="30"/>
  <c r="D47" i="30"/>
  <c r="H47" i="30"/>
  <c r="I47" i="30"/>
  <c r="G47" i="30"/>
  <c r="C48" i="30"/>
  <c r="H48" i="30"/>
  <c r="I48" i="30"/>
  <c r="D48" i="30"/>
  <c r="G48" i="30"/>
  <c r="D49" i="30"/>
  <c r="G49" i="30"/>
  <c r="C24" i="30"/>
  <c r="D24" i="30"/>
  <c r="H24" i="30"/>
  <c r="I24" i="30"/>
  <c r="C9" i="30"/>
  <c r="D9" i="30"/>
  <c r="H9" i="30"/>
  <c r="I9" i="30"/>
  <c r="C10" i="30"/>
  <c r="D10" i="30"/>
  <c r="H10" i="30"/>
  <c r="I10" i="30"/>
  <c r="C11" i="30"/>
  <c r="D11" i="30"/>
  <c r="H11" i="30"/>
  <c r="I11" i="30"/>
  <c r="C12" i="30"/>
  <c r="D12" i="30"/>
  <c r="H12" i="30"/>
  <c r="I12" i="30"/>
  <c r="C13" i="30"/>
  <c r="D13" i="30"/>
  <c r="H13" i="30"/>
  <c r="I13" i="30"/>
  <c r="C14" i="30"/>
  <c r="D14" i="30"/>
  <c r="H14" i="30"/>
  <c r="I14" i="30"/>
  <c r="C15" i="30"/>
  <c r="D15" i="30"/>
  <c r="H15" i="30"/>
  <c r="I15" i="30"/>
  <c r="C16" i="30"/>
  <c r="D16" i="30"/>
  <c r="H16" i="30"/>
  <c r="I16" i="30"/>
  <c r="C17" i="30"/>
  <c r="D17" i="30"/>
  <c r="H17" i="30"/>
  <c r="I17" i="30"/>
  <c r="C18" i="30"/>
  <c r="D18" i="30"/>
  <c r="H18" i="30"/>
  <c r="I18" i="30"/>
  <c r="C19" i="30"/>
  <c r="D19" i="30"/>
  <c r="H19" i="30"/>
  <c r="I19" i="30"/>
  <c r="C20" i="30"/>
  <c r="D20" i="30"/>
  <c r="H20" i="30"/>
  <c r="I20" i="30"/>
  <c r="C21" i="30"/>
  <c r="D21" i="30"/>
  <c r="H21" i="30"/>
  <c r="I21" i="30"/>
  <c r="C22" i="30"/>
  <c r="D22" i="30"/>
  <c r="H22" i="30"/>
  <c r="I22" i="30"/>
  <c r="C23" i="30"/>
  <c r="D23" i="30"/>
  <c r="H23" i="30"/>
  <c r="I23" i="30"/>
  <c r="C8" i="30"/>
  <c r="D8" i="30"/>
  <c r="H8" i="30"/>
  <c r="I8" i="30"/>
  <c r="A60" i="30"/>
  <c r="B60" i="30"/>
  <c r="A61" i="30"/>
  <c r="B61" i="30"/>
  <c r="A62" i="30"/>
  <c r="B62" i="30"/>
  <c r="A63" i="30"/>
  <c r="B63" i="30"/>
  <c r="A64" i="30"/>
  <c r="B64" i="30"/>
  <c r="A65" i="30"/>
  <c r="B65" i="30"/>
  <c r="A66" i="30"/>
  <c r="B66" i="30"/>
  <c r="A67" i="30"/>
  <c r="B67" i="30"/>
  <c r="A68" i="30"/>
  <c r="B68" i="30"/>
  <c r="A69" i="30"/>
  <c r="B69" i="30"/>
  <c r="A70" i="30"/>
  <c r="B70" i="30"/>
  <c r="A71" i="30"/>
  <c r="B71" i="30"/>
  <c r="A72" i="30"/>
  <c r="B72" i="30"/>
  <c r="A73" i="30"/>
  <c r="B73" i="30"/>
  <c r="A74" i="30"/>
  <c r="B74" i="30"/>
  <c r="A75" i="30"/>
  <c r="B75" i="30"/>
  <c r="B59" i="30"/>
  <c r="B49" i="30"/>
  <c r="A59" i="30"/>
  <c r="A49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B33" i="30"/>
  <c r="B24" i="30"/>
  <c r="A33" i="30"/>
  <c r="A24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8" i="30"/>
  <c r="H47" i="44"/>
  <c r="I47" i="44"/>
  <c r="H37" i="33"/>
  <c r="I37" i="33"/>
  <c r="H10" i="34"/>
  <c r="I10" i="34"/>
  <c r="H14" i="34"/>
  <c r="I14" i="34"/>
  <c r="H18" i="34"/>
  <c r="I18" i="34"/>
  <c r="H22" i="34"/>
  <c r="I22" i="34"/>
  <c r="H24" i="34"/>
  <c r="I24" i="34"/>
  <c r="H47" i="35"/>
  <c r="I47" i="35"/>
  <c r="H33" i="35"/>
  <c r="I33" i="35"/>
  <c r="H35" i="35"/>
  <c r="I35" i="35"/>
  <c r="H39" i="35"/>
  <c r="I39" i="35"/>
  <c r="H10" i="35"/>
  <c r="I10" i="35"/>
  <c r="H24" i="35"/>
  <c r="I24" i="35"/>
  <c r="H23" i="35"/>
  <c r="I23" i="35"/>
  <c r="H9" i="35"/>
  <c r="I9" i="35"/>
  <c r="H13" i="35"/>
  <c r="I13" i="35"/>
  <c r="H15" i="35"/>
  <c r="I15" i="35"/>
  <c r="H8" i="44"/>
  <c r="I8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66" i="44"/>
  <c r="I66" i="44"/>
  <c r="H10" i="44"/>
  <c r="I10" i="44"/>
  <c r="H18" i="44"/>
  <c r="I18" i="44"/>
  <c r="H77" i="44"/>
  <c r="I77" i="44"/>
  <c r="H79" i="44"/>
  <c r="I79" i="44"/>
  <c r="H81" i="44"/>
  <c r="I81" i="44"/>
  <c r="H75" i="43"/>
  <c r="I75" i="43"/>
  <c r="H12" i="43"/>
  <c r="I12" i="43"/>
  <c r="H15" i="43"/>
  <c r="I15" i="43"/>
  <c r="H23" i="43"/>
  <c r="I23" i="43"/>
  <c r="H66" i="43"/>
  <c r="I66" i="43"/>
  <c r="H68" i="43"/>
  <c r="I68" i="43"/>
  <c r="H70" i="43"/>
  <c r="I70" i="43"/>
  <c r="H36" i="43"/>
  <c r="I36" i="43"/>
  <c r="H38" i="43"/>
  <c r="I38" i="43"/>
  <c r="H40" i="43"/>
  <c r="I40" i="43"/>
  <c r="H42" i="43"/>
  <c r="I42" i="43"/>
  <c r="H44" i="43"/>
  <c r="I44" i="43"/>
  <c r="H46" i="43"/>
  <c r="I46" i="43"/>
  <c r="H48" i="43"/>
  <c r="I48" i="43"/>
  <c r="H50" i="43"/>
  <c r="I50" i="43"/>
  <c r="H52" i="43"/>
  <c r="I52" i="43"/>
  <c r="H10" i="42"/>
  <c r="I10" i="42"/>
  <c r="H9" i="42"/>
  <c r="I9" i="42"/>
  <c r="H11" i="42"/>
  <c r="I11" i="42"/>
  <c r="H13" i="42"/>
  <c r="I13" i="42"/>
  <c r="H20" i="42"/>
  <c r="I20" i="42"/>
  <c r="H24" i="42"/>
  <c r="I24" i="42"/>
  <c r="H37" i="42"/>
  <c r="I37" i="42"/>
  <c r="H14" i="42"/>
  <c r="I14" i="42"/>
  <c r="H16" i="42"/>
  <c r="I16" i="42"/>
  <c r="H18" i="42"/>
  <c r="I18" i="42"/>
  <c r="H22" i="42"/>
  <c r="I22" i="42"/>
  <c r="H39" i="42"/>
  <c r="I39" i="42"/>
  <c r="H41" i="42"/>
  <c r="I41" i="42"/>
  <c r="H43" i="42"/>
  <c r="I43" i="42"/>
  <c r="H45" i="42"/>
  <c r="I45" i="42"/>
  <c r="H47" i="42"/>
  <c r="I47" i="42"/>
  <c r="H49" i="42"/>
  <c r="I49" i="42"/>
  <c r="H51" i="42"/>
  <c r="I51" i="42"/>
  <c r="H65" i="42"/>
  <c r="I65" i="42"/>
  <c r="H67" i="42"/>
  <c r="I67" i="42"/>
  <c r="H69" i="42"/>
  <c r="I69" i="42"/>
  <c r="H71" i="42"/>
  <c r="I71" i="42"/>
  <c r="H73" i="42"/>
  <c r="I73" i="42"/>
  <c r="H75" i="42"/>
  <c r="I75" i="42"/>
  <c r="H77" i="42"/>
  <c r="I77" i="42"/>
  <c r="H79" i="42"/>
  <c r="I79" i="42"/>
  <c r="H81" i="42"/>
  <c r="I81" i="42"/>
  <c r="S21" i="23"/>
  <c r="C22" i="23"/>
  <c r="T22" i="23"/>
  <c r="E30" i="23"/>
  <c r="S29" i="23"/>
  <c r="S87" i="23"/>
  <c r="C88" i="23"/>
  <c r="T88" i="23"/>
  <c r="S13" i="23"/>
  <c r="C14" i="23"/>
  <c r="T14" i="23"/>
  <c r="S44" i="23"/>
  <c r="C45" i="23"/>
  <c r="T45" i="23"/>
  <c r="S62" i="23"/>
  <c r="C63" i="23"/>
  <c r="T63" i="23"/>
  <c r="S53" i="23"/>
  <c r="C54" i="23"/>
  <c r="T54" i="23"/>
  <c r="T30" i="23"/>
  <c r="S78" i="23"/>
  <c r="C79" i="23"/>
  <c r="T79" i="23"/>
  <c r="D97" i="23"/>
  <c r="T97" i="23"/>
  <c r="S96" i="23"/>
  <c r="C63" i="19"/>
  <c r="B53" i="19"/>
  <c r="B54" i="19"/>
  <c r="F29" i="15"/>
  <c r="C30" i="15"/>
  <c r="G30" i="15"/>
  <c r="F45" i="15"/>
  <c r="C46" i="15"/>
  <c r="G46" i="15"/>
  <c r="C13" i="2"/>
  <c r="H13" i="2"/>
  <c r="G12" i="2"/>
  <c r="G12" i="3"/>
  <c r="C13" i="3"/>
  <c r="H13" i="3"/>
  <c r="C13" i="4"/>
  <c r="H13" i="4"/>
  <c r="G12" i="4"/>
  <c r="C28" i="4"/>
  <c r="H28" i="4"/>
  <c r="G27" i="4"/>
  <c r="F77" i="19"/>
  <c r="F78" i="19"/>
  <c r="N76" i="19"/>
  <c r="L93" i="19"/>
  <c r="L94" i="19"/>
  <c r="H93" i="19"/>
  <c r="H94" i="19"/>
  <c r="D93" i="19"/>
  <c r="D94" i="19"/>
  <c r="F93" i="19"/>
  <c r="F94" i="19"/>
  <c r="J93" i="19"/>
  <c r="J94" i="19"/>
  <c r="N92" i="19"/>
  <c r="N84" i="19"/>
  <c r="G30" i="17"/>
  <c r="F29" i="17"/>
  <c r="C44" i="2"/>
  <c r="H44" i="2"/>
  <c r="G43" i="2"/>
  <c r="S20" i="23"/>
  <c r="H77" i="19"/>
  <c r="H78" i="19"/>
  <c r="J85" i="19"/>
  <c r="J86" i="19"/>
  <c r="F85" i="19"/>
  <c r="N85" i="19"/>
  <c r="F86" i="19"/>
  <c r="O86" i="19"/>
  <c r="G85" i="19"/>
  <c r="G86" i="19"/>
  <c r="K85" i="19"/>
  <c r="K86" i="19"/>
  <c r="K21" i="19"/>
  <c r="K22" i="19"/>
  <c r="G21" i="19"/>
  <c r="G22" i="19"/>
  <c r="O22" i="19"/>
  <c r="F45" i="17"/>
  <c r="C46" i="17"/>
  <c r="G46" i="17"/>
  <c r="G27" i="2"/>
  <c r="C28" i="2"/>
  <c r="H28" i="2"/>
  <c r="G43" i="3"/>
  <c r="C44" i="3"/>
  <c r="H44" i="3"/>
  <c r="J77" i="19"/>
  <c r="J78" i="19"/>
  <c r="D77" i="19"/>
  <c r="D78" i="19"/>
  <c r="C21" i="19"/>
  <c r="B62" i="19"/>
  <c r="B63" i="19"/>
  <c r="C14" i="17"/>
  <c r="G14" i="17"/>
  <c r="F13" i="17"/>
  <c r="G14" i="15"/>
  <c r="C28" i="3"/>
  <c r="H28" i="3"/>
  <c r="G27" i="3"/>
  <c r="C28" i="14"/>
  <c r="D27" i="14"/>
  <c r="D28" i="14"/>
  <c r="F13" i="15"/>
  <c r="H23" i="31"/>
  <c r="I23" i="31"/>
  <c r="H49" i="31"/>
  <c r="I49" i="31"/>
  <c r="H75" i="31"/>
  <c r="I75" i="31"/>
  <c r="H65" i="31"/>
  <c r="I65" i="31"/>
  <c r="H62" i="31"/>
  <c r="I62" i="31"/>
  <c r="C43" i="4"/>
  <c r="E43" i="14"/>
  <c r="G43" i="14"/>
  <c r="E44" i="14"/>
  <c r="H44" i="14"/>
  <c r="H18" i="31"/>
  <c r="I18" i="31"/>
  <c r="H10" i="31"/>
  <c r="I10" i="31"/>
  <c r="H47" i="31"/>
  <c r="I47" i="31"/>
  <c r="H38" i="31"/>
  <c r="I38" i="31"/>
  <c r="H73" i="31"/>
  <c r="I73" i="31"/>
  <c r="H67" i="31"/>
  <c r="I67" i="31"/>
  <c r="H60" i="31"/>
  <c r="I60" i="31"/>
  <c r="H59" i="31"/>
  <c r="I59" i="31"/>
  <c r="F43" i="4"/>
  <c r="F44" i="4"/>
  <c r="C12" i="14"/>
  <c r="C13" i="14"/>
  <c r="H13" i="14"/>
  <c r="H13" i="31"/>
  <c r="I13" i="31"/>
  <c r="H44" i="31"/>
  <c r="I44" i="31"/>
  <c r="H36" i="31"/>
  <c r="I36" i="31"/>
  <c r="H71" i="31"/>
  <c r="I71" i="31"/>
  <c r="C44" i="4"/>
  <c r="H44" i="4"/>
  <c r="G43" i="4"/>
  <c r="C22" i="19"/>
  <c r="H37" i="49"/>
  <c r="I37" i="49"/>
  <c r="H8" i="49"/>
  <c r="I8" i="49"/>
  <c r="H65" i="49"/>
  <c r="I65" i="49"/>
  <c r="H69" i="49"/>
  <c r="I69" i="49"/>
  <c r="H78" i="49"/>
  <c r="I78" i="49"/>
  <c r="H80" i="49"/>
  <c r="I80" i="49"/>
  <c r="H67" i="48"/>
  <c r="I67" i="48"/>
  <c r="H68" i="48"/>
  <c r="I68" i="48"/>
  <c r="H78" i="48"/>
  <c r="I78" i="48"/>
  <c r="H80" i="48"/>
  <c r="I80" i="48"/>
  <c r="H76" i="48"/>
  <c r="I76" i="48"/>
  <c r="H83" i="48"/>
  <c r="I83" i="48"/>
  <c r="H69" i="48"/>
  <c r="I69" i="48"/>
  <c r="H70" i="48"/>
  <c r="I70" i="48"/>
  <c r="H71" i="48"/>
  <c r="I71" i="48"/>
  <c r="H75" i="48"/>
  <c r="I75" i="48"/>
  <c r="H81" i="48"/>
  <c r="I81" i="48"/>
  <c r="H79" i="48"/>
  <c r="I79" i="48"/>
  <c r="H8" i="48"/>
  <c r="I8" i="48"/>
  <c r="H77" i="48"/>
  <c r="I77" i="48"/>
  <c r="H37" i="48"/>
  <c r="I37" i="48"/>
  <c r="H66" i="48"/>
  <c r="I66" i="48"/>
  <c r="H66" i="49"/>
  <c r="I66" i="49"/>
  <c r="H68" i="49"/>
  <c r="I68" i="49"/>
  <c r="H70" i="49"/>
  <c r="I70" i="49"/>
  <c r="H71" i="49"/>
  <c r="I71" i="49"/>
  <c r="H72" i="49"/>
  <c r="I72" i="49"/>
  <c r="H74" i="49"/>
  <c r="I74" i="49"/>
  <c r="H77" i="49"/>
  <c r="I77" i="49"/>
  <c r="H81" i="49"/>
  <c r="I81" i="49"/>
  <c r="H82" i="49"/>
  <c r="I82" i="49"/>
  <c r="H82" i="48"/>
  <c r="I82" i="48"/>
  <c r="H74" i="48"/>
  <c r="I74" i="48"/>
  <c r="I12" i="48"/>
  <c r="H73" i="49"/>
  <c r="I73" i="49"/>
  <c r="H10" i="49"/>
  <c r="I10" i="49"/>
  <c r="H53" i="49"/>
  <c r="I53" i="49"/>
  <c r="I9" i="48"/>
  <c r="I10" i="48"/>
  <c r="H20" i="49"/>
  <c r="I20" i="49"/>
  <c r="H12" i="49"/>
  <c r="I12" i="49"/>
  <c r="H8" i="50"/>
  <c r="I8" i="50"/>
  <c r="H27" i="50"/>
  <c r="I27" i="50"/>
  <c r="H17" i="50"/>
  <c r="I17" i="50"/>
  <c r="H21" i="50"/>
  <c r="I21" i="50"/>
  <c r="H10" i="50"/>
  <c r="I10" i="50"/>
  <c r="H14" i="50"/>
  <c r="I14" i="50"/>
  <c r="H18" i="50"/>
  <c r="I18" i="50"/>
  <c r="H22" i="50"/>
  <c r="I22" i="50"/>
  <c r="H26" i="50"/>
  <c r="I26" i="50"/>
  <c r="H38" i="50"/>
  <c r="I38" i="50"/>
  <c r="H39" i="50"/>
  <c r="I39" i="50"/>
  <c r="H40" i="50"/>
  <c r="I40" i="50"/>
  <c r="H42" i="50"/>
  <c r="I42" i="50"/>
  <c r="H43" i="50"/>
  <c r="I43" i="50"/>
  <c r="H46" i="50"/>
  <c r="I46" i="50"/>
  <c r="H47" i="50"/>
  <c r="I47" i="50"/>
  <c r="H48" i="50"/>
  <c r="I48" i="50"/>
  <c r="H50" i="50"/>
  <c r="I50" i="50"/>
  <c r="H51" i="50"/>
  <c r="I51" i="50"/>
  <c r="H53" i="50"/>
  <c r="I53" i="50"/>
  <c r="H54" i="50"/>
  <c r="I54" i="50"/>
  <c r="H68" i="50"/>
  <c r="I68" i="50"/>
  <c r="H78" i="50"/>
  <c r="I78" i="50"/>
  <c r="H25" i="50"/>
  <c r="I25" i="50"/>
  <c r="H12" i="50"/>
  <c r="I12" i="50"/>
  <c r="H20" i="50"/>
  <c r="I20" i="50"/>
  <c r="H24" i="50"/>
  <c r="I24" i="50"/>
  <c r="H11" i="50"/>
  <c r="I11" i="50"/>
  <c r="H15" i="50"/>
  <c r="I15" i="50"/>
  <c r="H19" i="50"/>
  <c r="I19" i="50"/>
  <c r="H23" i="50"/>
  <c r="I23" i="50"/>
  <c r="H36" i="50"/>
  <c r="I36" i="50"/>
  <c r="H64" i="50"/>
  <c r="I64" i="50"/>
  <c r="H70" i="50"/>
  <c r="I70" i="50"/>
  <c r="H71" i="50"/>
  <c r="I71" i="50"/>
  <c r="H73" i="50"/>
  <c r="I73" i="50"/>
  <c r="H74" i="50"/>
  <c r="I74" i="50"/>
  <c r="H77" i="50"/>
  <c r="I77" i="50"/>
  <c r="H80" i="50"/>
  <c r="I80" i="50"/>
  <c r="H49" i="50"/>
  <c r="I49" i="50"/>
  <c r="H45" i="50"/>
  <c r="I45" i="50"/>
  <c r="H41" i="50"/>
  <c r="I41" i="50"/>
  <c r="H37" i="50"/>
  <c r="I37" i="50"/>
  <c r="H52" i="50"/>
  <c r="I52" i="50"/>
  <c r="H65" i="50"/>
  <c r="I65" i="50"/>
  <c r="H66" i="50"/>
  <c r="I66" i="50"/>
  <c r="H67" i="50"/>
  <c r="I67" i="50"/>
  <c r="H69" i="50"/>
  <c r="I69" i="50"/>
  <c r="H75" i="50"/>
  <c r="I75" i="50"/>
  <c r="H76" i="50"/>
  <c r="I76" i="50"/>
  <c r="H79" i="50"/>
  <c r="I79" i="50"/>
  <c r="H81" i="50"/>
  <c r="I81" i="50"/>
  <c r="H44" i="50"/>
  <c r="I44" i="50"/>
  <c r="H72" i="50"/>
  <c r="I72" i="50"/>
  <c r="H9" i="50"/>
  <c r="I9" i="50"/>
  <c r="H13" i="50"/>
  <c r="I13" i="50"/>
  <c r="H16" i="50"/>
  <c r="I16" i="50"/>
  <c r="H28" i="14"/>
  <c r="N77" i="19"/>
  <c r="H64" i="30"/>
  <c r="I64" i="30"/>
  <c r="H60" i="30"/>
  <c r="I60" i="30"/>
  <c r="G27" i="14"/>
  <c r="G12" i="14"/>
  <c r="H21" i="32"/>
  <c r="I21" i="32"/>
  <c r="H19" i="32"/>
  <c r="I19" i="32"/>
  <c r="H17" i="32"/>
  <c r="I17" i="32"/>
  <c r="H15" i="32"/>
  <c r="I15" i="32"/>
  <c r="H13" i="32"/>
  <c r="I13" i="32"/>
  <c r="H11" i="32"/>
  <c r="I11" i="32"/>
  <c r="H9" i="32"/>
  <c r="I9" i="32"/>
  <c r="H48" i="32"/>
  <c r="I48" i="32"/>
  <c r="H44" i="32"/>
  <c r="I44" i="32"/>
  <c r="H40" i="32"/>
  <c r="I40" i="32"/>
  <c r="H36" i="32"/>
  <c r="I36" i="32"/>
  <c r="H75" i="32"/>
  <c r="I75" i="32"/>
  <c r="N21" i="19"/>
  <c r="H33" i="30"/>
  <c r="I33" i="30"/>
  <c r="H33" i="32"/>
  <c r="I33" i="32"/>
  <c r="F29" i="19"/>
  <c r="F30" i="19"/>
  <c r="I44" i="19"/>
  <c r="I45" i="19"/>
  <c r="E44" i="19"/>
  <c r="D53" i="19"/>
  <c r="N52" i="19"/>
  <c r="O14" i="19"/>
  <c r="M53" i="19"/>
  <c r="M54" i="19"/>
  <c r="H53" i="19"/>
  <c r="H54" i="19"/>
  <c r="J62" i="19"/>
  <c r="J63" i="19"/>
  <c r="F62" i="19"/>
  <c r="K77" i="19"/>
  <c r="K78" i="19"/>
  <c r="O78" i="19"/>
  <c r="K93" i="19"/>
  <c r="K94" i="19"/>
  <c r="O94" i="19"/>
  <c r="D29" i="19"/>
  <c r="N61" i="19"/>
  <c r="E53" i="19"/>
  <c r="E54" i="19"/>
  <c r="H64" i="31"/>
  <c r="I64" i="31"/>
  <c r="H42" i="31"/>
  <c r="I42" i="31"/>
  <c r="H37" i="31"/>
  <c r="I37" i="31"/>
  <c r="H72" i="31"/>
  <c r="I72" i="31"/>
  <c r="H66" i="31"/>
  <c r="I66" i="31"/>
  <c r="H46" i="42"/>
  <c r="I46" i="42"/>
  <c r="H37" i="44"/>
  <c r="I37" i="44"/>
  <c r="H39" i="44"/>
  <c r="I39" i="44"/>
  <c r="H40" i="44"/>
  <c r="I40" i="44"/>
  <c r="H41" i="44"/>
  <c r="I41" i="44"/>
  <c r="H44" i="44"/>
  <c r="I44" i="44"/>
  <c r="H18" i="49"/>
  <c r="I18" i="49"/>
  <c r="H14" i="49"/>
  <c r="I14" i="49"/>
  <c r="H24" i="49"/>
  <c r="I24" i="49"/>
  <c r="H21" i="49"/>
  <c r="I21" i="49"/>
  <c r="H17" i="49"/>
  <c r="I17" i="49"/>
  <c r="H13" i="49"/>
  <c r="I13" i="49"/>
  <c r="H9" i="49"/>
  <c r="I9" i="49"/>
  <c r="H53" i="44"/>
  <c r="I53" i="44"/>
  <c r="H54" i="44"/>
  <c r="I54" i="44"/>
  <c r="H16" i="49"/>
  <c r="I16" i="49"/>
  <c r="H26" i="49"/>
  <c r="I26" i="49"/>
  <c r="H48" i="44"/>
  <c r="I48" i="44"/>
  <c r="H50" i="44"/>
  <c r="I50" i="44"/>
  <c r="H51" i="44"/>
  <c r="I51" i="44"/>
  <c r="H52" i="44"/>
  <c r="I52" i="44"/>
  <c r="H38" i="44"/>
  <c r="I38" i="44"/>
  <c r="H36" i="44"/>
  <c r="I36" i="44"/>
  <c r="H42" i="44"/>
  <c r="I42" i="44"/>
  <c r="H43" i="44"/>
  <c r="I43" i="44"/>
  <c r="F63" i="19"/>
  <c r="O63" i="19"/>
  <c r="N62" i="19"/>
  <c r="D54" i="19"/>
  <c r="O54" i="19"/>
  <c r="N53" i="19"/>
  <c r="E45" i="19"/>
  <c r="O45" i="19"/>
  <c r="N44" i="19"/>
  <c r="N29" i="19"/>
  <c r="D30" i="19"/>
  <c r="O30" i="19"/>
  <c r="N93" i="19"/>
  <c r="H49" i="68" l="1"/>
  <c r="I49" i="68" s="1"/>
  <c r="H65" i="66"/>
  <c r="I65" i="66" s="1"/>
  <c r="H69" i="66"/>
  <c r="I69" i="66" s="1"/>
  <c r="H62" i="66"/>
  <c r="I62" i="66" s="1"/>
  <c r="H44" i="66"/>
  <c r="I44" i="66" s="1"/>
  <c r="H47" i="66"/>
  <c r="I47" i="66" s="1"/>
  <c r="H8" i="66"/>
  <c r="I8" i="66" s="1"/>
  <c r="I10" i="66"/>
  <c r="H13" i="66"/>
  <c r="I13" i="66" s="1"/>
  <c r="H36" i="66"/>
  <c r="I36" i="66" s="1"/>
  <c r="H26" i="66"/>
  <c r="I26" i="66" s="1"/>
  <c r="H14" i="66"/>
  <c r="I14" i="66" s="1"/>
  <c r="H16" i="66"/>
  <c r="I16" i="66" s="1"/>
  <c r="H18" i="66"/>
  <c r="I18" i="66" s="1"/>
  <c r="H22" i="66"/>
  <c r="I22" i="66" s="1"/>
  <c r="H41" i="66"/>
  <c r="I41" i="66" s="1"/>
  <c r="H21" i="66"/>
  <c r="I21" i="66" s="1"/>
  <c r="H23" i="66"/>
  <c r="I23" i="66" s="1"/>
  <c r="H35" i="66"/>
  <c r="I35" i="66" s="1"/>
  <c r="H15" i="66"/>
  <c r="I15" i="66" s="1"/>
  <c r="H68" i="66"/>
  <c r="I68" i="66" s="1"/>
  <c r="H67" i="66"/>
  <c r="I67" i="66" s="1"/>
  <c r="H40" i="66"/>
  <c r="I40" i="66" s="1"/>
  <c r="H48" i="66"/>
  <c r="I48" i="66" s="1"/>
  <c r="H63" i="66"/>
  <c r="I63" i="66" s="1"/>
  <c r="H66" i="66"/>
  <c r="I66" i="66" s="1"/>
  <c r="H70" i="66"/>
  <c r="I70" i="66" s="1"/>
  <c r="H20" i="66"/>
  <c r="I20" i="66" s="1"/>
  <c r="H37" i="66"/>
  <c r="I37" i="66" s="1"/>
  <c r="H43" i="66"/>
  <c r="I43" i="66" s="1"/>
  <c r="H45" i="66"/>
  <c r="I45" i="66" s="1"/>
  <c r="H60" i="66"/>
  <c r="I60" i="66" s="1"/>
  <c r="H61" i="66"/>
  <c r="I61" i="66" s="1"/>
  <c r="H73" i="66"/>
  <c r="I73" i="66" s="1"/>
  <c r="H42" i="66"/>
  <c r="I42" i="66" s="1"/>
  <c r="H72" i="66"/>
  <c r="I72" i="66" s="1"/>
  <c r="H9" i="66"/>
  <c r="I9" i="66" s="1"/>
  <c r="I12" i="66"/>
  <c r="H17" i="66"/>
  <c r="I17" i="66" s="1"/>
  <c r="H19" i="66"/>
  <c r="I19" i="66" s="1"/>
  <c r="H64" i="66"/>
  <c r="I64" i="66" s="1"/>
  <c r="H71" i="66"/>
  <c r="I71" i="66" s="1"/>
  <c r="H39" i="66"/>
  <c r="I39" i="66" s="1"/>
  <c r="H46" i="66"/>
  <c r="I46" i="66" s="1"/>
  <c r="H49" i="66"/>
  <c r="I49" i="66" s="1"/>
  <c r="H50" i="66"/>
  <c r="I50" i="66" s="1"/>
  <c r="H25" i="66"/>
  <c r="I25" i="66" s="1"/>
  <c r="H50" i="67"/>
  <c r="I50" i="67" s="1"/>
  <c r="H9" i="67"/>
  <c r="I9" i="67" s="1"/>
  <c r="H16" i="67"/>
  <c r="I16" i="67" s="1"/>
  <c r="H37" i="67"/>
  <c r="I37" i="67" s="1"/>
  <c r="H44" i="67"/>
  <c r="I44" i="67" s="1"/>
  <c r="H48" i="67"/>
  <c r="I48" i="67" s="1"/>
  <c r="H65" i="67"/>
  <c r="I65" i="67" s="1"/>
  <c r="H68" i="67"/>
  <c r="I68" i="67" s="1"/>
  <c r="H72" i="67"/>
  <c r="I72" i="67" s="1"/>
  <c r="H74" i="67"/>
  <c r="I74" i="67" s="1"/>
  <c r="H75" i="67"/>
  <c r="I75" i="67" s="1"/>
  <c r="H23" i="67"/>
  <c r="I23" i="67" s="1"/>
  <c r="H38" i="67"/>
  <c r="I38" i="67" s="1"/>
  <c r="H21" i="67"/>
  <c r="I21" i="67" s="1"/>
  <c r="H25" i="67"/>
  <c r="I25" i="67" s="1"/>
  <c r="H41" i="67"/>
  <c r="I41" i="67" s="1"/>
  <c r="H8" i="67"/>
  <c r="I8" i="67" s="1"/>
  <c r="H35" i="67"/>
  <c r="I35" i="67" s="1"/>
  <c r="H17" i="67"/>
  <c r="I17" i="67" s="1"/>
  <c r="H19" i="67"/>
  <c r="I19" i="67" s="1"/>
  <c r="H40" i="67"/>
  <c r="I40" i="67" s="1"/>
  <c r="H61" i="67"/>
  <c r="I61" i="67" s="1"/>
  <c r="H36" i="67"/>
  <c r="I36" i="67" s="1"/>
  <c r="H70" i="67"/>
  <c r="I70" i="67" s="1"/>
  <c r="H76" i="67"/>
  <c r="I76" i="67" s="1"/>
  <c r="H62" i="67"/>
  <c r="I62" i="67" s="1"/>
  <c r="H69" i="67"/>
  <c r="I69" i="67" s="1"/>
  <c r="H43" i="67"/>
  <c r="I43" i="67" s="1"/>
  <c r="H22" i="67"/>
  <c r="I22" i="67" s="1"/>
  <c r="H24" i="67"/>
  <c r="I24" i="67" s="1"/>
  <c r="H26" i="67"/>
  <c r="I26" i="67" s="1"/>
  <c r="H42" i="67"/>
  <c r="I42" i="67" s="1"/>
  <c r="H45" i="67"/>
  <c r="I45" i="67" s="1"/>
  <c r="H51" i="67"/>
  <c r="I51" i="67" s="1"/>
  <c r="H63" i="67"/>
  <c r="I63" i="67" s="1"/>
  <c r="H66" i="67"/>
  <c r="I66" i="67" s="1"/>
  <c r="H73" i="67"/>
  <c r="I73" i="67" s="1"/>
  <c r="H10" i="67"/>
  <c r="I10" i="67" s="1"/>
  <c r="H12" i="67"/>
  <c r="I12" i="67" s="1"/>
  <c r="H15" i="67"/>
  <c r="I15" i="67" s="1"/>
  <c r="H20" i="67"/>
  <c r="I20" i="67" s="1"/>
  <c r="H49" i="67"/>
  <c r="I49" i="67" s="1"/>
  <c r="H39" i="67"/>
  <c r="I39" i="67" s="1"/>
  <c r="H46" i="67"/>
  <c r="I46" i="67" s="1"/>
  <c r="H64" i="67"/>
  <c r="I64" i="67" s="1"/>
  <c r="H67" i="67"/>
  <c r="I67" i="67" s="1"/>
  <c r="H71" i="67"/>
  <c r="I71" i="67" s="1"/>
  <c r="H11" i="67"/>
  <c r="I11" i="67" s="1"/>
  <c r="H13" i="67"/>
  <c r="I13" i="67" s="1"/>
  <c r="H14" i="67"/>
  <c r="I14" i="67" s="1"/>
  <c r="H18" i="67"/>
  <c r="I18" i="67" s="1"/>
  <c r="H47" i="67"/>
  <c r="I47" i="67" s="1"/>
  <c r="H22" i="68"/>
  <c r="I22" i="68" s="1"/>
  <c r="H23" i="68"/>
  <c r="I23" i="68" s="1"/>
  <c r="H25" i="68"/>
  <c r="I25" i="68" s="1"/>
  <c r="H41" i="68"/>
  <c r="I41" i="68" s="1"/>
  <c r="H8" i="68"/>
  <c r="I8" i="68" s="1"/>
  <c r="H47" i="68"/>
  <c r="I47" i="68" s="1"/>
  <c r="H15" i="68"/>
  <c r="I15" i="68" s="1"/>
  <c r="H9" i="68"/>
  <c r="I9" i="68" s="1"/>
  <c r="H11" i="68"/>
  <c r="I11" i="68" s="1"/>
  <c r="H13" i="68"/>
  <c r="I13" i="68" s="1"/>
  <c r="H14" i="68"/>
  <c r="I14" i="68" s="1"/>
  <c r="H16" i="68"/>
  <c r="I16" i="68" s="1"/>
  <c r="H18" i="68"/>
  <c r="I18" i="68" s="1"/>
  <c r="H40" i="68"/>
  <c r="I40" i="68" s="1"/>
  <c r="H50" i="68"/>
  <c r="I50" i="68" s="1"/>
  <c r="H24" i="68"/>
  <c r="I24" i="68" s="1"/>
  <c r="H62" i="68"/>
  <c r="I62" i="68" s="1"/>
  <c r="H21" i="68"/>
  <c r="I21" i="68" s="1"/>
  <c r="H67" i="68"/>
  <c r="I67" i="68" s="1"/>
  <c r="H68" i="68"/>
  <c r="I68" i="68" s="1"/>
  <c r="H70" i="68"/>
  <c r="I70" i="68" s="1"/>
  <c r="H72" i="68"/>
  <c r="I72" i="68" s="1"/>
  <c r="H71" i="68"/>
  <c r="I71" i="68" s="1"/>
  <c r="H20" i="68"/>
  <c r="I20" i="68" s="1"/>
  <c r="H26" i="68"/>
  <c r="I26" i="68" s="1"/>
  <c r="H35" i="68"/>
  <c r="I35" i="68" s="1"/>
  <c r="H38" i="68"/>
  <c r="I38" i="68" s="1"/>
  <c r="H42" i="68"/>
  <c r="I42" i="68" s="1"/>
  <c r="H45" i="68"/>
  <c r="I45" i="68" s="1"/>
  <c r="H48" i="68"/>
  <c r="I48" i="68" s="1"/>
  <c r="H61" i="68"/>
  <c r="I61" i="68" s="1"/>
  <c r="H64" i="68"/>
  <c r="I64" i="68" s="1"/>
  <c r="H69" i="68"/>
  <c r="I69" i="68" s="1"/>
  <c r="H51" i="68"/>
  <c r="I51" i="68" s="1"/>
  <c r="H65" i="68"/>
  <c r="I65" i="68" s="1"/>
  <c r="H37" i="68"/>
  <c r="I37" i="68" s="1"/>
  <c r="H44" i="68"/>
  <c r="I44" i="68" s="1"/>
  <c r="H63" i="68"/>
  <c r="I63" i="68" s="1"/>
  <c r="H39" i="68"/>
  <c r="I39" i="68" s="1"/>
  <c r="H46" i="68"/>
  <c r="I46" i="68" s="1"/>
  <c r="H10" i="68"/>
  <c r="I10" i="68" s="1"/>
  <c r="H12" i="68"/>
  <c r="I12" i="68" s="1"/>
  <c r="H17" i="68"/>
  <c r="I17" i="68" s="1"/>
  <c r="H19" i="68"/>
  <c r="I19" i="68" s="1"/>
  <c r="H36" i="68"/>
  <c r="I36" i="68" s="1"/>
  <c r="H43" i="68"/>
  <c r="I43" i="68" s="1"/>
  <c r="H66" i="68"/>
  <c r="I66" i="6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72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A81" authorId="0" shapeId="0" xr:uid="{00000000-0006-0000-07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A90" authorId="0" shapeId="0" xr:uid="{00000000-0006-0000-07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8" authorId="0" shapeId="0" xr:uid="{00000000-0006-0000-1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8" authorId="0" shapeId="0" xr:uid="{00000000-0006-0000-1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8" authorId="0" shapeId="0" xr:uid="{00000000-0006-0000-15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8" authorId="0" shapeId="0" xr:uid="{00000000-0006-0000-15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8" authorId="0" shapeId="0" xr:uid="{00000000-0006-0000-15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15" authorId="0" shapeId="0" xr:uid="{00000000-0006-0000-15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  <comment ref="E17" authorId="0" shapeId="0" xr:uid="{00000000-0006-0000-15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17" authorId="0" shapeId="0" xr:uid="{00000000-0006-0000-15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17" authorId="0" shapeId="0" xr:uid="{00000000-0006-0000-15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H17" authorId="0" shapeId="0" xr:uid="{00000000-0006-0000-15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17" authorId="0" shapeId="0" xr:uid="{00000000-0006-0000-15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17" authorId="0" shapeId="0" xr:uid="{00000000-0006-0000-15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25" authorId="0" shapeId="0" xr:uid="{00000000-0006-0000-1500-00000D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  <author>May Mauseth</author>
  </authors>
  <commentList>
    <comment ref="G7" authorId="0" shapeId="0" xr:uid="{00000000-0006-0000-16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7" authorId="0" shapeId="0" xr:uid="{00000000-0006-0000-16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N8" authorId="1" shapeId="0" xr:uid="{00000000-0006-0000-16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600+1400
</t>
        </r>
      </text>
    </comment>
    <comment ref="T8" authorId="1" shapeId="0" xr:uid="{00000000-0006-0000-16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 + 720
</t>
        </r>
      </text>
    </comment>
    <comment ref="G16" authorId="0" shapeId="0" xr:uid="{00000000-0006-0000-16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16" authorId="0" shapeId="0" xr:uid="{00000000-0006-0000-16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N17" authorId="1" shapeId="0" xr:uid="{00000000-0006-0000-16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600+1400
</t>
        </r>
      </text>
    </comment>
    <comment ref="T17" authorId="1" shapeId="0" xr:uid="{00000000-0006-0000-16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300 + 720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E8" authorId="0" shapeId="0" xr:uid="{00000000-0006-0000-1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8" authorId="0" shapeId="0" xr:uid="{00000000-0006-0000-17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8" authorId="0" shapeId="0" xr:uid="{00000000-0006-0000-17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8" authorId="0" shapeId="0" xr:uid="{00000000-0006-0000-1700-000004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8" authorId="0" shapeId="0" xr:uid="{00000000-0006-0000-1700-000005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15" authorId="0" shapeId="0" xr:uid="{00000000-0006-0000-1700-000006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  <comment ref="E17" authorId="0" shapeId="0" xr:uid="{00000000-0006-0000-1700-000007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F17" authorId="0" shapeId="0" xr:uid="{00000000-0006-0000-1700-000008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G17" authorId="0" shapeId="0" xr:uid="{00000000-0006-0000-1700-000009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M17" authorId="0" shapeId="0" xr:uid="{00000000-0006-0000-1700-00000A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Q17" authorId="0" shapeId="0" xr:uid="{00000000-0006-0000-1700-00000B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1000 + 750</t>
        </r>
      </text>
    </comment>
    <comment ref="T25" authorId="0" shapeId="0" xr:uid="{00000000-0006-0000-1700-00000C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Market contract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G7" authorId="0" shapeId="0" xr:uid="{00000000-0006-0000-1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7" authorId="0" shapeId="0" xr:uid="{00000000-0006-0000-1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G16" authorId="0" shapeId="0" xr:uid="{00000000-0006-0000-1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M16" authorId="0" shapeId="0" xr:uid="{00000000-0006-0000-19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7" authorId="0" shapeId="0" xr:uid="{00000000-0006-0000-1B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15" authorId="0" shapeId="0" xr:uid="{00000000-0006-0000-1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6" authorId="0" shapeId="0" xr:uid="{00000000-0006-0000-1B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25" authorId="0" shapeId="0" xr:uid="{00000000-0006-0000-1B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F25" authorId="0" shapeId="0" xr:uid="{00000000-0006-0000-1B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G25" authorId="0" shapeId="0" xr:uid="{00000000-0006-0000-1B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7" authorId="0" shapeId="0" xr:uid="{00000000-0006-0000-1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15" authorId="0" shapeId="0" xr:uid="{00000000-0006-0000-1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6" authorId="0" shapeId="0" xr:uid="{00000000-0006-0000-1C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Or 10.989kWh/day</t>
        </r>
      </text>
    </comment>
    <comment ref="E25" authorId="0" shapeId="0" xr:uid="{00000000-0006-0000-1C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F25" authorId="0" shapeId="0" xr:uid="{00000000-0006-0000-1C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G25" authorId="0" shapeId="0" xr:uid="{00000000-0006-0000-1C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1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D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1D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1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E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1E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1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1F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F7" authorId="0" shapeId="0" xr:uid="{00000000-0006-0000-1F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tariff stipulates first 3.33 kWh per day</t>
        </r>
      </text>
    </comment>
    <comment ref="E13" authorId="0" shapeId="0" xr:uid="{00000000-0006-0000-1F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1F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F14" authorId="0" shapeId="0" xr:uid="{00000000-0006-0000-1F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The tariff stipulates first 3.33 kWh per day</t>
        </r>
      </text>
    </comment>
    <comment ref="E21" authorId="0" shapeId="0" xr:uid="{00000000-0006-0000-1F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6" authorId="0" shapeId="0" xr:uid="{00000000-0006-0000-2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</t>
        </r>
      </text>
    </comment>
    <comment ref="F6" authorId="0" shapeId="0" xr:uid="{00000000-0006-0000-20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</t>
        </r>
      </text>
    </comment>
    <comment ref="E13" authorId="0" shapeId="0" xr:uid="{00000000-0006-0000-20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5700, 5701</t>
        </r>
      </text>
    </comment>
    <comment ref="F13" authorId="0" shapeId="0" xr:uid="{00000000-0006-0000-2000-000004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7400, 7401,7407</t>
        </r>
      </text>
    </comment>
    <comment ref="E21" authorId="0" shapeId="0" xr:uid="{00000000-0006-0000-2000-000005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# 5705, 5706, 5707</t>
        </r>
      </text>
    </comment>
    <comment ref="G23" authorId="0" shapeId="0" xr:uid="{00000000-0006-0000-2000-000006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2-8pm on working weekdays. Approx 30 hours per week</t>
        </r>
      </text>
    </comment>
    <comment ref="H23" authorId="0" shapeId="0" xr:uid="{00000000-0006-0000-2000-000007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1-8pm on working weekdays. Approx 35 hours per week</t>
        </r>
      </text>
    </comment>
    <comment ref="G24" authorId="0" shapeId="0" xr:uid="{00000000-0006-0000-2000-000008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7am - 2pm and 8-10pm on working weekdays, and 7am - 10pm on weekends/public holidays. Approx 75 hours per week.</t>
        </r>
      </text>
    </comment>
    <comment ref="H24" authorId="0" shapeId="0" xr:uid="{00000000-0006-0000-2000-000009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7am - 1pm and 8-10pm on working weekdays, and 7am - 10pm on weekends/public holidays. Approx 70 hours per week.</t>
        </r>
      </text>
    </comment>
    <comment ref="G25" authorId="0" shapeId="0" xr:uid="{00000000-0006-0000-2000-00000A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All other times. Approx 63 hours per week.</t>
        </r>
      </text>
    </comment>
    <comment ref="H25" authorId="0" shapeId="0" xr:uid="{00000000-0006-0000-2000-00000B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All other times. Approx 63 hours per week.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A72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A80" authorId="0" shapeId="0" xr:uid="{00000000-0006-0000-08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A88" authorId="0" shapeId="0" xr:uid="{00000000-0006-0000-08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40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D40" authorId="0" shapeId="0" xr:uid="{00000000-0006-0000-09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E40" authorId="0" shapeId="0" xr:uid="{00000000-0006-0000-09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40" authorId="0" shapeId="0" xr:uid="{00000000-0006-0000-0A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D40" authorId="0" shapeId="0" xr:uid="{00000000-0006-0000-0A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E40" authorId="0" shapeId="0" xr:uid="{00000000-0006-0000-0A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B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C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C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C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C38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7-9am and 5-8pm
Shoulder: 9am-5pm and 8-10pm
Off-peak: 10pm-7am</t>
        </r>
      </text>
    </comment>
    <comment ref="E38" authorId="0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2-8pm on working days
Shoulder: 7am-2pm and 8-10pm on working days + 7am-10pm on weekends/public holidays
Off-peak: All other times</t>
        </r>
      </text>
    </comment>
    <comment ref="F38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Peak: 1-8pm on working days
Shoulder: 7am-1pm and 8-10pm on working days + 7am-10pm on weekends/public holidays
Off-peak: 10pm-7am every day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N47" authorId="0" shapeId="0" xr:uid="{A9EEC3D4-9727-8141-A2B1-14B2E9578DD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Seasonal tariff - has been adjusted</t>
        </r>
      </text>
    </comment>
  </commentList>
</comments>
</file>

<file path=xl/sharedStrings.xml><?xml version="1.0" encoding="utf-8"?>
<sst xmlns="http://schemas.openxmlformats.org/spreadsheetml/2006/main" count="19190" uniqueCount="889">
  <si>
    <t>By May Mauseth Johnston, Alviss Consulting Pty Ltd</t>
    <phoneticPr fontId="5" type="noConversion"/>
  </si>
  <si>
    <t>© St Vincent de Paul Society and Alviss Consulting Pty Ltd</t>
  </si>
  <si>
    <t xml:space="preserve">This workbook is copyright. All works contained in it are St Vincent de Paul Society and Alviss Consulting’s  </t>
    <phoneticPr fontId="20" type="noConversion"/>
  </si>
  <si>
    <t>intellectual property and subject to copyright. Apart from any use permitted under the Copyright Act 1968 (Ctw),</t>
    <phoneticPr fontId="20" type="noConversion"/>
  </si>
  <si>
    <t xml:space="preserve">no parts may be adapted, reproduced, copied, stored, distributed, published or put to commercial use </t>
    <phoneticPr fontId="20" type="noConversion"/>
  </si>
  <si>
    <t>Purpose of project</t>
  </si>
  <si>
    <t xml:space="preserve">without prior written permission from the St Vincent de Paul Society. </t>
  </si>
  <si>
    <t>The main purpose of this workbook is to provide consumer advocates with a tool to track and analyse</t>
  </si>
  <si>
    <t>changes to domestic energy offers in NSW.  If regularly updated, this tariff-tracking tool can be used to:</t>
    <phoneticPr fontId="5" type="noConversion"/>
  </si>
  <si>
    <t xml:space="preserve">1) Inform the community about changes to energy retail prices and increase consumer awareness </t>
  </si>
  <si>
    <t>DISCLAIMER:</t>
  </si>
  <si>
    <t>2) Monitor the impact tariff changes have on household bills and energy affordability</t>
  </si>
  <si>
    <t xml:space="preserve">The energy offers, tariffs and bill calculations presented in this workbook should be used as a general guide only and should not be </t>
  </si>
  <si>
    <t>Tab colours:</t>
    <phoneticPr fontId="5" type="noConversion"/>
  </si>
  <si>
    <t xml:space="preserve">relied upon. The workbook is not an appropriate substitute for obtaining an offer from an energy retailer.  The information presented </t>
  </si>
  <si>
    <r>
      <t>Acknowledgement:</t>
    </r>
    <r>
      <rPr>
        <sz val="11"/>
        <rFont val="Arial"/>
        <family val="2"/>
      </rPr>
      <t xml:space="preserve"> The St Vincent de Paul Society received funding from Energy Consumers Australia (ECA)</t>
    </r>
    <phoneticPr fontId="5" type="noConversion"/>
  </si>
  <si>
    <t>July 2017</t>
  </si>
  <si>
    <t xml:space="preserve">in the workbook is not provided as financial advice. While we have taken great care to ensure accuracy of the information provided in this </t>
  </si>
  <si>
    <t>July 2016</t>
    <phoneticPr fontId="5" type="noConversion"/>
  </si>
  <si>
    <t xml:space="preserve">workbook, it is suitable for use only as a research and advocacy tool. We do not accept any legal responsibility for errors or inaccuracies. </t>
  </si>
  <si>
    <t>Project outputs</t>
  </si>
  <si>
    <t>July 2015</t>
    <phoneticPr fontId="5" type="noConversion"/>
  </si>
  <si>
    <t xml:space="preserve">The St Vincent de Paul Society and Alviss Consulting Pty Ltd do not accept liability for any action taken based on the information provided in  </t>
    <phoneticPr fontId="20" type="noConversion"/>
  </si>
  <si>
    <t>July 2014</t>
    <phoneticPr fontId="5" type="noConversion"/>
  </si>
  <si>
    <t xml:space="preserve">this workbook or for any loss, economic or otherwise, suffered as a result of reliance on the information presented in this workbook.  </t>
    <phoneticPr fontId="20" type="noConversion"/>
  </si>
  <si>
    <t>July 2013</t>
    <phoneticPr fontId="5" type="noConversion"/>
  </si>
  <si>
    <t>If you would like to obtain information about energy offers available to you as a customer, go to AER’s "Energy Made Easy" website</t>
    <phoneticPr fontId="5" type="noConversion"/>
  </si>
  <si>
    <t>July 2012</t>
    <phoneticPr fontId="5" type="noConversion"/>
  </si>
  <si>
    <r>
      <t>www.energymadeeasy.gov.au</t>
    </r>
    <r>
      <rPr>
        <sz val="10"/>
        <rFont val="Arial"/>
        <family val="2"/>
      </rPr>
      <t xml:space="preserve"> or contact the energy retailers directly.</t>
    </r>
    <phoneticPr fontId="5" type="noConversion"/>
  </si>
  <si>
    <t>Retailers:</t>
  </si>
  <si>
    <t>July 2011</t>
    <phoneticPr fontId="5" type="noConversion"/>
  </si>
  <si>
    <t>July 2010</t>
    <phoneticPr fontId="5" type="noConversion"/>
  </si>
  <si>
    <t>AGL</t>
  </si>
  <si>
    <t>July 2009</t>
  </si>
  <si>
    <t>Alinta Energy</t>
  </si>
  <si>
    <t>July 2008</t>
    <phoneticPr fontId="5" type="noConversion"/>
  </si>
  <si>
    <t>Distribution businesses:</t>
  </si>
  <si>
    <r>
      <t xml:space="preserve">Essential/Country Energy </t>
    </r>
    <r>
      <rPr>
        <b/>
        <sz val="10"/>
        <rFont val="Verdana"/>
        <family val="2"/>
      </rPr>
      <t>(ESS/CE)</t>
    </r>
    <phoneticPr fontId="5" type="noConversion"/>
  </si>
  <si>
    <r>
      <t>Ausgrid/Energy Australia</t>
    </r>
    <r>
      <rPr>
        <b/>
        <sz val="10"/>
        <rFont val="Verdana"/>
        <family val="2"/>
      </rPr>
      <t xml:space="preserve"> (AG/EA)</t>
    </r>
    <phoneticPr fontId="5" type="noConversion"/>
  </si>
  <si>
    <t>CovaU</t>
  </si>
  <si>
    <r>
      <t xml:space="preserve">Endeavour Energy/Integral </t>
    </r>
    <r>
      <rPr>
        <b/>
        <sz val="10"/>
        <rFont val="Verdana"/>
        <family val="2"/>
      </rPr>
      <t>(END/Inte)</t>
    </r>
    <phoneticPr fontId="5" type="noConversion"/>
  </si>
  <si>
    <t>Dodo Power &amp; Gas</t>
  </si>
  <si>
    <t>EnergyAustralia</t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</si>
  <si>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  <phoneticPr fontId="5" type="noConversion"/>
  </si>
  <si>
    <t>Momentum Energy</t>
  </si>
  <si>
    <t>This workbook contains:</t>
  </si>
  <si>
    <t>Origin Energy</t>
  </si>
  <si>
    <t>AUSGRID/ENERGY AUSTRALIA</t>
    <phoneticPr fontId="5" type="noConversion"/>
  </si>
  <si>
    <t>Powerdirect</t>
  </si>
  <si>
    <t xml:space="preserve">*Analysis of bills (consumption level/pattern variable) across networks and retailers (inc GST) </t>
  </si>
  <si>
    <t>Powershop</t>
  </si>
  <si>
    <t xml:space="preserve">*The spreadsheets (bills) are interactive spreadsheet where quarterly consumption (kWh) and peak/off peak  </t>
    <phoneticPr fontId="5" type="noConversion"/>
  </si>
  <si>
    <t>Red Energy</t>
  </si>
  <si>
    <t>proportions (%) can be adjusted. All red cells contain variables for the user to insert</t>
  </si>
  <si>
    <t>Simply Energy</t>
  </si>
  <si>
    <t xml:space="preserve">  </t>
  </si>
  <si>
    <t>*As domestic electricity offers currently depend on the type of metering installed at the premises,</t>
  </si>
  <si>
    <t>this analysis include the three most common electricity offers based on meter type:</t>
  </si>
  <si>
    <t>1) Single rate (also known as flat rate). Typically used in dual fuel households.</t>
  </si>
  <si>
    <t>2) Controlled load (also known as dedicated circuit and controlled off-peak 1). Typically used for hot water and heating where no gas is available.</t>
    <phoneticPr fontId="5" type="noConversion"/>
  </si>
  <si>
    <t>3) Time of Use (TOU). Three part tariff with Peak, shoulder and off-peak rates. Most common in Ausgrid's area.</t>
    <phoneticPr fontId="5" type="noConversion"/>
  </si>
  <si>
    <t>*All spreadsheets are locked so that tariff rates cannot accidentally be changed.</t>
    <phoneticPr fontId="5" type="noConversion"/>
  </si>
  <si>
    <t>*All supply charges published as quarterly charges have been divided by 91 days.</t>
  </si>
  <si>
    <t>NSW Electricity network areas:</t>
    <phoneticPr fontId="5" type="noConversion"/>
  </si>
  <si>
    <t>Ausgrid's area:</t>
    <phoneticPr fontId="5" type="noConversion"/>
  </si>
  <si>
    <t>ENDEAVOUR ENERGY/INTEGRAL</t>
    <phoneticPr fontId="5" type="noConversion"/>
  </si>
  <si>
    <t xml:space="preserve">Inner Sydney, Northern Sydney, Swansea, Newcastle, </t>
    <phoneticPr fontId="5" type="noConversion"/>
  </si>
  <si>
    <t xml:space="preserve">Maitland, Cessnock Singleton and Upper Hunter </t>
  </si>
  <si>
    <t>Endeavour's area</t>
    <phoneticPr fontId="5" type="noConversion"/>
  </si>
  <si>
    <t xml:space="preserve">Western Sydney, Wollongong, Blue Mountains, </t>
    <phoneticPr fontId="5" type="noConversion"/>
  </si>
  <si>
    <t>Lithgow, Kandos, Moss Vale, Nowra, Ulladulla</t>
  </si>
  <si>
    <t>Essential's area</t>
    <phoneticPr fontId="5" type="noConversion"/>
  </si>
  <si>
    <t>Rural and regional NSW, the area north of Port Stephens and Murrundi,</t>
    <phoneticPr fontId="5" type="noConversion"/>
  </si>
  <si>
    <t>south of Batemans Bay and east of Lithgow.</t>
    <phoneticPr fontId="5" type="noConversion"/>
  </si>
  <si>
    <t>The Far West region (Broken Hill) has a separate tariff.</t>
    <phoneticPr fontId="5" type="noConversion"/>
  </si>
  <si>
    <t>ESSENTIAL ENERGT/COUNTRY ENERGY</t>
    <phoneticPr fontId="5" type="noConversion"/>
  </si>
  <si>
    <t>St Vincent de Paul Society, NSW Tariff-Tracking Project, Workbook 1: Electricity Standing Offers</t>
    <phoneticPr fontId="5" type="noConversion"/>
  </si>
  <si>
    <t>NSW, ESSENTIAL NETWORK</t>
    <phoneticPr fontId="5" type="noConversion"/>
  </si>
  <si>
    <t>Single rate</t>
  </si>
  <si>
    <t>Insert quarterly consumption (kWh):</t>
  </si>
  <si>
    <t>Retailer</t>
  </si>
  <si>
    <t>Effective from</t>
    <phoneticPr fontId="5" type="noConversion"/>
  </si>
  <si>
    <t>Supply charge</t>
  </si>
  <si>
    <t>1st block</t>
  </si>
  <si>
    <t>2nd block</t>
  </si>
  <si>
    <t>4th block</t>
  </si>
  <si>
    <t>Peak balance</t>
  </si>
  <si>
    <t>Quarterly bill</t>
  </si>
  <si>
    <t>Annual bill (incl GST)</t>
    <phoneticPr fontId="5" type="noConversion"/>
  </si>
  <si>
    <t>Controlled Load</t>
    <phoneticPr fontId="5" type="noConversion"/>
  </si>
  <si>
    <t>Insert quarterly consumption (KWh):</t>
  </si>
  <si>
    <t>Insert peak proportion (%):</t>
  </si>
  <si>
    <t>Insert off-peak proportion (%):</t>
  </si>
  <si>
    <t>Controlled off-peak</t>
    <phoneticPr fontId="5" type="noConversion"/>
  </si>
  <si>
    <t>TOU</t>
  </si>
  <si>
    <t>Insert shoulder proportion (%):</t>
  </si>
  <si>
    <t>Peak 1st block</t>
    <phoneticPr fontId="5" type="noConversion"/>
  </si>
  <si>
    <t>Shoulder</t>
    <phoneticPr fontId="5" type="noConversion"/>
  </si>
  <si>
    <t>Off-peak</t>
    <phoneticPr fontId="5" type="noConversion"/>
  </si>
  <si>
    <t>NSW, AUSGRID NETWORK</t>
    <phoneticPr fontId="5" type="noConversion"/>
  </si>
  <si>
    <t>3rd block</t>
  </si>
  <si>
    <t>NSW, ENDEAVOUR NETWORK</t>
    <phoneticPr fontId="5" type="noConversion"/>
  </si>
  <si>
    <t xml:space="preserve">St Vincent de Paul Society, NSW Tariff-Tracking Project, Workbook 1: Electricity Standing Offers </t>
    <phoneticPr fontId="5" type="noConversion"/>
  </si>
  <si>
    <t>Bill impacts for all network areas July 2015</t>
    <phoneticPr fontId="5" type="noConversion"/>
  </si>
  <si>
    <t>Essential (all areas)</t>
    <phoneticPr fontId="5" type="noConversion"/>
  </si>
  <si>
    <t>Transitional</t>
    <phoneticPr fontId="5" type="noConversion"/>
  </si>
  <si>
    <t>AGL</t>
    <phoneticPr fontId="5" type="noConversion"/>
  </si>
  <si>
    <t>Origin</t>
    <phoneticPr fontId="5" type="noConversion"/>
  </si>
  <si>
    <t>Powerdirect</t>
    <phoneticPr fontId="5" type="noConversion"/>
  </si>
  <si>
    <t>Click</t>
    <phoneticPr fontId="5" type="noConversion"/>
  </si>
  <si>
    <t>Dodo</t>
    <phoneticPr fontId="5" type="noConversion"/>
  </si>
  <si>
    <t>Lumo</t>
    <phoneticPr fontId="5" type="noConversion"/>
  </si>
  <si>
    <t>Energy Aus</t>
    <phoneticPr fontId="5" type="noConversion"/>
  </si>
  <si>
    <t>Momentum</t>
    <phoneticPr fontId="5" type="noConversion"/>
  </si>
  <si>
    <t>Simply</t>
    <phoneticPr fontId="5" type="noConversion"/>
  </si>
  <si>
    <t>Covau</t>
  </si>
  <si>
    <t>Sanctuary</t>
  </si>
  <si>
    <t>Commander</t>
    <phoneticPr fontId="5" type="noConversion"/>
  </si>
  <si>
    <t>Diamond</t>
    <phoneticPr fontId="5" type="noConversion"/>
  </si>
  <si>
    <t>QEnergy</t>
    <phoneticPr fontId="5" type="noConversion"/>
  </si>
  <si>
    <t>Qtr bill</t>
  </si>
  <si>
    <t>Annual bill</t>
  </si>
  <si>
    <t>Peak - 1st block</t>
  </si>
  <si>
    <t>Peak -2nd block</t>
    <phoneticPr fontId="5" type="noConversion"/>
  </si>
  <si>
    <t>Fixed charges</t>
  </si>
  <si>
    <t>AusGrid</t>
    <phoneticPr fontId="5" type="noConversion"/>
  </si>
  <si>
    <t>Endeavour</t>
    <phoneticPr fontId="5" type="noConversion"/>
  </si>
  <si>
    <t xml:space="preserve">Controlled </t>
  </si>
  <si>
    <t>Load</t>
  </si>
  <si>
    <t>NA</t>
    <phoneticPr fontId="5" type="noConversion"/>
  </si>
  <si>
    <t>Peak - 2nd block</t>
    <phoneticPr fontId="5" type="noConversion"/>
  </si>
  <si>
    <t>Controlled off-peak</t>
  </si>
  <si>
    <t xml:space="preserve">Peak </t>
    <phoneticPr fontId="5" type="noConversion"/>
  </si>
  <si>
    <t>Shoulder</t>
  </si>
  <si>
    <t>Off-peak</t>
  </si>
  <si>
    <t>Peak - 2nd block</t>
  </si>
  <si>
    <t xml:space="preserve">Endeavour </t>
    <phoneticPr fontId="5" type="noConversion"/>
  </si>
  <si>
    <t>Bill impacts for all network areas July 2014</t>
    <phoneticPr fontId="5" type="noConversion"/>
  </si>
  <si>
    <t xml:space="preserve">St Vincent de Paul Society, NSW Tariff-Tracking Project, Workbook 1: Regulated electricity Offers </t>
    <phoneticPr fontId="5" type="noConversion"/>
  </si>
  <si>
    <t>Bill impacts for all network areas July 2013</t>
    <phoneticPr fontId="5" type="noConversion"/>
  </si>
  <si>
    <t>Endeavour Energy</t>
    <phoneticPr fontId="5" type="noConversion"/>
  </si>
  <si>
    <t>Bill impacts for all network areas July 2012</t>
    <phoneticPr fontId="5" type="noConversion"/>
  </si>
  <si>
    <t>Bill impacts for all network areas July 2011</t>
    <phoneticPr fontId="5" type="noConversion"/>
  </si>
  <si>
    <t>Essential (Far West)</t>
    <phoneticPr fontId="5" type="noConversion"/>
  </si>
  <si>
    <t>Bill impacts for all network areas July 2010</t>
    <phoneticPr fontId="5" type="noConversion"/>
  </si>
  <si>
    <t>Country (all areas)</t>
    <phoneticPr fontId="5" type="noConversion"/>
  </si>
  <si>
    <t>Country Far West</t>
    <phoneticPr fontId="5" type="noConversion"/>
  </si>
  <si>
    <t>Integral</t>
    <phoneticPr fontId="5" type="noConversion"/>
  </si>
  <si>
    <t>Bill impacts for all network areas July 2009</t>
    <phoneticPr fontId="5" type="noConversion"/>
  </si>
  <si>
    <t>Bill impacts for all network areas July 2008</t>
    <phoneticPr fontId="5" type="noConversion"/>
  </si>
  <si>
    <t>ID</t>
  </si>
  <si>
    <t>Timestamp</t>
    <phoneticPr fontId="5" type="noConversion"/>
  </si>
  <si>
    <t>State</t>
    <phoneticPr fontId="5" type="noConversion"/>
  </si>
  <si>
    <t>DB</t>
    <phoneticPr fontId="5" type="noConversion"/>
  </si>
  <si>
    <t>DB Zone</t>
    <phoneticPr fontId="5" type="noConversion"/>
  </si>
  <si>
    <t>Meter type</t>
    <phoneticPr fontId="5" type="noConversion"/>
  </si>
  <si>
    <t>Solar (y/n)</t>
    <phoneticPr fontId="5" type="noConversion"/>
  </si>
  <si>
    <t>Restricted eligibility? (n/so/nso)</t>
    <phoneticPr fontId="5" type="noConversion"/>
  </si>
  <si>
    <t>Solar meter fee (c/day)</t>
    <phoneticPr fontId="5" type="noConversion"/>
  </si>
  <si>
    <t>Name</t>
    <phoneticPr fontId="5" type="noConversion"/>
  </si>
  <si>
    <t>Supply (c/day)</t>
  </si>
  <si>
    <t>Single or peak rate (c/kWh)</t>
    <phoneticPr fontId="5" type="noConversion"/>
  </si>
  <si>
    <t>block type</t>
  </si>
  <si>
    <t>Peak 1st step (kWh)</t>
    <phoneticPr fontId="5" type="noConversion"/>
  </si>
  <si>
    <t>Peak 2nd rate (c/kWh)</t>
    <phoneticPr fontId="5" type="noConversion"/>
  </si>
  <si>
    <t>Peak 2nd step (kWh)</t>
    <phoneticPr fontId="5" type="noConversion"/>
  </si>
  <si>
    <t>Peak 3rd rate (c/kWh)</t>
    <phoneticPr fontId="5" type="noConversion"/>
  </si>
  <si>
    <t>Peak 3rd step (kWh)</t>
    <phoneticPr fontId="5" type="noConversion"/>
  </si>
  <si>
    <t>Peak 4th rate (c/kWh)</t>
    <phoneticPr fontId="5" type="noConversion"/>
  </si>
  <si>
    <t>Seasonal peak: off-peak rate (c/kWh)</t>
    <phoneticPr fontId="5" type="noConversion"/>
  </si>
  <si>
    <t>Off-peak rate (c/kWh)</t>
    <phoneticPr fontId="5" type="noConversion"/>
  </si>
  <si>
    <t>Off peak 1st step (kWh)</t>
    <phoneticPr fontId="5" type="noConversion"/>
  </si>
  <si>
    <t>Off peak 2nd rate (c/kWh)</t>
    <phoneticPr fontId="5" type="noConversion"/>
  </si>
  <si>
    <t>Off peak 2nd step (kWh)</t>
    <phoneticPr fontId="5" type="noConversion"/>
  </si>
  <si>
    <t>Off peak 3rd rate (c/kWh)</t>
    <phoneticPr fontId="5" type="noConversion"/>
  </si>
  <si>
    <t>Off peak 3rd step (kWh)</t>
    <phoneticPr fontId="5" type="noConversion"/>
  </si>
  <si>
    <t>Off peak 4th rate (c/kWh)</t>
    <phoneticPr fontId="5" type="noConversion"/>
  </si>
  <si>
    <t>Seasonal Off-peak: Off-peak rate (c/kWh)</t>
    <phoneticPr fontId="5" type="noConversion"/>
  </si>
  <si>
    <t>Cont' off peak</t>
    <phoneticPr fontId="5" type="noConversion"/>
  </si>
  <si>
    <t>Cont' off peak 1st step (kWh)</t>
    <phoneticPr fontId="5" type="noConversion"/>
  </si>
  <si>
    <t>Cont' off peak 2nd rate</t>
    <phoneticPr fontId="5" type="noConversion"/>
  </si>
  <si>
    <t>Shoulder (c/kWh)</t>
    <phoneticPr fontId="5" type="noConversion"/>
  </si>
  <si>
    <t>Split week tariff: Shoulder - weekdays (c/kWh)</t>
    <phoneticPr fontId="5" type="noConversion"/>
  </si>
  <si>
    <t>Split week tariff: Shoulder - weekends (c/kWh)</t>
    <phoneticPr fontId="5" type="noConversion"/>
  </si>
  <si>
    <t>Seasonal shoulder: off peak season rate (c/kWh)</t>
    <phoneticPr fontId="5" type="noConversion"/>
  </si>
  <si>
    <t>Time structure Code</t>
    <phoneticPr fontId="5" type="noConversion"/>
  </si>
  <si>
    <t>Seasonal? (y/n)</t>
    <phoneticPr fontId="5" type="noConversion"/>
  </si>
  <si>
    <t>Summer or winter peak (s/w)</t>
    <phoneticPr fontId="5" type="noConversion"/>
  </si>
  <si>
    <t>Number of peak months</t>
    <phoneticPr fontId="5" type="noConversion"/>
  </si>
  <si>
    <t>NSW</t>
    <phoneticPr fontId="3" type="noConversion"/>
  </si>
  <si>
    <t>Essential Energy</t>
  </si>
  <si>
    <t>Single</t>
    <phoneticPr fontId="3" type="noConversion"/>
  </si>
  <si>
    <t>y</t>
    <phoneticPr fontId="3" type="noConversion"/>
  </si>
  <si>
    <t>n</t>
    <phoneticPr fontId="3" type="noConversion"/>
  </si>
  <si>
    <t>Energy Locals</t>
    <phoneticPr fontId="3" type="noConversion"/>
  </si>
  <si>
    <t>Standard offer</t>
    <phoneticPr fontId="5" type="noConversion"/>
  </si>
  <si>
    <t>NSW-Single</t>
    <phoneticPr fontId="5" type="noConversion"/>
  </si>
  <si>
    <t>n</t>
    <phoneticPr fontId="5" type="noConversion"/>
  </si>
  <si>
    <t>AGL</t>
    <phoneticPr fontId="3" type="noConversion"/>
  </si>
  <si>
    <t>nso</t>
    <phoneticPr fontId="3" type="noConversion"/>
  </si>
  <si>
    <t>Alinta Energy</t>
    <phoneticPr fontId="3" type="noConversion"/>
  </si>
  <si>
    <t>quarter</t>
    <phoneticPr fontId="3" type="noConversion"/>
  </si>
  <si>
    <t>Essential Energy</t>
    <phoneticPr fontId="3" type="noConversion"/>
  </si>
  <si>
    <t>Click Energy</t>
    <phoneticPr fontId="3" type="noConversion"/>
  </si>
  <si>
    <t>Commander</t>
    <phoneticPr fontId="3" type="noConversion"/>
  </si>
  <si>
    <t>CovaU</t>
    <phoneticPr fontId="3" type="noConversion"/>
  </si>
  <si>
    <t>Diamond Energy</t>
    <phoneticPr fontId="3" type="noConversion"/>
  </si>
  <si>
    <t>Dodo Power &amp; Gas</t>
    <phoneticPr fontId="3" type="noConversion"/>
  </si>
  <si>
    <t>EnergyAustralia</t>
    <phoneticPr fontId="3" type="noConversion"/>
  </si>
  <si>
    <t>Mojo Power</t>
    <phoneticPr fontId="3" type="noConversion"/>
  </si>
  <si>
    <t>Momentum Energy</t>
    <phoneticPr fontId="3" type="noConversion"/>
  </si>
  <si>
    <t>Origin Energy</t>
    <phoneticPr fontId="3" type="noConversion"/>
  </si>
  <si>
    <t>Powerdirect</t>
    <phoneticPr fontId="3" type="noConversion"/>
  </si>
  <si>
    <t>Powershop</t>
    <phoneticPr fontId="3" type="noConversion"/>
  </si>
  <si>
    <t>Red Energy</t>
    <phoneticPr fontId="3" type="noConversion"/>
  </si>
  <si>
    <t>Simply Energy</t>
    <phoneticPr fontId="3" type="noConversion"/>
  </si>
  <si>
    <t>Sanctuary Energy</t>
    <phoneticPr fontId="3" type="noConversion"/>
  </si>
  <si>
    <t>Controlled</t>
    <phoneticPr fontId="3" type="noConversion"/>
  </si>
  <si>
    <t>NSW-Controlled 1</t>
    <phoneticPr fontId="5" type="noConversion"/>
  </si>
  <si>
    <t>TOU</t>
    <phoneticPr fontId="3" type="noConversion"/>
  </si>
  <si>
    <t>Essential-TOU</t>
    <phoneticPr fontId="5" type="noConversion"/>
  </si>
  <si>
    <t>AusGrid</t>
    <phoneticPr fontId="3" type="noConversion"/>
  </si>
  <si>
    <t>Standard offer</t>
  </si>
  <si>
    <t>NSW</t>
    <phoneticPr fontId="4" type="noConversion"/>
  </si>
  <si>
    <t>AusGrid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</si>
  <si>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</si>
  <si>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</si>
  <si>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</si>
  <si>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Origin Energy</t>
    <phoneticPr fontId="4" type="noConversion"/>
  </si>
  <si>
    <t>Controlled</t>
    <phoneticPr fontId="4" type="noConversion"/>
  </si>
  <si>
    <t>AusGrid</t>
  </si>
  <si>
    <t>AusGrid-TOU</t>
    <phoneticPr fontId="5" type="noConversion"/>
  </si>
  <si>
    <t>TOU</t>
    <phoneticPr fontId="4" type="noConversion"/>
  </si>
  <si>
    <t>Endeavour</t>
    <phoneticPr fontId="3" type="noConversion"/>
  </si>
  <si>
    <t>Endeavour</t>
    <phoneticPr fontId="4" type="noConversion"/>
  </si>
  <si>
    <t>Endeavour-TOU</t>
    <phoneticPr fontId="5" type="noConversion"/>
  </si>
  <si>
    <t>NSW</t>
    <phoneticPr fontId="5" type="noConversion"/>
  </si>
  <si>
    <t>Single</t>
    <phoneticPr fontId="5" type="noConversion"/>
  </si>
  <si>
    <t>nso</t>
    <phoneticPr fontId="5" type="noConversion"/>
  </si>
  <si>
    <t>1st Energy</t>
  </si>
  <si>
    <t>quarter</t>
    <phoneticPr fontId="5" type="noConversion"/>
  </si>
  <si>
    <t>y</t>
    <phoneticPr fontId="5" type="noConversion"/>
  </si>
  <si>
    <t>Alinta Energy</t>
    <phoneticPr fontId="5" type="noConversion"/>
  </si>
  <si>
    <t>Click Energy</t>
    <phoneticPr fontId="5" type="noConversion"/>
  </si>
  <si>
    <t>CovaU</t>
    <phoneticPr fontId="5" type="noConversion"/>
  </si>
  <si>
    <t>Diamond Energy</t>
    <phoneticPr fontId="5" type="noConversion"/>
  </si>
  <si>
    <t>Dodo Power &amp; Gas</t>
    <phoneticPr fontId="5" type="noConversion"/>
  </si>
  <si>
    <t>EnergyAustralia</t>
    <phoneticPr fontId="5" type="noConversion"/>
  </si>
  <si>
    <t>Essential Energy</t>
    <phoneticPr fontId="5" type="noConversion"/>
  </si>
  <si>
    <t>Mojo Power</t>
    <phoneticPr fontId="5" type="noConversion"/>
  </si>
  <si>
    <t>Momentum Energy</t>
    <phoneticPr fontId="5" type="noConversion"/>
  </si>
  <si>
    <t>Origin Energy</t>
    <phoneticPr fontId="5" type="noConversion"/>
  </si>
  <si>
    <t>Powershop</t>
    <phoneticPr fontId="5" type="noConversion"/>
  </si>
  <si>
    <t>Red Energy</t>
    <phoneticPr fontId="5" type="noConversion"/>
  </si>
  <si>
    <t>Simply Energy</t>
    <phoneticPr fontId="5" type="noConversion"/>
  </si>
  <si>
    <t>Urth Energy</t>
    <phoneticPr fontId="5" type="noConversion"/>
  </si>
  <si>
    <t>Controlled</t>
    <phoneticPr fontId="5" type="noConversion"/>
  </si>
  <si>
    <t>TOU</t>
    <phoneticPr fontId="5" type="noConversion"/>
  </si>
  <si>
    <t>1st Energy</t>
    <phoneticPr fontId="5" type="noConversion"/>
  </si>
  <si>
    <t>Essential Energy's area</t>
    <phoneticPr fontId="5" type="noConversion"/>
  </si>
  <si>
    <t>Electricity Standing Offers July 2015 (exc GST)</t>
    <phoneticPr fontId="5" type="noConversion"/>
  </si>
  <si>
    <t xml:space="preserve">Transitional </t>
    <phoneticPr fontId="5" type="noConversion"/>
  </si>
  <si>
    <t>Covau</t>
    <phoneticPr fontId="5" type="noConversion"/>
  </si>
  <si>
    <t>Sanctuary</t>
    <phoneticPr fontId="5" type="noConversion"/>
  </si>
  <si>
    <t>First block (kWh/qtr)</t>
    <phoneticPr fontId="5" type="noConversion"/>
  </si>
  <si>
    <t>2nd block (kWh/qtr)</t>
    <phoneticPr fontId="5" type="noConversion"/>
  </si>
  <si>
    <t>c/kWh - first block</t>
  </si>
  <si>
    <t>c/kWh - 2nd block</t>
    <phoneticPr fontId="5" type="noConversion"/>
  </si>
  <si>
    <t>c/kWh balance</t>
  </si>
  <si>
    <t>c/per day fixed charges</t>
  </si>
  <si>
    <t>Controlled load</t>
  </si>
  <si>
    <t>c/kWh off-peak</t>
  </si>
  <si>
    <t>c/kWh - peak / 1st block</t>
  </si>
  <si>
    <t xml:space="preserve">c/kWh peak balance </t>
    <phoneticPr fontId="5" type="noConversion"/>
  </si>
  <si>
    <t>c/kWh shoulder</t>
    <phoneticPr fontId="5" type="noConversion"/>
  </si>
  <si>
    <t>AusGrid's area</t>
    <phoneticPr fontId="5" type="noConversion"/>
  </si>
  <si>
    <t>Origin</t>
  </si>
  <si>
    <t>Lumo</t>
  </si>
  <si>
    <t>Energy Aus</t>
  </si>
  <si>
    <t>Momentum</t>
  </si>
  <si>
    <t>Simply</t>
  </si>
  <si>
    <t>QEnergy</t>
  </si>
  <si>
    <t>c/kWh peak balance</t>
    <phoneticPr fontId="5" type="noConversion"/>
  </si>
  <si>
    <t>Electricity Standing Offers July 2014 (inc GST)</t>
    <phoneticPr fontId="5" type="noConversion"/>
  </si>
  <si>
    <t>c/kWh peak balance or shoulder</t>
  </si>
  <si>
    <t>NEW</t>
    <phoneticPr fontId="5" type="noConversion"/>
  </si>
  <si>
    <t>All network areas</t>
    <phoneticPr fontId="5" type="noConversion"/>
  </si>
  <si>
    <t>Regulated Retail Offers July 2013 (inc GST)</t>
    <phoneticPr fontId="5" type="noConversion"/>
  </si>
  <si>
    <t>Regulated Retail Offers July 2012 (inc GST)</t>
    <phoneticPr fontId="5" type="noConversion"/>
  </si>
  <si>
    <t>Regulated Retail Offers July 2011 (inc GST)</t>
    <phoneticPr fontId="5" type="noConversion"/>
  </si>
  <si>
    <t>First block (kWh)</t>
  </si>
  <si>
    <t>Regulated Retail Offers July 2010 (inc GST)</t>
    <phoneticPr fontId="5" type="noConversion"/>
  </si>
  <si>
    <t>Integral</t>
  </si>
  <si>
    <t>Regulated Retail Offers July 2009 (inc GST)</t>
    <phoneticPr fontId="5" type="noConversion"/>
  </si>
  <si>
    <t>Regulated Retail Offers July 2008 (inc GST)</t>
    <phoneticPr fontId="5" type="noConversion"/>
  </si>
  <si>
    <t>July 2018</t>
  </si>
  <si>
    <t xml:space="preserve">Report 1: NSW Energy Prices July 2009- July 2011 (July 2011).  </t>
  </si>
  <si>
    <t xml:space="preserve">Report 2: NSW Energy Prices July 2011- July 2012 An update report (July 2012).  </t>
  </si>
  <si>
    <t xml:space="preserve">Report 3: NSW Energy Prices July 2012- July 2013 An update report (August 2013).  </t>
  </si>
  <si>
    <t xml:space="preserve">Report 4: NSW Energy Prices July 2013- July 2014 An update report (August 2014).  </t>
  </si>
  <si>
    <t xml:space="preserve">Report 5: NSW Energy Prices July 2014- July 2015 An update report (July 2015).  </t>
  </si>
  <si>
    <t xml:space="preserve">Report 6: NSW Energy Prices 2016 An update report (October 2016).  </t>
  </si>
  <si>
    <t xml:space="preserve">Report 7: NSW Energy Prices 2017 An update report (July 2017).  </t>
  </si>
  <si>
    <t xml:space="preserve">Report 8: NSW Energy Prices 2018 An update report (July 2018).  </t>
  </si>
  <si>
    <t>quarter</t>
    <phoneticPr fontId="6" type="noConversion"/>
  </si>
  <si>
    <t>Sumo Power</t>
    <phoneticPr fontId="2" type="noConversion"/>
  </si>
  <si>
    <t>1st Energy</t>
    <phoneticPr fontId="6" type="noConversion"/>
  </si>
  <si>
    <t>Amaysim</t>
  </si>
  <si>
    <t>Q Energy</t>
  </si>
  <si>
    <t>n</t>
  </si>
  <si>
    <t>y</t>
  </si>
  <si>
    <t>NSW-Controlled 2</t>
  </si>
  <si>
    <t>NSW-Controlled 3</t>
  </si>
  <si>
    <t>NSW-Controlled 4</t>
  </si>
  <si>
    <t>NSW-Controlled 1</t>
  </si>
  <si>
    <t>s</t>
  </si>
  <si>
    <t xml:space="preserve">Report 9: NSW Energy Prices 2019 An update report (July 2019).  </t>
  </si>
  <si>
    <t>July 2019</t>
  </si>
  <si>
    <t>Single</t>
  </si>
  <si>
    <t>Energy Locals</t>
    <phoneticPr fontId="4" type="noConversion"/>
  </si>
  <si>
    <t/>
  </si>
  <si>
    <t>NSW-Single</t>
    <phoneticPr fontId="4" type="noConversion"/>
  </si>
  <si>
    <t>NSW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</si>
  <si>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</si>
  <si>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</si>
  <si>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</si>
  <si>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AGL</t>
    <phoneticPr fontId="0" type="noConversion"/>
  </si>
  <si>
    <t>NSW-Single</t>
    <phoneticPr fontId="0" type="noConversion"/>
  </si>
  <si>
    <t>Alinta Energy</t>
    <phoneticPr fontId="0" type="noConversion"/>
  </si>
  <si>
    <t>Click Energy</t>
    <phoneticPr fontId="0" type="noConversion"/>
  </si>
  <si>
    <t>Commander</t>
    <phoneticPr fontId="0" type="noConversion"/>
  </si>
  <si>
    <t>CovaU</t>
    <phoneticPr fontId="0" type="noConversion"/>
  </si>
  <si>
    <t>NSW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</si>
  <si>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</si>
  <si>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</si>
  <si>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</si>
  <si>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Diamond Energy</t>
    <phoneticPr fontId="7" type="noConversion"/>
  </si>
  <si>
    <t>quarter</t>
    <phoneticPr fontId="7" type="noConversion"/>
  </si>
  <si>
    <t>NSW-Single</t>
    <phoneticPr fontId="7" type="noConversion"/>
  </si>
  <si>
    <t>Dodo Power &amp; Gas</t>
    <phoneticPr fontId="7" type="noConversion"/>
  </si>
  <si>
    <t>EnergyAustralia</t>
    <phoneticPr fontId="0" type="noConversion"/>
  </si>
  <si>
    <t>Mojo Power</t>
    <phoneticPr fontId="7" type="noConversion"/>
  </si>
  <si>
    <t>NSW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</si>
  <si>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</si>
  <si>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</si>
  <si>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</si>
  <si>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Momentum Energy</t>
    <phoneticPr fontId="8" type="noConversion"/>
  </si>
  <si>
    <t>NSW-Single</t>
    <phoneticPr fontId="8" type="noConversion"/>
  </si>
  <si>
    <t>Origin Energy</t>
    <phoneticPr fontId="0" type="noConversion"/>
  </si>
  <si>
    <t>Powerdirect</t>
    <phoneticPr fontId="7" type="noConversion"/>
  </si>
  <si>
    <t>Red Energy</t>
    <phoneticPr fontId="7" type="noConversion"/>
  </si>
  <si>
    <t>quarter</t>
  </si>
  <si>
    <t>Simply Energy</t>
    <phoneticPr fontId="4" type="noConversion"/>
  </si>
  <si>
    <t>nso</t>
    <phoneticPr fontId="0" type="noConversion"/>
  </si>
  <si>
    <t>ReAmped Energy</t>
  </si>
  <si>
    <t>nso</t>
  </si>
  <si>
    <t>Powerclub</t>
    <phoneticPr fontId="7" type="noConversion"/>
  </si>
  <si>
    <t>NSW-Single</t>
    <phoneticPr fontId="3" type="noConversion"/>
  </si>
  <si>
    <t>Enova Energy</t>
    <phoneticPr fontId="0" type="noConversion"/>
  </si>
  <si>
    <t>NSW-Controlled 1</t>
    <phoneticPr fontId="4" type="noConversion"/>
  </si>
  <si>
    <t>Controlled</t>
    <phoneticPr fontId="0" type="noConversion"/>
  </si>
  <si>
    <t>NSW-Controlled 1</t>
    <phoneticPr fontId="0" type="noConversion"/>
  </si>
  <si>
    <t>Controlled</t>
    <phoneticPr fontId="7" type="noConversion"/>
  </si>
  <si>
    <t>NSW-Controlled 1</t>
    <phoneticPr fontId="7" type="noConversion"/>
  </si>
  <si>
    <t>Controlled</t>
    <phoneticPr fontId="8" type="noConversion"/>
  </si>
  <si>
    <t>NSW-Controlled 1</t>
    <phoneticPr fontId="8" type="noConversion"/>
  </si>
  <si>
    <t>Essential-TOU</t>
    <phoneticPr fontId="4" type="noConversion"/>
  </si>
  <si>
    <t>TOU</t>
    <phoneticPr fontId="0" type="noConversion"/>
  </si>
  <si>
    <t>Essential-TOU</t>
    <phoneticPr fontId="0" type="noConversion"/>
  </si>
  <si>
    <t>TOU</t>
    <phoneticPr fontId="7" type="noConversion"/>
  </si>
  <si>
    <t>Essential-TOU</t>
    <phoneticPr fontId="7" type="noConversion"/>
  </si>
  <si>
    <t>TOU</t>
    <phoneticPr fontId="8" type="noConversion"/>
  </si>
  <si>
    <t>Essential-TOU</t>
    <phoneticPr fontId="8" type="noConversion"/>
  </si>
  <si>
    <t>Ausgrid</t>
  </si>
  <si>
    <t>1st Energy</t>
    <phoneticPr fontId="0" type="noConversion"/>
  </si>
  <si>
    <t>Amber Electric</t>
  </si>
  <si>
    <t>NSW</t>
  </si>
  <si>
    <t>AusGrid-TOU</t>
    <phoneticPr fontId="4" type="noConversion"/>
  </si>
  <si>
    <t>AusGrid-TOU</t>
    <phoneticPr fontId="0" type="noConversion"/>
  </si>
  <si>
    <t>AusGrid-TOU</t>
    <phoneticPr fontId="7" type="noConversion"/>
  </si>
  <si>
    <t>AusGrid-TOU</t>
    <phoneticPr fontId="8" type="noConversion"/>
  </si>
  <si>
    <t>AusGrid-PS-TOU</t>
  </si>
  <si>
    <t>Endeavour</t>
  </si>
  <si>
    <t>Endeavour-TOU</t>
    <phoneticPr fontId="4" type="noConversion"/>
  </si>
  <si>
    <t>Endeavour-TOU</t>
    <phoneticPr fontId="0" type="noConversion"/>
  </si>
  <si>
    <t>Endeavour-TOU</t>
    <phoneticPr fontId="7" type="noConversion"/>
  </si>
  <si>
    <t>Endeavour-TOU</t>
    <phoneticPr fontId="8" type="noConversion"/>
  </si>
  <si>
    <t>DMO</t>
  </si>
  <si>
    <t>Enova Energy</t>
  </si>
  <si>
    <t>xx</t>
  </si>
  <si>
    <t>July 2020</t>
  </si>
  <si>
    <t>Standing offer</t>
  </si>
  <si>
    <t>https://www.energymadeeasy.gov.au/plan?id=AGL15294SRE&amp;postcode=2644</t>
  </si>
  <si>
    <t>https://www.alintaenergy.com.au/nsw/residential/electricity-and-gas/products/standard-retail-contract/residential-electricity-pricing</t>
  </si>
  <si>
    <t>https://www.energymadeeasy.gov.au/plan?id=CLI65244SRE&amp;postcode=2644</t>
  </si>
  <si>
    <t>https://www.energymadeeasy.gov.au/plan?id=M2E13258SRE&amp;postcode=2644</t>
  </si>
  <si>
    <t>https://www.energymadeeasy.gov.au/plan?id=COV68171SRE1&amp;postcode=2644</t>
  </si>
  <si>
    <t>Dodo Power &amp; Gas</t>
    <phoneticPr fontId="0" type="noConversion"/>
  </si>
  <si>
    <t>https://www.energymadeeasy.gov.au/plan?id=DOD13972SRE2&amp;postcode=2644</t>
  </si>
  <si>
    <t>Basic Home</t>
  </si>
  <si>
    <t>https://www.energymadeeasy.gov.au/plan?id=ENE19191SRE&amp;utm_source=EnergyAustralia&amp;utm_campaign=bpi-retailer&amp;utm_medium=retailer&amp;postcode=2644</t>
  </si>
  <si>
    <t>Mojo Power</t>
    <phoneticPr fontId="0" type="noConversion"/>
  </si>
  <si>
    <t>https://www.energymadeeasy.gov.au/plan?id=MOJ85795SRE3&amp;postcode=2644</t>
  </si>
  <si>
    <t>Momentum Energy</t>
    <phoneticPr fontId="0" type="noConversion"/>
  </si>
  <si>
    <t>https://www.energymadeeasy.gov.au/plan?id=MOM58662SRE1&amp;postcode=2644</t>
  </si>
  <si>
    <t>https://www.energymadeeasy.gov.au/plan?id=ORI25068SRE2&amp;postcode=2644</t>
  </si>
  <si>
    <t>Powerdirect</t>
    <phoneticPr fontId="0" type="noConversion"/>
  </si>
  <si>
    <t>Not available</t>
  </si>
  <si>
    <t>Powershop</t>
    <phoneticPr fontId="0" type="noConversion"/>
  </si>
  <si>
    <t>https://www.energymadeeasy.gov.au/plan?id=PSH58460SRE1&amp;postcode=2644</t>
  </si>
  <si>
    <t>Red Energy</t>
    <phoneticPr fontId="0" type="noConversion"/>
  </si>
  <si>
    <t>https://www.energymadeeasy.gov.au/plan?id=RED21255SRE3&amp;postcode=2644</t>
  </si>
  <si>
    <t>Simply Energy</t>
    <phoneticPr fontId="0" type="noConversion"/>
  </si>
  <si>
    <t>https://www.energymadeeasy.gov.au/plan?id=SIM54272SRE2&amp;postcode=2644</t>
  </si>
  <si>
    <t>https://www.energymadeeasy.gov.au/plan?id=1ST80811SRE1&amp;postcode=2644</t>
  </si>
  <si>
    <t>https://www.energymadeeasy.gov.au/plan?id=AMA62426SRE1&amp;postcode=2644</t>
  </si>
  <si>
    <t>https://www.energymadeeasy.gov.au/plan?id=REA71651SRE1&amp;postcode=2644</t>
  </si>
  <si>
    <t>Powerclub</t>
    <phoneticPr fontId="0" type="noConversion"/>
  </si>
  <si>
    <t>https://www.energymadeeasy.gov.au/plan?id=PWR87826SRE1&amp;postcode=2644</t>
  </si>
  <si>
    <t>https://www.energymadeeasy.gov.au/plan?id=ENO12633SRE2&amp;postcode=2644</t>
  </si>
  <si>
    <t>Discover Energy</t>
  </si>
  <si>
    <t>https://www.energymadeeasy.gov.au/plan?id=DEN36166SRE2&amp;postcode=2644</t>
  </si>
  <si>
    <t>Future X Power</t>
  </si>
  <si>
    <t>https://www.energymadeeasy.gov.au/plan?id=FXP13759SRE2&amp;postcode=2644</t>
  </si>
  <si>
    <t>Nectr</t>
  </si>
  <si>
    <t>https://www.energymadeeasy.gov.au/plan?id=NTR52273SRE2&amp;postcode=2644</t>
  </si>
  <si>
    <t>People Energy</t>
  </si>
  <si>
    <t>https://www.energymadeeasy.gov.au/plan?id=PEO86597SRE1&amp;postcode=2644</t>
  </si>
  <si>
    <t>Elysian Energy</t>
  </si>
  <si>
    <t>https://www.energymadeeasy.gov.au/plan?id=ELY29559SRE&amp;postcode=2644</t>
  </si>
  <si>
    <t>OVO Energy</t>
  </si>
  <si>
    <t>https://www.energymadeeasy.gov.au/plan?id=OVO15513SRE&amp;postcode=2644</t>
  </si>
  <si>
    <t>https://www.energymadeeasy.gov.au/plan?id=AGL15293SRE&amp;postcode=2644</t>
  </si>
  <si>
    <t>https://www.energymadeeasy.gov.au/plan?id=CLI65300SRE&amp;postcode=2644</t>
  </si>
  <si>
    <t>https://www.energymadeeasy.gov.au/plan?id=M2E13257SRE&amp;postcode=2644</t>
  </si>
  <si>
    <t>https://www.energymadeeasy.gov.au/plan?id=COV68167SRE1&amp;postcode=2644</t>
  </si>
  <si>
    <t>https://www.energymadeeasy.gov.au/plan?id=DOD13971SRE2&amp;postcode=2644</t>
  </si>
  <si>
    <t>https://www.energymadeeasy.gov.au/plan?id=ENE19227SRE&amp;utm_source=EnergyAustralia&amp;utm_campaign=bpi-retailer&amp;utm_medium=retailer&amp;postcode=2644</t>
  </si>
  <si>
    <t>https://www.energymadeeasy.gov.au/plan?id=MOJ85791SRE3&amp;postcode=2644</t>
  </si>
  <si>
    <t>https://www.energymadeeasy.gov.au/plan?id=MOM58688SRE1&amp;postcode=2644</t>
  </si>
  <si>
    <t>https://www.energymadeeasy.gov.au/plan?id=ORI25069SRE2&amp;postcode=2644</t>
  </si>
  <si>
    <t>https://www.energymadeeasy.gov.au/plan?id=PSH58459SRE1&amp;postcode=2644</t>
  </si>
  <si>
    <t>https://www.energymadeeasy.gov.au/plan?id=RED21256SRE3&amp;postcode=2644</t>
  </si>
  <si>
    <t>https://www.energymadeeasy.gov.au/plan?id=SIM54273SRE2&amp;postcode=2644</t>
  </si>
  <si>
    <t>https://www.energymadeeasy.gov.au/plan?id=1ST80812SRE1&amp;postcode=2644</t>
  </si>
  <si>
    <t>https://www.energymadeeasy.gov.au/plan?id=AMA62445SRE1&amp;postcode=2644</t>
  </si>
  <si>
    <t>https://www.energymadeeasy.gov.au/plan?id=REA71652SRE1&amp;postcode=2644</t>
  </si>
  <si>
    <t>https://www.energymadeeasy.gov.au/plan?id=ENO12631SRE2&amp;postcode=2644</t>
  </si>
  <si>
    <t>https://www.energymadeeasy.gov.au/plan?id=DEN36170SRE2&amp;postcode=2644</t>
  </si>
  <si>
    <t>https://www.energymadeeasy.gov.au/plan?id=FXP13762SRE2&amp;postcode=2644</t>
  </si>
  <si>
    <t>https://www.energymadeeasy.gov.au/plan?id=NTR52272SRE2&amp;postcode=2644</t>
  </si>
  <si>
    <t>https://www.energymadeeasy.gov.au/plan?id=PEO86585SRE1&amp;postcode=2644</t>
  </si>
  <si>
    <t>https://www.energymadeeasy.gov.au/plan?id=ELY29560SRE&amp;postcode=2644</t>
  </si>
  <si>
    <t>https://www.energymadeeasy.gov.au/plan?id=AGL15113SRE&amp;postcode=2644</t>
  </si>
  <si>
    <t>https://www.energymadeeasy.gov.au/plan?id=CLI65278SRE&amp;postcode=2644</t>
  </si>
  <si>
    <t>https://www.energymadeeasy.gov.au/plan?id=M2E14604SRE&amp;postcode=2644</t>
  </si>
  <si>
    <t>https://www.energymadeeasy.gov.au/plan?id=COV71336SRE1&amp;postcode=2644</t>
  </si>
  <si>
    <t>https://www.energymadeeasy.gov.au/plan?id=DOD14502SRE2&amp;postcode=2644</t>
  </si>
  <si>
    <t>https://www.energymadeeasy.gov.au/plan?id=ENE19221SRE&amp;utm_source=EnergyAustralia&amp;utm_campaign=bpi-retailer&amp;utm_medium=retailer&amp;postcode=2644</t>
  </si>
  <si>
    <t>https://www.energymadeeasy.gov.au/plan?id=MOJ85802SRE3&amp;postcode=2644</t>
  </si>
  <si>
    <t>https://www.energymadeeasy.gov.au/plan?id=MOM58897SRE1&amp;postcode=2644</t>
  </si>
  <si>
    <t>https://www.energymadeeasy.gov.au/plan?id=ORI25659SRE2&amp;postcode=2644</t>
  </si>
  <si>
    <t>https://www.energymadeeasy.gov.au/plan?id=PSH58464SRE1&amp;postcode=2644</t>
  </si>
  <si>
    <t>https://www.energymadeeasy.gov.au/plan?id=RED21562SRE3&amp;postcode=2644</t>
  </si>
  <si>
    <t>https://www.energymadeeasy.gov.au/plan?id=SIM54145SRE2&amp;postcode=2644</t>
  </si>
  <si>
    <t>https://www.energymadeeasy.gov.au/plan?id=1ST80855SRE1&amp;postcode=2644</t>
  </si>
  <si>
    <t>https://www.energymadeeasy.gov.au/plan?id=AMA62437SRE1&amp;postcode=2644</t>
  </si>
  <si>
    <t>https://www.energymadeeasy.gov.au/plan?id=ENO12624SRE2&amp;postcode=2644</t>
  </si>
  <si>
    <t>https://www.energymadeeasy.gov.au/plan?id=DEN36126SRE2&amp;postcode=2644</t>
  </si>
  <si>
    <t>https://www.energymadeeasy.gov.au/plan?id=FXP48900SRE2&amp;postcode=2644</t>
  </si>
  <si>
    <t>https://www.energymadeeasy.gov.au/plan?id=NTR52268SRE2&amp;postcode=2644</t>
  </si>
  <si>
    <t>https://www.energymadeeasy.gov.au/plan?id=PEO86588SRE1&amp;postcode=2644</t>
  </si>
  <si>
    <t>no</t>
  </si>
  <si>
    <t>https://www.energymadeeasy.gov.au/plan?id=ELY31456SRE&amp;postcode=2644</t>
  </si>
  <si>
    <t>Link</t>
  </si>
  <si>
    <t>https://www.energymadeeasy.gov.au/plan?id=AGL15292SRE&amp;postcode=2000</t>
  </si>
  <si>
    <t>https://www.energymadeeasy.gov.au/plan?id=CLI65190SRE&amp;postcode=2000</t>
  </si>
  <si>
    <t>https://www.energymadeeasy.gov.au/plan?id=M2E13254SRE&amp;postcode=2000</t>
  </si>
  <si>
    <t>https://www.energymadeeasy.gov.au/plan?id=COV67166SRE&amp;postcode=2000</t>
  </si>
  <si>
    <t>Diamond Energy</t>
    <phoneticPr fontId="0" type="noConversion"/>
  </si>
  <si>
    <t>https://www.energymadeeasy.gov.au/plan?id=DIA34681SRE2&amp;postcode=2000</t>
  </si>
  <si>
    <t>https://www.energymadeeasy.gov.au/plan?id=DOD13968SRE&amp;postcode=2000</t>
  </si>
  <si>
    <t>https://www.energymadeeasy.gov.au/plan?id=ENE19220SRE&amp;utm_source=EnergyAustralia&amp;utm_campaign=bpi-retailer&amp;utm_medium=retailer&amp;postcode=2000</t>
  </si>
  <si>
    <t>https://www.energymadeeasy.gov.au/plan?id=MOJ85798SRE3&amp;postcode=2000</t>
  </si>
  <si>
    <t>https://www.energymadeeasy.gov.au/plan?id=MOM58641SRE1&amp;postcode=2000</t>
  </si>
  <si>
    <t>https://www.energymadeeasy.gov.au/plan?id=ORI24814SRE2&amp;postcode=2000</t>
  </si>
  <si>
    <t>https://www.energymadeeasy.gov.au/plan?id=PSH58432SRE1&amp;postcode=2000</t>
  </si>
  <si>
    <t>https://www.energymadeeasy.gov.au/plan?id=RED21270SRE3&amp;postcode=2000</t>
  </si>
  <si>
    <t>https://www.energymadeeasy.gov.au/plan?id=SIM54275SRE2&amp;postcode=2000</t>
  </si>
  <si>
    <t>https://www.energymadeeasy.gov.au/plan?id=1ST80795SRE1&amp;postcode=2000</t>
  </si>
  <si>
    <t>https://www.energymadeeasy.gov.au/plan?id=AMA62407SRE1&amp;postcode=2000</t>
  </si>
  <si>
    <t>https://www.energymadeeasy.gov.au/plan?id=REA71645SRE1&amp;postcode=2000</t>
  </si>
  <si>
    <t>https://www.energymadeeasy.gov.au/plan?id=PWR87817SRE1&amp;postcode=2000</t>
  </si>
  <si>
    <t>https://www.energymadeeasy.gov.au/plan?id=ENO12590SRE2&amp;postcode=2000</t>
  </si>
  <si>
    <t>https://www.energymadeeasy.gov.au/plan?id=DEN35708SRE2&amp;postcode=2000</t>
  </si>
  <si>
    <t>so</t>
  </si>
  <si>
    <t>https://www.energymadeeasy.gov.au/plan?id=FXP13765SRE2&amp;postcode=2000</t>
  </si>
  <si>
    <t>https://www.energymadeeasy.gov.au/plan?id=NTR24031SRE2&amp;postcode=2000</t>
  </si>
  <si>
    <t>https://www.energymadeeasy.gov.au/plan?id=PEO86593SRE1&amp;postcode=2000</t>
  </si>
  <si>
    <t>https://www.energymadeeasy.gov.au/plan?id=ELY29579SRE&amp;utm_source=Elysian%20Energy&amp;utm_campaign=bpi-retailer&amp;utm_medium=retailer</t>
  </si>
  <si>
    <t>https://www.energymadeeasy.gov.au/plan?id=OVO21838SRE&amp;postcode=2000</t>
  </si>
  <si>
    <t>Sumo Power</t>
  </si>
  <si>
    <t>https://www.energymadeeasy.gov.au/plan?id=SUM59107SRE1&amp;postcode=2000</t>
  </si>
  <si>
    <t>Tango Energy</t>
  </si>
  <si>
    <t>https://www.energymadeeasy.gov.au/plan?id=TAN21903SRE3&amp;postcode=2000</t>
  </si>
  <si>
    <t>https://www.energymadeeasy.gov.au/plan?id=AGL15291SRE&amp;postcode=2000</t>
  </si>
  <si>
    <t>https://www.energymadeeasy.gov.au/plan?id=CLI65228SRE&amp;postcode=2000</t>
  </si>
  <si>
    <t>https://www.energymadeeasy.gov.au/plan?id=M2E13253SRE&amp;postcode=2000</t>
  </si>
  <si>
    <t>https://www.energymadeeasy.gov.au/plan?id=COV67162SRE&amp;postcode=2000</t>
  </si>
  <si>
    <t>https://www.energymadeeasy.gov.au/plan?id=DIA34682SRE2&amp;postcode=2000</t>
  </si>
  <si>
    <t>https://www.energymadeeasy.gov.au/plan?id=DOD13967SRE&amp;postcode=2000</t>
  </si>
  <si>
    <t>https://www.energymadeeasy.gov.au/plan?id=ENE19255SRE&amp;utm_source=EnergyAustralia&amp;utm_campaign=bpi-retailer&amp;utm_medium=retailer&amp;postcode=2000</t>
  </si>
  <si>
    <t>https://www.energymadeeasy.gov.au/plan?id=MOJ85792SRE3&amp;postcode=2000</t>
  </si>
  <si>
    <t>https://www.energymadeeasy.gov.au/plan?id=MOM58635SRE1&amp;postcode=2000</t>
  </si>
  <si>
    <t>https://www.energymadeeasy.gov.au/plan?id=ORI24818SRE2&amp;postcode=2000</t>
  </si>
  <si>
    <t>https://www.energymadeeasy.gov.au/plan?id=PSH58431SRE1&amp;postcode=2000</t>
  </si>
  <si>
    <t>https://www.energymadeeasy.gov.au/plan?id=RED21272SRE3&amp;postcode=2000</t>
  </si>
  <si>
    <t>https://www.energymadeeasy.gov.au/plan?id=SIM54276SRE2&amp;postcode=2000</t>
  </si>
  <si>
    <t>https://www.energymadeeasy.gov.au/plan?id=1ST80796SRE1&amp;postcode=2000</t>
  </si>
  <si>
    <t>https://www.energymadeeasy.gov.au/plan?id=AMA62420SRE1&amp;postcode=2000</t>
  </si>
  <si>
    <t>https://www.energymadeeasy.gov.au/plan?id=REA71646SRE1&amp;postcode=2000</t>
  </si>
  <si>
    <t>https://www.energymadeeasy.gov.au/plan?id=ENO12585SRE2&amp;postcode=2000</t>
  </si>
  <si>
    <t>https://www.energymadeeasy.gov.au/plan?id=DEN35700SRE2&amp;postcode=2000</t>
  </si>
  <si>
    <t>https://www.energymadeeasy.gov.au/plan?id=FXP13731SRE2&amp;postcode=2000</t>
  </si>
  <si>
    <t>https://www.energymadeeasy.gov.au/plan?id=NTR24030SRE2&amp;postcode=2000</t>
  </si>
  <si>
    <t>https://www.energymadeeasy.gov.au/plan?id=PEO86594SRE1&amp;postcode=2000</t>
  </si>
  <si>
    <t>https://www.energymadeeasy.gov.au/plan?id=ELY29582SRE&amp;postcode=2000</t>
  </si>
  <si>
    <t>https://www.energymadeeasy.gov.au/plan?id=SUM59106SRE1&amp;postcode=2000</t>
  </si>
  <si>
    <t>https://www.energymadeeasy.gov.au/plan?id=TAN21904SRE3&amp;postcode=2000</t>
  </si>
  <si>
    <t>https://www.energymadeeasy.gov.au/plan?id=AGL14980SRE&amp;postcode=2000</t>
  </si>
  <si>
    <t>https://www.energymadeeasy.gov.au/plan?id=CLI65417SRE&amp;postcode=2000</t>
  </si>
  <si>
    <t>https://www.energymadeeasy.gov.au/plan?id=M2E14600SRE&amp;postcode=2000</t>
  </si>
  <si>
    <t>https://www.energymadeeasy.gov.au/plan?id=COV67170SRE&amp;postcode=2000</t>
  </si>
  <si>
    <t>quarter</t>
    <phoneticPr fontId="0" type="noConversion"/>
  </si>
  <si>
    <t>https://www.energymadeeasy.gov.au/plan?id=DIA48923SRE3&amp;postcode=2000</t>
  </si>
  <si>
    <t>https://www.energymadeeasy.gov.au/plan?id=DOD14506SRE&amp;postcode=2000</t>
  </si>
  <si>
    <t>https://www.energymadeeasy.gov.au/plan?id=ENE19331SRE&amp;utm_source=EnergyAustralia&amp;utm_campaign=bpi-retailer&amp;utm_medium=retailer&amp;postcode=2000</t>
  </si>
  <si>
    <t>https://www.energymadeeasy.gov.au/plan?id=MOJ85796SRE3&amp;postcode=2000</t>
  </si>
  <si>
    <t>https://www.energymadeeasy.gov.au/plan?id=MOM58976SRE1&amp;postcode=2000</t>
  </si>
  <si>
    <t>https://www.energymadeeasy.gov.au/plan?id=ORI25409SRE2&amp;postcode=2000</t>
  </si>
  <si>
    <t>https://www.energymadeeasy.gov.au/plan?id=PSH58436SRE1&amp;postcode=2000</t>
  </si>
  <si>
    <t>https://www.energymadeeasy.gov.au/plan?id=RED21577SRE3&amp;postcode=2000</t>
  </si>
  <si>
    <t>https://www.energymadeeasy.gov.au/plan?id=SIM54154SRE2&amp;postcode=2000</t>
  </si>
  <si>
    <t>https://www.energymadeeasy.gov.au/plan?id=1ST80831SRE1&amp;postcode=2000</t>
  </si>
  <si>
    <t>https://www.energymadeeasy.gov.au/plan?id=AMA62378SRE1&amp;postcode=2000</t>
  </si>
  <si>
    <t>https://www.energymadeeasy.gov.au/plan?id=ENO12595SRE2&amp;postcode=2000</t>
  </si>
  <si>
    <t>https://www.energymadeeasy.gov.au/plan?id=DEN35738SRE2&amp;postcode=2000</t>
  </si>
  <si>
    <t>https://www.energymadeeasy.gov.au/plan?id=FXP48911SRE3&amp;postcode=2000</t>
  </si>
  <si>
    <t>https://www.energymadeeasy.gov.au/plan?id=NTR24019SRE2&amp;postcode=2000</t>
  </si>
  <si>
    <t>https://www.energymadeeasy.gov.au/plan?id=PEO86598SRE1&amp;postcode=2000</t>
  </si>
  <si>
    <t>https://www.energymadeeasy.gov.au/plan?id=ELY31448SRE&amp;postcode=2000</t>
  </si>
  <si>
    <t>https://www.energymadeeasy.gov.au/plan?id=SUM59110SRE1&amp;postcode=2000</t>
  </si>
  <si>
    <t>https://www.energymadeeasy.gov.au/plan?id=TAN22264SRE4&amp;postcode=2000</t>
  </si>
  <si>
    <t>https://www.energymadeeasy.gov.au/plan?id=AGL15295SRE&amp;postcode=2780</t>
  </si>
  <si>
    <t>https://www.energymadeeasy.gov.au/plan?id=CLI65321SRE&amp;postcode=2780</t>
  </si>
  <si>
    <t>https://www.energymadeeasy.gov.au/plan?id=M2E13256SRE&amp;postcode=2780</t>
  </si>
  <si>
    <t>https://www.energymadeeasy.gov.au/plan?id=COV67395SRE&amp;postcode=2780</t>
  </si>
  <si>
    <t>https://www.energymadeeasy.gov.au/plan?id=DIA34680SRE2&amp;postcode=2780</t>
  </si>
  <si>
    <t>https://www.energymadeeasy.gov.au/plan?id=DOD13970SRE&amp;postcode=2780</t>
  </si>
  <si>
    <t>https://www.energymadeeasy.gov.au/plan?id=ENE19213SRE&amp;utm_source=EnergyAustralia&amp;utm_campaign=bpi-retailer&amp;utm_medium=retailer&amp;postcode=2780</t>
  </si>
  <si>
    <t>https://www.energymadeeasy.gov.au/plan?id=MOJ85793SRE4&amp;postcode=2780</t>
  </si>
  <si>
    <t>https://www.energymadeeasy.gov.au/plan?id=MOM58675SRE1&amp;postcode=2780</t>
  </si>
  <si>
    <t>https://www.energymadeeasy.gov.au/plan?id=ORI24815SRE2&amp;postcode=2780</t>
  </si>
  <si>
    <t>https://www.energymadeeasy.gov.au/plan?id=PSH58440SRE1&amp;postcode=2780</t>
  </si>
  <si>
    <t>https://www.energymadeeasy.gov.au/plan?id=RED21265SRE3&amp;postcode=2780</t>
  </si>
  <si>
    <t>https://www.energymadeeasy.gov.au/plan?id=SIM54269SRE2&amp;postcode=2780</t>
  </si>
  <si>
    <t>https://www.energymadeeasy.gov.au/plan?id=1ST80803SRE1&amp;postcode=2780</t>
  </si>
  <si>
    <t>https://www.energymadeeasy.gov.au/plan?id=AMA62455SRE1&amp;postcode=2780</t>
  </si>
  <si>
    <t>https://www.energymadeeasy.gov.au/plan?id=REA71647SRE1&amp;postcode=2780</t>
  </si>
  <si>
    <t>https://www.energymadeeasy.gov.au/plan?id=ENO12637SRE2&amp;postcode=2780</t>
  </si>
  <si>
    <t>https://www.energymadeeasy.gov.au/plan?id=DEN35990SRE2&amp;postcode=2780</t>
  </si>
  <si>
    <t>https://www.energymadeeasy.gov.au/plan?id=FXP13725SRE2&amp;postcode=2780</t>
  </si>
  <si>
    <t>https://www.energymadeeasy.gov.au/plan?id=NTR49974SRE3&amp;postcode=2780</t>
  </si>
  <si>
    <t>https://www.energymadeeasy.gov.au/plan?id=PEO86590SRE1&amp;postcode=2780</t>
  </si>
  <si>
    <t>https://www.energymadeeasy.gov.au/plan?id=ELY29567SRE&amp;postcode=2780</t>
  </si>
  <si>
    <t>https://www.energymadeeasy.gov.au/plan?id=OVO15512SRE&amp;postcode=2780</t>
  </si>
  <si>
    <t>https://www.energymadeeasy.gov.au/plan?id=SUM59116SRE1&amp;postcode=2780</t>
  </si>
  <si>
    <t>https://www.energymadeeasy.gov.au/plan?id=TAN21905SRE3&amp;postcode=2780</t>
  </si>
  <si>
    <t>https://www.energymadeeasy.gov.au/plan?id=AGL15296SRE&amp;postcode=2780</t>
  </si>
  <si>
    <t>https://www.energymadeeasy.gov.au/plan?id=CLI65365SRE&amp;postcode=2780</t>
  </si>
  <si>
    <t>https://www.energymadeeasy.gov.au/plan?id=M2E13255SRE&amp;postcode=2780</t>
  </si>
  <si>
    <t>https://www.energymadeeasy.gov.au/plan?id=COV67396SRE&amp;postcode=2780</t>
  </si>
  <si>
    <t>https://www.energymadeeasy.gov.au/plan?id=DIA34689SRE2&amp;postcode=2780</t>
  </si>
  <si>
    <t>https://www.energymadeeasy.gov.au/plan?id=DOD13969SRE&amp;postcode=2780</t>
  </si>
  <si>
    <t>https://www.energymadeeasy.gov.au/plan?id=ENE19224SRE&amp;utm_source=EnergyAustralia&amp;utm_campaign=bpi-retailer&amp;utm_medium=retailer&amp;postcode=2780</t>
  </si>
  <si>
    <t>https://www.energymadeeasy.gov.au/plan?id=MOJ85790SRE4&amp;postcode=2780</t>
  </si>
  <si>
    <t>https://www.energymadeeasy.gov.au/plan?id=MOM58671SRE1&amp;postcode=2780</t>
  </si>
  <si>
    <t>https://www.energymadeeasy.gov.au/plan?id=ORI24816SRE2&amp;postcode=2780</t>
  </si>
  <si>
    <t>https://www.energymadeeasy.gov.au/plan?id=PSH58442SRE1&amp;postcode=2780</t>
  </si>
  <si>
    <t>https://www.energymadeeasy.gov.au/plan?id=RED21264SRE3&amp;postcode=2780</t>
  </si>
  <si>
    <t>https://www.energymadeeasy.gov.au/plan?id=SIM54270SRE2&amp;postcode=2780</t>
  </si>
  <si>
    <t>https://www.energymadeeasy.gov.au/plan?id=1ST80804SRE1&amp;postcode=2780</t>
  </si>
  <si>
    <t>https://www.energymadeeasy.gov.au/plan?id=AMA62474SRE1&amp;postcode=2780</t>
  </si>
  <si>
    <t>https://www.energymadeeasy.gov.au/plan?id=REA71648SRE1&amp;postcode=2780</t>
  </si>
  <si>
    <t>https://www.energymadeeasy.gov.au/plan?id=ENO12640SRE2&amp;postcode=2780</t>
  </si>
  <si>
    <t>https://www.energymadeeasy.gov.au/plan?id=DEN35994SRE2&amp;postcode=2780</t>
  </si>
  <si>
    <t>https://www.energymadeeasy.gov.au/plan?id=FXP13790SRE2&amp;postcode=2780</t>
  </si>
  <si>
    <t>https://www.energymadeeasy.gov.au/plan?id=NTR50289SRE2&amp;postcode=2780</t>
  </si>
  <si>
    <t>https://www.energymadeeasy.gov.au/plan?id=PEO86596SRE1&amp;postcode=2780</t>
  </si>
  <si>
    <t>https://www.energymadeeasy.gov.au/plan?id=ELY29570SRE&amp;postcode=2780</t>
  </si>
  <si>
    <t>https://www.energymadeeasy.gov.au/plan?id=SUM59117SRE1&amp;postcode=2780</t>
  </si>
  <si>
    <t>https://www.energymadeeasy.gov.au/plan?id=TAN21906SRE3&amp;postcode=2780</t>
  </si>
  <si>
    <t>https://www.energymadeeasy.gov.au/plan?id=AGL15115SRE&amp;postcode=2780</t>
  </si>
  <si>
    <t>https://www.energymadeeasy.gov.au/plan?id=CLI65164SRE&amp;postcode=2780</t>
  </si>
  <si>
    <t>https://www.energymadeeasy.gov.au/plan?id=M2E14602SRE&amp;postcode=2780</t>
  </si>
  <si>
    <t>https://www.energymadeeasy.gov.au/plan?id=COV67393SRE&amp;postcode=2780</t>
  </si>
  <si>
    <t>https://www.energymadeeasy.gov.au/plan?id=DIA48920SRE3&amp;postcode=2780</t>
  </si>
  <si>
    <t>https://www.energymadeeasy.gov.au/plan?id=DOD14504SRE&amp;postcode=2780</t>
  </si>
  <si>
    <t>https://www.energymadeeasy.gov.au/plan?id=ENE19312SRE&amp;utm_source=EnergyAustralia&amp;utm_campaign=bpi-retailer&amp;utm_medium=retailer&amp;postcode=2780</t>
  </si>
  <si>
    <t>https://www.energymadeeasy.gov.au/plan?id=MOJ85800SRE3&amp;postcode=2780</t>
  </si>
  <si>
    <t>https://www.energymadeeasy.gov.au/plan?id=MOM58985SRE1&amp;postcode=2780</t>
  </si>
  <si>
    <t>https://www.energymadeeasy.gov.au/plan?id=ORI25405SRE2&amp;postcode=2780</t>
  </si>
  <si>
    <t>https://www.energymadeeasy.gov.au/plan?id=PSH58446SRE1&amp;postcode=2780</t>
  </si>
  <si>
    <t>https://www.energymadeeasy.gov.au/plan?id=RED21570SRE3&amp;postcode=2780</t>
  </si>
  <si>
    <t>https://www.energymadeeasy.gov.au/plan?id=SIM54146SRE2&amp;postcode=2780</t>
  </si>
  <si>
    <t>https://www.energymadeeasy.gov.au/plan?id=1ST80843SRE1&amp;postcode=2780</t>
  </si>
  <si>
    <t>https://www.energymadeeasy.gov.au/plan?id=AMA62398SRE1&amp;postcode=2780</t>
  </si>
  <si>
    <t>https://www.energymadeeasy.gov.au/plan?id=ENO22353SRE2&amp;postcode=2780</t>
  </si>
  <si>
    <t>https://www.energymadeeasy.gov.au/plan?id=FXP48907SRE2&amp;postcode=2780</t>
  </si>
  <si>
    <t>https://www.energymadeeasy.gov.au/plan?id=PEO86583SRE1&amp;postcode=2780</t>
  </si>
  <si>
    <t>https://www.energymadeeasy.gov.au/plan?id=ELY31454SRE&amp;postcode=2780</t>
  </si>
  <si>
    <t>https://www.energymadeeasy.gov.au/plan?id=SUM59119SRE1&amp;postcode=2780</t>
  </si>
  <si>
    <t>https://www.energymadeeasy.gov.au/plan?id=TAN22265SRE3&amp;postcode=2780</t>
  </si>
  <si>
    <t xml:space="preserve">Report 10: NSW Energy Prices 2020 An update report (September 2020).  </t>
  </si>
  <si>
    <t>https://www.energymadeeasy.gov.au/plan?id=ALI13135SRE&amp;postcode=2644</t>
  </si>
  <si>
    <t>https://www.energymadeeasy.gov.au/plan?id=ALI13215SRE&amp;postcode=2644</t>
  </si>
  <si>
    <t>https://www.energymadeeasy.gov.au/plan?id=ALI13212SRE&amp;postcode=2644</t>
  </si>
  <si>
    <t>https://www.energymadeeasy.gov.au/plan?id=ALI13214SRE&amp;postcode=2000</t>
  </si>
  <si>
    <t>https://www.energymadeeasy.gov.au/plan?id=ALI13203SRE&amp;postcode=2000</t>
  </si>
  <si>
    <t>https://www.energymadeeasy.gov.au/plan?id=ALI13195SRE&amp;postcode=2000</t>
  </si>
  <si>
    <t>https://www.energymadeeasy.gov.au/plan?id=ALI13164SRE&amp;postcode=2780</t>
  </si>
  <si>
    <t>https://www.energymadeeasy.gov.au/plan?id=ALI13173SRE&amp;postcode=2780</t>
  </si>
  <si>
    <t>https://www.energymadeeasy.gov.au/plan?id=ALI13204SRE&amp;postcode=2780</t>
  </si>
  <si>
    <t>https://www.energymadeeasy.gov.au/plan?id=DOD14502SRE&amp;postcode=2644</t>
  </si>
  <si>
    <t>https://www.energymadeeasy.gov.au/plan?id=DOD13971SRE&amp;postcode=2644</t>
  </si>
  <si>
    <t>https://www.energymadeeasy.gov.au/plan?id=DOD13972SRE&amp;postcode=2644</t>
  </si>
  <si>
    <t>https://www.energymadeeasy.gov.au/plan?id=MOM243223SRE&amp;utm_source=Momentum%20Energy&amp;utm_campaign=bpi-retailer&amp;utm_medium=retailer&amp;postcode=2644</t>
  </si>
  <si>
    <t>https://www.energymadeeasy.gov.au/plan?id=MOM242825SRE&amp;utm_source=Momentum%20Energy&amp;utm_campaign=bpi-retailer&amp;utm_medium=retailer&amp;postcode=2644</t>
  </si>
  <si>
    <t>https://www.energymadeeasy.gov.au/plan?id=MOM242830SRE&amp;utm_source=Momentum%20Energy&amp;utm_campaign=bpi-retailer&amp;utm_medium=retailer&amp;postcode=2644</t>
  </si>
  <si>
    <t>https://www.energymadeeasy.gov.au/plan?id=MOM242842SRE&amp;utm_source=Momentum%20Energy&amp;utm_campaign=bpi-retailer&amp;utm_medium=retailer&amp;postcode=2000</t>
  </si>
  <si>
    <t>https://www.energymadeeasy.gov.au/plan?id=MOM242816SRE&amp;utm_source=Momentum%20Energy&amp;utm_campaign=bpi-retailer&amp;utm_medium=retailer&amp;postcode=2000</t>
  </si>
  <si>
    <t>https://www.energymadeeasy.gov.au/plan?id=MOM243174SRE&amp;utm_source=Momentum%20Energy&amp;utm_campaign=bpi-retailer&amp;utm_medium=retailer&amp;postcode=2000</t>
  </si>
  <si>
    <t>https://www.energymadeeasy.gov.au/plan?id=MOM242819SRE&amp;utm_source=Momentum%20Energy&amp;utm_campaign=bpi-retailer&amp;utm_medium=retailer&amp;postcode=2780</t>
  </si>
  <si>
    <t>https://www.energymadeeasy.gov.au/plan?id=MOM242827SRE&amp;utm_source=Momentum%20Energy&amp;utm_campaign=bpi-retailer&amp;utm_medium=retailer&amp;postcode=2780</t>
  </si>
  <si>
    <t>https://www.originenergy.com.au/content/dam/origin/residential/docs/energy-price-fact-sheets/pricechange2021/NSW_Standing_Resi_Essential.pdf</t>
  </si>
  <si>
    <t>https://www.originenergy.com.au/content/dam/origin/residential/docs/energy-price-fact-sheets/pricechange2021/NSW_Standing_Resi_Ausgrid.pdf</t>
  </si>
  <si>
    <t>https://www.originenergy.com.au/content/dam/origin/residential/docs/energy-price-fact-sheets/pricechange2021/NSW_Standing_Resi_Endeavour.pdf</t>
  </si>
  <si>
    <t>https://www.powerdirect.com.au/content/dam/digital/powerdirect/pdf/pricing-information/2021_my_pcp_pd_nsw_elec_pricings.pdf</t>
  </si>
  <si>
    <t>https://www.powershop.com.au/app/rates/aer/electricity/residential/standing/essential/combined-all.pdf?v=1.1.0</t>
  </si>
  <si>
    <t>https://www.powershop.com.au/app/rates/aer/electricity/residential/standing/ausgrid/combined-all.pdf?v=1.1.0</t>
  </si>
  <si>
    <t>https://www.powershop.com.au/app/rates/aer/electricity/residential/standing/endeavour/combined-all.pdf?v=1.1.0</t>
  </si>
  <si>
    <t>https://www.energymadeeasy.gov.au/plan?id=RED21255SRE&amp;postcode=2644</t>
  </si>
  <si>
    <t>https://www.energymadeeasy.gov.au/plan?id=RED21256SRE&amp;postcode=2644</t>
  </si>
  <si>
    <t>https://www.energymadeeasy.gov.au/plan?id=RED21562SRE&amp;postcode=2644</t>
  </si>
  <si>
    <t>https://www.energymadeeasy.gov.au/plan?id=RED66343SRE&amp;postcode=2000</t>
  </si>
  <si>
    <t>https://www.energymadeeasy.gov.au/plan?id=RED21271SRE&amp;postcode=2000</t>
  </si>
  <si>
    <t>https://www.energymadeeasy.gov.au/plan?id=RED21270SRE&amp;postcode=2000</t>
  </si>
  <si>
    <t>https://www.energymadeeasy.gov.au/plan?id=RED21265SRE&amp;postcode=2780</t>
  </si>
  <si>
    <t>https://www.energymadeeasy.gov.au/plan?id=RED21266SRE&amp;postcode=2780</t>
  </si>
  <si>
    <t>https://www.energymadeeasy.gov.au/plan?id=SIM240773SRE&amp;utm_source=Simply%20Energy&amp;utm_campaign=bpi-retailer&amp;utm_medium=retailer&amp;postcode=2644</t>
  </si>
  <si>
    <t>https://www.energymadeeasy.gov.au/plan?id=SIM240775SRE&amp;utm_source=Simply%20Energy&amp;utm_campaign=bpi-retailer&amp;utm_medium=retailer&amp;postcode=2644</t>
  </si>
  <si>
    <t>https://www.energymadeeasy.gov.au/plan?id=SIM242029SRE&amp;utm_source=Simply%20Energy&amp;utm_campaign=bpi-retailer&amp;utm_medium=retailer&amp;postcode=2644</t>
  </si>
  <si>
    <t>https://www.energymadeeasy.gov.au/plan?id=SIM240779SRE&amp;utm_source=Simply%20Energy&amp;utm_campaign=bpi-retailer&amp;utm_medium=retailer&amp;postcode=2000</t>
  </si>
  <si>
    <t>https://www.energymadeeasy.gov.au/plan?id=SIM240781SRE&amp;utm_source=Simply%20Energy&amp;utm_campaign=bpi-retailer&amp;utm_medium=retailer&amp;postcode=2000</t>
  </si>
  <si>
    <t>https://www.energymadeeasy.gov.au/plan?id=SIM242041SRE&amp;utm_source=Simply%20Energy&amp;utm_campaign=bpi-retailer&amp;utm_medium=retailer&amp;postcode=2000</t>
  </si>
  <si>
    <t>https://www.energymadeeasy.gov.au/plan?id=SIM240767SRE&amp;utm_source=Simply%20Energy&amp;utm_campaign=bpi-retailer&amp;utm_medium=retailer&amp;postcode=2780</t>
  </si>
  <si>
    <t>https://www.energymadeeasy.gov.au/plan?id=SIM240769SRE&amp;utm_source=Simply%20Energy&amp;utm_campaign=bpi-retailer&amp;utm_medium=retailer&amp;postcode=2780</t>
  </si>
  <si>
    <t>https://www.energymadeeasy.gov.au/plan?id=SIM242031SRE&amp;utm_source=Simply%20Energy&amp;utm_campaign=bpi-retailer&amp;utm_medium=retailer&amp;postcode=2780</t>
  </si>
  <si>
    <t>https://www.energymadeeasy.gov.au/plan?id=1ST252837SRE&amp;postcode=2644</t>
  </si>
  <si>
    <t>https://www.energymadeeasy.gov.au/plan?id=1ST252838SRE&amp;postcode=2644</t>
  </si>
  <si>
    <t>https://www.energymadeeasy.gov.au/plan?id=1ST252889SRE&amp;postcode=2644</t>
  </si>
  <si>
    <t>https://www.energymadeeasy.gov.au/plan?id=1ST252813SRE&amp;postcode=2000</t>
  </si>
  <si>
    <t>https://www.energymadeeasy.gov.au/plan?id=1ST252871SRE&amp;postcode=2000</t>
  </si>
  <si>
    <t>https://www.energymadeeasy.gov.au/plan?id=1ST252825SRE&amp;postcode=2780</t>
  </si>
  <si>
    <t>https://www.energymadeeasy.gov.au/plan?id=1ST252826SRE&amp;postcode=2780</t>
  </si>
  <si>
    <t>https://www.energymadeeasy.gov.au/plan?id=1ST252880SRE&amp;postcode=2780</t>
  </si>
  <si>
    <t>https://www.energymadeeasy.gov.au/plan?id=COV252594SRE1&amp;postcode=2644</t>
  </si>
  <si>
    <t>https://www.energymadeeasy.gov.au/plan?id=COV252591SRE1&amp;postcode=2644</t>
  </si>
  <si>
    <t>https://www.energymadeeasy.gov.au/plan?id=COV252586SRE1&amp;postcode=2644</t>
  </si>
  <si>
    <t>https://www.energymadeeasy.gov.au/plan?id=MOJ264348SRE1&amp;postcode=2644</t>
  </si>
  <si>
    <t>https://www.energymadeeasy.gov.au/plan?id=MOJ264343SRE1&amp;postcode=2644</t>
  </si>
  <si>
    <t>https://www.energymadeeasy.gov.au/plan?id=MOJ264368SRE1&amp;postcode=2644</t>
  </si>
  <si>
    <t>https://www.energymadeeasy.gov.au/plan?id=REA251060SRE1&amp;postcode=2644</t>
  </si>
  <si>
    <t>https://www.energymadeeasy.gov.au/plan?id=REA251059SRE1&amp;postcode=2644</t>
  </si>
  <si>
    <t>https://www.energymadeeasy.gov.au/plan?id=ENO12631SRE3&amp;postcode=2644</t>
  </si>
  <si>
    <t>https://www.energymadeeasy.gov.au/plan?id=ENO12624SRE3&amp;postcode=2644</t>
  </si>
  <si>
    <t>https://www.energymadeeasy.gov.au/plan?id=DEN254106SRE1&amp;postcode=2644</t>
  </si>
  <si>
    <t>https://www.energymadeeasy.gov.au/plan?id=DEN254107SRE1&amp;postcode=2644</t>
  </si>
  <si>
    <t>https://www.energymadeeasy.gov.au/plan?id=DEN254111SRE1&amp;postcode=2644</t>
  </si>
  <si>
    <t>https://www.energymadeeasy.gov.au/plan?id=FXP261678SRE1&amp;postcode=2644</t>
  </si>
  <si>
    <t>https://www.energymadeeasy.gov.au/plan?id=FXP261679SRE1&amp;postcode=2644</t>
  </si>
  <si>
    <t>https://www.energymadeeasy.gov.au/plan?id=NTR52273SRE5&amp;postcode=2644</t>
  </si>
  <si>
    <t>https://www.energymadeeasy.gov.au/plan?id=NTR52272SRE5&amp;postcode=2644</t>
  </si>
  <si>
    <t>https://www.energymadeeasy.gov.au/plan?id=NTR52268SRE5&amp;postcode=2644</t>
  </si>
  <si>
    <t>https://www.energymadeeasy.gov.au/plan?id=OVO15513SRE4&amp;postcode=2644</t>
  </si>
  <si>
    <t>GloBird</t>
  </si>
  <si>
    <t>https://www.energymadeeasy.gov.au/plan?id=GLO260579SRE1&amp;postcode=2644</t>
  </si>
  <si>
    <t>https://www.energymadeeasy.gov.au/plan?id=GLO260580SRE1&amp;postcode=2644</t>
  </si>
  <si>
    <t>Social Energy</t>
  </si>
  <si>
    <t>https://www.energymadeeasy.gov.au/plan?id=SEA182332SRE2&amp;postcode=2644</t>
  </si>
  <si>
    <t>https://www.energymadeeasy.gov.au/plan?id=SEA182333SRE3&amp;postcode=2644</t>
  </si>
  <si>
    <t>https://www.energymadeeasy.gov.au/plan?id=TAN247526SRE1&amp;postcode=2644</t>
  </si>
  <si>
    <t>https://www.energymadeeasy.gov.au/plan?id=TAN247527SRE1&amp;postcode=2644</t>
  </si>
  <si>
    <t>https://www.energymadeeasy.gov.au/plan?id=TAN247529SRE1&amp;postcode=2644</t>
  </si>
  <si>
    <t>Diamond Energy</t>
  </si>
  <si>
    <t>https://www.energymadeeasy.gov.au/plan?id=DIA34679SRE4&amp;postcode=2644</t>
  </si>
  <si>
    <t>https://www.energymadeeasy.gov.au/plan?id=DIA34690SRE4&amp;postcode=2644</t>
  </si>
  <si>
    <t>https://www.energymadeeasy.gov.au/plan?id=COV252552SRE1&amp;postcode=2000</t>
  </si>
  <si>
    <t>https://www.energymadeeasy.gov.au/plan?id=COV252551SRE1&amp;postcode=2000</t>
  </si>
  <si>
    <t>https://www.energymadeeasy.gov.au/plan?id=DIA34681SRE3&amp;postcode=2000</t>
  </si>
  <si>
    <t>https://www.energymadeeasy.gov.au/plan?id=MOJ264342SRE1&amp;postcode=2000</t>
  </si>
  <si>
    <t>https://www.energymadeeasy.gov.au/plan?id=MOJ264344SRE1&amp;postcode=2000</t>
  </si>
  <si>
    <t>https://www.energymadeeasy.gov.au/plan?id=MOJ264381SRE1&amp;postcode=2000</t>
  </si>
  <si>
    <t>https://www.energymadeeasy.gov.au/plan?id=REA251046SRE1&amp;postcode=2000</t>
  </si>
  <si>
    <t>https://www.energymadeeasy.gov.au/plan?id=REA251045SRE1&amp;postcode=2000</t>
  </si>
  <si>
    <t>https://www.energymadeeasy.gov.au/plan?id=PWR287539SRE1&amp;postcode=2000</t>
  </si>
  <si>
    <t>https://www.energymadeeasy.gov.au/plan?id=ENO12590SRE3&amp;postcode=2000</t>
  </si>
  <si>
    <t>https://www.energymadeeasy.gov.au/plan?id=ENO12585SRE3&amp;postcode=2000</t>
  </si>
  <si>
    <t>https://www.energymadeeasy.gov.au/plan?id=ENO12595SRE3&amp;postcode=2000</t>
  </si>
  <si>
    <t>https://www.energymadeeasy.gov.au/plan?id=DEN254115SRE1&amp;postcode=2000</t>
  </si>
  <si>
    <t>https://www.energymadeeasy.gov.au/plan?id=DEN254116SRE1&amp;postcode=2000</t>
  </si>
  <si>
    <t>https://www.energymadeeasy.gov.au/plan?id=DEN254118SRE1&amp;postcode=2000</t>
  </si>
  <si>
    <t>https://www.energymadeeasy.gov.au/plan?id=FXP261666SRE1&amp;postcode=2000</t>
  </si>
  <si>
    <t>https://www.energymadeeasy.gov.au/plan?id=NTR24031SRE4&amp;postcode=2000</t>
  </si>
  <si>
    <t>https://www.energymadeeasy.gov.au/plan?id=NTR24019SRE4&amp;postcode=2000</t>
  </si>
  <si>
    <t>https://www.energymadeeasy.gov.au/plan?id=OVO21838SRE4&amp;postcode=2000</t>
  </si>
  <si>
    <t>https://www.energymadeeasy.gov.au/plan?id=SUM250076SRE1&amp;postcode=2000</t>
  </si>
  <si>
    <t>https://www.energymadeeasy.gov.au/plan?id=SUM250082SRE1&amp;postcode=2000</t>
  </si>
  <si>
    <t>https://www.energymadeeasy.gov.au/plan?id=TAN21903SRE8&amp;postcode=2000</t>
  </si>
  <si>
    <t>https://www.energymadeeasy.gov.au/plan?id=TAN22264SRE9&amp;postcode=2000</t>
  </si>
  <si>
    <t>https://www.energymadeeasy.gov.au/plan?id=GLO260584SRE1&amp;postcode=2000</t>
  </si>
  <si>
    <t>https://www.energymadeeasy.gov.au/plan?id=SEA182331SRE2&amp;postcode=2000</t>
  </si>
  <si>
    <t>https://www.energymadeeasy.gov.au/plan?id=DIA147171SRE1&amp;postcode=2000</t>
  </si>
  <si>
    <t xml:space="preserve">Report 11: NSW Energy Prices 2021 An update report (October 2021).  </t>
  </si>
  <si>
    <t>July 2021</t>
  </si>
  <si>
    <t xml:space="preserve">Workbook 1: Electricity standing offers </t>
  </si>
  <si>
    <t>July 2022</t>
  </si>
  <si>
    <t xml:space="preserve">The Tariff-Tracking project has produced 5 workbooks and 12 reports: </t>
  </si>
  <si>
    <t>*Standing or regulated electricity offers from 2008 to July 2022 (inc GST)</t>
  </si>
  <si>
    <t xml:space="preserve">Report 12: NSW Energy Prices 2022 An update report (September 2022).  </t>
  </si>
  <si>
    <t xml:space="preserve">NSW Tariff-Tracking Project, St Vincent de Paul Society </t>
  </si>
  <si>
    <t>https://www.energymadeeasy.gov.au/plan?id=AGL15294SRE13&amp;postcode=2644</t>
  </si>
  <si>
    <t>https://www.energymadeeasy.gov.au/plan?id=ALI13135SRE12&amp;postcode=2644</t>
  </si>
  <si>
    <t>https://www.energymadeeasy.gov.au/plan?id=COV252594SRE2&amp;postcode=2644</t>
  </si>
  <si>
    <t>https://www.energymadeeasy.gov.au/plan?id=DOD13972SRE5&amp;postcode=2644</t>
  </si>
  <si>
    <t>https://www.energymadeeasy.gov.au/plan?id=ENE19191SRE24&amp;postcode=2644</t>
  </si>
  <si>
    <t>https://www.energymadeeasy.gov.au/plan?id=MOM432960SRE1&amp;postcode=2644</t>
  </si>
  <si>
    <t>https://www.energymadeeasy.gov.au/plan?id=ORI429312SRE1&amp;postcode=2644</t>
  </si>
  <si>
    <t>https://www.energymadeeasy.gov.au/plan?id=POW352578SRE2&amp;postcode=2644</t>
  </si>
  <si>
    <t>https://www.energymadeeasy.gov.au/plan?id=PSH58460SRE4&amp;postcode=2644</t>
  </si>
  <si>
    <t>https://www.energymadeeasy.gov.au/plan?id=RED21255SRE6&amp;postcode=2644</t>
  </si>
  <si>
    <t>https://www.energymadeeasy.gov.au/plan?id=SIM422191SRE1&amp;postcode=2644</t>
  </si>
  <si>
    <t>https://www.energymadeeasy.gov.au/plan?id=1ST444028SRE1&amp;postcode=2644</t>
  </si>
  <si>
    <t>https://www.energymadeeasy.gov.au/plan?id=REA251060SRE3&amp;postcode=2644</t>
  </si>
  <si>
    <t>Discontinued</t>
  </si>
  <si>
    <t>https://nectr.com.au/blog/1-july-2022-rate-update/#Essential-Energy-Network</t>
  </si>
  <si>
    <t>https://www.energymadeeasy.gov.au/plan?id=OVO404823SRE2&amp;postcode=2644</t>
  </si>
  <si>
    <t>https://www.energymadeeasy.gov.au/plan?id=GLO433078SRE1&amp;postcode=2644</t>
  </si>
  <si>
    <t>https://www.energymadeeasy.gov.au/plan?id=TAN247526SRE3&amp;postcode=2644</t>
  </si>
  <si>
    <t>https://www.energymadeeasy.gov.au/plan?id=TAN247527SRE3&amp;postcode=2644</t>
  </si>
  <si>
    <t>https://www.energymadeeasy.gov.au/plan?id=TAN247529SRE3&amp;postcode=2644</t>
  </si>
  <si>
    <t>https://www.energymadeeasy.gov.au/plan?id=DIA435237SRE1&amp;postcode=2644</t>
  </si>
  <si>
    <t>https://www.energymadeeasy.gov.au/plan?id=DIA435236SRE1&amp;postcode=2644</t>
  </si>
  <si>
    <t>https://www.energymadeeasy.gov.au/plan?id=AGL15293SRE13&amp;postcode=2644</t>
  </si>
  <si>
    <t>https://www.energymadeeasy.gov.au/plan?id=ALI13215SRE12&amp;postcode=2644</t>
  </si>
  <si>
    <t>https://www.energymadeeasy.gov.au/plan?id=COV252591SRE2&amp;postcode=2644</t>
  </si>
  <si>
    <t>https://www.energymadeeasy.gov.au/plan?id=DOD13971SRE5&amp;postcode=2644</t>
  </si>
  <si>
    <t>https://www.energymadeeasy.gov.au/plan?id=ENE19199SRE24&amp;postcode=2644</t>
  </si>
  <si>
    <t>https://www.energymadeeasy.gov.au/plan?id=MOM432976SRE1&amp;postcode=2644</t>
  </si>
  <si>
    <t>https://www.energymadeeasy.gov.au/plan?id=ORI429319SRE1&amp;postcode=2644</t>
  </si>
  <si>
    <t>https://www.energymadeeasy.gov.au/plan?id=POW352563SRE2&amp;postcode=2644</t>
  </si>
  <si>
    <t>https://www.energymadeeasy.gov.au/plan?id=PSH58459SRE4&amp;postcode=2644</t>
  </si>
  <si>
    <t>https://www.energymadeeasy.gov.au/plan?id=RED21256SRE6&amp;postcode=2644</t>
  </si>
  <si>
    <t>https://www.energymadeeasy.gov.au/plan?id=SIM422193SRE1&amp;postcode=2644</t>
  </si>
  <si>
    <t>https://www.energymadeeasy.gov.au/plan?id=1ST444029SRE1&amp;postcode=2644</t>
  </si>
  <si>
    <t>https://www.energymadeeasy.gov.au/plan?id=REA402010SRE1&amp;postcode=2644</t>
  </si>
  <si>
    <t>https://www.energymadeeasy.gov.au/plan?id=AGL15113SRE14&amp;postcode=2644</t>
  </si>
  <si>
    <t>https://www.energymadeeasy.gov.au/plan?id=ALI13212SRE12&amp;postcode=2644</t>
  </si>
  <si>
    <t>https://www.energymadeeasy.gov.au/plan?id=COV252593SRE2&amp;postcode=2644</t>
  </si>
  <si>
    <t>https://www.energymadeeasy.gov.au/plan?id=DOD14502SRE5&amp;postcode=2644</t>
  </si>
  <si>
    <t>https://www.energymadeeasy.gov.au/plan?id=ENE19221SRE24&amp;postcode=2644</t>
  </si>
  <si>
    <t>https://www.energymadeeasy.gov.au/plan?id=MOM432957SRE1&amp;postcode=2644</t>
  </si>
  <si>
    <t>https://www.energymadeeasy.gov.au/plan?id=ORI429354SRE1&amp;postcode=2644</t>
  </si>
  <si>
    <t>https://www.energymadeeasy.gov.au/plan?id=POW352571SRE2&amp;postcode=2644</t>
  </si>
  <si>
    <t>https://www.energymadeeasy.gov.au/plan?id=PSH58464SRE4&amp;postcode=2644</t>
  </si>
  <si>
    <t>https://www.energymadeeasy.gov.au/plan?id=RED207699MRE6&amp;postcode=2644</t>
  </si>
  <si>
    <t>https://www.energymadeeasy.gov.au/plan?id=SIM422197SRE1&amp;postcode=2644</t>
  </si>
  <si>
    <t>https://www.energymadeeasy.gov.au/plan?id=1ST444032SRE1&amp;postcode=2644</t>
  </si>
  <si>
    <t>https://www.energymadeeasy.gov.au/plan?id=AGL15292SRE13&amp;postcode=2000</t>
  </si>
  <si>
    <t>https://www.energymadeeasy.gov.au/plan?id=AGL15291SRE13&amp;postcode=2000</t>
  </si>
  <si>
    <t>https://www.energymadeeasy.gov.au/plan?id=AGL14980SRE14&amp;postcode=2000</t>
  </si>
  <si>
    <t>https://www.energymadeeasy.gov.au/plan?id=ALI13214SRE11&amp;postcode=2000</t>
  </si>
  <si>
    <t>https://www.energymadeeasy.gov.au/plan?id=ALI13203SRE11&amp;postcode=2000</t>
  </si>
  <si>
    <t>https://www.energymadeeasy.gov.au/plan?id=ALI13195SRE12&amp;postcode=2000</t>
  </si>
  <si>
    <t>https://www.energymadeeasy.gov.au/plan?id=COV252552SRE2&amp;postcode=2000</t>
  </si>
  <si>
    <t>https://www.energymadeeasy.gov.au/plan?id=COV252555SRE2&amp;postcode=2000</t>
  </si>
  <si>
    <t>https://www.energymadeeasy.gov.au/plan?id=COV252551SRE2&amp;postcode=2000</t>
  </si>
  <si>
    <t>https://www.energymadeeasy.gov.au/plan?id=DIA435239SRE1&amp;postcode=2000</t>
  </si>
  <si>
    <t>https://www.energymadeeasy.gov.au/plan?id=DIA435225SRE1&amp;postcode=2000</t>
  </si>
  <si>
    <t>https://www.energymadeeasy.gov.au/plan?id=DIA48923SRE7&amp;postcode=2000</t>
  </si>
  <si>
    <t>https://www.energymadeeasy.gov.au/plan?id=DOD13968SRE5&amp;postcode=2000</t>
  </si>
  <si>
    <t>https://www.energymadeeasy.gov.au/plan?id=DOD13967SRE5&amp;postcode=2000</t>
  </si>
  <si>
    <t>https://www.energymadeeasy.gov.au/plan?id=DOD14506SRE5&amp;postcode=2000</t>
  </si>
  <si>
    <t>https://www.energymadeeasy.gov.au/plan?id=ENE19220SRE23&amp;postcode=2000</t>
  </si>
  <si>
    <t>https://www.energymadeeasy.gov.au/plan?id=ENE19214SRE23&amp;postcode=2000</t>
  </si>
  <si>
    <t>https://www.energymadeeasy.gov.au/plan?id=ENE19331SRE23&amp;postcode=2000</t>
  </si>
  <si>
    <t>https://www.energymadeeasy.gov.au/plan?id=MOM432950SRE1&amp;postcode=2000</t>
  </si>
  <si>
    <t>https://www.energymadeeasy.gov.au/plan?id=MOM432985SRE1&amp;postcode=2000</t>
  </si>
  <si>
    <t>https://www.energymadeeasy.gov.au/plan?id=MOM432973SRE1&amp;postcode=2000</t>
  </si>
  <si>
    <t>https://www.energymadeeasy.gov.au/plan?id=ORI429278SRE1&amp;postcode=2000</t>
  </si>
  <si>
    <t>https://www.energymadeeasy.gov.au/plan?id=ORI429358SRE1&amp;postcode=2000</t>
  </si>
  <si>
    <t>https://www.originenergy.com.au/content/dam/pricing/residential/2022/NSW_Standing_Resi_Ausgrid_1July2022.pdf</t>
  </si>
  <si>
    <t>https://www.energymadeeasy.gov.au/plan?id=POW352588SRE2&amp;postcode=2000</t>
  </si>
  <si>
    <t>https://www.energymadeeasy.gov.au/plan?id=POW352576SRE2&amp;postcode=2000</t>
  </si>
  <si>
    <t>https://www.energymadeeasy.gov.au/plan?id=POW352561SRE2&amp;postcode=2000</t>
  </si>
  <si>
    <t>https://www.energymadeeasy.gov.au/plan?id=PSH58432SRE3&amp;postcode=2000</t>
  </si>
  <si>
    <t>https://www.energymadeeasy.gov.au/plan?id=PSH58431SRE3&amp;postcode=2000</t>
  </si>
  <si>
    <t>https://www.energymadeeasy.gov.au/plan?id=PSH58438SRE3&amp;postcode=2000</t>
  </si>
  <si>
    <t>https://www.energymadeeasy.gov.au/plan?id=RED21270SRE5&amp;postcode=2000</t>
  </si>
  <si>
    <t>https://www.energymadeeasy.gov.au/plan?id=RED21271SRE5&amp;postcode=2000</t>
  </si>
  <si>
    <t>https://www.energymadeeasy.gov.au/plan?id=RED21577SRE5&amp;postcode=2000</t>
  </si>
  <si>
    <t>https://www.energymadeeasy.gov.au/plan?id=SIM422201SRE1&amp;postcode=2000</t>
  </si>
  <si>
    <t>https://www.energymadeeasy.gov.au/plan?id=SIM422203SRE1&amp;postcode=2000</t>
  </si>
  <si>
    <t>https://www.energymadeeasy.gov.au/plan?id=SIM422216SRE1&amp;postcode=2000</t>
  </si>
  <si>
    <t>https://www.energymadeeasy.gov.au/plan?id=1ST443986SRE1&amp;postcode=2000</t>
  </si>
  <si>
    <t>https://www.energymadeeasy.gov.au/plan?id=1ST443987SRE1&amp;postcode=2000</t>
  </si>
  <si>
    <t>https://www.energymadeeasy.gov.au/plan?id=1ST443990SRE1&amp;postcode=2000</t>
  </si>
  <si>
    <t>https://www.energymadeeasy.gov.au/plan?id=REA251046SRE3&amp;postcode=2000</t>
  </si>
  <si>
    <t>https://www.energymadeeasy.gov.au/plan?id=REA402056SRE1&amp;postcode=2000</t>
  </si>
  <si>
    <t>https://www.energymadeeasy.gov.au/plan?id=OVO404796SRE2&amp;postcode=2000</t>
  </si>
  <si>
    <t>https://www.energymadeeasy.gov.au/plan?id=SUM433236SRE1&amp;postcode=2000</t>
  </si>
  <si>
    <t>https://www.energymadeeasy.gov.au/plan?id=SUM433237SRE1&amp;postcode=2000</t>
  </si>
  <si>
    <t>https://www.energymadeeasy.gov.au/plan?id=SUM433238SRE1&amp;postcode=2000</t>
  </si>
  <si>
    <t>https://www.energymadeeasy.gov.au/plan?id=TAN21903SRE10&amp;postcode=2000</t>
  </si>
  <si>
    <t>https://www.energymadeeasy.gov.au/plan?id=TAN21908SRE10&amp;postcode=2000</t>
  </si>
  <si>
    <t>https://www.energymadeeasy.gov.au/plan?id=TAN22264SRE11&amp;postcode=2000</t>
  </si>
  <si>
    <t>https://www.energymadeeasy.gov.au/plan?id=GLO433084SRE1&amp;postcode=2000</t>
  </si>
  <si>
    <t>https://www.energymadeeasy.gov.au/plan?id=AGL15295SRE13&amp;postcode=2780</t>
  </si>
  <si>
    <t>https://www.energymadeeasy.gov.au/plan?id=AGL15296SRE13&amp;postcode=2780</t>
  </si>
  <si>
    <t>https://www.energymadeeasy.gov.au/plan?id=AGL15115SRE16&amp;postcode=2780</t>
  </si>
  <si>
    <t>https://www.energymadeeasy.gov.au/plan?id=ALI13164SRE11&amp;postcode=2780</t>
  </si>
  <si>
    <t>https://www.energymadeeasy.gov.au/plan?id=ALI13173SRE11&amp;postcode=2780</t>
  </si>
  <si>
    <t>https://www.energymadeeasy.gov.au/plan?id=ALI13204SRE11&amp;postcode=2780</t>
  </si>
  <si>
    <t>https://www.energymadeeasy.gov.au/plan?id=COV252577SRE2&amp;postcode=2780</t>
  </si>
  <si>
    <t>https://www.energymadeeasy.gov.au/plan?id=COV252574SRE2&amp;postcode=2780</t>
  </si>
  <si>
    <t>https://www.energymadeeasy.gov.au/plan?id=COV252578SRE2&amp;postcode=2780</t>
  </si>
  <si>
    <t>https://www.energymadeeasy.gov.au/plan?id=DIA435233SRE1&amp;postcode=2780</t>
  </si>
  <si>
    <t>https://www.energymadeeasy.gov.au/plan?id=DIA435221SRE1&amp;postcode=2780</t>
  </si>
  <si>
    <t>https://www.energymadeeasy.gov.au/plan?id=DIA435272SRE1&amp;postcode=2780</t>
  </si>
  <si>
    <t>https://www.energymadeeasy.gov.au/plan?id=DOD13970SRE5&amp;postcode=2780</t>
  </si>
  <si>
    <t>https://www.energymadeeasy.gov.au/plan?id=DOD13969SRE5&amp;postcode=2780</t>
  </si>
  <si>
    <t>https://www.energymadeeasy.gov.au/plan?id=DOD14504SRE5&amp;postcode=2780</t>
  </si>
  <si>
    <t>https://www.energymadeeasy.gov.au/plan?id=ENE19213SRE23&amp;postcode=2780</t>
  </si>
  <si>
    <t>https://www.energymadeeasy.gov.au/plan?id=ENE19196SRE23&amp;postcode=2780</t>
  </si>
  <si>
    <t>https://www.energymadeeasy.gov.au/plan?id=MOM432947SRE1&amp;postcode=2780</t>
  </si>
  <si>
    <t>https://www.energymadeeasy.gov.au/plan?id=MOM432992SRE1&amp;postcode=2780</t>
  </si>
  <si>
    <t>https://www.originenergy.com.au/content/dam/pricing/residential/2022/NSW_Standing_Resi_Endeavour_July2022.pdf</t>
  </si>
  <si>
    <t>https://www.energymadeeasy.gov.au/plan?id=POW352590SRE2&amp;postcode=2780</t>
  </si>
  <si>
    <t>https://www.energymadeeasy.gov.au/plan?id=POW352575SRE2&amp;postcode=2780</t>
  </si>
  <si>
    <t>https://www.energymadeeasy.gov.au/plan?id=POW352572SRE2&amp;postcode=2780</t>
  </si>
  <si>
    <t>https://www.energymadeeasy.gov.au/plan?id=PSH58440SRE3&amp;postcode=2780</t>
  </si>
  <si>
    <t>https://www.energymadeeasy.gov.au/plan?id=PSH58442SRE3&amp;postcode=2780</t>
  </si>
  <si>
    <t>https://www.energymadeeasy.gov.au/plan?id=PSH147339SRE3&amp;postcode=2780</t>
  </si>
  <si>
    <t>https://www.energymadeeasy.gov.au/plan?id=RED21265SRE5&amp;postcode=2780</t>
  </si>
  <si>
    <t>https://www.energymadeeasy.gov.au/plan?id=RED21266SRE5&amp;postcode=2780</t>
  </si>
  <si>
    <t>https://www.energymadeeasy.gov.au/plan?id=SIM422185SRE1&amp;postcode=2780</t>
  </si>
  <si>
    <t>https://www.energymadeeasy.gov.au/plan?id=SIM422187SRE1&amp;postcode=2780</t>
  </si>
  <si>
    <t>https://www.energymadeeasy.gov.au/plan?id=SIM422199SRE1&amp;postcode=2780</t>
  </si>
  <si>
    <t>https://www.energymadeeasy.gov.au/plan?id=1ST444000SRE1&amp;postcode=2780</t>
  </si>
  <si>
    <t>https://www.energymadeeasy.gov.au/plan?id=1ST444001SRE1&amp;postcode=2780</t>
  </si>
  <si>
    <t>https://www.energymadeeasy.gov.au/plan?id=1ST444004SRE1&amp;postcode=2780</t>
  </si>
  <si>
    <t>https://www.energymadeeasy.gov.au/plan?id=OVO404811SRE2&amp;postcode=2780</t>
  </si>
  <si>
    <t>https://www.energymadeeasy.gov.au/plan?id=SUM433248SRE1&amp;postcode=2780</t>
  </si>
  <si>
    <t>https://www.energymadeeasy.gov.au/plan?id=SUM433249SRE1&amp;postcode=2780</t>
  </si>
  <si>
    <t>https://www.energymadeeasy.gov.au/plan?id=SUM433250SRE1&amp;postcode=2780</t>
  </si>
  <si>
    <t>https://www.energymadeeasy.gov.au/plan?id=TAN21905SRE9&amp;postcode=2780</t>
  </si>
  <si>
    <t>https://www.energymadeeasy.gov.au/plan?id=TAN21906SRE9&amp;postcode=2780</t>
  </si>
  <si>
    <t>https://www.energymadeeasy.gov.au/plan?id=TAN149984SRE4&amp;postcode=2780</t>
  </si>
  <si>
    <t>https://www.energymadeeasy.gov.au/plan?id=GLO433081SRE1&amp;postcode=2780</t>
  </si>
  <si>
    <t>https://www.energymadeeasy.gov.au/plan?id=REA251050SRE3&amp;postcode=2780</t>
  </si>
  <si>
    <t>https://www.energymadeeasy.gov.au/plan?id=REA401973SRE1&amp;postcode=2780</t>
  </si>
  <si>
    <t>https://nectr.com.au/blog/1-july-2022-rate-update/#ausgrid-network</t>
  </si>
  <si>
    <t>https://nectr.com.au/blog/1-july-2022-rate-update/#Endeavour-Energy-Network</t>
  </si>
  <si>
    <t>https://sumo-epfs.s3.amazonaws.com/Electricity/NSW%20Standing%20Residential/SUM433258SRE1_NSW_CZ2.pdf</t>
  </si>
  <si>
    <t>Workbook 1: Regulated electricity offers July 2008 - July 2022</t>
  </si>
  <si>
    <t>Workbook 2: Regulated gas offers July 2009 - July 2022</t>
  </si>
  <si>
    <t>Workbook 3: Published electricity market offers post July 2011 - July 2022</t>
  </si>
  <si>
    <t>Workbook 4: Published gas market offers post July 2011 - July 2022</t>
  </si>
  <si>
    <t>Workbook 5: Solar offers post July 2016 -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</si>
</sst>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b/>
      <sz val="11"/>
      <color indexed="57"/>
      <name val="Arial"/>
      <family val="2"/>
    </font>
    <font>
      <b/>
      <sz val="10"/>
      <color indexed="45"/>
      <name val="Arial"/>
      <family val="2"/>
    </font>
    <font>
      <sz val="10"/>
      <color indexed="45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color indexed="1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8"/>
      <name val="Arial"/>
      <family val="2"/>
    </font>
    <font>
      <sz val="9"/>
      <color indexed="81"/>
      <name val="Verdana"/>
      <family val="2"/>
    </font>
    <font>
      <b/>
      <sz val="9"/>
      <color indexed="81"/>
      <name val="Verdana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10"/>
      <color indexed="9"/>
      <name val="Verdana"/>
      <family val="2"/>
    </font>
    <font>
      <sz val="10"/>
      <color indexed="18"/>
      <name val="Verdana"/>
      <family val="2"/>
    </font>
    <font>
      <b/>
      <sz val="11"/>
      <color indexed="18"/>
      <name val="Arial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0"/>
      <color theme="10"/>
      <name val="Verdana"/>
      <family val="2"/>
    </font>
    <font>
      <sz val="12"/>
      <color theme="1"/>
      <name val="Calibri"/>
      <family val="2"/>
    </font>
    <font>
      <sz val="12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u/>
      <sz val="12"/>
      <color theme="10"/>
      <name val="Calibri"/>
      <family val="2"/>
    </font>
    <font>
      <b/>
      <sz val="12"/>
      <name val="Calibri"/>
      <family val="2"/>
      <scheme val="minor"/>
    </font>
    <font>
      <sz val="10"/>
      <color theme="0"/>
      <name val="Verdana"/>
      <family val="2"/>
    </font>
    <font>
      <b/>
      <sz val="10"/>
      <color theme="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A9A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B0F0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345">
    <xf numFmtId="0" fontId="0" fillId="0" borderId="0" xfId="0"/>
    <xf numFmtId="0" fontId="0" fillId="0" borderId="0" xfId="0" applyFill="1"/>
    <xf numFmtId="0" fontId="0" fillId="0" borderId="0" xfId="0" applyBorder="1"/>
    <xf numFmtId="0" fontId="12" fillId="0" borderId="0" xfId="0" applyFont="1"/>
    <xf numFmtId="0" fontId="15" fillId="0" borderId="10" xfId="0" applyFont="1" applyBorder="1"/>
    <xf numFmtId="0" fontId="0" fillId="0" borderId="10" xfId="0" applyBorder="1"/>
    <xf numFmtId="0" fontId="0" fillId="5" borderId="10" xfId="0" applyFill="1" applyBorder="1"/>
    <xf numFmtId="0" fontId="0" fillId="5" borderId="0" xfId="0" applyFill="1"/>
    <xf numFmtId="0" fontId="15" fillId="0" borderId="0" xfId="0" applyFont="1"/>
    <xf numFmtId="0" fontId="14" fillId="3" borderId="9" xfId="0" applyFont="1" applyFill="1" applyBorder="1"/>
    <xf numFmtId="0" fontId="14" fillId="2" borderId="9" xfId="0" applyFont="1" applyFill="1" applyBorder="1"/>
    <xf numFmtId="0" fontId="14" fillId="0" borderId="0" xfId="0" applyFont="1"/>
    <xf numFmtId="0" fontId="13" fillId="0" borderId="0" xfId="0" applyFont="1" applyFill="1"/>
    <xf numFmtId="0" fontId="0" fillId="0" borderId="9" xfId="0" applyBorder="1"/>
    <xf numFmtId="0" fontId="12" fillId="0" borderId="9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0" fillId="3" borderId="0" xfId="0" applyFill="1"/>
    <xf numFmtId="0" fontId="12" fillId="2" borderId="0" xfId="0" applyFont="1" applyFill="1"/>
    <xf numFmtId="0" fontId="0" fillId="2" borderId="0" xfId="0" applyFill="1"/>
    <xf numFmtId="0" fontId="0" fillId="0" borderId="9" xfId="0" applyBorder="1" applyAlignment="1">
      <alignment horizontal="right"/>
    </xf>
    <xf numFmtId="0" fontId="14" fillId="6" borderId="9" xfId="0" applyFont="1" applyFill="1" applyBorder="1"/>
    <xf numFmtId="0" fontId="0" fillId="6" borderId="0" xfId="0" applyFill="1"/>
    <xf numFmtId="0" fontId="0" fillId="7" borderId="0" xfId="0" applyFill="1"/>
    <xf numFmtId="0" fontId="14" fillId="7" borderId="9" xfId="0" applyFont="1" applyFill="1" applyBorder="1"/>
    <xf numFmtId="0" fontId="12" fillId="0" borderId="0" xfId="0" applyFont="1" applyProtection="1">
      <protection hidden="1"/>
    </xf>
    <xf numFmtId="0" fontId="0" fillId="0" borderId="0" xfId="0" applyProtection="1">
      <protection hidden="1"/>
    </xf>
    <xf numFmtId="0" fontId="0" fillId="3" borderId="9" xfId="0" applyFill="1" applyBorder="1" applyProtection="1">
      <protection hidden="1"/>
    </xf>
    <xf numFmtId="0" fontId="7" fillId="0" borderId="0" xfId="0" applyFont="1" applyProtection="1">
      <protection hidden="1"/>
    </xf>
    <xf numFmtId="0" fontId="13" fillId="0" borderId="0" xfId="0" applyFont="1" applyBorder="1" applyProtection="1">
      <protection hidden="1"/>
    </xf>
    <xf numFmtId="0" fontId="13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4" fillId="0" borderId="0" xfId="0" applyFont="1" applyProtection="1">
      <protection hidden="1"/>
    </xf>
    <xf numFmtId="0" fontId="17" fillId="0" borderId="0" xfId="0" applyFont="1" applyFill="1" applyProtection="1">
      <protection hidden="1"/>
    </xf>
    <xf numFmtId="4" fontId="0" fillId="0" borderId="0" xfId="0" applyNumberFormat="1" applyProtection="1">
      <protection hidden="1"/>
    </xf>
    <xf numFmtId="3" fontId="0" fillId="5" borderId="0" xfId="0" applyNumberFormat="1" applyFill="1" applyProtection="1">
      <protection hidden="1"/>
    </xf>
    <xf numFmtId="0" fontId="7" fillId="5" borderId="0" xfId="0" applyFont="1" applyFill="1" applyProtection="1">
      <protection hidden="1"/>
    </xf>
    <xf numFmtId="0" fontId="12" fillId="5" borderId="0" xfId="0" applyFont="1" applyFill="1" applyProtection="1">
      <protection hidden="1"/>
    </xf>
    <xf numFmtId="3" fontId="12" fillId="5" borderId="0" xfId="0" applyNumberFormat="1" applyFont="1" applyFill="1" applyProtection="1">
      <protection hidden="1"/>
    </xf>
    <xf numFmtId="3" fontId="7" fillId="5" borderId="11" xfId="0" applyNumberFormat="1" applyFont="1" applyFill="1" applyBorder="1" applyProtection="1">
      <protection hidden="1"/>
    </xf>
    <xf numFmtId="3" fontId="0" fillId="0" borderId="0" xfId="0" applyNumberFormat="1" applyFill="1" applyProtection="1">
      <protection hidden="1"/>
    </xf>
    <xf numFmtId="0" fontId="13" fillId="0" borderId="0" xfId="0" applyFont="1" applyFill="1" applyProtection="1">
      <protection hidden="1"/>
    </xf>
    <xf numFmtId="2" fontId="0" fillId="0" borderId="0" xfId="0" applyNumberFormat="1" applyProtection="1">
      <protection hidden="1"/>
    </xf>
    <xf numFmtId="2" fontId="0" fillId="0" borderId="0" xfId="0" applyNumberFormat="1" applyAlignment="1" applyProtection="1">
      <alignment horizontal="right"/>
      <protection hidden="1"/>
    </xf>
    <xf numFmtId="3" fontId="12" fillId="5" borderId="0" xfId="0" applyNumberFormat="1" applyFont="1" applyFill="1" applyAlignment="1" applyProtection="1">
      <alignment horizontal="right"/>
      <protection hidden="1"/>
    </xf>
    <xf numFmtId="0" fontId="7" fillId="4" borderId="0" xfId="0" applyFont="1" applyFill="1" applyAlignment="1" applyProtection="1">
      <alignment horizontal="left"/>
      <protection locked="0"/>
    </xf>
    <xf numFmtId="10" fontId="7" fillId="4" borderId="0" xfId="0" applyNumberFormat="1" applyFont="1" applyFill="1" applyAlignment="1" applyProtection="1">
      <alignment horizontal="left"/>
      <protection locked="0"/>
    </xf>
    <xf numFmtId="0" fontId="0" fillId="2" borderId="9" xfId="0" applyFill="1" applyBorder="1" applyProtection="1">
      <protection hidden="1"/>
    </xf>
    <xf numFmtId="0" fontId="0" fillId="7" borderId="9" xfId="0" applyFill="1" applyBorder="1" applyProtection="1">
      <protection hidden="1"/>
    </xf>
    <xf numFmtId="0" fontId="0" fillId="6" borderId="9" xfId="0" applyFill="1" applyBorder="1" applyProtection="1">
      <protection hidden="1"/>
    </xf>
    <xf numFmtId="0" fontId="0" fillId="8" borderId="9" xfId="0" applyFill="1" applyBorder="1" applyProtection="1">
      <protection hidden="1"/>
    </xf>
    <xf numFmtId="0" fontId="0" fillId="8" borderId="0" xfId="0" applyFill="1"/>
    <xf numFmtId="0" fontId="14" fillId="8" borderId="9" xfId="0" applyFont="1" applyFill="1" applyBorder="1"/>
    <xf numFmtId="4" fontId="0" fillId="0" borderId="0" xfId="0" applyNumberFormat="1" applyFill="1" applyProtection="1">
      <protection hidden="1"/>
    </xf>
    <xf numFmtId="2" fontId="0" fillId="0" borderId="0" xfId="0" applyNumberFormat="1" applyFill="1" applyProtection="1">
      <protection hidden="1"/>
    </xf>
    <xf numFmtId="0" fontId="0" fillId="0" borderId="9" xfId="0" applyFill="1" applyBorder="1"/>
    <xf numFmtId="0" fontId="14" fillId="0" borderId="0" xfId="0" applyFont="1" applyFill="1"/>
    <xf numFmtId="0" fontId="14" fillId="0" borderId="0" xfId="0" applyFont="1" applyFill="1" applyProtection="1">
      <protection hidden="1"/>
    </xf>
    <xf numFmtId="0" fontId="0" fillId="0" borderId="0" xfId="0" applyFill="1" applyBorder="1"/>
    <xf numFmtId="0" fontId="0" fillId="10" borderId="9" xfId="0" applyFill="1" applyBorder="1" applyProtection="1">
      <protection hidden="1"/>
    </xf>
    <xf numFmtId="0" fontId="14" fillId="10" borderId="9" xfId="0" applyFont="1" applyFill="1" applyBorder="1"/>
    <xf numFmtId="0" fontId="0" fillId="10" borderId="0" xfId="0" applyFill="1"/>
    <xf numFmtId="3" fontId="7" fillId="5" borderId="0" xfId="0" applyNumberFormat="1" applyFont="1" applyFill="1" applyProtection="1">
      <protection hidden="1"/>
    </xf>
    <xf numFmtId="0" fontId="0" fillId="0" borderId="0" xfId="0" applyFill="1" applyProtection="1">
      <protection hidden="1"/>
    </xf>
    <xf numFmtId="0" fontId="13" fillId="0" borderId="0" xfId="0" applyFont="1" applyProtection="1">
      <protection locked="0"/>
    </xf>
    <xf numFmtId="0" fontId="6" fillId="9" borderId="0" xfId="0" applyFont="1" applyFill="1" applyProtection="1">
      <protection hidden="1"/>
    </xf>
    <xf numFmtId="0" fontId="7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15" fillId="9" borderId="3" xfId="0" applyFont="1" applyFill="1" applyBorder="1" applyProtection="1">
      <protection hidden="1"/>
    </xf>
    <xf numFmtId="0" fontId="12" fillId="9" borderId="4" xfId="0" applyFont="1" applyFill="1" applyBorder="1" applyProtection="1">
      <protection hidden="1"/>
    </xf>
    <xf numFmtId="0" fontId="12" fillId="9" borderId="5" xfId="0" applyFont="1" applyFill="1" applyBorder="1" applyProtection="1">
      <protection hidden="1"/>
    </xf>
    <xf numFmtId="0" fontId="12" fillId="9" borderId="0" xfId="0" applyFont="1" applyFill="1" applyBorder="1" applyProtection="1">
      <protection hidden="1"/>
    </xf>
    <xf numFmtId="0" fontId="8" fillId="9" borderId="0" xfId="0" applyFont="1" applyFill="1" applyProtection="1">
      <protection hidden="1"/>
    </xf>
    <xf numFmtId="0" fontId="9" fillId="9" borderId="0" xfId="0" applyFont="1" applyFill="1" applyProtection="1">
      <protection hidden="1"/>
    </xf>
    <xf numFmtId="0" fontId="10" fillId="9" borderId="0" xfId="0" applyFont="1" applyFill="1" applyProtection="1">
      <protection hidden="1"/>
    </xf>
    <xf numFmtId="0" fontId="12" fillId="9" borderId="1" xfId="0" applyFont="1" applyFill="1" applyBorder="1" applyProtection="1">
      <protection hidden="1"/>
    </xf>
    <xf numFmtId="0" fontId="12" fillId="9" borderId="2" xfId="0" applyFont="1" applyFill="1" applyBorder="1" applyProtection="1">
      <protection hidden="1"/>
    </xf>
    <xf numFmtId="0" fontId="22" fillId="9" borderId="0" xfId="0" applyFont="1" applyFill="1" applyProtection="1">
      <protection hidden="1"/>
    </xf>
    <xf numFmtId="0" fontId="24" fillId="9" borderId="0" xfId="0" applyFont="1" applyFill="1" applyProtection="1">
      <protection hidden="1"/>
    </xf>
    <xf numFmtId="0" fontId="12" fillId="9" borderId="0" xfId="0" applyFont="1" applyFill="1" applyProtection="1">
      <protection hidden="1"/>
    </xf>
    <xf numFmtId="0" fontId="12" fillId="9" borderId="6" xfId="0" applyFont="1" applyFill="1" applyBorder="1" applyProtection="1">
      <protection hidden="1"/>
    </xf>
    <xf numFmtId="0" fontId="12" fillId="9" borderId="8" xfId="0" applyFont="1" applyFill="1" applyBorder="1" applyProtection="1">
      <protection hidden="1"/>
    </xf>
    <xf numFmtId="0" fontId="12" fillId="9" borderId="7" xfId="0" applyFont="1" applyFill="1" applyBorder="1" applyProtection="1">
      <protection hidden="1"/>
    </xf>
    <xf numFmtId="0" fontId="0" fillId="9" borderId="0" xfId="0" applyFill="1" applyBorder="1" applyProtection="1">
      <protection hidden="1"/>
    </xf>
    <xf numFmtId="0" fontId="0" fillId="9" borderId="4" xfId="0" applyFill="1" applyBorder="1" applyProtection="1">
      <protection hidden="1"/>
    </xf>
    <xf numFmtId="0" fontId="0" fillId="9" borderId="5" xfId="0" applyFill="1" applyBorder="1" applyProtection="1">
      <protection hidden="1"/>
    </xf>
    <xf numFmtId="0" fontId="0" fillId="9" borderId="2" xfId="0" applyFill="1" applyBorder="1" applyProtection="1">
      <protection hidden="1"/>
    </xf>
    <xf numFmtId="0" fontId="21" fillId="9" borderId="6" xfId="0" applyFont="1" applyFill="1" applyBorder="1" applyProtection="1">
      <protection hidden="1"/>
    </xf>
    <xf numFmtId="0" fontId="0" fillId="9" borderId="8" xfId="0" applyFill="1" applyBorder="1" applyProtection="1">
      <protection hidden="1"/>
    </xf>
    <xf numFmtId="0" fontId="0" fillId="9" borderId="7" xfId="0" applyFill="1" applyBorder="1" applyProtection="1">
      <protection hidden="1"/>
    </xf>
    <xf numFmtId="0" fontId="24" fillId="9" borderId="4" xfId="0" applyFont="1" applyFill="1" applyBorder="1" applyProtection="1">
      <protection hidden="1"/>
    </xf>
    <xf numFmtId="0" fontId="24" fillId="9" borderId="1" xfId="0" applyFont="1" applyFill="1" applyBorder="1" applyProtection="1">
      <protection hidden="1"/>
    </xf>
    <xf numFmtId="0" fontId="24" fillId="9" borderId="0" xfId="0" applyFont="1" applyFill="1" applyBorder="1" applyProtection="1">
      <protection hidden="1"/>
    </xf>
    <xf numFmtId="0" fontId="23" fillId="9" borderId="0" xfId="0" applyFont="1" applyFill="1" applyProtection="1">
      <protection hidden="1"/>
    </xf>
    <xf numFmtId="0" fontId="0" fillId="11" borderId="9" xfId="0" applyFill="1" applyBorder="1" applyProtection="1">
      <protection hidden="1"/>
    </xf>
    <xf numFmtId="0" fontId="14" fillId="11" borderId="9" xfId="0" applyFont="1" applyFill="1" applyBorder="1"/>
    <xf numFmtId="0" fontId="0" fillId="11" borderId="0" xfId="0" applyFill="1"/>
    <xf numFmtId="0" fontId="26" fillId="0" borderId="0" xfId="0" applyFont="1" applyFill="1"/>
    <xf numFmtId="0" fontId="0" fillId="0" borderId="10" xfId="0" applyFill="1" applyBorder="1"/>
    <xf numFmtId="3" fontId="7" fillId="5" borderId="12" xfId="0" applyNumberFormat="1" applyFont="1" applyFill="1" applyBorder="1" applyProtection="1">
      <protection hidden="1"/>
    </xf>
    <xf numFmtId="0" fontId="0" fillId="0" borderId="12" xfId="0" applyBorder="1" applyProtection="1">
      <protection hidden="1"/>
    </xf>
    <xf numFmtId="4" fontId="0" fillId="0" borderId="12" xfId="0" applyNumberFormat="1" applyFill="1" applyBorder="1" applyProtection="1">
      <protection hidden="1"/>
    </xf>
    <xf numFmtId="0" fontId="13" fillId="0" borderId="12" xfId="0" applyFont="1" applyBorder="1" applyProtection="1">
      <protection hidden="1"/>
    </xf>
    <xf numFmtId="2" fontId="0" fillId="0" borderId="12" xfId="0" applyNumberFormat="1" applyBorder="1" applyProtection="1">
      <protection hidden="1"/>
    </xf>
    <xf numFmtId="2" fontId="0" fillId="0" borderId="12" xfId="0" applyNumberFormat="1" applyFill="1" applyBorder="1" applyProtection="1">
      <protection hidden="1"/>
    </xf>
    <xf numFmtId="0" fontId="7" fillId="9" borderId="3" xfId="0" applyFont="1" applyFill="1" applyBorder="1" applyProtection="1">
      <protection hidden="1"/>
    </xf>
    <xf numFmtId="0" fontId="0" fillId="9" borderId="1" xfId="0" applyFill="1" applyBorder="1" applyProtection="1">
      <protection hidden="1"/>
    </xf>
    <xf numFmtId="0" fontId="0" fillId="9" borderId="6" xfId="0" applyFill="1" applyBorder="1" applyProtection="1">
      <protection hidden="1"/>
    </xf>
    <xf numFmtId="0" fontId="15" fillId="0" borderId="0" xfId="0" applyFont="1" applyFill="1"/>
    <xf numFmtId="0" fontId="0" fillId="0" borderId="0" xfId="0" applyFill="1" applyAlignment="1">
      <alignment horizontal="right"/>
    </xf>
    <xf numFmtId="0" fontId="26" fillId="0" borderId="0" xfId="0" applyFont="1" applyFill="1" applyProtection="1">
      <protection hidden="1"/>
    </xf>
    <xf numFmtId="0" fontId="0" fillId="12" borderId="9" xfId="0" applyFill="1" applyBorder="1" applyProtection="1">
      <protection hidden="1"/>
    </xf>
    <xf numFmtId="0" fontId="14" fillId="12" borderId="9" xfId="0" applyFont="1" applyFill="1" applyBorder="1"/>
    <xf numFmtId="0" fontId="0" fillId="12" borderId="0" xfId="0" applyFill="1"/>
    <xf numFmtId="0" fontId="12" fillId="9" borderId="13" xfId="0" applyFont="1" applyFill="1" applyBorder="1" applyProtection="1">
      <protection hidden="1"/>
    </xf>
    <xf numFmtId="49" fontId="25" fillId="12" borderId="14" xfId="0" applyNumberFormat="1" applyFont="1" applyFill="1" applyBorder="1" applyProtection="1">
      <protection hidden="1"/>
    </xf>
    <xf numFmtId="49" fontId="0" fillId="11" borderId="14" xfId="0" applyNumberFormat="1" applyFill="1" applyBorder="1" applyProtection="1">
      <protection hidden="1"/>
    </xf>
    <xf numFmtId="49" fontId="11" fillId="10" borderId="14" xfId="0" applyNumberFormat="1" applyFont="1" applyFill="1" applyBorder="1" applyProtection="1">
      <protection hidden="1"/>
    </xf>
    <xf numFmtId="49" fontId="11" fillId="8" borderId="14" xfId="0" applyNumberFormat="1" applyFont="1" applyFill="1" applyBorder="1" applyProtection="1">
      <protection hidden="1"/>
    </xf>
    <xf numFmtId="49" fontId="12" fillId="3" borderId="14" xfId="0" applyNumberFormat="1" applyFont="1" applyFill="1" applyBorder="1" applyProtection="1">
      <protection hidden="1"/>
    </xf>
    <xf numFmtId="49" fontId="12" fillId="2" borderId="14" xfId="0" applyNumberFormat="1" applyFont="1" applyFill="1" applyBorder="1" applyProtection="1">
      <protection hidden="1"/>
    </xf>
    <xf numFmtId="49" fontId="11" fillId="7" borderId="14" xfId="0" applyNumberFormat="1" applyFont="1" applyFill="1" applyBorder="1" applyProtection="1">
      <protection hidden="1"/>
    </xf>
    <xf numFmtId="49" fontId="11" fillId="6" borderId="15" xfId="0" applyNumberFormat="1" applyFont="1" applyFill="1" applyBorder="1" applyProtection="1">
      <protection hidden="1"/>
    </xf>
    <xf numFmtId="0" fontId="12" fillId="0" borderId="9" xfId="0" applyFont="1" applyFill="1" applyBorder="1"/>
    <xf numFmtId="2" fontId="0" fillId="0" borderId="16" xfId="0" applyNumberFormat="1" applyBorder="1" applyProtection="1">
      <protection hidden="1"/>
    </xf>
    <xf numFmtId="2" fontId="0" fillId="0" borderId="16" xfId="0" applyNumberFormat="1" applyFill="1" applyBorder="1" applyProtection="1">
      <protection hidden="1"/>
    </xf>
    <xf numFmtId="4" fontId="0" fillId="0" borderId="16" xfId="0" applyNumberFormat="1" applyFill="1" applyBorder="1" applyProtection="1">
      <protection hidden="1"/>
    </xf>
    <xf numFmtId="4" fontId="0" fillId="0" borderId="0" xfId="0" applyNumberFormat="1" applyFill="1" applyBorder="1" applyProtection="1">
      <protection hidden="1"/>
    </xf>
    <xf numFmtId="3" fontId="7" fillId="5" borderId="16" xfId="0" applyNumberFormat="1" applyFont="1" applyFill="1" applyBorder="1" applyProtection="1">
      <protection hidden="1"/>
    </xf>
    <xf numFmtId="3" fontId="7" fillId="5" borderId="0" xfId="0" applyNumberFormat="1" applyFont="1" applyFill="1" applyBorder="1" applyProtection="1">
      <protection hidden="1"/>
    </xf>
    <xf numFmtId="3" fontId="7" fillId="5" borderId="0" xfId="0" applyNumberFormat="1" applyFont="1" applyFill="1" applyAlignment="1" applyProtection="1">
      <alignment horizontal="right"/>
      <protection hidden="1"/>
    </xf>
    <xf numFmtId="2" fontId="0" fillId="0" borderId="0" xfId="0" applyNumberFormat="1" applyFill="1" applyAlignment="1" applyProtection="1">
      <alignment horizontal="right"/>
      <protection hidden="1"/>
    </xf>
    <xf numFmtId="0" fontId="0" fillId="0" borderId="0" xfId="0" applyFill="1" applyBorder="1" applyProtection="1">
      <protection hidden="1"/>
    </xf>
    <xf numFmtId="0" fontId="0" fillId="0" borderId="9" xfId="0" applyFill="1" applyBorder="1" applyProtection="1">
      <protection hidden="1"/>
    </xf>
    <xf numFmtId="0" fontId="0" fillId="0" borderId="0" xfId="0" applyFont="1" applyFill="1"/>
    <xf numFmtId="0" fontId="0" fillId="13" borderId="0" xfId="0" applyFill="1" applyAlignment="1">
      <alignment horizontal="right" wrapText="1"/>
    </xf>
    <xf numFmtId="0" fontId="0" fillId="13" borderId="0" xfId="0" applyFill="1" applyAlignment="1">
      <alignment horizontal="left" wrapText="1"/>
    </xf>
    <xf numFmtId="0" fontId="0" fillId="13" borderId="0" xfId="0" applyFill="1" applyAlignment="1">
      <alignment wrapText="1"/>
    </xf>
    <xf numFmtId="0" fontId="0" fillId="13" borderId="0" xfId="0" applyFill="1" applyAlignment="1">
      <alignment horizontal="center" wrapText="1"/>
    </xf>
    <xf numFmtId="0" fontId="0" fillId="13" borderId="18" xfId="0" applyFill="1" applyBorder="1" applyAlignment="1">
      <alignment wrapText="1"/>
    </xf>
    <xf numFmtId="0" fontId="0" fillId="5" borderId="12" xfId="0" applyFill="1" applyBorder="1" applyAlignment="1">
      <alignment horizontal="right" wrapText="1"/>
    </xf>
    <xf numFmtId="0" fontId="0" fillId="14" borderId="0" xfId="0" applyFill="1" applyAlignment="1">
      <alignment horizontal="right" wrapText="1"/>
    </xf>
    <xf numFmtId="0" fontId="0" fillId="14" borderId="18" xfId="0" applyFill="1" applyBorder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1" borderId="0" xfId="0" applyFill="1" applyBorder="1" applyAlignment="1">
      <alignment horizontal="right" wrapText="1"/>
    </xf>
    <xf numFmtId="0" fontId="0" fillId="15" borderId="16" xfId="0" applyFill="1" applyBorder="1" applyAlignment="1">
      <alignment horizontal="right" wrapText="1"/>
    </xf>
    <xf numFmtId="0" fontId="0" fillId="15" borderId="0" xfId="0" applyFill="1" applyBorder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7" borderId="12" xfId="0" applyFill="1" applyBorder="1" applyAlignment="1">
      <alignment horizontal="right" wrapText="1"/>
    </xf>
    <xf numFmtId="0" fontId="0" fillId="18" borderId="0" xfId="0" applyFill="1" applyBorder="1" applyAlignment="1">
      <alignment horizontal="center" wrapText="1"/>
    </xf>
    <xf numFmtId="0" fontId="0" fillId="18" borderId="18" xfId="0" applyFill="1" applyBorder="1" applyAlignment="1">
      <alignment horizontal="center" wrapText="1"/>
    </xf>
    <xf numFmtId="0" fontId="0" fillId="13" borderId="17" xfId="0" applyFill="1" applyBorder="1"/>
    <xf numFmtId="14" fontId="0" fillId="0" borderId="17" xfId="0" applyNumberFormat="1" applyFill="1" applyBorder="1"/>
    <xf numFmtId="14" fontId="0" fillId="0" borderId="17" xfId="0" applyNumberFormat="1" applyFill="1" applyBorder="1" applyAlignment="1">
      <alignment horizontal="left"/>
    </xf>
    <xf numFmtId="0" fontId="0" fillId="0" borderId="17" xfId="0" applyFill="1" applyBorder="1"/>
    <xf numFmtId="0" fontId="0" fillId="0" borderId="17" xfId="0" applyFill="1" applyBorder="1" applyAlignment="1">
      <alignment horizontal="center"/>
    </xf>
    <xf numFmtId="1" fontId="0" fillId="0" borderId="17" xfId="0" applyNumberFormat="1" applyFill="1" applyBorder="1"/>
    <xf numFmtId="14" fontId="0" fillId="3" borderId="17" xfId="0" applyNumberFormat="1" applyFill="1" applyBorder="1"/>
    <xf numFmtId="0" fontId="0" fillId="0" borderId="17" xfId="0" applyBorder="1"/>
    <xf numFmtId="1" fontId="0" fillId="11" borderId="17" xfId="0" applyNumberFormat="1" applyFill="1" applyBorder="1"/>
    <xf numFmtId="0" fontId="0" fillId="11" borderId="17" xfId="0" applyFill="1" applyBorder="1"/>
    <xf numFmtId="0" fontId="0" fillId="0" borderId="17" xfId="0" applyBorder="1" applyAlignment="1">
      <alignment horizontal="center"/>
    </xf>
    <xf numFmtId="1" fontId="0" fillId="0" borderId="17" xfId="0" applyNumberFormat="1" applyBorder="1"/>
    <xf numFmtId="14" fontId="0" fillId="0" borderId="17" xfId="0" applyNumberFormat="1" applyFill="1" applyBorder="1" applyAlignment="1">
      <alignment horizontal="right"/>
    </xf>
    <xf numFmtId="0" fontId="0" fillId="15" borderId="17" xfId="0" applyFill="1" applyBorder="1"/>
    <xf numFmtId="0" fontId="24" fillId="0" borderId="1" xfId="0" applyFont="1" applyBorder="1" applyProtection="1">
      <protection hidden="1"/>
    </xf>
    <xf numFmtId="0" fontId="24" fillId="0" borderId="0" xfId="0" applyFont="1" applyBorder="1" applyProtection="1">
      <protection hidden="1"/>
    </xf>
    <xf numFmtId="3" fontId="22" fillId="4" borderId="0" xfId="0" applyNumberFormat="1" applyFont="1" applyFill="1" applyBorder="1" applyAlignment="1" applyProtection="1">
      <alignment horizontal="left"/>
      <protection locked="0"/>
    </xf>
    <xf numFmtId="10" fontId="22" fillId="4" borderId="0" xfId="0" applyNumberFormat="1" applyFont="1" applyFill="1" applyBorder="1" applyAlignment="1" applyProtection="1">
      <alignment horizontal="left"/>
      <protection locked="0"/>
    </xf>
    <xf numFmtId="49" fontId="2" fillId="19" borderId="14" xfId="0" applyNumberFormat="1" applyFont="1" applyFill="1" applyBorder="1" applyProtection="1">
      <protection hidden="1"/>
    </xf>
    <xf numFmtId="0" fontId="0" fillId="9" borderId="1" xfId="0" applyFill="1" applyBorder="1" applyAlignment="1" applyProtection="1">
      <alignment horizontal="left"/>
      <protection hidden="1"/>
    </xf>
    <xf numFmtId="0" fontId="2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22" fillId="19" borderId="0" xfId="0" applyFont="1" applyFill="1" applyProtection="1">
      <protection hidden="1"/>
    </xf>
    <xf numFmtId="0" fontId="24" fillId="19" borderId="8" xfId="0" applyFont="1" applyFill="1" applyBorder="1" applyProtection="1">
      <protection hidden="1"/>
    </xf>
    <xf numFmtId="0" fontId="27" fillId="9" borderId="3" xfId="0" applyFont="1" applyFill="1" applyBorder="1" applyProtection="1">
      <protection hidden="1"/>
    </xf>
    <xf numFmtId="0" fontId="24" fillId="9" borderId="5" xfId="0" applyFont="1" applyFill="1" applyBorder="1" applyProtection="1">
      <protection hidden="1"/>
    </xf>
    <xf numFmtId="0" fontId="24" fillId="9" borderId="2" xfId="0" applyFont="1" applyFill="1" applyBorder="1" applyProtection="1">
      <protection hidden="1"/>
    </xf>
    <xf numFmtId="0" fontId="0" fillId="0" borderId="1" xfId="0" applyBorder="1" applyProtection="1">
      <protection hidden="1"/>
    </xf>
    <xf numFmtId="14" fontId="0" fillId="0" borderId="0" xfId="0" applyNumberFormat="1" applyBorder="1" applyProtection="1">
      <protection hidden="1"/>
    </xf>
    <xf numFmtId="2" fontId="0" fillId="0" borderId="0" xfId="0" applyNumberFormat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1" fontId="0" fillId="0" borderId="0" xfId="0" applyNumberFormat="1" applyBorder="1" applyProtection="1">
      <protection hidden="1"/>
    </xf>
    <xf numFmtId="0" fontId="0" fillId="0" borderId="6" xfId="0" applyBorder="1" applyProtection="1">
      <protection hidden="1"/>
    </xf>
    <xf numFmtId="14" fontId="0" fillId="0" borderId="8" xfId="0" applyNumberFormat="1" applyBorder="1" applyProtection="1">
      <protection hidden="1"/>
    </xf>
    <xf numFmtId="2" fontId="0" fillId="0" borderId="8" xfId="0" applyNumberFormat="1" applyBorder="1" applyProtection="1">
      <protection hidden="1"/>
    </xf>
    <xf numFmtId="2" fontId="0" fillId="0" borderId="8" xfId="0" applyNumberFormat="1" applyFill="1" applyBorder="1" applyProtection="1">
      <protection hidden="1"/>
    </xf>
    <xf numFmtId="1" fontId="0" fillId="0" borderId="8" xfId="0" applyNumberFormat="1" applyBorder="1" applyProtection="1">
      <protection hidden="1"/>
    </xf>
    <xf numFmtId="3" fontId="22" fillId="4" borderId="0" xfId="0" applyNumberFormat="1" applyFont="1" applyFill="1" applyBorder="1" applyProtection="1">
      <protection locked="0"/>
    </xf>
    <xf numFmtId="9" fontId="22" fillId="4" borderId="0" xfId="0" applyNumberFormat="1" applyFont="1" applyFill="1" applyBorder="1" applyProtection="1">
      <protection locked="0"/>
    </xf>
    <xf numFmtId="0" fontId="24" fillId="0" borderId="0" xfId="0" applyFont="1" applyProtection="1">
      <protection hidden="1"/>
    </xf>
    <xf numFmtId="0" fontId="0" fillId="20" borderId="17" xfId="0" applyFill="1" applyBorder="1"/>
    <xf numFmtId="0" fontId="0" fillId="21" borderId="17" xfId="0" applyFill="1" applyBorder="1"/>
    <xf numFmtId="14" fontId="0" fillId="22" borderId="17" xfId="0" applyNumberFormat="1" applyFill="1" applyBorder="1"/>
    <xf numFmtId="0" fontId="0" fillId="23" borderId="0" xfId="0" applyFill="1" applyProtection="1">
      <protection hidden="1"/>
    </xf>
    <xf numFmtId="49" fontId="0" fillId="24" borderId="14" xfId="0" applyNumberFormat="1" applyFont="1" applyFill="1" applyBorder="1" applyProtection="1">
      <protection hidden="1"/>
    </xf>
    <xf numFmtId="0" fontId="24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22" fillId="24" borderId="0" xfId="0" applyFont="1" applyFill="1" applyProtection="1">
      <protection hidden="1"/>
    </xf>
    <xf numFmtId="0" fontId="24" fillId="24" borderId="8" xfId="0" applyFont="1" applyFill="1" applyBorder="1" applyProtection="1">
      <protection hidden="1"/>
    </xf>
    <xf numFmtId="0" fontId="24" fillId="19" borderId="0" xfId="0" applyFont="1" applyFill="1" applyBorder="1" applyProtection="1">
      <protection hidden="1"/>
    </xf>
    <xf numFmtId="3" fontId="1" fillId="0" borderId="2" xfId="0" applyNumberFormat="1" applyFont="1" applyBorder="1" applyProtection="1">
      <protection hidden="1"/>
    </xf>
    <xf numFmtId="3" fontId="1" fillId="0" borderId="7" xfId="0" applyNumberFormat="1" applyFont="1" applyBorder="1" applyProtection="1">
      <protection hidden="1"/>
    </xf>
    <xf numFmtId="0" fontId="2" fillId="0" borderId="9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2" fillId="0" borderId="9" xfId="0" applyFont="1" applyBorder="1"/>
    <xf numFmtId="0" fontId="2" fillId="0" borderId="9" xfId="0" applyFont="1" applyBorder="1" applyAlignment="1">
      <alignment horizontal="right"/>
    </xf>
    <xf numFmtId="0" fontId="2" fillId="0" borderId="0" xfId="0" applyFont="1" applyBorder="1"/>
    <xf numFmtId="0" fontId="2" fillId="0" borderId="0" xfId="0" applyFont="1" applyAlignment="1">
      <alignment horizontal="right"/>
    </xf>
    <xf numFmtId="0" fontId="2" fillId="0" borderId="0" xfId="0" applyFont="1"/>
    <xf numFmtId="49" fontId="2" fillId="25" borderId="14" xfId="0" applyNumberFormat="1" applyFont="1" applyFill="1" applyBorder="1" applyProtection="1">
      <protection hidden="1"/>
    </xf>
    <xf numFmtId="0" fontId="2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22" fillId="25" borderId="0" xfId="0" applyFont="1" applyFill="1" applyProtection="1">
      <protection hidden="1"/>
    </xf>
    <xf numFmtId="0" fontId="24" fillId="25" borderId="8" xfId="0" applyFont="1" applyFill="1" applyBorder="1" applyProtection="1">
      <protection hidden="1"/>
    </xf>
    <xf numFmtId="14" fontId="0" fillId="26" borderId="17" xfId="0" applyNumberFormat="1" applyFill="1" applyBorder="1"/>
    <xf numFmtId="1" fontId="0" fillId="22" borderId="17" xfId="0" applyNumberFormat="1" applyFill="1" applyBorder="1"/>
    <xf numFmtId="2" fontId="0" fillId="0" borderId="17" xfId="0" applyNumberFormat="1" applyBorder="1"/>
    <xf numFmtId="2" fontId="0" fillId="0" borderId="0" xfId="0" applyNumberFormat="1"/>
    <xf numFmtId="2" fontId="0" fillId="0" borderId="17" xfId="0" applyNumberFormat="1" applyFill="1" applyBorder="1"/>
    <xf numFmtId="14" fontId="0" fillId="27" borderId="17" xfId="0" applyNumberFormat="1" applyFill="1" applyBorder="1"/>
    <xf numFmtId="0" fontId="2" fillId="0" borderId="17" xfId="0" applyFont="1" applyFill="1" applyBorder="1" applyAlignment="1">
      <alignment horizontal="center"/>
    </xf>
    <xf numFmtId="0" fontId="2" fillId="0" borderId="17" xfId="0" applyFont="1" applyBorder="1"/>
    <xf numFmtId="14" fontId="0" fillId="0" borderId="17" xfId="0" applyNumberFormat="1" applyBorder="1"/>
    <xf numFmtId="14" fontId="2" fillId="27" borderId="17" xfId="0" applyNumberFormat="1" applyFont="1" applyFill="1" applyBorder="1"/>
    <xf numFmtId="0" fontId="2" fillId="0" borderId="17" xfId="0" applyFont="1" applyFill="1" applyBorder="1"/>
    <xf numFmtId="14" fontId="2" fillId="0" borderId="17" xfId="0" applyNumberFormat="1" applyFont="1" applyBorder="1"/>
    <xf numFmtId="14" fontId="2" fillId="0" borderId="17" xfId="0" applyNumberFormat="1" applyFont="1" applyFill="1" applyBorder="1" applyAlignment="1">
      <alignment horizontal="right"/>
    </xf>
    <xf numFmtId="0" fontId="0" fillId="0" borderId="19" xfId="0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0" fillId="25" borderId="0" xfId="0" applyFill="1" applyBorder="1" applyProtection="1">
      <protection hidden="1"/>
    </xf>
    <xf numFmtId="0" fontId="0" fillId="26" borderId="17" xfId="0" applyFill="1" applyBorder="1"/>
    <xf numFmtId="0" fontId="2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22" fillId="28" borderId="0" xfId="0" applyFont="1" applyFill="1" applyProtection="1">
      <protection hidden="1"/>
    </xf>
    <xf numFmtId="0" fontId="24" fillId="28" borderId="8" xfId="0" applyFont="1" applyFill="1" applyBorder="1" applyProtection="1">
      <protection hidden="1"/>
    </xf>
    <xf numFmtId="0" fontId="0" fillId="28" borderId="0" xfId="0" applyFill="1" applyBorder="1" applyProtection="1">
      <protection hidden="1"/>
    </xf>
    <xf numFmtId="49" fontId="2" fillId="28" borderId="14" xfId="0" applyNumberFormat="1" applyFont="1" applyFill="1" applyBorder="1" applyProtection="1">
      <protection hidden="1"/>
    </xf>
    <xf numFmtId="0" fontId="0" fillId="23" borderId="17" xfId="0" applyFill="1" applyBorder="1"/>
    <xf numFmtId="14" fontId="2" fillId="23" borderId="17" xfId="0" applyNumberFormat="1" applyFont="1" applyFill="1" applyBorder="1"/>
    <xf numFmtId="14" fontId="0" fillId="23" borderId="17" xfId="0" applyNumberFormat="1" applyFill="1" applyBorder="1" applyAlignment="1">
      <alignment horizontal="left"/>
    </xf>
    <xf numFmtId="0" fontId="2" fillId="23" borderId="17" xfId="0" applyFont="1" applyFill="1" applyBorder="1"/>
    <xf numFmtId="0" fontId="0" fillId="23" borderId="17" xfId="0" applyFill="1" applyBorder="1" applyAlignment="1">
      <alignment horizontal="center"/>
    </xf>
    <xf numFmtId="2" fontId="2" fillId="23" borderId="17" xfId="0" applyNumberFormat="1" applyFont="1" applyFill="1" applyBorder="1"/>
    <xf numFmtId="14" fontId="0" fillId="23" borderId="17" xfId="0" applyNumberFormat="1" applyFill="1" applyBorder="1" applyAlignment="1">
      <alignment horizontal="right"/>
    </xf>
    <xf numFmtId="14" fontId="0" fillId="23" borderId="17" xfId="0" applyNumberFormat="1" applyFill="1" applyBorder="1"/>
    <xf numFmtId="0" fontId="2" fillId="23" borderId="17" xfId="0" applyFont="1" applyFill="1" applyBorder="1" applyAlignment="1">
      <alignment horizontal="center"/>
    </xf>
    <xf numFmtId="2" fontId="0" fillId="23" borderId="17" xfId="0" applyNumberFormat="1" applyFill="1" applyBorder="1"/>
    <xf numFmtId="0" fontId="0" fillId="0" borderId="0" xfId="0" applyBorder="1" applyProtection="1">
      <protection hidden="1"/>
    </xf>
    <xf numFmtId="0" fontId="30" fillId="23" borderId="17" xfId="0" applyFont="1" applyFill="1" applyBorder="1"/>
    <xf numFmtId="0" fontId="30" fillId="23" borderId="17" xfId="0" applyFont="1" applyFill="1" applyBorder="1" applyAlignment="1">
      <alignment horizontal="center"/>
    </xf>
    <xf numFmtId="0" fontId="2" fillId="26" borderId="17" xfId="0" applyFont="1" applyFill="1" applyBorder="1"/>
    <xf numFmtId="0" fontId="2" fillId="29" borderId="17" xfId="0" applyFont="1" applyFill="1" applyBorder="1"/>
    <xf numFmtId="0" fontId="0" fillId="30" borderId="17" xfId="0" applyFill="1" applyBorder="1"/>
    <xf numFmtId="9" fontId="22" fillId="4" borderId="0" xfId="0" applyNumberFormat="1" applyFont="1" applyFill="1" applyBorder="1" applyAlignment="1" applyProtection="1">
      <alignment horizontal="left"/>
      <protection locked="0"/>
    </xf>
    <xf numFmtId="0" fontId="0" fillId="0" borderId="8" xfId="0" applyBorder="1" applyProtection="1">
      <protection hidden="1"/>
    </xf>
    <xf numFmtId="0" fontId="0" fillId="23" borderId="2" xfId="0" applyFill="1" applyBorder="1" applyProtection="1">
      <protection hidden="1"/>
    </xf>
    <xf numFmtId="0" fontId="0" fillId="23" borderId="7" xfId="0" applyFill="1" applyBorder="1" applyProtection="1">
      <protection hidden="1"/>
    </xf>
    <xf numFmtId="14" fontId="2" fillId="23" borderId="17" xfId="0" applyNumberFormat="1" applyFont="1" applyFill="1" applyBorder="1" applyAlignment="1">
      <alignment horizontal="left"/>
    </xf>
    <xf numFmtId="0" fontId="24" fillId="31" borderId="0" xfId="0" applyFont="1" applyFill="1" applyProtection="1">
      <protection hidden="1"/>
    </xf>
    <xf numFmtId="0" fontId="0" fillId="31" borderId="0" xfId="0" applyFill="1" applyProtection="1">
      <protection hidden="1"/>
    </xf>
    <xf numFmtId="0" fontId="22" fillId="31" borderId="0" xfId="0" applyFont="1" applyFill="1" applyProtection="1">
      <protection hidden="1"/>
    </xf>
    <xf numFmtId="0" fontId="24" fillId="31" borderId="8" xfId="0" applyFont="1" applyFill="1" applyBorder="1" applyProtection="1">
      <protection hidden="1"/>
    </xf>
    <xf numFmtId="0" fontId="0" fillId="31" borderId="0" xfId="0" applyFill="1" applyBorder="1" applyProtection="1">
      <protection hidden="1"/>
    </xf>
    <xf numFmtId="49" fontId="2" fillId="31" borderId="14" xfId="0" applyNumberFormat="1" applyFont="1" applyFill="1" applyBorder="1" applyProtection="1">
      <protection hidden="1"/>
    </xf>
    <xf numFmtId="14" fontId="2" fillId="32" borderId="17" xfId="0" applyNumberFormat="1" applyFont="1" applyFill="1" applyBorder="1"/>
    <xf numFmtId="0" fontId="31" fillId="23" borderId="17" xfId="0" applyFont="1" applyFill="1" applyBorder="1"/>
    <xf numFmtId="0" fontId="1" fillId="23" borderId="17" xfId="0" applyFont="1" applyFill="1" applyBorder="1"/>
    <xf numFmtId="2" fontId="1" fillId="23" borderId="17" xfId="0" applyNumberFormat="1" applyFont="1" applyFill="1" applyBorder="1"/>
    <xf numFmtId="2" fontId="2" fillId="23" borderId="17" xfId="0" applyNumberFormat="1" applyFont="1" applyFill="1" applyBorder="1" applyAlignment="1">
      <alignment horizontal="center"/>
    </xf>
    <xf numFmtId="0" fontId="32" fillId="0" borderId="17" xfId="1" applyBorder="1"/>
    <xf numFmtId="14" fontId="2" fillId="33" borderId="17" xfId="0" applyNumberFormat="1" applyFont="1" applyFill="1" applyBorder="1"/>
    <xf numFmtId="0" fontId="0" fillId="25" borderId="17" xfId="0" applyFill="1" applyBorder="1"/>
    <xf numFmtId="2" fontId="2" fillId="23" borderId="19" xfId="0" applyNumberFormat="1" applyFont="1" applyFill="1" applyBorder="1"/>
    <xf numFmtId="0" fontId="0" fillId="18" borderId="0" xfId="0" applyFont="1" applyFill="1" applyBorder="1" applyAlignment="1">
      <alignment horizontal="center" wrapText="1"/>
    </xf>
    <xf numFmtId="0" fontId="33" fillId="23" borderId="17" xfId="0" applyFont="1" applyFill="1" applyBorder="1"/>
    <xf numFmtId="14" fontId="34" fillId="32" borderId="17" xfId="0" applyNumberFormat="1" applyFont="1" applyFill="1" applyBorder="1"/>
    <xf numFmtId="14" fontId="33" fillId="23" borderId="17" xfId="0" applyNumberFormat="1" applyFont="1" applyFill="1" applyBorder="1" applyAlignment="1">
      <alignment horizontal="left"/>
    </xf>
    <xf numFmtId="0" fontId="34" fillId="23" borderId="17" xfId="0" applyFont="1" applyFill="1" applyBorder="1"/>
    <xf numFmtId="14" fontId="34" fillId="23" borderId="17" xfId="0" applyNumberFormat="1" applyFont="1" applyFill="1" applyBorder="1"/>
    <xf numFmtId="0" fontId="33" fillId="23" borderId="17" xfId="0" applyFont="1" applyFill="1" applyBorder="1" applyAlignment="1">
      <alignment horizontal="center"/>
    </xf>
    <xf numFmtId="0" fontId="34" fillId="0" borderId="17" xfId="0" applyFont="1" applyBorder="1"/>
    <xf numFmtId="2" fontId="34" fillId="23" borderId="17" xfId="0" applyNumberFormat="1" applyFont="1" applyFill="1" applyBorder="1"/>
    <xf numFmtId="0" fontId="35" fillId="23" borderId="17" xfId="0" applyFont="1" applyFill="1" applyBorder="1"/>
    <xf numFmtId="0" fontId="36" fillId="23" borderId="17" xfId="0" applyFont="1" applyFill="1" applyBorder="1"/>
    <xf numFmtId="2" fontId="36" fillId="23" borderId="17" xfId="0" applyNumberFormat="1" applyFont="1" applyFill="1" applyBorder="1"/>
    <xf numFmtId="0" fontId="32" fillId="0" borderId="0" xfId="1"/>
    <xf numFmtId="14" fontId="33" fillId="23" borderId="17" xfId="0" applyNumberFormat="1" applyFont="1" applyFill="1" applyBorder="1" applyAlignment="1">
      <alignment horizontal="right"/>
    </xf>
    <xf numFmtId="0" fontId="37" fillId="0" borderId="0" xfId="1" applyFont="1"/>
    <xf numFmtId="0" fontId="33" fillId="0" borderId="0" xfId="0" applyFont="1"/>
    <xf numFmtId="14" fontId="33" fillId="23" borderId="17" xfId="0" applyNumberFormat="1" applyFont="1" applyFill="1" applyBorder="1"/>
    <xf numFmtId="0" fontId="33" fillId="0" borderId="17" xfId="0" applyFont="1" applyBorder="1"/>
    <xf numFmtId="0" fontId="33" fillId="25" borderId="17" xfId="0" applyFont="1" applyFill="1" applyBorder="1"/>
    <xf numFmtId="0" fontId="34" fillId="23" borderId="17" xfId="0" applyFont="1" applyFill="1" applyBorder="1" applyAlignment="1">
      <alignment horizontal="center"/>
    </xf>
    <xf numFmtId="0" fontId="27" fillId="5" borderId="11" xfId="0" applyFont="1" applyFill="1" applyBorder="1" applyAlignment="1" applyProtection="1">
      <alignment wrapText="1"/>
      <protection hidden="1"/>
    </xf>
    <xf numFmtId="0" fontId="27" fillId="5" borderId="17" xfId="0" applyFont="1" applyFill="1" applyBorder="1" applyAlignment="1" applyProtection="1">
      <alignment wrapText="1"/>
      <protection hidden="1"/>
    </xf>
    <xf numFmtId="0" fontId="27" fillId="5" borderId="19" xfId="0" applyFont="1" applyFill="1" applyBorder="1" applyAlignment="1" applyProtection="1">
      <alignment wrapText="1"/>
      <protection hidden="1"/>
    </xf>
    <xf numFmtId="0" fontId="22" fillId="5" borderId="20" xfId="0" applyFont="1" applyFill="1" applyBorder="1" applyAlignment="1" applyProtection="1">
      <alignment wrapText="1"/>
      <protection hidden="1"/>
    </xf>
    <xf numFmtId="0" fontId="27" fillId="5" borderId="21" xfId="0" applyFont="1" applyFill="1" applyBorder="1" applyAlignment="1" applyProtection="1">
      <alignment wrapText="1"/>
      <protection hidden="1"/>
    </xf>
    <xf numFmtId="14" fontId="2" fillId="0" borderId="17" xfId="0" applyNumberFormat="1" applyFont="1" applyFill="1" applyBorder="1"/>
    <xf numFmtId="14" fontId="34" fillId="0" borderId="17" xfId="0" applyNumberFormat="1" applyFont="1" applyFill="1" applyBorder="1"/>
    <xf numFmtId="0" fontId="34" fillId="0" borderId="17" xfId="0" applyFont="1" applyFill="1" applyBorder="1"/>
    <xf numFmtId="2" fontId="2" fillId="0" borderId="17" xfId="0" applyNumberFormat="1" applyFont="1" applyFill="1" applyBorder="1"/>
    <xf numFmtId="14" fontId="2" fillId="26" borderId="17" xfId="0" applyNumberFormat="1" applyFont="1" applyFill="1" applyBorder="1"/>
    <xf numFmtId="0" fontId="33" fillId="30" borderId="17" xfId="0" applyFont="1" applyFill="1" applyBorder="1"/>
    <xf numFmtId="0" fontId="33" fillId="0" borderId="17" xfId="0" applyFont="1" applyFill="1" applyBorder="1"/>
    <xf numFmtId="0" fontId="2" fillId="30" borderId="17" xfId="0" applyFont="1" applyFill="1" applyBorder="1"/>
    <xf numFmtId="0" fontId="2" fillId="22" borderId="17" xfId="0" applyFont="1" applyFill="1" applyBorder="1"/>
    <xf numFmtId="0" fontId="0" fillId="22" borderId="17" xfId="0" applyFill="1" applyBorder="1"/>
    <xf numFmtId="14" fontId="30" fillId="23" borderId="17" xfId="0" applyNumberFormat="1" applyFont="1" applyFill="1" applyBorder="1" applyAlignment="1">
      <alignment horizontal="left"/>
    </xf>
    <xf numFmtId="14" fontId="30" fillId="23" borderId="17" xfId="0" applyNumberFormat="1" applyFont="1" applyFill="1" applyBorder="1" applyAlignment="1">
      <alignment horizontal="right"/>
    </xf>
    <xf numFmtId="0" fontId="30" fillId="0" borderId="17" xfId="0" applyFont="1" applyBorder="1"/>
    <xf numFmtId="2" fontId="38" fillId="23" borderId="17" xfId="0" applyNumberFormat="1" applyFont="1" applyFill="1" applyBorder="1"/>
    <xf numFmtId="0" fontId="30" fillId="22" borderId="17" xfId="0" applyFont="1" applyFill="1" applyBorder="1"/>
    <xf numFmtId="0" fontId="38" fillId="23" borderId="17" xfId="0" applyFont="1" applyFill="1" applyBorder="1"/>
    <xf numFmtId="2" fontId="30" fillId="23" borderId="17" xfId="0" applyNumberFormat="1" applyFont="1" applyFill="1" applyBorder="1"/>
    <xf numFmtId="2" fontId="30" fillId="23" borderId="17" xfId="0" applyNumberFormat="1" applyFont="1" applyFill="1" applyBorder="1" applyAlignment="1">
      <alignment horizontal="center"/>
    </xf>
    <xf numFmtId="0" fontId="30" fillId="0" borderId="0" xfId="0" applyFont="1"/>
    <xf numFmtId="0" fontId="30" fillId="23" borderId="17" xfId="0" applyFont="1" applyFill="1" applyBorder="1" applyAlignment="1"/>
    <xf numFmtId="14" fontId="30" fillId="0" borderId="17" xfId="0" applyNumberFormat="1" applyFont="1" applyFill="1" applyBorder="1" applyAlignment="1"/>
    <xf numFmtId="14" fontId="34" fillId="26" borderId="17" xfId="0" applyNumberFormat="1" applyFont="1" applyFill="1" applyBorder="1"/>
    <xf numFmtId="14" fontId="30" fillId="26" borderId="17" xfId="0" applyNumberFormat="1" applyFont="1" applyFill="1" applyBorder="1" applyAlignment="1"/>
    <xf numFmtId="0" fontId="0" fillId="34" borderId="0" xfId="0" applyFill="1"/>
    <xf numFmtId="0" fontId="1" fillId="34" borderId="0" xfId="0" applyFont="1" applyFill="1"/>
    <xf numFmtId="0" fontId="24" fillId="23" borderId="0" xfId="0" applyFont="1" applyFill="1" applyProtection="1">
      <protection hidden="1"/>
    </xf>
    <xf numFmtId="0" fontId="12" fillId="23" borderId="0" xfId="0" applyFont="1" applyFill="1" applyProtection="1">
      <protection hidden="1"/>
    </xf>
    <xf numFmtId="49" fontId="2" fillId="34" borderId="14" xfId="0" applyNumberFormat="1" applyFont="1" applyFill="1" applyBorder="1" applyProtection="1">
      <protection hidden="1"/>
    </xf>
    <xf numFmtId="0" fontId="0" fillId="35" borderId="0" xfId="0" applyFill="1"/>
    <xf numFmtId="0" fontId="39" fillId="35" borderId="0" xfId="0" applyFont="1" applyFill="1"/>
    <xf numFmtId="0" fontId="40" fillId="35" borderId="0" xfId="0" applyFont="1" applyFill="1"/>
    <xf numFmtId="49" fontId="39" fillId="35" borderId="14" xfId="0" applyNumberFormat="1" applyFont="1" applyFill="1" applyBorder="1" applyProtection="1">
      <protection hidden="1"/>
    </xf>
    <xf numFmtId="0" fontId="12" fillId="29" borderId="0" xfId="0" applyFont="1" applyFill="1" applyProtection="1">
      <protection hidden="1"/>
    </xf>
    <xf numFmtId="0" fontId="0" fillId="36" borderId="17" xfId="0" applyFill="1" applyBorder="1"/>
    <xf numFmtId="0" fontId="2" fillId="36" borderId="17" xfId="0" applyFont="1" applyFill="1" applyBorder="1"/>
    <xf numFmtId="0" fontId="33" fillId="36" borderId="17" xfId="0" applyFont="1" applyFill="1" applyBorder="1"/>
    <xf numFmtId="0" fontId="30" fillId="36" borderId="17" xfId="0" applyFont="1" applyFill="1" applyBorder="1"/>
    <xf numFmtId="2" fontId="1" fillId="0" borderId="17" xfId="0" applyNumberFormat="1" applyFont="1" applyFill="1" applyBorder="1"/>
    <xf numFmtId="0" fontId="1" fillId="0" borderId="17" xfId="0" applyFont="1" applyFill="1" applyBorder="1"/>
    <xf numFmtId="2" fontId="32" fillId="0" borderId="17" xfId="1" applyNumberFormat="1" applyFill="1" applyBorder="1"/>
    <xf numFmtId="2" fontId="32" fillId="23" borderId="17" xfId="1" applyNumberFormat="1" applyFill="1" applyBorder="1"/>
    <xf numFmtId="0" fontId="35" fillId="0" borderId="17" xfId="0" applyFont="1" applyFill="1" applyBorder="1"/>
    <xf numFmtId="0" fontId="0" fillId="23" borderId="0" xfId="0" applyFill="1" applyBorder="1" applyProtection="1"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gif"/><Relationship Id="rId1" Type="http://schemas.openxmlformats.org/officeDocument/2006/relationships/image" Target="../media/image1.jpe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152399</xdr:colOff>
      <xdr:row>54</xdr:row>
      <xdr:rowOff>63501</xdr:rowOff>
    </xdr:from>
    <xdr:to>
      <xdr:col>15</xdr:col>
      <xdr:colOff>736600</xdr:colOff>
      <xdr:row>82</xdr:row>
      <xdr:rowOff>110322</xdr:rowOff>
    </xdr:to>
    <xdr:pic>
      <xdr:nvPicPr>
        <xdr:cNvPr id="2" name="Picture 1" descr="Ausgrid map.ashx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7199" y="9728201"/>
          <a:ext cx="3886201" cy="4771221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53</xdr:row>
      <xdr:rowOff>165100</xdr:rowOff>
    </xdr:from>
    <xdr:to>
      <xdr:col>10</xdr:col>
      <xdr:colOff>202962</xdr:colOff>
      <xdr:row>91</xdr:row>
      <xdr:rowOff>38100</xdr:rowOff>
    </xdr:to>
    <xdr:pic>
      <xdr:nvPicPr>
        <xdr:cNvPr id="3" name="Picture 2" descr="Integral map.gi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26000" y="9664700"/>
          <a:ext cx="3746262" cy="6261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88900</xdr:rowOff>
    </xdr:from>
    <xdr:to>
      <xdr:col>4</xdr:col>
      <xdr:colOff>673100</xdr:colOff>
      <xdr:row>86</xdr:row>
      <xdr:rowOff>50800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684000"/>
          <a:ext cx="3975100" cy="342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13</xdr:col>
      <xdr:colOff>0</xdr:colOff>
      <xdr:row>5</xdr:row>
      <xdr:rowOff>57785</xdr:rowOff>
    </xdr:to>
    <xdr:pic>
      <xdr:nvPicPr>
        <xdr:cNvPr id="6" name="Picture 5" descr="Alviss-Consulting-Logo-Inline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00" y="177800"/>
          <a:ext cx="1841500" cy="71818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10</xdr:col>
      <xdr:colOff>508000</xdr:colOff>
      <xdr:row>4</xdr:row>
      <xdr:rowOff>73817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4300" y="190500"/>
          <a:ext cx="3683000" cy="594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https://nectr.com.au/blog/1-july-2022-rate-update/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DIA435233SRE1&amp;postcode=2780" TargetMode="Externa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nergymadeeasy.gov.au/plan?id=REA71651SRE1&amp;postcode=2644" TargetMode="External"/><Relationship Id="rId18" Type="http://schemas.openxmlformats.org/officeDocument/2006/relationships/hyperlink" Target="https://www.energymadeeasy.gov.au/plan?id=FXP13759SRE2&amp;postcode=2644" TargetMode="External"/><Relationship Id="rId26" Type="http://schemas.openxmlformats.org/officeDocument/2006/relationships/hyperlink" Target="https://www.energymadeeasy.gov.au/plan?id=M2E13257SRE&amp;postcode=2644" TargetMode="External"/><Relationship Id="rId39" Type="http://schemas.openxmlformats.org/officeDocument/2006/relationships/hyperlink" Target="https://www.energymadeeasy.gov.au/plan?id=REA71652SRE1&amp;postcode=2644" TargetMode="External"/><Relationship Id="rId21" Type="http://schemas.openxmlformats.org/officeDocument/2006/relationships/hyperlink" Target="https://www.energymadeeasy.gov.au/plan?id=ELY29559SRE&amp;postcode=2644" TargetMode="External"/><Relationship Id="rId34" Type="http://schemas.openxmlformats.org/officeDocument/2006/relationships/hyperlink" Target="https://www.energymadeeasy.gov.au/plan?id=MOM58688SRE1&amp;postcode=2644" TargetMode="External"/><Relationship Id="rId42" Type="http://schemas.openxmlformats.org/officeDocument/2006/relationships/hyperlink" Target="https://www.energymadeeasy.gov.au/plan?id=ENE19227SRE&amp;utm_source=EnergyAustralia&amp;utm_campaign=bpi-retailer&amp;utm_medium=retailer&amp;postcode=2644" TargetMode="External"/><Relationship Id="rId47" Type="http://schemas.openxmlformats.org/officeDocument/2006/relationships/hyperlink" Target="https://www.energymadeeasy.gov.au/plan?id=M2E14604SRE&amp;postcode=2644" TargetMode="External"/><Relationship Id="rId50" Type="http://schemas.openxmlformats.org/officeDocument/2006/relationships/hyperlink" Target="https://www.energymadeeasy.gov.au/plan?id=DEN36126SRE2&amp;postcode=2644" TargetMode="External"/><Relationship Id="rId55" Type="http://schemas.openxmlformats.org/officeDocument/2006/relationships/hyperlink" Target="https://www.energymadeeasy.gov.au/plan?id=MOM58897SRE1&amp;postcode=2644" TargetMode="External"/><Relationship Id="rId7" Type="http://schemas.openxmlformats.org/officeDocument/2006/relationships/hyperlink" Target="https://www.energymadeeasy.gov.au/plan?id=1ST80811SRE1&amp;postcode=2644" TargetMode="External"/><Relationship Id="rId2" Type="http://schemas.openxmlformats.org/officeDocument/2006/relationships/hyperlink" Target="https://www.energymadeeasy.gov.au/plan?id=AGL15294SRE&amp;postcode=2644" TargetMode="External"/><Relationship Id="rId16" Type="http://schemas.openxmlformats.org/officeDocument/2006/relationships/hyperlink" Target="https://www.energymadeeasy.gov.au/plan?id=ENE19191SRE&amp;utm_source=EnergyAustralia&amp;utm_campaign=bpi-retailer&amp;utm_medium=retailer&amp;postcode=2644" TargetMode="External"/><Relationship Id="rId29" Type="http://schemas.openxmlformats.org/officeDocument/2006/relationships/hyperlink" Target="https://www.energymadeeasy.gov.au/plan?id=DEN36170SRE2&amp;postcode=2644" TargetMode="External"/><Relationship Id="rId11" Type="http://schemas.openxmlformats.org/officeDocument/2006/relationships/hyperlink" Target="https://www.energymadeeasy.gov.au/plan?id=ORI25068SRE2&amp;postcode=2644" TargetMode="External"/><Relationship Id="rId24" Type="http://schemas.openxmlformats.org/officeDocument/2006/relationships/hyperlink" Target="https://www.energymadeeasy.gov.au/plan?id=AGL15293SRE&amp;postcode=2644" TargetMode="External"/><Relationship Id="rId32" Type="http://schemas.openxmlformats.org/officeDocument/2006/relationships/hyperlink" Target="https://www.energymadeeasy.gov.au/plan?id=ENO12631SRE2&amp;postcode=2644" TargetMode="External"/><Relationship Id="rId37" Type="http://schemas.openxmlformats.org/officeDocument/2006/relationships/hyperlink" Target="https://www.energymadeeasy.gov.au/plan?id=PEO86585SRE1&amp;postcode=2644" TargetMode="External"/><Relationship Id="rId40" Type="http://schemas.openxmlformats.org/officeDocument/2006/relationships/hyperlink" Target="https://www.energymadeeasy.gov.au/plan?id=RED21256SRE3&amp;postcode=2644" TargetMode="External"/><Relationship Id="rId45" Type="http://schemas.openxmlformats.org/officeDocument/2006/relationships/hyperlink" Target="https://www.energymadeeasy.gov.au/plan?id=AGL15113SRE&amp;postcode=2644" TargetMode="External"/><Relationship Id="rId53" Type="http://schemas.openxmlformats.org/officeDocument/2006/relationships/hyperlink" Target="https://www.energymadeeasy.gov.au/plan?id=ENO12624SRE2&amp;postcode=2644" TargetMode="External"/><Relationship Id="rId58" Type="http://schemas.openxmlformats.org/officeDocument/2006/relationships/hyperlink" Target="https://www.energymadeeasy.gov.au/plan?id=PSH58464SRE1&amp;postcode=2644" TargetMode="External"/><Relationship Id="rId5" Type="http://schemas.openxmlformats.org/officeDocument/2006/relationships/hyperlink" Target="https://www.energymadeeasy.gov.au/plan?id=COV68171SRE1&amp;postcode=2644" TargetMode="External"/><Relationship Id="rId61" Type="http://schemas.openxmlformats.org/officeDocument/2006/relationships/hyperlink" Target="https://www.energymadeeasy.gov.au/plan?id=ELY31456SRE&amp;postcode=2644" TargetMode="External"/><Relationship Id="rId19" Type="http://schemas.openxmlformats.org/officeDocument/2006/relationships/hyperlink" Target="https://www.energymadeeasy.gov.au/plan?id=NTR52273SRE2&amp;postcode=2644" TargetMode="External"/><Relationship Id="rId14" Type="http://schemas.openxmlformats.org/officeDocument/2006/relationships/hyperlink" Target="https://www.energymadeeasy.gov.au/plan?id=RED21255SRE3&amp;postcode=2644" TargetMode="External"/><Relationship Id="rId22" Type="http://schemas.openxmlformats.org/officeDocument/2006/relationships/hyperlink" Target="https://www.energymadeeasy.gov.au/plan?id=OVO15513SRE&amp;postcode=2644" TargetMode="External"/><Relationship Id="rId27" Type="http://schemas.openxmlformats.org/officeDocument/2006/relationships/hyperlink" Target="https://www.energymadeeasy.gov.au/plan?id=COV68167SRE1&amp;postcode=2644" TargetMode="External"/><Relationship Id="rId30" Type="http://schemas.openxmlformats.org/officeDocument/2006/relationships/hyperlink" Target="https://www.energymadeeasy.gov.au/plan?id=1ST80812SRE1&amp;postcode=2644" TargetMode="External"/><Relationship Id="rId35" Type="http://schemas.openxmlformats.org/officeDocument/2006/relationships/hyperlink" Target="https://www.energymadeeasy.gov.au/plan?id=NTR52272SRE2&amp;postcode=2644" TargetMode="External"/><Relationship Id="rId43" Type="http://schemas.openxmlformats.org/officeDocument/2006/relationships/hyperlink" Target="https://www.energymadeeasy.gov.au/plan?id=ELY29560SRE&amp;postcode=2644" TargetMode="External"/><Relationship Id="rId48" Type="http://schemas.openxmlformats.org/officeDocument/2006/relationships/hyperlink" Target="https://www.energymadeeasy.gov.au/plan?id=COV71336SRE1&amp;postcode=2644" TargetMode="External"/><Relationship Id="rId56" Type="http://schemas.openxmlformats.org/officeDocument/2006/relationships/hyperlink" Target="https://www.energymadeeasy.gov.au/plan?id=NTR52268SRE2&amp;postcode=2644" TargetMode="External"/><Relationship Id="rId8" Type="http://schemas.openxmlformats.org/officeDocument/2006/relationships/hyperlink" Target="https://www.energymadeeasy.gov.au/plan?id=AMA62426SRE1&amp;postcode=2644" TargetMode="External"/><Relationship Id="rId51" Type="http://schemas.openxmlformats.org/officeDocument/2006/relationships/hyperlink" Target="https://www.energymadeeasy.gov.au/plan?id=1ST80855SRE1&amp;postcode=2644" TargetMode="External"/><Relationship Id="rId3" Type="http://schemas.openxmlformats.org/officeDocument/2006/relationships/hyperlink" Target="https://www.energymadeeasy.gov.au/plan?id=CLI65244SRE&amp;postcode=2644" TargetMode="External"/><Relationship Id="rId12" Type="http://schemas.openxmlformats.org/officeDocument/2006/relationships/hyperlink" Target="https://www.energymadeeasy.gov.au/plan?id=PSH58460SRE1&amp;postcode=2644" TargetMode="External"/><Relationship Id="rId17" Type="http://schemas.openxmlformats.org/officeDocument/2006/relationships/hyperlink" Target="https://www.energymadeeasy.gov.au/plan?id=DEN36166SRE2&amp;postcode=2644" TargetMode="External"/><Relationship Id="rId25" Type="http://schemas.openxmlformats.org/officeDocument/2006/relationships/hyperlink" Target="https://www.energymadeeasy.gov.au/plan?id=CLI65300SRE&amp;postcode=2644" TargetMode="External"/><Relationship Id="rId33" Type="http://schemas.openxmlformats.org/officeDocument/2006/relationships/hyperlink" Target="https://www.energymadeeasy.gov.au/plan?id=FXP13762SRE2&amp;postcode=2644" TargetMode="External"/><Relationship Id="rId38" Type="http://schemas.openxmlformats.org/officeDocument/2006/relationships/hyperlink" Target="https://www.energymadeeasy.gov.au/plan?id=PSH58459SRE1&amp;postcode=2644" TargetMode="External"/><Relationship Id="rId46" Type="http://schemas.openxmlformats.org/officeDocument/2006/relationships/hyperlink" Target="https://www.energymadeeasy.gov.au/plan?id=CLI65278SRE&amp;postcode=2644" TargetMode="External"/><Relationship Id="rId59" Type="http://schemas.openxmlformats.org/officeDocument/2006/relationships/hyperlink" Target="https://www.energymadeeasy.gov.au/plan?id=RED21562SRE3&amp;postcode=2644" TargetMode="External"/><Relationship Id="rId20" Type="http://schemas.openxmlformats.org/officeDocument/2006/relationships/hyperlink" Target="https://www.energymadeeasy.gov.au/plan?id=PEO86597SRE1&amp;postcode=2644" TargetMode="External"/><Relationship Id="rId41" Type="http://schemas.openxmlformats.org/officeDocument/2006/relationships/hyperlink" Target="https://www.energymadeeasy.gov.au/plan?id=SIM54273SRE2&amp;postcode=2644" TargetMode="External"/><Relationship Id="rId54" Type="http://schemas.openxmlformats.org/officeDocument/2006/relationships/hyperlink" Target="https://www.energymadeeasy.gov.au/plan?id=FXP48900SRE2&amp;postcode=2644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DOD13972SRE2&amp;postcode=2644" TargetMode="External"/><Relationship Id="rId15" Type="http://schemas.openxmlformats.org/officeDocument/2006/relationships/hyperlink" Target="https://www.energymadeeasy.gov.au/plan?id=SIM54272SRE2&amp;postcode=2644" TargetMode="External"/><Relationship Id="rId23" Type="http://schemas.openxmlformats.org/officeDocument/2006/relationships/hyperlink" Target="https://www.alintaenergy.com.au/nsw/residential/electricity-and-gas/products/standard-retail-contract/residential-electricity-pricing" TargetMode="External"/><Relationship Id="rId28" Type="http://schemas.openxmlformats.org/officeDocument/2006/relationships/hyperlink" Target="https://www.energymadeeasy.gov.au/plan?id=DOD13971SRE2&amp;postcode=2644" TargetMode="External"/><Relationship Id="rId36" Type="http://schemas.openxmlformats.org/officeDocument/2006/relationships/hyperlink" Target="https://www.energymadeeasy.gov.au/plan?id=ORI25069SRE2&amp;postcode=2644" TargetMode="External"/><Relationship Id="rId49" Type="http://schemas.openxmlformats.org/officeDocument/2006/relationships/hyperlink" Target="https://www.energymadeeasy.gov.au/plan?id=DOD14502SRE2&amp;postcode=2644" TargetMode="External"/><Relationship Id="rId57" Type="http://schemas.openxmlformats.org/officeDocument/2006/relationships/hyperlink" Target="https://www.energymadeeasy.gov.au/plan?id=PEO86588SRE1&amp;postcode=2644" TargetMode="External"/><Relationship Id="rId10" Type="http://schemas.openxmlformats.org/officeDocument/2006/relationships/hyperlink" Target="https://www.energymadeeasy.gov.au/plan?id=MOM58662SRE1&amp;postcode=2644" TargetMode="External"/><Relationship Id="rId31" Type="http://schemas.openxmlformats.org/officeDocument/2006/relationships/hyperlink" Target="https://www.energymadeeasy.gov.au/plan?id=AMA62445SRE1&amp;postcode=2644" TargetMode="External"/><Relationship Id="rId44" Type="http://schemas.openxmlformats.org/officeDocument/2006/relationships/hyperlink" Target="https://www.alintaenergy.com.au/nsw/residential/electricity-and-gas/products/standard-retail-contract/residential-electricity-pricing" TargetMode="External"/><Relationship Id="rId52" Type="http://schemas.openxmlformats.org/officeDocument/2006/relationships/hyperlink" Target="https://www.energymadeeasy.gov.au/plan?id=AMA62437SRE1&amp;postcode=2644" TargetMode="External"/><Relationship Id="rId60" Type="http://schemas.openxmlformats.org/officeDocument/2006/relationships/hyperlink" Target="https://www.energymadeeasy.gov.au/plan?id=ENE19221SRE&amp;utm_source=EnergyAustralia&amp;utm_campaign=bpi-retailer&amp;utm_medium=retailer&amp;postcode=2644" TargetMode="External"/><Relationship Id="rId4" Type="http://schemas.openxmlformats.org/officeDocument/2006/relationships/hyperlink" Target="https://www.energymadeeasy.gov.au/plan?id=M2E13258SRE&amp;postcode=2644" TargetMode="External"/><Relationship Id="rId9" Type="http://schemas.openxmlformats.org/officeDocument/2006/relationships/hyperlink" Target="https://www.energymadeeasy.gov.au/plan?id=ENO12633SRE2&amp;postcode=2644" TargetMode="External"/></Relationships>
</file>

<file path=xl/worksheets/_rels/sheet38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alintaenergy.com.au/nsw/residential/electricity-and-gas/products/standard-retail-contract/residential-electricity-pricing" TargetMode="External"/><Relationship Id="rId21" Type="http://schemas.openxmlformats.org/officeDocument/2006/relationships/hyperlink" Target="https://www.energymadeeasy.gov.au/plan?id=FXP13765SRE2&amp;postcode=2000" TargetMode="External"/><Relationship Id="rId34" Type="http://schemas.openxmlformats.org/officeDocument/2006/relationships/hyperlink" Target="https://www.energymadeeasy.gov.au/plan?id=ELY31448SRE&amp;postcode=2000" TargetMode="External"/><Relationship Id="rId42" Type="http://schemas.openxmlformats.org/officeDocument/2006/relationships/hyperlink" Target="https://www.energymadeeasy.gov.au/plan?id=PEO86594SRE1&amp;postcode=2000" TargetMode="External"/><Relationship Id="rId47" Type="http://schemas.openxmlformats.org/officeDocument/2006/relationships/hyperlink" Target="https://www.energymadeeasy.gov.au/plan?id=RED21272SRE3&amp;postcode=2000" TargetMode="External"/><Relationship Id="rId50" Type="http://schemas.openxmlformats.org/officeDocument/2006/relationships/hyperlink" Target="https://www.energymadeeasy.gov.au/plan?id=1ST80796SRE1&amp;postcode=2000" TargetMode="External"/><Relationship Id="rId55" Type="http://schemas.openxmlformats.org/officeDocument/2006/relationships/hyperlink" Target="https://www.energymadeeasy.gov.au/plan?id=DEN35700SRE2&amp;postcode=2000" TargetMode="External"/><Relationship Id="rId63" Type="http://schemas.openxmlformats.org/officeDocument/2006/relationships/hyperlink" Target="https://www.energymadeeasy.gov.au/plan?id=SUM59106SRE1&amp;postcode=2000" TargetMode="External"/><Relationship Id="rId7" Type="http://schemas.openxmlformats.org/officeDocument/2006/relationships/hyperlink" Target="https://www.energymadeeasy.gov.au/plan?id=COV67166SRE&amp;postcode=2000" TargetMode="External"/><Relationship Id="rId2" Type="http://schemas.openxmlformats.org/officeDocument/2006/relationships/hyperlink" Target="https://www.energymadeeasy.gov.au/plan?id=AGL15292SRE&amp;postcode=2000" TargetMode="External"/><Relationship Id="rId16" Type="http://schemas.openxmlformats.org/officeDocument/2006/relationships/hyperlink" Target="https://www.energymadeeasy.gov.au/plan?id=1ST80795SRE1&amp;postcode=2000" TargetMode="External"/><Relationship Id="rId29" Type="http://schemas.openxmlformats.org/officeDocument/2006/relationships/hyperlink" Target="https://www.energymadeeasy.gov.au/plan?id=CLI65228SRE&amp;postcode=2000" TargetMode="External"/><Relationship Id="rId11" Type="http://schemas.openxmlformats.org/officeDocument/2006/relationships/hyperlink" Target="https://www.energymadeeasy.gov.au/plan?id=PEO86593SRE1&amp;postcode=2000" TargetMode="External"/><Relationship Id="rId24" Type="http://schemas.openxmlformats.org/officeDocument/2006/relationships/hyperlink" Target="https://www.energymadeeasy.gov.au/plan?id=TAN21903SRE3&amp;postcode=2000" TargetMode="External"/><Relationship Id="rId32" Type="http://schemas.openxmlformats.org/officeDocument/2006/relationships/hyperlink" Target="https://www.energymadeeasy.gov.au/plan?id=M2E14600SRE&amp;postcode=2000" TargetMode="External"/><Relationship Id="rId37" Type="http://schemas.openxmlformats.org/officeDocument/2006/relationships/hyperlink" Target="https://www.energymadeeasy.gov.au/plan?id=DOD13967SRE&amp;postcode=2000" TargetMode="External"/><Relationship Id="rId40" Type="http://schemas.openxmlformats.org/officeDocument/2006/relationships/hyperlink" Target="https://www.energymadeeasy.gov.au/plan?id=ENE19331SRE&amp;utm_source=EnergyAustralia&amp;utm_campaign=bpi-retailer&amp;utm_medium=retailer&amp;postcode=2000" TargetMode="External"/><Relationship Id="rId45" Type="http://schemas.openxmlformats.org/officeDocument/2006/relationships/hyperlink" Target="https://www.energymadeeasy.gov.au/plan?id=MOM58976SRE1&amp;postcode=2000" TargetMode="External"/><Relationship Id="rId53" Type="http://schemas.openxmlformats.org/officeDocument/2006/relationships/hyperlink" Target="https://www.energymadeeasy.gov.au/plan?id=AMA62378SRE1&amp;postcode=2000" TargetMode="External"/><Relationship Id="rId58" Type="http://schemas.openxmlformats.org/officeDocument/2006/relationships/hyperlink" Target="https://www.energymadeeasy.gov.au/plan?id=ENO12595SRE2&amp;postcode=2000" TargetMode="External"/><Relationship Id="rId66" Type="http://schemas.openxmlformats.org/officeDocument/2006/relationships/hyperlink" Target="https://www.energymadeeasy.gov.au/plan?id=TAN22264SRE4&amp;postcode=2000" TargetMode="External"/><Relationship Id="rId5" Type="http://schemas.openxmlformats.org/officeDocument/2006/relationships/hyperlink" Target="https://www.energymadeeasy.gov.au/plan?id=ELY29579SRE&amp;utm_source=Elysian%20Energy&amp;utm_campaign=bpi-retailer&amp;utm_medium=retailer" TargetMode="External"/><Relationship Id="rId61" Type="http://schemas.openxmlformats.org/officeDocument/2006/relationships/hyperlink" Target="https://www.energymadeeasy.gov.au/plan?id=NTR24030SRE2&amp;postcode=2000" TargetMode="External"/><Relationship Id="rId19" Type="http://schemas.openxmlformats.org/officeDocument/2006/relationships/hyperlink" Target="https://www.energymadeeasy.gov.au/plan?id=DEN35708SRE2&amp;postcode=2000" TargetMode="External"/><Relationship Id="rId14" Type="http://schemas.openxmlformats.org/officeDocument/2006/relationships/hyperlink" Target="https://www.energymadeeasy.gov.au/plan?id=RED21270SRE3&amp;postcode=2000" TargetMode="External"/><Relationship Id="rId22" Type="http://schemas.openxmlformats.org/officeDocument/2006/relationships/hyperlink" Target="https://www.energymadeeasy.gov.au/plan?id=NTR24031SRE2&amp;postcode=2000" TargetMode="External"/><Relationship Id="rId27" Type="http://schemas.openxmlformats.org/officeDocument/2006/relationships/hyperlink" Target="https://www.energymadeeasy.gov.au/plan?id=AGL15291SRE&amp;postcode=2000" TargetMode="External"/><Relationship Id="rId30" Type="http://schemas.openxmlformats.org/officeDocument/2006/relationships/hyperlink" Target="https://www.energymadeeasy.gov.au/plan?id=CLI65417SRE&amp;postcode=2000" TargetMode="External"/><Relationship Id="rId35" Type="http://schemas.openxmlformats.org/officeDocument/2006/relationships/hyperlink" Target="https://www.energymadeeasy.gov.au/plan?id=COV67162SRE&amp;postcode=2000" TargetMode="External"/><Relationship Id="rId43" Type="http://schemas.openxmlformats.org/officeDocument/2006/relationships/hyperlink" Target="https://www.energymadeeasy.gov.au/plan?id=PEO86598SRE1&amp;postcode=2000" TargetMode="External"/><Relationship Id="rId48" Type="http://schemas.openxmlformats.org/officeDocument/2006/relationships/hyperlink" Target="https://www.energymadeeasy.gov.au/plan?id=RED21577SRE3&amp;postcode=2000" TargetMode="External"/><Relationship Id="rId56" Type="http://schemas.openxmlformats.org/officeDocument/2006/relationships/hyperlink" Target="https://www.energymadeeasy.gov.au/plan?id=DEN35738SRE2&amp;postcode=2000" TargetMode="External"/><Relationship Id="rId64" Type="http://schemas.openxmlformats.org/officeDocument/2006/relationships/hyperlink" Target="https://www.energymadeeasy.gov.au/plan?id=SUM59110SRE1&amp;postcode=2000" TargetMode="External"/><Relationship Id="rId8" Type="http://schemas.openxmlformats.org/officeDocument/2006/relationships/hyperlink" Target="https://www.energymadeeasy.gov.au/plan?id=DOD13968SRE&amp;postcode=2000" TargetMode="External"/><Relationship Id="rId51" Type="http://schemas.openxmlformats.org/officeDocument/2006/relationships/hyperlink" Target="https://www.energymadeeasy.gov.au/plan?id=1ST80831SRE1&amp;postcode=2000" TargetMode="External"/><Relationship Id="rId3" Type="http://schemas.openxmlformats.org/officeDocument/2006/relationships/hyperlink" Target="https://www.energymadeeasy.gov.au/plan?id=CLI65190SRE&amp;postcode=2000" TargetMode="External"/><Relationship Id="rId12" Type="http://schemas.openxmlformats.org/officeDocument/2006/relationships/hyperlink" Target="https://www.energymadeeasy.gov.au/plan?id=MOM58641SRE1&amp;postcode=2000" TargetMode="External"/><Relationship Id="rId17" Type="http://schemas.openxmlformats.org/officeDocument/2006/relationships/hyperlink" Target="https://www.energymadeeasy.gov.au/plan?id=AMA62407SRE1&amp;postcode=2000" TargetMode="External"/><Relationship Id="rId25" Type="http://schemas.openxmlformats.org/officeDocument/2006/relationships/hyperlink" Target="https://www.alintaenergy.com.au/nsw/residential/electricity-and-gas/products/standard-retail-contract/residential-electricity-pricing" TargetMode="External"/><Relationship Id="rId33" Type="http://schemas.openxmlformats.org/officeDocument/2006/relationships/hyperlink" Target="https://www.energymadeeasy.gov.au/plan?id=ELY29582SRE&amp;postcode=2000" TargetMode="External"/><Relationship Id="rId38" Type="http://schemas.openxmlformats.org/officeDocument/2006/relationships/hyperlink" Target="https://www.energymadeeasy.gov.au/plan?id=DOD14506SRE&amp;postcode=2000" TargetMode="External"/><Relationship Id="rId46" Type="http://schemas.openxmlformats.org/officeDocument/2006/relationships/hyperlink" Target="https://www.energymadeeasy.gov.au/plan?id=PSH58431SRE1&amp;postcode=2000" TargetMode="External"/><Relationship Id="rId59" Type="http://schemas.openxmlformats.org/officeDocument/2006/relationships/hyperlink" Target="https://www.energymadeeasy.gov.au/plan?id=FXP13731SRE2&amp;postcode=2000" TargetMode="External"/><Relationship Id="rId20" Type="http://schemas.openxmlformats.org/officeDocument/2006/relationships/hyperlink" Target="https://www.energymadeeasy.gov.au/plan?id=ENO12590SRE2&amp;postcode=2000" TargetMode="External"/><Relationship Id="rId41" Type="http://schemas.openxmlformats.org/officeDocument/2006/relationships/hyperlink" Target="https://www.energymadeeasy.gov.au/plan?id=ORI24818SRE2&amp;postcode=2000" TargetMode="External"/><Relationship Id="rId54" Type="http://schemas.openxmlformats.org/officeDocument/2006/relationships/hyperlink" Target="https://www.energymadeeasy.gov.au/plan?id=REA71646SRE1&amp;postcode=2000" TargetMode="External"/><Relationship Id="rId62" Type="http://schemas.openxmlformats.org/officeDocument/2006/relationships/hyperlink" Target="https://www.energymadeeasy.gov.au/plan?id=NTR24019SRE2&amp;postcode=2000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OVO21838SRE&amp;postcode=2000" TargetMode="External"/><Relationship Id="rId15" Type="http://schemas.openxmlformats.org/officeDocument/2006/relationships/hyperlink" Target="https://www.energymadeeasy.gov.au/plan?id=SIM54275SRE2&amp;postcode=2000" TargetMode="External"/><Relationship Id="rId23" Type="http://schemas.openxmlformats.org/officeDocument/2006/relationships/hyperlink" Target="https://www.energymadeeasy.gov.au/plan?id=SUM59107SRE1&amp;postcode=2000" TargetMode="External"/><Relationship Id="rId28" Type="http://schemas.openxmlformats.org/officeDocument/2006/relationships/hyperlink" Target="https://www.energymadeeasy.gov.au/plan?id=AGL14980SRE&amp;postcode=2000" TargetMode="External"/><Relationship Id="rId36" Type="http://schemas.openxmlformats.org/officeDocument/2006/relationships/hyperlink" Target="https://www.energymadeeasy.gov.au/plan?id=COV67170SRE&amp;postcode=2000" TargetMode="External"/><Relationship Id="rId49" Type="http://schemas.openxmlformats.org/officeDocument/2006/relationships/hyperlink" Target="https://www.energymadeeasy.gov.au/plan?id=SIM54276SRE2&amp;postcode=2000" TargetMode="External"/><Relationship Id="rId57" Type="http://schemas.openxmlformats.org/officeDocument/2006/relationships/hyperlink" Target="https://www.energymadeeasy.gov.au/plan?id=ENO12585SRE2&amp;postcode=2000" TargetMode="External"/><Relationship Id="rId10" Type="http://schemas.openxmlformats.org/officeDocument/2006/relationships/hyperlink" Target="https://www.energymadeeasy.gov.au/plan?id=ORI24814SRE2&amp;postcode=2000" TargetMode="External"/><Relationship Id="rId31" Type="http://schemas.openxmlformats.org/officeDocument/2006/relationships/hyperlink" Target="https://www.energymadeeasy.gov.au/plan?id=M2E13253SRE&amp;postcode=2000" TargetMode="External"/><Relationship Id="rId44" Type="http://schemas.openxmlformats.org/officeDocument/2006/relationships/hyperlink" Target="https://www.energymadeeasy.gov.au/plan?id=MOM58635SRE1&amp;postcode=2000" TargetMode="External"/><Relationship Id="rId52" Type="http://schemas.openxmlformats.org/officeDocument/2006/relationships/hyperlink" Target="https://www.energymadeeasy.gov.au/plan?id=AMA62420SRE1&amp;postcode=2000" TargetMode="External"/><Relationship Id="rId60" Type="http://schemas.openxmlformats.org/officeDocument/2006/relationships/hyperlink" Target="https://www.energymadeeasy.gov.au/plan?id=FXP48911SRE3&amp;postcode=2000" TargetMode="External"/><Relationship Id="rId65" Type="http://schemas.openxmlformats.org/officeDocument/2006/relationships/hyperlink" Target="https://www.energymadeeasy.gov.au/plan?id=TAN21904SRE3&amp;postcode=2000" TargetMode="External"/><Relationship Id="rId4" Type="http://schemas.openxmlformats.org/officeDocument/2006/relationships/hyperlink" Target="https://www.energymadeeasy.gov.au/plan?id=M2E13254SRE&amp;postcode=2000" TargetMode="External"/><Relationship Id="rId9" Type="http://schemas.openxmlformats.org/officeDocument/2006/relationships/hyperlink" Target="https://www.energymadeeasy.gov.au/plan?id=ENE19220SRE&amp;utm_source=EnergyAustralia&amp;utm_campaign=bpi-retailer&amp;utm_medium=retailer&amp;postcode=2000" TargetMode="External"/><Relationship Id="rId13" Type="http://schemas.openxmlformats.org/officeDocument/2006/relationships/hyperlink" Target="https://www.energymadeeasy.gov.au/plan?id=PSH58432SRE1&amp;postcode=2000" TargetMode="External"/><Relationship Id="rId18" Type="http://schemas.openxmlformats.org/officeDocument/2006/relationships/hyperlink" Target="https://www.energymadeeasy.gov.au/plan?id=REA71645SRE1&amp;postcode=2000" TargetMode="External"/><Relationship Id="rId39" Type="http://schemas.openxmlformats.org/officeDocument/2006/relationships/hyperlink" Target="https://www.energymadeeasy.gov.au/plan?id=ENE19255SRE&amp;utm_source=EnergyAustralia&amp;utm_campaign=bpi-retailer&amp;utm_medium=retailer&amp;postcode=2000" TargetMode="External"/></Relationships>
</file>

<file path=xl/worksheets/_rels/sheet3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energymadeeasy.gov.au/plan?id=AGL15296SRE&amp;postcode=2780" TargetMode="External"/><Relationship Id="rId21" Type="http://schemas.openxmlformats.org/officeDocument/2006/relationships/hyperlink" Target="https://www.energymadeeasy.gov.au/plan?id=NTR49974SRE3&amp;postcode=2780" TargetMode="External"/><Relationship Id="rId34" Type="http://schemas.openxmlformats.org/officeDocument/2006/relationships/hyperlink" Target="https://www.energymadeeasy.gov.au/plan?id=PSH58442SRE1&amp;postcode=2780" TargetMode="External"/><Relationship Id="rId42" Type="http://schemas.openxmlformats.org/officeDocument/2006/relationships/hyperlink" Target="https://www.energymadeeasy.gov.au/plan?id=CLI65164SRE&amp;postcode=2780" TargetMode="External"/><Relationship Id="rId47" Type="http://schemas.openxmlformats.org/officeDocument/2006/relationships/hyperlink" Target="https://www.energymadeeasy.gov.au/plan?id=ENE19312SRE&amp;utm_source=EnergyAustralia&amp;utm_campaign=bpi-retailer&amp;utm_medium=retailer&amp;postcode=2780" TargetMode="External"/><Relationship Id="rId50" Type="http://schemas.openxmlformats.org/officeDocument/2006/relationships/hyperlink" Target="https://www.energymadeeasy.gov.au/plan?id=PSH58446SRE1&amp;postcode=2780" TargetMode="External"/><Relationship Id="rId55" Type="http://schemas.openxmlformats.org/officeDocument/2006/relationships/hyperlink" Target="https://www.energymadeeasy.gov.au/plan?id=ENO12640SRE2&amp;postcode=2780" TargetMode="External"/><Relationship Id="rId63" Type="http://schemas.openxmlformats.org/officeDocument/2006/relationships/hyperlink" Target="https://www.energymadeeasy.gov.au/plan?id=PEO86583SRE1&amp;postcode=2780" TargetMode="External"/><Relationship Id="rId7" Type="http://schemas.openxmlformats.org/officeDocument/2006/relationships/hyperlink" Target="https://www.energymadeeasy.gov.au/plan?id=ENE19213SRE&amp;utm_source=EnergyAustralia&amp;utm_campaign=bpi-retailer&amp;utm_medium=retailer&amp;postcode=2780" TargetMode="External"/><Relationship Id="rId2" Type="http://schemas.openxmlformats.org/officeDocument/2006/relationships/hyperlink" Target="https://www.energymadeeasy.gov.au/plan?id=AGL15295SRE&amp;postcode=2780" TargetMode="External"/><Relationship Id="rId16" Type="http://schemas.openxmlformats.org/officeDocument/2006/relationships/hyperlink" Target="https://www.energymadeeasy.gov.au/plan?id=ELY29567SRE&amp;postcode=2780" TargetMode="External"/><Relationship Id="rId29" Type="http://schemas.openxmlformats.org/officeDocument/2006/relationships/hyperlink" Target="https://www.energymadeeasy.gov.au/plan?id=COV67396SRE&amp;postcode=2780" TargetMode="External"/><Relationship Id="rId11" Type="http://schemas.openxmlformats.org/officeDocument/2006/relationships/hyperlink" Target="https://www.energymadeeasy.gov.au/plan?id=RED21265SRE3&amp;postcode=2780" TargetMode="External"/><Relationship Id="rId24" Type="http://schemas.openxmlformats.org/officeDocument/2006/relationships/hyperlink" Target="https://www.energymadeeasy.gov.au/plan?id=TAN21905SRE3&amp;postcode=2780" TargetMode="External"/><Relationship Id="rId32" Type="http://schemas.openxmlformats.org/officeDocument/2006/relationships/hyperlink" Target="https://www.energymadeeasy.gov.au/plan?id=MOM58671SRE1&amp;postcode=2780" TargetMode="External"/><Relationship Id="rId37" Type="http://schemas.openxmlformats.org/officeDocument/2006/relationships/hyperlink" Target="https://www.energymadeeasy.gov.au/plan?id=1ST80804SRE1&amp;postcode=2780" TargetMode="External"/><Relationship Id="rId40" Type="http://schemas.openxmlformats.org/officeDocument/2006/relationships/hyperlink" Target="https://www.alintaenergy.com.au/nsw/residential/electricity-and-gas/products/standard-retail-contract/residential-electricity-pricing" TargetMode="External"/><Relationship Id="rId45" Type="http://schemas.openxmlformats.org/officeDocument/2006/relationships/hyperlink" Target="https://www.energymadeeasy.gov.au/plan?id=COV67393SRE&amp;postcode=2780" TargetMode="External"/><Relationship Id="rId53" Type="http://schemas.openxmlformats.org/officeDocument/2006/relationships/hyperlink" Target="https://www.energymadeeasy.gov.au/plan?id=1ST80843SRE1&amp;postcode=2780" TargetMode="External"/><Relationship Id="rId58" Type="http://schemas.openxmlformats.org/officeDocument/2006/relationships/hyperlink" Target="https://www.energymadeeasy.gov.au/plan?id=DEN35994SRE2&amp;postcode=2780" TargetMode="External"/><Relationship Id="rId66" Type="http://schemas.openxmlformats.org/officeDocument/2006/relationships/hyperlink" Target="https://www.energymadeeasy.gov.au/plan?id=TAN21906SRE3&amp;postcode=2780" TargetMode="External"/><Relationship Id="rId5" Type="http://schemas.openxmlformats.org/officeDocument/2006/relationships/hyperlink" Target="https://www.energymadeeasy.gov.au/plan?id=COV67395SRE&amp;postcode=2780" TargetMode="External"/><Relationship Id="rId61" Type="http://schemas.openxmlformats.org/officeDocument/2006/relationships/hyperlink" Target="https://www.energymadeeasy.gov.au/plan?id=NTR50289SRE2&amp;postcode=2780" TargetMode="External"/><Relationship Id="rId19" Type="http://schemas.openxmlformats.org/officeDocument/2006/relationships/hyperlink" Target="https://www.energymadeeasy.gov.au/plan?id=DEN35990SRE2&amp;postcode=2780" TargetMode="External"/><Relationship Id="rId14" Type="http://schemas.openxmlformats.org/officeDocument/2006/relationships/hyperlink" Target="https://www.energymadeeasy.gov.au/plan?id=AMA62455SRE1&amp;postcode=2780" TargetMode="External"/><Relationship Id="rId22" Type="http://schemas.openxmlformats.org/officeDocument/2006/relationships/hyperlink" Target="https://www.energymadeeasy.gov.au/plan?id=PEO86590SRE1&amp;postcode=2780" TargetMode="External"/><Relationship Id="rId27" Type="http://schemas.openxmlformats.org/officeDocument/2006/relationships/hyperlink" Target="https://www.energymadeeasy.gov.au/plan?id=CLI65365SRE&amp;postcode=2780" TargetMode="External"/><Relationship Id="rId30" Type="http://schemas.openxmlformats.org/officeDocument/2006/relationships/hyperlink" Target="https://www.energymadeeasy.gov.au/plan?id=DOD13969SRE&amp;postcode=2780" TargetMode="External"/><Relationship Id="rId35" Type="http://schemas.openxmlformats.org/officeDocument/2006/relationships/hyperlink" Target="https://www.energymadeeasy.gov.au/plan?id=RED21264SRE3&amp;postcode=2780" TargetMode="External"/><Relationship Id="rId43" Type="http://schemas.openxmlformats.org/officeDocument/2006/relationships/hyperlink" Target="https://www.energymadeeasy.gov.au/plan?id=M2E14602SRE&amp;postcode=2780" TargetMode="External"/><Relationship Id="rId48" Type="http://schemas.openxmlformats.org/officeDocument/2006/relationships/hyperlink" Target="https://www.energymadeeasy.gov.au/plan?id=MOM58985SRE1&amp;postcode=2780" TargetMode="External"/><Relationship Id="rId56" Type="http://schemas.openxmlformats.org/officeDocument/2006/relationships/hyperlink" Target="https://www.energymadeeasy.gov.au/plan?id=ENO22353SRE2&amp;postcode=2780" TargetMode="External"/><Relationship Id="rId64" Type="http://schemas.openxmlformats.org/officeDocument/2006/relationships/hyperlink" Target="https://www.energymadeeasy.gov.au/plan?id=SUM59117SRE1&amp;postcode=2780" TargetMode="External"/><Relationship Id="rId8" Type="http://schemas.openxmlformats.org/officeDocument/2006/relationships/hyperlink" Target="https://www.energymadeeasy.gov.au/plan?id=MOM58675SRE1&amp;postcode=2780" TargetMode="External"/><Relationship Id="rId51" Type="http://schemas.openxmlformats.org/officeDocument/2006/relationships/hyperlink" Target="https://www.energymadeeasy.gov.au/plan?id=RED21570SRE3&amp;postcode=2780" TargetMode="External"/><Relationship Id="rId3" Type="http://schemas.openxmlformats.org/officeDocument/2006/relationships/hyperlink" Target="https://www.energymadeeasy.gov.au/plan?id=CLI65321SRE&amp;postcode=2780" TargetMode="External"/><Relationship Id="rId12" Type="http://schemas.openxmlformats.org/officeDocument/2006/relationships/hyperlink" Target="https://www.energymadeeasy.gov.au/plan?id=SIM54269SRE2&amp;postcode=2780" TargetMode="External"/><Relationship Id="rId17" Type="http://schemas.openxmlformats.org/officeDocument/2006/relationships/hyperlink" Target="https://www.energymadeeasy.gov.au/plan?id=OVO15512SRE&amp;postcode=2780" TargetMode="External"/><Relationship Id="rId25" Type="http://schemas.openxmlformats.org/officeDocument/2006/relationships/hyperlink" Target="https://www.alintaenergy.com.au/nsw/residential/electricity-and-gas/products/standard-retail-contract/residential-electricity-pricing" TargetMode="External"/><Relationship Id="rId33" Type="http://schemas.openxmlformats.org/officeDocument/2006/relationships/hyperlink" Target="https://www.energymadeeasy.gov.au/plan?id=ORI24816SRE2&amp;postcode=2780" TargetMode="External"/><Relationship Id="rId38" Type="http://schemas.openxmlformats.org/officeDocument/2006/relationships/hyperlink" Target="https://www.energymadeeasy.gov.au/plan?id=AMA62474SRE1&amp;postcode=2780" TargetMode="External"/><Relationship Id="rId46" Type="http://schemas.openxmlformats.org/officeDocument/2006/relationships/hyperlink" Target="https://www.energymadeeasy.gov.au/plan?id=DOD14504SRE&amp;postcode=2780" TargetMode="External"/><Relationship Id="rId59" Type="http://schemas.openxmlformats.org/officeDocument/2006/relationships/hyperlink" Target="https://www.energymadeeasy.gov.au/plan?id=FXP13790SRE2&amp;postcode=2780" TargetMode="External"/><Relationship Id="rId67" Type="http://schemas.openxmlformats.org/officeDocument/2006/relationships/hyperlink" Target="https://www.energymadeeasy.gov.au/plan?id=TAN22265SRE3&amp;postcode=2780" TargetMode="External"/><Relationship Id="rId20" Type="http://schemas.openxmlformats.org/officeDocument/2006/relationships/hyperlink" Target="https://www.energymadeeasy.gov.au/plan?id=FXP13725SRE2&amp;postcode=2780" TargetMode="External"/><Relationship Id="rId41" Type="http://schemas.openxmlformats.org/officeDocument/2006/relationships/hyperlink" Target="https://www.energymadeeasy.gov.au/plan?id=AGL15115SRE&amp;postcode=2780" TargetMode="External"/><Relationship Id="rId54" Type="http://schemas.openxmlformats.org/officeDocument/2006/relationships/hyperlink" Target="https://www.energymadeeasy.gov.au/plan?id=AMA62398SRE1&amp;postcode=2780" TargetMode="External"/><Relationship Id="rId62" Type="http://schemas.openxmlformats.org/officeDocument/2006/relationships/hyperlink" Target="https://www.energymadeeasy.gov.au/plan?id=PEO86596SRE1&amp;postcode=2780" TargetMode="External"/><Relationship Id="rId1" Type="http://schemas.openxmlformats.org/officeDocument/2006/relationships/hyperlink" Target="https://www.alintaenergy.com.au/nsw/residential/electricity-and-gas/products/standard-retail-contract/residential-electricity-pricing" TargetMode="External"/><Relationship Id="rId6" Type="http://schemas.openxmlformats.org/officeDocument/2006/relationships/hyperlink" Target="https://www.energymadeeasy.gov.au/plan?id=DOD13970SRE&amp;postcode=2780" TargetMode="External"/><Relationship Id="rId15" Type="http://schemas.openxmlformats.org/officeDocument/2006/relationships/hyperlink" Target="https://www.energymadeeasy.gov.au/plan?id=REA71647SRE1&amp;postcode=2780" TargetMode="External"/><Relationship Id="rId23" Type="http://schemas.openxmlformats.org/officeDocument/2006/relationships/hyperlink" Target="https://www.energymadeeasy.gov.au/plan?id=SUM59116SRE1&amp;postcode=2780" TargetMode="External"/><Relationship Id="rId28" Type="http://schemas.openxmlformats.org/officeDocument/2006/relationships/hyperlink" Target="https://www.energymadeeasy.gov.au/plan?id=M2E13255SRE&amp;postcode=2780" TargetMode="External"/><Relationship Id="rId36" Type="http://schemas.openxmlformats.org/officeDocument/2006/relationships/hyperlink" Target="https://www.energymadeeasy.gov.au/plan?id=SIM54270SRE2&amp;postcode=2780" TargetMode="External"/><Relationship Id="rId49" Type="http://schemas.openxmlformats.org/officeDocument/2006/relationships/hyperlink" Target="https://www.energymadeeasy.gov.au/plan?id=ORI25405SRE2&amp;postcode=2780" TargetMode="External"/><Relationship Id="rId57" Type="http://schemas.openxmlformats.org/officeDocument/2006/relationships/hyperlink" Target="https://www.energymadeeasy.gov.au/plan?id=ELY29570SRE&amp;postcode=2780" TargetMode="External"/><Relationship Id="rId10" Type="http://schemas.openxmlformats.org/officeDocument/2006/relationships/hyperlink" Target="https://www.energymadeeasy.gov.au/plan?id=PSH58440SRE1&amp;postcode=2780" TargetMode="External"/><Relationship Id="rId31" Type="http://schemas.openxmlformats.org/officeDocument/2006/relationships/hyperlink" Target="https://www.energymadeeasy.gov.au/plan?id=ENE19224SRE&amp;utm_source=EnergyAustralia&amp;utm_campaign=bpi-retailer&amp;utm_medium=retailer&amp;postcode=2780" TargetMode="External"/><Relationship Id="rId44" Type="http://schemas.openxmlformats.org/officeDocument/2006/relationships/hyperlink" Target="https://www.energymadeeasy.gov.au/plan?id=ELY31454SRE&amp;postcode=2780" TargetMode="External"/><Relationship Id="rId52" Type="http://schemas.openxmlformats.org/officeDocument/2006/relationships/hyperlink" Target="https://www.energymadeeasy.gov.au/plan?id=SIM54146SRE2&amp;postcode=2780" TargetMode="External"/><Relationship Id="rId60" Type="http://schemas.openxmlformats.org/officeDocument/2006/relationships/hyperlink" Target="https://www.energymadeeasy.gov.au/plan?id=FXP48907SRE2&amp;postcode=2780" TargetMode="External"/><Relationship Id="rId65" Type="http://schemas.openxmlformats.org/officeDocument/2006/relationships/hyperlink" Target="https://www.energymadeeasy.gov.au/plan?id=SUM59119SRE1&amp;postcode=2780" TargetMode="External"/><Relationship Id="rId4" Type="http://schemas.openxmlformats.org/officeDocument/2006/relationships/hyperlink" Target="https://www.energymadeeasy.gov.au/plan?id=M2E13256SRE&amp;postcode=2780" TargetMode="External"/><Relationship Id="rId9" Type="http://schemas.openxmlformats.org/officeDocument/2006/relationships/hyperlink" Target="https://www.energymadeeasy.gov.au/plan?id=ORI24815SRE2&amp;postcode=2780" TargetMode="External"/><Relationship Id="rId13" Type="http://schemas.openxmlformats.org/officeDocument/2006/relationships/hyperlink" Target="https://www.energymadeeasy.gov.au/plan?id=1ST80803SRE1&amp;postcode=2780" TargetMode="External"/><Relationship Id="rId18" Type="http://schemas.openxmlformats.org/officeDocument/2006/relationships/hyperlink" Target="https://www.energymadeeasy.gov.au/plan?id=ENO12637SRE2&amp;postcode=2780" TargetMode="External"/><Relationship Id="rId39" Type="http://schemas.openxmlformats.org/officeDocument/2006/relationships/hyperlink" Target="https://www.energymadeeasy.gov.au/plan?id=REA71648SRE1&amp;postcode=2780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336"/>
  <sheetViews>
    <sheetView tabSelected="1" workbookViewId="0">
      <selection activeCell="A6" sqref="A6"/>
    </sheetView>
  </sheetViews>
  <sheetFormatPr defaultColWidth="10.84375" defaultRowHeight="13.5" x14ac:dyDescent="0.3"/>
  <cols>
    <col min="1" max="5" width="10.84375" style="26"/>
    <col min="6" max="6" width="14" style="26" customWidth="1"/>
    <col min="7" max="7" width="9.15234375" style="26" customWidth="1"/>
    <col min="8" max="16" width="10.84375" style="26"/>
    <col min="17" max="18" width="13.3046875" style="26" customWidth="1"/>
    <col min="19" max="19" width="10.84375" style="26"/>
    <col min="20" max="20" width="12.3046875" style="26" customWidth="1"/>
    <col min="21" max="21" width="14.69140625" style="26" customWidth="1"/>
    <col min="22" max="16384" width="10.84375" style="26"/>
  </cols>
  <sheetData>
    <row r="1" spans="1:30" ht="14.5" thickBot="1" x14ac:dyDescent="0.35">
      <c r="A1" s="66" t="s">
        <v>740</v>
      </c>
      <c r="B1" s="67"/>
      <c r="C1" s="67"/>
      <c r="D1" s="67"/>
      <c r="E1" s="67"/>
      <c r="F1" s="67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</row>
    <row r="2" spans="1:30" ht="14" x14ac:dyDescent="0.3">
      <c r="A2" s="66" t="s">
        <v>0</v>
      </c>
      <c r="B2" s="67"/>
      <c r="C2" s="67"/>
      <c r="D2" s="67"/>
      <c r="E2" s="67"/>
      <c r="F2" s="67"/>
      <c r="G2" s="68"/>
      <c r="H2" s="68"/>
      <c r="I2" s="68"/>
      <c r="J2" s="68"/>
      <c r="K2" s="68"/>
      <c r="L2" s="68"/>
      <c r="M2" s="68"/>
      <c r="N2" s="68"/>
      <c r="O2" s="69" t="s">
        <v>1</v>
      </c>
      <c r="P2" s="70"/>
      <c r="Q2" s="70"/>
      <c r="R2" s="70"/>
      <c r="S2" s="70"/>
      <c r="T2" s="70"/>
      <c r="U2" s="71"/>
      <c r="V2" s="68"/>
      <c r="W2" s="68"/>
      <c r="X2" s="68"/>
      <c r="Y2" s="68"/>
      <c r="Z2" s="68"/>
      <c r="AA2" s="68"/>
      <c r="AB2" s="68"/>
      <c r="AC2" s="68"/>
      <c r="AD2" s="68"/>
    </row>
    <row r="3" spans="1:30" ht="14" x14ac:dyDescent="0.3">
      <c r="A3" s="73" t="s">
        <v>735</v>
      </c>
      <c r="B3" s="74"/>
      <c r="C3" s="74"/>
      <c r="D3" s="74"/>
      <c r="E3" s="74"/>
      <c r="F3" s="75"/>
      <c r="G3" s="68"/>
      <c r="H3" s="68"/>
      <c r="I3" s="68"/>
      <c r="J3" s="68"/>
      <c r="K3" s="68"/>
      <c r="L3" s="68"/>
      <c r="M3" s="68"/>
      <c r="N3" s="68"/>
      <c r="O3" s="76" t="s">
        <v>2</v>
      </c>
      <c r="P3" s="72"/>
      <c r="Q3" s="72"/>
      <c r="R3" s="72"/>
      <c r="S3" s="72"/>
      <c r="T3" s="72"/>
      <c r="U3" s="77"/>
      <c r="V3" s="68"/>
      <c r="W3" s="68"/>
      <c r="X3" s="68"/>
      <c r="Y3" s="68"/>
      <c r="Z3" s="68"/>
      <c r="AA3" s="68"/>
      <c r="AB3" s="68"/>
      <c r="AC3" s="68"/>
      <c r="AD3" s="68"/>
    </row>
    <row r="4" spans="1:30" x14ac:dyDescent="0.3">
      <c r="A4" s="67"/>
      <c r="B4" s="67"/>
      <c r="C4" s="67"/>
      <c r="D4" s="67"/>
      <c r="E4" s="67"/>
      <c r="F4" s="68"/>
      <c r="G4" s="68"/>
      <c r="H4" s="68"/>
      <c r="I4" s="68"/>
      <c r="J4" s="68"/>
      <c r="K4" s="68"/>
      <c r="L4" s="68"/>
      <c r="M4" s="68"/>
      <c r="N4" s="68"/>
      <c r="O4" s="76" t="s">
        <v>3</v>
      </c>
      <c r="P4" s="72"/>
      <c r="Q4" s="72"/>
      <c r="R4" s="72"/>
      <c r="S4" s="72"/>
      <c r="T4" s="72"/>
      <c r="U4" s="77"/>
      <c r="V4" s="68"/>
      <c r="W4" s="68"/>
      <c r="X4" s="68"/>
      <c r="Y4" s="68"/>
      <c r="Z4" s="68"/>
      <c r="AA4" s="68"/>
      <c r="AB4" s="68"/>
      <c r="AC4" s="68"/>
      <c r="AD4" s="68"/>
    </row>
    <row r="5" spans="1:30" x14ac:dyDescent="0.3">
      <c r="A5" s="68"/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76" t="s">
        <v>4</v>
      </c>
      <c r="P5" s="72"/>
      <c r="Q5" s="72"/>
      <c r="R5" s="72"/>
      <c r="S5" s="72"/>
      <c r="T5" s="72"/>
      <c r="U5" s="77"/>
      <c r="V5" s="68"/>
      <c r="W5" s="68"/>
      <c r="X5" s="68"/>
      <c r="Y5" s="68"/>
      <c r="Z5" s="68"/>
      <c r="AA5" s="68"/>
      <c r="AB5" s="68"/>
      <c r="AC5" s="68"/>
      <c r="AD5" s="68"/>
    </row>
    <row r="6" spans="1:30" ht="14.5" thickBot="1" x14ac:dyDescent="0.35">
      <c r="A6" s="78" t="s">
        <v>5</v>
      </c>
      <c r="B6" s="79"/>
      <c r="C6" s="79"/>
      <c r="D6" s="79"/>
      <c r="E6" s="79"/>
      <c r="F6" s="80"/>
      <c r="G6" s="80"/>
      <c r="H6" s="68"/>
      <c r="I6" s="68"/>
      <c r="J6" s="68"/>
      <c r="K6" s="68"/>
      <c r="L6" s="68"/>
      <c r="M6" s="68"/>
      <c r="N6" s="68"/>
      <c r="O6" s="81" t="s">
        <v>6</v>
      </c>
      <c r="P6" s="82"/>
      <c r="Q6" s="82"/>
      <c r="R6" s="82"/>
      <c r="S6" s="82"/>
      <c r="T6" s="82"/>
      <c r="U6" s="83"/>
      <c r="V6" s="68"/>
      <c r="W6" s="68"/>
      <c r="X6" s="68"/>
      <c r="Y6" s="68"/>
      <c r="Z6" s="68"/>
      <c r="AA6" s="68"/>
      <c r="AB6" s="68"/>
      <c r="AC6" s="68"/>
      <c r="AD6" s="68"/>
    </row>
    <row r="7" spans="1:30" ht="14" x14ac:dyDescent="0.3">
      <c r="A7" s="79" t="s">
        <v>7</v>
      </c>
      <c r="B7" s="79"/>
      <c r="C7" s="79"/>
      <c r="D7" s="79"/>
      <c r="E7" s="79"/>
      <c r="F7" s="80"/>
      <c r="G7" s="80"/>
      <c r="H7" s="68"/>
      <c r="I7" s="68"/>
      <c r="J7" s="68"/>
      <c r="K7" s="68"/>
      <c r="L7" s="68"/>
      <c r="M7" s="68"/>
      <c r="N7" s="68"/>
      <c r="O7" s="68"/>
      <c r="P7" s="68"/>
      <c r="Q7" s="68"/>
      <c r="R7" s="84"/>
      <c r="S7" s="84"/>
      <c r="T7" s="84"/>
      <c r="U7" s="84"/>
      <c r="V7" s="68"/>
      <c r="W7" s="68"/>
      <c r="X7" s="68"/>
      <c r="Y7" s="68"/>
      <c r="Z7" s="68"/>
      <c r="AA7" s="68"/>
      <c r="AB7" s="68"/>
      <c r="AC7" s="68"/>
      <c r="AD7" s="68"/>
    </row>
    <row r="8" spans="1:30" ht="14.5" thickBot="1" x14ac:dyDescent="0.35">
      <c r="A8" s="79" t="s">
        <v>8</v>
      </c>
      <c r="B8" s="79"/>
      <c r="C8" s="79"/>
      <c r="D8" s="79"/>
      <c r="E8" s="79"/>
      <c r="F8" s="80"/>
      <c r="G8" s="80"/>
      <c r="H8" s="68"/>
      <c r="I8" s="68"/>
      <c r="J8" s="68"/>
      <c r="K8" s="68"/>
      <c r="L8" s="68"/>
      <c r="M8" s="68"/>
      <c r="N8" s="68"/>
      <c r="O8" s="68"/>
      <c r="P8" s="68"/>
      <c r="Q8" s="68"/>
      <c r="R8" s="84"/>
      <c r="S8" s="84"/>
      <c r="T8" s="84"/>
      <c r="U8" s="84"/>
      <c r="V8" s="68"/>
      <c r="W8" s="68"/>
      <c r="X8" s="68"/>
      <c r="Y8" s="68"/>
      <c r="Z8" s="68"/>
      <c r="AA8" s="68"/>
      <c r="AB8" s="68"/>
      <c r="AC8" s="68"/>
      <c r="AD8" s="68"/>
    </row>
    <row r="9" spans="1:30" ht="14" x14ac:dyDescent="0.3">
      <c r="A9" s="79" t="s">
        <v>9</v>
      </c>
      <c r="B9" s="79"/>
      <c r="C9" s="79"/>
      <c r="D9" s="79"/>
      <c r="E9" s="79"/>
      <c r="F9" s="80"/>
      <c r="G9" s="80"/>
      <c r="H9" s="68"/>
      <c r="I9" s="68"/>
      <c r="J9" s="68"/>
      <c r="K9" s="68"/>
      <c r="L9" s="68"/>
      <c r="M9" s="68"/>
      <c r="N9" s="68"/>
      <c r="O9" s="69" t="s">
        <v>10</v>
      </c>
      <c r="P9" s="70"/>
      <c r="Q9" s="70"/>
      <c r="R9" s="70"/>
      <c r="S9" s="85"/>
      <c r="T9" s="85"/>
      <c r="U9" s="85"/>
      <c r="V9" s="85"/>
      <c r="W9" s="86"/>
      <c r="X9" s="68"/>
      <c r="Y9" s="68"/>
      <c r="Z9" s="68"/>
      <c r="AA9" s="68"/>
      <c r="AB9" s="68"/>
      <c r="AC9" s="68"/>
      <c r="AD9" s="68"/>
    </row>
    <row r="10" spans="1:30" ht="14.5" thickBot="1" x14ac:dyDescent="0.35">
      <c r="A10" s="79" t="s">
        <v>11</v>
      </c>
      <c r="B10" s="79"/>
      <c r="C10" s="79"/>
      <c r="D10" s="79"/>
      <c r="E10" s="79"/>
      <c r="F10" s="80"/>
      <c r="G10" s="80"/>
      <c r="H10" s="68"/>
      <c r="I10" s="68"/>
      <c r="J10" s="68"/>
      <c r="K10" s="68"/>
      <c r="L10" s="68"/>
      <c r="M10" s="68"/>
      <c r="N10" s="68"/>
      <c r="O10" s="76" t="s">
        <v>12</v>
      </c>
      <c r="P10" s="72"/>
      <c r="Q10" s="72"/>
      <c r="R10" s="72"/>
      <c r="S10" s="72"/>
      <c r="T10" s="72"/>
      <c r="U10" s="72"/>
      <c r="V10" s="72"/>
      <c r="W10" s="77"/>
      <c r="X10" s="68"/>
      <c r="Y10" s="68"/>
      <c r="Z10" s="68"/>
      <c r="AA10" s="68"/>
      <c r="AB10" s="68"/>
      <c r="AC10" s="68"/>
      <c r="AD10" s="68"/>
    </row>
    <row r="11" spans="1:30" ht="14" x14ac:dyDescent="0.3">
      <c r="A11" s="79"/>
      <c r="B11" s="79"/>
      <c r="C11" s="79"/>
      <c r="D11" s="79"/>
      <c r="E11" s="79"/>
      <c r="F11" s="80"/>
      <c r="G11" s="80"/>
      <c r="H11" s="68"/>
      <c r="I11" s="68"/>
      <c r="J11" s="106" t="s">
        <v>29</v>
      </c>
      <c r="K11" s="86"/>
      <c r="L11" s="68"/>
      <c r="M11" s="115" t="s">
        <v>13</v>
      </c>
      <c r="N11" s="68"/>
      <c r="O11" s="76" t="s">
        <v>14</v>
      </c>
      <c r="P11" s="72"/>
      <c r="Q11" s="72"/>
      <c r="R11" s="72"/>
      <c r="S11" s="72"/>
      <c r="T11" s="72"/>
      <c r="U11" s="72"/>
      <c r="V11" s="72"/>
      <c r="W11" s="77"/>
      <c r="X11" s="68"/>
      <c r="Y11" s="68"/>
      <c r="Z11" s="68"/>
      <c r="AA11" s="68"/>
      <c r="AB11" s="68"/>
      <c r="AC11" s="68"/>
      <c r="AD11" s="68"/>
    </row>
    <row r="12" spans="1:30" ht="14" x14ac:dyDescent="0.3">
      <c r="A12" s="78" t="s">
        <v>15</v>
      </c>
      <c r="B12" s="79"/>
      <c r="C12" s="79"/>
      <c r="D12" s="79"/>
      <c r="E12" s="79"/>
      <c r="F12" s="80"/>
      <c r="G12" s="80"/>
      <c r="H12" s="68"/>
      <c r="I12" s="68"/>
      <c r="J12" s="107" t="s">
        <v>32</v>
      </c>
      <c r="K12" s="87"/>
      <c r="L12" s="68"/>
      <c r="M12" s="333" t="s">
        <v>736</v>
      </c>
      <c r="N12" s="68"/>
      <c r="O12" s="76" t="s">
        <v>17</v>
      </c>
      <c r="P12" s="72"/>
      <c r="Q12" s="72"/>
      <c r="R12" s="72"/>
      <c r="S12" s="72"/>
      <c r="T12" s="72"/>
      <c r="U12" s="72"/>
      <c r="V12" s="72"/>
      <c r="W12" s="77"/>
      <c r="X12" s="68"/>
      <c r="Y12" s="68"/>
      <c r="Z12" s="68"/>
      <c r="AA12" s="68"/>
      <c r="AB12" s="68"/>
      <c r="AC12" s="68"/>
      <c r="AD12" s="68"/>
    </row>
    <row r="13" spans="1:30" ht="14" x14ac:dyDescent="0.3">
      <c r="A13" s="79"/>
      <c r="B13" s="79"/>
      <c r="C13" s="79"/>
      <c r="D13" s="79"/>
      <c r="E13" s="79"/>
      <c r="F13" s="80"/>
      <c r="G13" s="80"/>
      <c r="H13" s="68"/>
      <c r="I13" s="68"/>
      <c r="J13" s="107" t="s">
        <v>34</v>
      </c>
      <c r="K13" s="87"/>
      <c r="L13" s="68"/>
      <c r="M13" s="329" t="s">
        <v>734</v>
      </c>
      <c r="N13" s="68"/>
      <c r="O13" s="76" t="s">
        <v>19</v>
      </c>
      <c r="P13" s="72"/>
      <c r="Q13" s="72"/>
      <c r="R13" s="72"/>
      <c r="S13" s="84"/>
      <c r="T13" s="84"/>
      <c r="U13" s="84"/>
      <c r="V13" s="84"/>
      <c r="W13" s="87"/>
      <c r="X13" s="68"/>
      <c r="Y13" s="68"/>
      <c r="Z13" s="68"/>
      <c r="AA13" s="68"/>
      <c r="AB13" s="68"/>
      <c r="AC13" s="68"/>
      <c r="AD13" s="68"/>
    </row>
    <row r="14" spans="1:30" ht="14" x14ac:dyDescent="0.3">
      <c r="A14" s="78" t="s">
        <v>20</v>
      </c>
      <c r="B14" s="79"/>
      <c r="C14" s="79"/>
      <c r="D14" s="79"/>
      <c r="E14" s="79"/>
      <c r="F14" s="80"/>
      <c r="G14" s="68"/>
      <c r="H14" s="68"/>
      <c r="I14" s="68"/>
      <c r="J14" s="107" t="s">
        <v>39</v>
      </c>
      <c r="K14" s="87"/>
      <c r="L14" s="68"/>
      <c r="M14" s="267" t="s">
        <v>390</v>
      </c>
      <c r="N14" s="68"/>
      <c r="O14" s="76" t="s">
        <v>22</v>
      </c>
      <c r="P14" s="72"/>
      <c r="Q14" s="72"/>
      <c r="R14" s="72"/>
      <c r="S14" s="84"/>
      <c r="T14" s="84"/>
      <c r="U14" s="84"/>
      <c r="V14" s="84"/>
      <c r="W14" s="87"/>
      <c r="X14" s="68"/>
      <c r="Y14" s="68"/>
      <c r="Z14" s="68"/>
      <c r="AA14" s="68"/>
      <c r="AB14" s="68"/>
      <c r="AC14" s="68"/>
      <c r="AD14" s="68"/>
    </row>
    <row r="15" spans="1:30" ht="14" x14ac:dyDescent="0.3">
      <c r="A15" s="79" t="s">
        <v>737</v>
      </c>
      <c r="B15" s="79"/>
      <c r="C15" s="79"/>
      <c r="D15" s="79"/>
      <c r="E15" s="79"/>
      <c r="F15" s="80"/>
      <c r="G15" s="68"/>
      <c r="H15" s="68"/>
      <c r="I15" s="68"/>
      <c r="J15" s="107" t="s">
        <v>704</v>
      </c>
      <c r="K15" s="87"/>
      <c r="L15" s="68"/>
      <c r="M15" s="240" t="s">
        <v>317</v>
      </c>
      <c r="N15" s="68"/>
      <c r="O15" s="76" t="s">
        <v>24</v>
      </c>
      <c r="P15" s="72"/>
      <c r="Q15" s="72"/>
      <c r="R15" s="72"/>
      <c r="S15" s="84"/>
      <c r="T15" s="84"/>
      <c r="U15" s="84"/>
      <c r="V15" s="84"/>
      <c r="W15" s="87"/>
      <c r="X15" s="68"/>
      <c r="Y15" s="68"/>
      <c r="Z15" s="68"/>
      <c r="AA15" s="68"/>
      <c r="AB15" s="68"/>
      <c r="AC15" s="68"/>
      <c r="AD15" s="68"/>
    </row>
    <row r="16" spans="1:30" ht="14" x14ac:dyDescent="0.3">
      <c r="A16" s="79" t="s">
        <v>884</v>
      </c>
      <c r="B16" s="79"/>
      <c r="C16" s="79"/>
      <c r="D16" s="79"/>
      <c r="E16" s="79"/>
      <c r="F16" s="80"/>
      <c r="G16" s="68"/>
      <c r="H16" s="68"/>
      <c r="I16" s="68"/>
      <c r="J16" s="107" t="s">
        <v>41</v>
      </c>
      <c r="K16" s="87"/>
      <c r="L16" s="68"/>
      <c r="M16" s="212" t="s">
        <v>295</v>
      </c>
      <c r="N16" s="68"/>
      <c r="O16" s="76" t="s">
        <v>26</v>
      </c>
      <c r="P16" s="72"/>
      <c r="Q16" s="72"/>
      <c r="R16" s="72"/>
      <c r="S16" s="84"/>
      <c r="T16" s="84"/>
      <c r="U16" s="84"/>
      <c r="V16" s="84"/>
      <c r="W16" s="87"/>
      <c r="X16" s="68"/>
      <c r="Y16" s="68"/>
      <c r="Z16" s="68"/>
      <c r="AA16" s="68"/>
      <c r="AB16" s="68"/>
      <c r="AC16" s="68"/>
      <c r="AD16" s="68"/>
    </row>
    <row r="17" spans="1:30" ht="14.5" thickBot="1" x14ac:dyDescent="0.35">
      <c r="A17" s="79" t="s">
        <v>885</v>
      </c>
      <c r="B17" s="79"/>
      <c r="C17" s="79"/>
      <c r="D17" s="79"/>
      <c r="E17" s="79"/>
      <c r="F17" s="80"/>
      <c r="G17" s="68"/>
      <c r="H17" s="68"/>
      <c r="I17" s="68"/>
      <c r="J17" s="107" t="s">
        <v>42</v>
      </c>
      <c r="K17" s="87"/>
      <c r="L17" s="68"/>
      <c r="M17" s="196" t="s">
        <v>16</v>
      </c>
      <c r="N17" s="68"/>
      <c r="O17" s="88" t="s">
        <v>28</v>
      </c>
      <c r="P17" s="82"/>
      <c r="Q17" s="82"/>
      <c r="R17" s="82"/>
      <c r="S17" s="89"/>
      <c r="T17" s="89"/>
      <c r="U17" s="89"/>
      <c r="V17" s="89"/>
      <c r="W17" s="90"/>
      <c r="X17" s="68"/>
      <c r="Y17" s="68"/>
      <c r="Z17" s="68"/>
      <c r="AA17" s="68"/>
      <c r="AB17" s="68"/>
      <c r="AC17" s="68"/>
      <c r="AD17" s="68"/>
    </row>
    <row r="18" spans="1:30" ht="14" x14ac:dyDescent="0.3">
      <c r="A18" s="79" t="s">
        <v>886</v>
      </c>
      <c r="B18" s="79"/>
      <c r="C18" s="79"/>
      <c r="D18" s="79"/>
      <c r="E18" s="79"/>
      <c r="F18" s="80"/>
      <c r="G18" s="68"/>
      <c r="H18" s="195"/>
      <c r="I18" s="68"/>
      <c r="J18" s="107" t="s">
        <v>44</v>
      </c>
      <c r="K18" s="87"/>
      <c r="L18" s="84"/>
      <c r="M18" s="170" t="s">
        <v>18</v>
      </c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</row>
    <row r="19" spans="1:30" ht="14" x14ac:dyDescent="0.3">
      <c r="A19" s="79" t="s">
        <v>887</v>
      </c>
      <c r="B19" s="79"/>
      <c r="C19" s="79"/>
      <c r="D19" s="79"/>
      <c r="E19" s="79"/>
      <c r="F19" s="80"/>
      <c r="G19" s="68"/>
      <c r="H19" s="195"/>
      <c r="I19" s="68"/>
      <c r="J19" s="107" t="s">
        <v>46</v>
      </c>
      <c r="K19" s="87"/>
      <c r="L19" s="84"/>
      <c r="M19" s="116" t="s">
        <v>21</v>
      </c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</row>
    <row r="20" spans="1:30" ht="14.5" thickBot="1" x14ac:dyDescent="0.35">
      <c r="A20" s="79" t="s">
        <v>888</v>
      </c>
      <c r="B20" s="79"/>
      <c r="C20" s="79"/>
      <c r="D20" s="79"/>
      <c r="E20" s="79"/>
      <c r="F20" s="80"/>
      <c r="G20" s="68"/>
      <c r="H20" s="195"/>
      <c r="I20" s="68"/>
      <c r="J20" s="107" t="s">
        <v>48</v>
      </c>
      <c r="K20" s="87"/>
      <c r="L20" s="68"/>
      <c r="M20" s="117" t="s">
        <v>23</v>
      </c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</row>
    <row r="21" spans="1:30" ht="14" x14ac:dyDescent="0.3">
      <c r="A21" s="79" t="s">
        <v>296</v>
      </c>
      <c r="B21" s="79"/>
      <c r="C21" s="79"/>
      <c r="D21" s="79"/>
      <c r="E21" s="79"/>
      <c r="F21" s="80"/>
      <c r="G21" s="68"/>
      <c r="H21" s="195"/>
      <c r="I21" s="79"/>
      <c r="J21" s="107" t="s">
        <v>50</v>
      </c>
      <c r="K21" s="87"/>
      <c r="L21" s="79"/>
      <c r="M21" s="118" t="s">
        <v>25</v>
      </c>
      <c r="N21" s="68"/>
      <c r="O21" s="106" t="s">
        <v>36</v>
      </c>
      <c r="P21" s="85"/>
      <c r="Q21" s="86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</row>
    <row r="22" spans="1:30" ht="14" x14ac:dyDescent="0.3">
      <c r="A22" s="79" t="s">
        <v>297</v>
      </c>
      <c r="B22" s="79"/>
      <c r="C22" s="79"/>
      <c r="D22" s="79"/>
      <c r="E22" s="79"/>
      <c r="F22" s="80"/>
      <c r="G22" s="68"/>
      <c r="H22" s="195"/>
      <c r="I22" s="79"/>
      <c r="J22" s="107" t="s">
        <v>52</v>
      </c>
      <c r="K22" s="87"/>
      <c r="L22" s="79"/>
      <c r="M22" s="119" t="s">
        <v>27</v>
      </c>
      <c r="N22" s="68"/>
      <c r="O22" s="107" t="s">
        <v>37</v>
      </c>
      <c r="P22" s="84"/>
      <c r="Q22" s="87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</row>
    <row r="23" spans="1:30" ht="14" x14ac:dyDescent="0.3">
      <c r="A23" s="79" t="s">
        <v>298</v>
      </c>
      <c r="B23" s="79"/>
      <c r="C23" s="79"/>
      <c r="D23" s="79"/>
      <c r="E23" s="79"/>
      <c r="F23" s="80"/>
      <c r="G23" s="80"/>
      <c r="H23" s="195"/>
      <c r="I23" s="79"/>
      <c r="J23" s="107" t="s">
        <v>54</v>
      </c>
      <c r="K23" s="87"/>
      <c r="L23" s="79"/>
      <c r="M23" s="120" t="s">
        <v>30</v>
      </c>
      <c r="N23" s="68"/>
      <c r="O23" s="171" t="s">
        <v>38</v>
      </c>
      <c r="P23" s="84"/>
      <c r="Q23" s="87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</row>
    <row r="24" spans="1:30" ht="14.5" thickBot="1" x14ac:dyDescent="0.35">
      <c r="A24" s="79" t="s">
        <v>299</v>
      </c>
      <c r="B24" s="79"/>
      <c r="C24" s="79"/>
      <c r="D24" s="79"/>
      <c r="E24" s="79"/>
      <c r="F24" s="80"/>
      <c r="G24" s="80"/>
      <c r="H24" s="195"/>
      <c r="I24" s="79"/>
      <c r="J24" s="107" t="s">
        <v>239</v>
      </c>
      <c r="K24" s="87"/>
      <c r="L24" s="79"/>
      <c r="M24" s="121" t="s">
        <v>31</v>
      </c>
      <c r="N24" s="68"/>
      <c r="O24" s="108" t="s">
        <v>40</v>
      </c>
      <c r="P24" s="89"/>
      <c r="Q24" s="90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</row>
    <row r="25" spans="1:30" ht="14" x14ac:dyDescent="0.3">
      <c r="A25" s="79" t="s">
        <v>300</v>
      </c>
      <c r="B25" s="79"/>
      <c r="C25" s="79"/>
      <c r="D25" s="79"/>
      <c r="E25" s="79"/>
      <c r="F25" s="80"/>
      <c r="G25" s="80"/>
      <c r="H25" s="195"/>
      <c r="I25" s="79"/>
      <c r="J25" s="107" t="s">
        <v>354</v>
      </c>
      <c r="K25" s="87"/>
      <c r="L25" s="79"/>
      <c r="M25" s="122" t="s">
        <v>33</v>
      </c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</row>
    <row r="26" spans="1:30" ht="14.5" thickBot="1" x14ac:dyDescent="0.35">
      <c r="A26" s="79" t="s">
        <v>301</v>
      </c>
      <c r="B26" s="79"/>
      <c r="C26" s="79"/>
      <c r="D26" s="79"/>
      <c r="E26" s="79"/>
      <c r="F26" s="80"/>
      <c r="G26" s="80"/>
      <c r="H26" s="195"/>
      <c r="I26" s="68"/>
      <c r="J26" s="107" t="s">
        <v>424</v>
      </c>
      <c r="K26" s="87"/>
      <c r="L26" s="94"/>
      <c r="M26" s="123" t="s">
        <v>35</v>
      </c>
      <c r="N26" s="94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ht="14" x14ac:dyDescent="0.3">
      <c r="A27" s="79" t="s">
        <v>302</v>
      </c>
      <c r="B27" s="79"/>
      <c r="C27" s="79"/>
      <c r="D27" s="79"/>
      <c r="E27" s="79"/>
      <c r="F27" s="80"/>
      <c r="G27" s="80"/>
      <c r="I27" s="68"/>
      <c r="J27" s="107" t="s">
        <v>430</v>
      </c>
      <c r="K27" s="87"/>
      <c r="L27" s="94"/>
      <c r="M27" s="94"/>
      <c r="N27" s="94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ht="14" x14ac:dyDescent="0.3">
      <c r="A28" s="79" t="s">
        <v>303</v>
      </c>
      <c r="B28" s="79"/>
      <c r="C28" s="79"/>
      <c r="D28" s="79"/>
      <c r="E28" s="79"/>
      <c r="F28" s="80"/>
      <c r="H28" s="68"/>
      <c r="I28" s="68"/>
      <c r="J28" s="107" t="s">
        <v>501</v>
      </c>
      <c r="K28" s="87"/>
      <c r="L28" s="68"/>
      <c r="M28" s="94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ht="14" x14ac:dyDescent="0.3">
      <c r="A29" s="79" t="s">
        <v>316</v>
      </c>
      <c r="B29" s="79"/>
      <c r="C29" s="79"/>
      <c r="D29" s="79"/>
      <c r="E29" s="79"/>
      <c r="G29" s="80"/>
      <c r="H29" s="68"/>
      <c r="I29" s="68"/>
      <c r="J29" s="107" t="s">
        <v>503</v>
      </c>
      <c r="K29" s="259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ht="14.5" thickBot="1" x14ac:dyDescent="0.35">
      <c r="A30" s="327" t="s">
        <v>623</v>
      </c>
      <c r="B30" s="327"/>
      <c r="C30" s="327"/>
      <c r="D30" s="327"/>
      <c r="E30" s="327"/>
      <c r="F30" s="195"/>
      <c r="G30" s="80"/>
      <c r="H30" s="68"/>
      <c r="I30" s="68"/>
      <c r="J30" s="108" t="s">
        <v>695</v>
      </c>
      <c r="K30" s="260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ht="14" x14ac:dyDescent="0.3">
      <c r="A31" s="327" t="s">
        <v>733</v>
      </c>
      <c r="B31" s="195"/>
      <c r="C31" s="195"/>
      <c r="D31" s="195"/>
      <c r="E31" s="195"/>
      <c r="F31" s="195"/>
      <c r="G31" s="80"/>
      <c r="H31" s="68"/>
      <c r="I31" s="68"/>
      <c r="J31" s="84"/>
      <c r="K31" s="344"/>
      <c r="L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14" x14ac:dyDescent="0.3">
      <c r="A32" s="327" t="s">
        <v>739</v>
      </c>
      <c r="B32" s="195"/>
      <c r="C32" s="327"/>
      <c r="D32" s="327"/>
      <c r="E32" s="327"/>
      <c r="F32" s="328"/>
      <c r="G32" s="80"/>
      <c r="H32" s="68"/>
      <c r="I32" s="68"/>
      <c r="J32" s="84"/>
      <c r="K32" s="344"/>
      <c r="L32" s="84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ht="14" x14ac:dyDescent="0.3">
      <c r="A33" s="327" t="s">
        <v>43</v>
      </c>
      <c r="B33" s="195"/>
      <c r="C33" s="195"/>
      <c r="D33" s="195"/>
      <c r="E33" s="195"/>
      <c r="F33" s="195"/>
      <c r="H33" s="68"/>
      <c r="I33" s="68"/>
      <c r="J33" s="344"/>
      <c r="K33" s="344"/>
      <c r="L33" s="84"/>
      <c r="M33" s="84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  <row r="34" spans="1:30" ht="14" x14ac:dyDescent="0.3">
      <c r="A34" s="78"/>
      <c r="B34" s="79"/>
      <c r="C34" s="79"/>
      <c r="D34" s="79"/>
      <c r="E34" s="79"/>
      <c r="F34" s="80"/>
      <c r="G34" s="80"/>
      <c r="H34" s="68"/>
      <c r="I34" s="68"/>
      <c r="J34" s="344"/>
      <c r="K34" s="344"/>
      <c r="L34" s="84"/>
      <c r="M34" s="84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ht="14" x14ac:dyDescent="0.3">
      <c r="A35" s="78" t="s">
        <v>45</v>
      </c>
      <c r="B35" s="79"/>
      <c r="C35" s="79"/>
      <c r="D35" s="79"/>
      <c r="E35" s="79"/>
      <c r="F35" s="80"/>
      <c r="G35" s="80"/>
      <c r="H35" s="68"/>
      <c r="J35" s="344"/>
      <c r="K35" s="344"/>
      <c r="L35" s="84"/>
      <c r="M35" s="84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ht="14" x14ac:dyDescent="0.3">
      <c r="A36" s="79" t="s">
        <v>738</v>
      </c>
      <c r="B36" s="79"/>
      <c r="C36" s="79"/>
      <c r="D36" s="79"/>
      <c r="E36" s="79"/>
      <c r="F36" s="80"/>
      <c r="G36" s="80"/>
      <c r="H36" s="68"/>
      <c r="I36" s="68"/>
      <c r="J36" s="344"/>
      <c r="K36" s="344"/>
      <c r="L36" s="68"/>
      <c r="M36" s="84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ht="14" x14ac:dyDescent="0.3">
      <c r="A37" s="79" t="s">
        <v>49</v>
      </c>
      <c r="B37" s="79"/>
      <c r="C37" s="79"/>
      <c r="D37" s="79"/>
      <c r="E37" s="79"/>
      <c r="F37" s="80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ht="14" x14ac:dyDescent="0.3">
      <c r="A38" s="79" t="s">
        <v>51</v>
      </c>
      <c r="B38" s="79"/>
      <c r="C38" s="79"/>
      <c r="D38" s="79"/>
      <c r="E38" s="79"/>
      <c r="F38" s="80"/>
      <c r="G38" s="32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ht="14" x14ac:dyDescent="0.3">
      <c r="A39" s="79" t="s">
        <v>53</v>
      </c>
      <c r="B39" s="79"/>
      <c r="C39" s="79"/>
      <c r="D39" s="79"/>
      <c r="E39" s="79"/>
      <c r="F39" s="80"/>
      <c r="G39" s="334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ht="14" x14ac:dyDescent="0.3">
      <c r="A40" s="79" t="s">
        <v>55</v>
      </c>
      <c r="B40" s="79"/>
      <c r="C40" s="79"/>
      <c r="D40" s="79"/>
      <c r="E40" s="79"/>
      <c r="F40" s="80"/>
      <c r="G40" s="80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ht="14" x14ac:dyDescent="0.3">
      <c r="A41" s="79" t="s">
        <v>56</v>
      </c>
      <c r="B41" s="79"/>
      <c r="C41" s="79"/>
      <c r="D41" s="79"/>
      <c r="E41" s="79"/>
      <c r="F41" s="80"/>
      <c r="G41" s="80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ht="14" x14ac:dyDescent="0.3">
      <c r="A42" s="79" t="s">
        <v>57</v>
      </c>
      <c r="B42" s="79"/>
      <c r="C42" s="79"/>
      <c r="D42" s="79"/>
      <c r="E42" s="79"/>
      <c r="F42" s="80"/>
      <c r="G42" s="80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ht="14" x14ac:dyDescent="0.3">
      <c r="A43" s="79" t="s">
        <v>58</v>
      </c>
      <c r="B43" s="79"/>
      <c r="C43" s="79"/>
      <c r="D43" s="79"/>
      <c r="E43" s="79"/>
      <c r="F43" s="80"/>
      <c r="G43" s="80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ht="14" x14ac:dyDescent="0.3">
      <c r="A44" s="79" t="s">
        <v>59</v>
      </c>
      <c r="B44" s="79"/>
      <c r="C44" s="79"/>
      <c r="D44" s="79"/>
      <c r="E44" s="79"/>
      <c r="F44" s="80"/>
      <c r="G44" s="80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ht="14" x14ac:dyDescent="0.3">
      <c r="A45" s="79" t="s">
        <v>60</v>
      </c>
      <c r="B45" s="79"/>
      <c r="C45" s="79"/>
      <c r="D45" s="79"/>
      <c r="E45" s="79"/>
      <c r="F45" s="80"/>
      <c r="G45" s="80"/>
      <c r="H45" s="68"/>
      <c r="I45" s="84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ht="14" x14ac:dyDescent="0.3">
      <c r="A46" s="79"/>
      <c r="B46" s="79"/>
      <c r="C46" s="79"/>
      <c r="D46" s="79"/>
      <c r="E46" s="79"/>
      <c r="F46" s="80"/>
      <c r="G46" s="80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ht="14" x14ac:dyDescent="0.3">
      <c r="A47" s="79" t="s">
        <v>61</v>
      </c>
      <c r="B47" s="79"/>
      <c r="C47" s="79"/>
      <c r="D47" s="79"/>
      <c r="E47" s="79"/>
      <c r="F47" s="80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ht="14" x14ac:dyDescent="0.3">
      <c r="A48" s="79" t="s">
        <v>62</v>
      </c>
      <c r="B48" s="78"/>
      <c r="C48" s="78"/>
      <c r="D48" s="79"/>
      <c r="E48" s="79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:30" ht="14" x14ac:dyDescent="0.3">
      <c r="A49" s="78" t="s">
        <v>63</v>
      </c>
      <c r="B49" s="79"/>
      <c r="C49" s="79"/>
      <c r="D49" s="79"/>
      <c r="E49" s="79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:30" ht="14" x14ac:dyDescent="0.3">
      <c r="A50" s="79"/>
      <c r="B50" s="79"/>
      <c r="C50" s="79"/>
      <c r="D50" s="79"/>
      <c r="E50" s="79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:30" ht="14" x14ac:dyDescent="0.3">
      <c r="A51" s="79" t="s">
        <v>64</v>
      </c>
      <c r="B51" s="79"/>
      <c r="C51" s="79"/>
      <c r="D51" s="79"/>
      <c r="E51" s="79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:30" ht="14" x14ac:dyDescent="0.3">
      <c r="A52" s="79" t="s">
        <v>66</v>
      </c>
      <c r="B52" s="79"/>
      <c r="C52" s="79"/>
      <c r="D52" s="79"/>
      <c r="E52" s="79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:30" ht="14" x14ac:dyDescent="0.3">
      <c r="A53" s="79" t="s">
        <v>67</v>
      </c>
      <c r="B53" s="79"/>
      <c r="C53" s="79"/>
      <c r="D53" s="79"/>
      <c r="E53" s="79"/>
      <c r="F53" s="68"/>
      <c r="G53" s="68" t="s">
        <v>65</v>
      </c>
      <c r="H53" s="68"/>
      <c r="I53" s="68"/>
      <c r="J53" s="68"/>
      <c r="K53" s="68"/>
      <c r="L53" s="68" t="s">
        <v>47</v>
      </c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:30" ht="14" x14ac:dyDescent="0.3">
      <c r="A54" s="79"/>
      <c r="B54" s="79"/>
      <c r="C54" s="79"/>
      <c r="D54" s="79"/>
      <c r="E54" s="79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:30" ht="14" x14ac:dyDescent="0.3">
      <c r="A55" s="79" t="s">
        <v>68</v>
      </c>
      <c r="B55" s="79"/>
      <c r="C55" s="79"/>
      <c r="D55" s="79"/>
      <c r="E55" s="79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:30" ht="14" x14ac:dyDescent="0.3">
      <c r="A56" s="79" t="s">
        <v>69</v>
      </c>
      <c r="B56" s="79"/>
      <c r="C56" s="79"/>
      <c r="D56" s="79"/>
      <c r="E56" s="79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:30" ht="14" x14ac:dyDescent="0.3">
      <c r="A57" s="79" t="s">
        <v>70</v>
      </c>
      <c r="B57" s="79"/>
      <c r="C57" s="79"/>
      <c r="D57" s="79"/>
      <c r="E57" s="79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:30" ht="14" x14ac:dyDescent="0.3">
      <c r="A58" s="79"/>
      <c r="B58" s="79"/>
      <c r="C58" s="79"/>
      <c r="D58" s="79"/>
      <c r="E58" s="79"/>
      <c r="F58" s="68"/>
      <c r="G58" s="68"/>
      <c r="H58" s="68"/>
      <c r="I58" s="68"/>
      <c r="J58" s="68"/>
      <c r="K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:30" ht="14" x14ac:dyDescent="0.3">
      <c r="A59" s="79" t="s">
        <v>71</v>
      </c>
      <c r="B59" s="79"/>
      <c r="C59" s="79"/>
      <c r="D59" s="79"/>
      <c r="E59" s="79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:30" ht="14" x14ac:dyDescent="0.3">
      <c r="A60" s="79" t="s">
        <v>72</v>
      </c>
      <c r="B60" s="79"/>
      <c r="C60" s="79"/>
      <c r="D60" s="79"/>
      <c r="E60" s="79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:30" ht="14" x14ac:dyDescent="0.3">
      <c r="A61" s="79" t="s">
        <v>73</v>
      </c>
      <c r="B61" s="79"/>
      <c r="C61" s="79"/>
      <c r="D61" s="79"/>
      <c r="E61" s="79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:30" ht="14" x14ac:dyDescent="0.3">
      <c r="A62" s="79" t="s">
        <v>74</v>
      </c>
      <c r="B62" s="79"/>
      <c r="C62" s="79"/>
      <c r="D62" s="79"/>
      <c r="E62" s="79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:30" x14ac:dyDescent="0.3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:30" x14ac:dyDescent="0.3">
      <c r="A64" s="68" t="s">
        <v>75</v>
      </c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:30" x14ac:dyDescent="0.3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:30" x14ac:dyDescent="0.3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:30" x14ac:dyDescent="0.3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:30" x14ac:dyDescent="0.3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:30" x14ac:dyDescent="0.3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:30" x14ac:dyDescent="0.3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:30" x14ac:dyDescent="0.3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:30" x14ac:dyDescent="0.3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:30" x14ac:dyDescent="0.3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:30" x14ac:dyDescent="0.3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:30" x14ac:dyDescent="0.3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:30" x14ac:dyDescent="0.3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:30" x14ac:dyDescent="0.3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:30" x14ac:dyDescent="0.3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:30" x14ac:dyDescent="0.3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:30" x14ac:dyDescent="0.3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:30" x14ac:dyDescent="0.3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:30" x14ac:dyDescent="0.3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:30" x14ac:dyDescent="0.3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:30" x14ac:dyDescent="0.3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:30" x14ac:dyDescent="0.3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:30" x14ac:dyDescent="0.3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:30" x14ac:dyDescent="0.3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:30" x14ac:dyDescent="0.3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:30" x14ac:dyDescent="0.3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:30" x14ac:dyDescent="0.3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:30" x14ac:dyDescent="0.3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:30" x14ac:dyDescent="0.3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:30" x14ac:dyDescent="0.3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:30" x14ac:dyDescent="0.3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:30" x14ac:dyDescent="0.3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:30" x14ac:dyDescent="0.3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:30" x14ac:dyDescent="0.3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:30" x14ac:dyDescent="0.3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:30" x14ac:dyDescent="0.3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:30" x14ac:dyDescent="0.3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:30" x14ac:dyDescent="0.3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  <row r="102" spans="1:30" x14ac:dyDescent="0.3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</row>
    <row r="103" spans="1:30" x14ac:dyDescent="0.3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</row>
    <row r="104" spans="1:30" x14ac:dyDescent="0.3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</row>
    <row r="105" spans="1:30" x14ac:dyDescent="0.3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</row>
    <row r="106" spans="1:30" x14ac:dyDescent="0.3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</row>
    <row r="107" spans="1:30" x14ac:dyDescent="0.3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</row>
    <row r="108" spans="1:30" x14ac:dyDescent="0.3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</row>
    <row r="109" spans="1:30" x14ac:dyDescent="0.3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</row>
    <row r="110" spans="1:30" x14ac:dyDescent="0.3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</row>
    <row r="111" spans="1:30" x14ac:dyDescent="0.3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</row>
    <row r="112" spans="1:30" x14ac:dyDescent="0.3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</row>
    <row r="113" spans="1:30" x14ac:dyDescent="0.3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</row>
    <row r="114" spans="1:30" x14ac:dyDescent="0.3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</row>
    <row r="115" spans="1:30" x14ac:dyDescent="0.3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</row>
    <row r="116" spans="1:30" x14ac:dyDescent="0.3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</row>
    <row r="117" spans="1:30" x14ac:dyDescent="0.3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</row>
    <row r="118" spans="1:30" x14ac:dyDescent="0.3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</row>
    <row r="119" spans="1:30" x14ac:dyDescent="0.3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</row>
    <row r="120" spans="1:30" x14ac:dyDescent="0.3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</row>
    <row r="121" spans="1:30" x14ac:dyDescent="0.3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</row>
    <row r="122" spans="1:30" x14ac:dyDescent="0.3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</row>
    <row r="123" spans="1:30" x14ac:dyDescent="0.3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</row>
    <row r="124" spans="1:30" x14ac:dyDescent="0.3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</row>
    <row r="125" spans="1:30" x14ac:dyDescent="0.3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</row>
    <row r="126" spans="1:30" x14ac:dyDescent="0.3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</row>
    <row r="127" spans="1:30" x14ac:dyDescent="0.3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</row>
    <row r="128" spans="1:30" x14ac:dyDescent="0.3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</row>
    <row r="129" spans="1:30" x14ac:dyDescent="0.3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</row>
    <row r="130" spans="1:30" x14ac:dyDescent="0.3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</row>
    <row r="131" spans="1:30" x14ac:dyDescent="0.3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</row>
    <row r="132" spans="1:30" x14ac:dyDescent="0.3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</row>
    <row r="133" spans="1:30" x14ac:dyDescent="0.3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</row>
    <row r="134" spans="1:30" x14ac:dyDescent="0.3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</row>
    <row r="135" spans="1:30" x14ac:dyDescent="0.3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</row>
    <row r="136" spans="1:30" x14ac:dyDescent="0.3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</row>
    <row r="137" spans="1:30" x14ac:dyDescent="0.3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</row>
    <row r="138" spans="1:30" x14ac:dyDescent="0.3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</row>
    <row r="139" spans="1:30" x14ac:dyDescent="0.3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</row>
    <row r="140" spans="1:30" x14ac:dyDescent="0.3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</row>
    <row r="141" spans="1:30" x14ac:dyDescent="0.3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</row>
    <row r="142" spans="1:30" x14ac:dyDescent="0.3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</row>
    <row r="143" spans="1:30" x14ac:dyDescent="0.3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</row>
    <row r="144" spans="1:30" x14ac:dyDescent="0.3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</row>
    <row r="145" spans="1:30" x14ac:dyDescent="0.3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</row>
    <row r="146" spans="1:30" x14ac:dyDescent="0.3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</row>
    <row r="147" spans="1:30" x14ac:dyDescent="0.3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</row>
    <row r="148" spans="1:30" x14ac:dyDescent="0.3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</row>
    <row r="149" spans="1:30" x14ac:dyDescent="0.3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</row>
    <row r="150" spans="1:30" x14ac:dyDescent="0.3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</row>
    <row r="151" spans="1:30" x14ac:dyDescent="0.3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</row>
    <row r="152" spans="1:30" x14ac:dyDescent="0.3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</row>
    <row r="153" spans="1:30" x14ac:dyDescent="0.3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</row>
    <row r="154" spans="1:30" x14ac:dyDescent="0.3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</row>
    <row r="155" spans="1:30" x14ac:dyDescent="0.3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</row>
    <row r="156" spans="1:30" x14ac:dyDescent="0.3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</row>
    <row r="157" spans="1:30" x14ac:dyDescent="0.3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</row>
    <row r="158" spans="1:30" x14ac:dyDescent="0.3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</row>
    <row r="159" spans="1:30" x14ac:dyDescent="0.3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</row>
    <row r="160" spans="1:30" x14ac:dyDescent="0.3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</row>
    <row r="161" spans="1:30" x14ac:dyDescent="0.3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</row>
    <row r="162" spans="1:30" x14ac:dyDescent="0.3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</row>
    <row r="163" spans="1:30" x14ac:dyDescent="0.3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</row>
    <row r="164" spans="1:30" x14ac:dyDescent="0.3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</row>
    <row r="165" spans="1:30" x14ac:dyDescent="0.3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</row>
    <row r="166" spans="1:30" x14ac:dyDescent="0.3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</row>
    <row r="167" spans="1:30" x14ac:dyDescent="0.3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</row>
    <row r="168" spans="1:30" x14ac:dyDescent="0.3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</row>
    <row r="169" spans="1:30" x14ac:dyDescent="0.3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</row>
    <row r="170" spans="1:30" x14ac:dyDescent="0.3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</row>
    <row r="171" spans="1:30" x14ac:dyDescent="0.3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</row>
    <row r="172" spans="1:30" x14ac:dyDescent="0.3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</row>
    <row r="173" spans="1:30" x14ac:dyDescent="0.3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</row>
    <row r="174" spans="1:30" x14ac:dyDescent="0.3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</row>
    <row r="175" spans="1:30" x14ac:dyDescent="0.3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</row>
    <row r="176" spans="1:30" x14ac:dyDescent="0.3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</row>
    <row r="177" spans="1:30" x14ac:dyDescent="0.3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</row>
    <row r="178" spans="1:30" x14ac:dyDescent="0.3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</row>
    <row r="179" spans="1:30" x14ac:dyDescent="0.3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</row>
    <row r="180" spans="1:30" x14ac:dyDescent="0.3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</row>
    <row r="181" spans="1:30" x14ac:dyDescent="0.3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</row>
    <row r="182" spans="1:30" x14ac:dyDescent="0.3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</row>
    <row r="183" spans="1:30" x14ac:dyDescent="0.3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</row>
    <row r="184" spans="1:30" x14ac:dyDescent="0.3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</row>
    <row r="185" spans="1:30" x14ac:dyDescent="0.3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</row>
    <row r="186" spans="1:30" x14ac:dyDescent="0.3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</row>
    <row r="187" spans="1:30" x14ac:dyDescent="0.3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</row>
    <row r="188" spans="1:30" x14ac:dyDescent="0.3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</row>
    <row r="189" spans="1:30" x14ac:dyDescent="0.3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</row>
    <row r="190" spans="1:30" x14ac:dyDescent="0.3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</row>
    <row r="191" spans="1:30" x14ac:dyDescent="0.3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</row>
    <row r="192" spans="1:30" x14ac:dyDescent="0.3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</row>
    <row r="193" spans="1:30" x14ac:dyDescent="0.3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</row>
    <row r="194" spans="1:30" x14ac:dyDescent="0.3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</row>
    <row r="195" spans="1:30" x14ac:dyDescent="0.3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</row>
    <row r="196" spans="1:30" x14ac:dyDescent="0.3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</row>
    <row r="197" spans="1:30" x14ac:dyDescent="0.3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</row>
    <row r="198" spans="1:30" x14ac:dyDescent="0.3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</row>
    <row r="199" spans="1:30" x14ac:dyDescent="0.3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</row>
    <row r="200" spans="1:30" x14ac:dyDescent="0.3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</row>
    <row r="201" spans="1:30" x14ac:dyDescent="0.3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</row>
    <row r="202" spans="1:30" x14ac:dyDescent="0.3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</row>
    <row r="203" spans="1:30" x14ac:dyDescent="0.3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</row>
    <row r="204" spans="1:30" x14ac:dyDescent="0.3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</row>
    <row r="205" spans="1:30" x14ac:dyDescent="0.3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</row>
    <row r="206" spans="1:30" x14ac:dyDescent="0.3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</row>
    <row r="207" spans="1:30" x14ac:dyDescent="0.3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</row>
    <row r="208" spans="1:30" x14ac:dyDescent="0.3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</row>
    <row r="209" spans="1:30" x14ac:dyDescent="0.3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</row>
    <row r="210" spans="1:30" x14ac:dyDescent="0.3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</row>
    <row r="211" spans="1:30" x14ac:dyDescent="0.3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</row>
    <row r="212" spans="1:30" x14ac:dyDescent="0.3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</row>
    <row r="213" spans="1:30" x14ac:dyDescent="0.3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</row>
    <row r="214" spans="1:30" x14ac:dyDescent="0.3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</row>
    <row r="215" spans="1:30" x14ac:dyDescent="0.3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</row>
    <row r="216" spans="1:30" x14ac:dyDescent="0.3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</row>
    <row r="217" spans="1:30" x14ac:dyDescent="0.3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</row>
    <row r="218" spans="1:30" x14ac:dyDescent="0.3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</row>
    <row r="219" spans="1:30" x14ac:dyDescent="0.3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</row>
    <row r="220" spans="1:30" x14ac:dyDescent="0.3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</row>
    <row r="221" spans="1:30" x14ac:dyDescent="0.3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</row>
    <row r="222" spans="1:30" x14ac:dyDescent="0.3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</row>
    <row r="223" spans="1:30" x14ac:dyDescent="0.3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</row>
    <row r="224" spans="1:30" x14ac:dyDescent="0.3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</row>
    <row r="225" spans="1:30" x14ac:dyDescent="0.3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</row>
    <row r="226" spans="1:30" x14ac:dyDescent="0.3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</row>
    <row r="227" spans="1:30" x14ac:dyDescent="0.3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</row>
    <row r="228" spans="1:30" x14ac:dyDescent="0.3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</row>
    <row r="229" spans="1:30" x14ac:dyDescent="0.3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</row>
    <row r="230" spans="1:30" x14ac:dyDescent="0.3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</row>
    <row r="231" spans="1:30" x14ac:dyDescent="0.3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</row>
    <row r="232" spans="1:30" x14ac:dyDescent="0.3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</row>
    <row r="233" spans="1:30" x14ac:dyDescent="0.3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</row>
    <row r="234" spans="1:30" x14ac:dyDescent="0.3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</row>
    <row r="235" spans="1:30" x14ac:dyDescent="0.3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</row>
    <row r="236" spans="1:30" x14ac:dyDescent="0.3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</row>
    <row r="237" spans="1:30" x14ac:dyDescent="0.3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</row>
    <row r="238" spans="1:30" x14ac:dyDescent="0.3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</row>
    <row r="239" spans="1:30" x14ac:dyDescent="0.3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</row>
    <row r="240" spans="1:30" x14ac:dyDescent="0.3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</row>
    <row r="241" spans="1:30" x14ac:dyDescent="0.3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</row>
    <row r="242" spans="1:30" x14ac:dyDescent="0.3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</row>
    <row r="243" spans="1:30" x14ac:dyDescent="0.3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</row>
    <row r="244" spans="1:30" x14ac:dyDescent="0.3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</row>
    <row r="245" spans="1:30" x14ac:dyDescent="0.3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</row>
    <row r="246" spans="1:30" x14ac:dyDescent="0.3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</row>
    <row r="247" spans="1:30" x14ac:dyDescent="0.3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</row>
    <row r="248" spans="1:30" x14ac:dyDescent="0.3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</row>
    <row r="249" spans="1:30" x14ac:dyDescent="0.3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</row>
    <row r="250" spans="1:30" x14ac:dyDescent="0.3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</row>
    <row r="251" spans="1:30" x14ac:dyDescent="0.3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</row>
    <row r="252" spans="1:30" x14ac:dyDescent="0.3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</row>
    <row r="253" spans="1:30" x14ac:dyDescent="0.3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</row>
    <row r="254" spans="1:30" x14ac:dyDescent="0.3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</row>
    <row r="255" spans="1:30" x14ac:dyDescent="0.3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</row>
    <row r="256" spans="1:30" x14ac:dyDescent="0.3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</row>
    <row r="257" spans="1:30" x14ac:dyDescent="0.3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</row>
    <row r="258" spans="1:30" x14ac:dyDescent="0.3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</row>
    <row r="259" spans="1:30" x14ac:dyDescent="0.3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</row>
    <row r="260" spans="1:30" x14ac:dyDescent="0.3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</row>
    <row r="261" spans="1:30" x14ac:dyDescent="0.3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</row>
    <row r="262" spans="1:30" x14ac:dyDescent="0.3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</row>
    <row r="263" spans="1:30" x14ac:dyDescent="0.3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</row>
    <row r="264" spans="1:30" x14ac:dyDescent="0.3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</row>
    <row r="265" spans="1:30" x14ac:dyDescent="0.3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</row>
    <row r="266" spans="1:30" x14ac:dyDescent="0.3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</row>
    <row r="267" spans="1:30" x14ac:dyDescent="0.3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</row>
    <row r="268" spans="1:30" x14ac:dyDescent="0.3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</row>
    <row r="269" spans="1:30" x14ac:dyDescent="0.3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</row>
    <row r="270" spans="1:30" x14ac:dyDescent="0.3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</row>
    <row r="271" spans="1:30" x14ac:dyDescent="0.3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</row>
    <row r="272" spans="1:30" x14ac:dyDescent="0.3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</row>
    <row r="273" spans="1:30" x14ac:dyDescent="0.3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</row>
    <row r="274" spans="1:30" x14ac:dyDescent="0.3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</row>
    <row r="275" spans="1:30" x14ac:dyDescent="0.3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</row>
    <row r="276" spans="1:30" x14ac:dyDescent="0.3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</row>
    <row r="277" spans="1:30" x14ac:dyDescent="0.3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</row>
    <row r="278" spans="1:30" x14ac:dyDescent="0.3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</row>
    <row r="279" spans="1:30" x14ac:dyDescent="0.3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</row>
    <row r="280" spans="1:30" x14ac:dyDescent="0.3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</row>
    <row r="281" spans="1:30" x14ac:dyDescent="0.3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</row>
    <row r="282" spans="1:30" x14ac:dyDescent="0.3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</row>
    <row r="283" spans="1:30" x14ac:dyDescent="0.3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</row>
    <row r="284" spans="1:30" x14ac:dyDescent="0.3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</row>
    <row r="285" spans="1:30" x14ac:dyDescent="0.3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</row>
    <row r="286" spans="1:30" x14ac:dyDescent="0.3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</row>
    <row r="287" spans="1:30" x14ac:dyDescent="0.3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</row>
    <row r="288" spans="1:30" x14ac:dyDescent="0.3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</row>
    <row r="289" spans="1:30" x14ac:dyDescent="0.3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</row>
    <row r="290" spans="1:30" x14ac:dyDescent="0.3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</row>
    <row r="291" spans="1:30" x14ac:dyDescent="0.3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</row>
    <row r="292" spans="1:30" x14ac:dyDescent="0.3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</row>
    <row r="293" spans="1:30" x14ac:dyDescent="0.3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</row>
    <row r="294" spans="1:30" x14ac:dyDescent="0.3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</row>
    <row r="295" spans="1:30" x14ac:dyDescent="0.3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</row>
    <row r="296" spans="1:30" x14ac:dyDescent="0.3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</row>
    <row r="297" spans="1:30" x14ac:dyDescent="0.3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</row>
    <row r="298" spans="1:30" x14ac:dyDescent="0.3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</row>
    <row r="299" spans="1:30" x14ac:dyDescent="0.3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</row>
    <row r="300" spans="1:30" x14ac:dyDescent="0.3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</row>
    <row r="301" spans="1:30" x14ac:dyDescent="0.3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</row>
    <row r="302" spans="1:30" x14ac:dyDescent="0.3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</row>
    <row r="303" spans="1:30" x14ac:dyDescent="0.3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</row>
    <row r="304" spans="1:30" x14ac:dyDescent="0.3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</row>
    <row r="305" spans="1:30" x14ac:dyDescent="0.3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</row>
    <row r="306" spans="1:30" x14ac:dyDescent="0.3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</row>
    <row r="307" spans="1:30" x14ac:dyDescent="0.3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</row>
    <row r="308" spans="1:30" x14ac:dyDescent="0.3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</row>
    <row r="309" spans="1:30" x14ac:dyDescent="0.3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</row>
    <row r="310" spans="1:30" x14ac:dyDescent="0.3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</row>
    <row r="311" spans="1:30" x14ac:dyDescent="0.3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</row>
    <row r="312" spans="1:30" x14ac:dyDescent="0.3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</row>
    <row r="313" spans="1:30" x14ac:dyDescent="0.3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</row>
    <row r="314" spans="1:30" x14ac:dyDescent="0.3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</row>
    <row r="315" spans="1:30" x14ac:dyDescent="0.3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</row>
    <row r="316" spans="1:30" x14ac:dyDescent="0.3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</row>
    <row r="317" spans="1:30" x14ac:dyDescent="0.3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</row>
    <row r="318" spans="1:30" x14ac:dyDescent="0.3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</row>
    <row r="319" spans="1:30" x14ac:dyDescent="0.3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</row>
    <row r="320" spans="1:30" x14ac:dyDescent="0.3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</row>
    <row r="321" spans="1:30" x14ac:dyDescent="0.3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</row>
    <row r="322" spans="1:30" x14ac:dyDescent="0.3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</row>
    <row r="323" spans="1:30" x14ac:dyDescent="0.3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</row>
    <row r="324" spans="1:30" x14ac:dyDescent="0.3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</row>
    <row r="325" spans="1:30" x14ac:dyDescent="0.3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</row>
    <row r="326" spans="1:30" x14ac:dyDescent="0.3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</row>
    <row r="327" spans="1:30" x14ac:dyDescent="0.3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</row>
    <row r="328" spans="1:30" x14ac:dyDescent="0.3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</row>
    <row r="329" spans="1:30" x14ac:dyDescent="0.3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</row>
    <row r="330" spans="1:30" x14ac:dyDescent="0.3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</row>
    <row r="331" spans="1:30" x14ac:dyDescent="0.3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</row>
    <row r="332" spans="1:30" x14ac:dyDescent="0.3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</row>
    <row r="333" spans="1:30" x14ac:dyDescent="0.3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</row>
    <row r="334" spans="1:30" x14ac:dyDescent="0.3">
      <c r="A334" s="68"/>
      <c r="B334" s="68"/>
      <c r="C334" s="68"/>
      <c r="D334" s="68"/>
      <c r="E334" s="68"/>
      <c r="F334" s="68"/>
      <c r="G334" s="68"/>
      <c r="H334" s="68"/>
      <c r="I334" s="68"/>
      <c r="M334" s="68"/>
    </row>
    <row r="335" spans="1:30" x14ac:dyDescent="0.3">
      <c r="A335" s="68"/>
      <c r="B335" s="68"/>
      <c r="C335" s="68"/>
      <c r="D335" s="68"/>
      <c r="E335" s="68"/>
      <c r="F335" s="68"/>
      <c r="G335" s="68"/>
      <c r="H335" s="68"/>
    </row>
    <row r="336" spans="1:30" x14ac:dyDescent="0.3">
      <c r="A336" s="68"/>
      <c r="B336" s="68"/>
      <c r="C336" s="68"/>
      <c r="D336" s="68"/>
      <c r="E336" s="68"/>
      <c r="F336" s="68"/>
    </row>
  </sheetData>
  <sheetProtection algorithmName="SHA-512" hashValue="4YvnxWs/IXmDcJf/eeOccMv0CAyGe5FXlkDtrMeV9sdlzuBliF/Oa6g+aL1vjljQCIfHmZFmi/6TFUnkp0lSxQ==" saltValue="xIAaWu51p6jYUX50Dmfd0g==" spinCount="100000" sheet="1" objects="1" scenarios="1"/>
  <phoneticPr fontId="5" type="noConversion"/>
  <pageMargins left="0.75" right="0.75" top="1" bottom="1" header="0.5" footer="0.5"/>
  <pageSetup paperSize="10" orientation="portrait" horizontalDpi="4294967292" verticalDpi="429496729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4D467-6D86-7441-A3FB-4B7615D6E6AD}">
  <sheetPr codeName="Sheet4"/>
  <dimension ref="A1:I100"/>
  <sheetViews>
    <sheetView zoomScaleNormal="100" workbookViewId="0">
      <selection activeCell="I33" sqref="I33"/>
    </sheetView>
  </sheetViews>
  <sheetFormatPr defaultColWidth="10.84375" defaultRowHeight="13.5" x14ac:dyDescent="0.3"/>
  <cols>
    <col min="1" max="1" width="19.3046875" style="263" customWidth="1"/>
    <col min="2" max="2" width="11.4609375" style="263" customWidth="1"/>
    <col min="3" max="9" width="12.15234375" style="263" customWidth="1"/>
    <col min="10" max="16384" width="10.84375" style="263"/>
  </cols>
  <sheetData>
    <row r="1" spans="1:9" ht="14" x14ac:dyDescent="0.3">
      <c r="A1" s="262" t="s">
        <v>76</v>
      </c>
      <c r="B1" s="262"/>
      <c r="C1" s="262"/>
      <c r="D1" s="262"/>
      <c r="E1" s="262"/>
      <c r="F1" s="262"/>
      <c r="G1" s="262"/>
      <c r="H1" s="262"/>
      <c r="I1" s="262"/>
    </row>
    <row r="2" spans="1:9" ht="14" x14ac:dyDescent="0.3">
      <c r="A2" s="264" t="s">
        <v>101</v>
      </c>
      <c r="B2" s="262"/>
      <c r="C2" s="262"/>
      <c r="D2" s="262"/>
      <c r="E2" s="262"/>
      <c r="F2" s="262"/>
      <c r="G2" s="262"/>
      <c r="H2" s="262"/>
      <c r="I2" s="262"/>
    </row>
    <row r="3" spans="1:9" ht="14.5" thickBot="1" x14ac:dyDescent="0.35">
      <c r="A3" s="262"/>
      <c r="B3" s="262"/>
      <c r="C3" s="262"/>
      <c r="D3" s="262"/>
      <c r="E3" s="262"/>
      <c r="F3" s="265"/>
      <c r="G3" s="262"/>
      <c r="H3" s="262"/>
      <c r="I3" s="262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'END Jul 2020'!K2</f>
        <v>AGL</v>
      </c>
      <c r="B8" s="180">
        <f>'END Jul 2020'!G2</f>
        <v>42551</v>
      </c>
      <c r="C8" s="181">
        <f>91*'END Jul 2020'!M2/100</f>
        <v>76.48963636363635</v>
      </c>
      <c r="D8" s="181">
        <f>$C$5*'END Jul 2020'!N2/100</f>
        <v>458.67272727272729</v>
      </c>
      <c r="E8" s="182">
        <v>0</v>
      </c>
      <c r="F8" s="181">
        <v>0</v>
      </c>
      <c r="G8" s="181">
        <v>0</v>
      </c>
      <c r="H8" s="183">
        <f t="shared" ref="H8:H25" si="0">SUM(C8:G8)</f>
        <v>535.16236363636358</v>
      </c>
      <c r="I8" s="202">
        <f t="shared" ref="I8:I25" si="1">(H8*4)*1.1</f>
        <v>2354.7143999999998</v>
      </c>
    </row>
    <row r="9" spans="1:9" x14ac:dyDescent="0.3">
      <c r="A9" s="179" t="str">
        <f>'END Jul 2020'!K3</f>
        <v>Alinta Energy</v>
      </c>
      <c r="B9" s="180">
        <f>'END Jul 2020'!G3</f>
        <v>42551</v>
      </c>
      <c r="C9" s="181">
        <f>91*'END Jul 2020'!M3/100</f>
        <v>73.564400000000006</v>
      </c>
      <c r="D9" s="181">
        <f>$C$5*'END Jul 2020'!N3/100</f>
        <v>462.96</v>
      </c>
      <c r="E9" s="182">
        <v>0</v>
      </c>
      <c r="F9" s="181">
        <v>0</v>
      </c>
      <c r="G9" s="181">
        <v>0</v>
      </c>
      <c r="H9" s="183">
        <f t="shared" si="0"/>
        <v>536.52440000000001</v>
      </c>
      <c r="I9" s="202">
        <f t="shared" si="1"/>
        <v>2360.7073600000003</v>
      </c>
    </row>
    <row r="10" spans="1:9" x14ac:dyDescent="0.3">
      <c r="A10" s="179" t="str">
        <f>'END Jul 2020'!K4</f>
        <v>Click Energy</v>
      </c>
      <c r="B10" s="180">
        <f>'END Jul 2020'!G4</f>
        <v>42551</v>
      </c>
      <c r="C10" s="181">
        <f>91*'END Jul 2020'!M4/100</f>
        <v>82.354999999999976</v>
      </c>
      <c r="D10" s="181">
        <f>$C$5*'END Jul 2020'!N4/100</f>
        <v>449.99999999999994</v>
      </c>
      <c r="E10" s="182">
        <v>0</v>
      </c>
      <c r="F10" s="181">
        <v>0</v>
      </c>
      <c r="G10" s="181">
        <v>0</v>
      </c>
      <c r="H10" s="183">
        <f t="shared" si="0"/>
        <v>532.3549999999999</v>
      </c>
      <c r="I10" s="202">
        <f t="shared" si="1"/>
        <v>2342.3619999999996</v>
      </c>
    </row>
    <row r="11" spans="1:9" x14ac:dyDescent="0.3">
      <c r="A11" s="179" t="str">
        <f>'END Jul 2020'!K5</f>
        <v>Commander</v>
      </c>
      <c r="B11" s="180">
        <f>'END Jul 2020'!G5</f>
        <v>42551</v>
      </c>
      <c r="C11" s="181">
        <f>91*'END Jul 2020'!M5/100</f>
        <v>76.812272727272713</v>
      </c>
      <c r="D11" s="181">
        <f>$C$5*'END Jul 2020'!N5/100</f>
        <v>457.69090909090903</v>
      </c>
      <c r="E11" s="182">
        <v>0</v>
      </c>
      <c r="F11" s="181">
        <v>0</v>
      </c>
      <c r="G11" s="181">
        <v>0</v>
      </c>
      <c r="H11" s="183">
        <f t="shared" si="0"/>
        <v>534.5031818181817</v>
      </c>
      <c r="I11" s="202">
        <f t="shared" si="1"/>
        <v>2351.8139999999999</v>
      </c>
    </row>
    <row r="12" spans="1:9" x14ac:dyDescent="0.3">
      <c r="A12" s="179" t="str">
        <f>'END Jul 2020'!K6</f>
        <v>CovaU</v>
      </c>
      <c r="B12" s="180">
        <f>'END Jul 2020'!G6</f>
        <v>42551</v>
      </c>
      <c r="C12" s="181">
        <f>91*'END Jul 2020'!M6/100</f>
        <v>79.17</v>
      </c>
      <c r="D12" s="181">
        <f>$C$5*'END Jul 2020'!N6/100</f>
        <v>431.99999999999994</v>
      </c>
      <c r="E12" s="182">
        <v>0</v>
      </c>
      <c r="F12" s="181">
        <v>0</v>
      </c>
      <c r="G12" s="181">
        <v>0</v>
      </c>
      <c r="H12" s="183">
        <f t="shared" si="0"/>
        <v>511.16999999999996</v>
      </c>
      <c r="I12" s="202">
        <f t="shared" si="1"/>
        <v>2249.1480000000001</v>
      </c>
    </row>
    <row r="13" spans="1:9" x14ac:dyDescent="0.3">
      <c r="A13" s="179" t="str">
        <f>'END Jul 2020'!K7</f>
        <v>Diamond Energy</v>
      </c>
      <c r="B13" s="180">
        <f>'END Jul 2020'!G7</f>
        <v>42551</v>
      </c>
      <c r="C13" s="181">
        <f>91*'END Jul 2020'!M7/100</f>
        <v>71.89</v>
      </c>
      <c r="D13" s="181">
        <f>$C$5*'END Jul 2020'!N7/100</f>
        <v>462.6</v>
      </c>
      <c r="E13" s="182">
        <v>0</v>
      </c>
      <c r="F13" s="181">
        <v>0</v>
      </c>
      <c r="G13" s="181">
        <v>0</v>
      </c>
      <c r="H13" s="183">
        <f t="shared" si="0"/>
        <v>534.49</v>
      </c>
      <c r="I13" s="202">
        <f t="shared" si="1"/>
        <v>2351.7560000000003</v>
      </c>
    </row>
    <row r="14" spans="1:9" x14ac:dyDescent="0.3">
      <c r="A14" s="179" t="str">
        <f>'END Jul 2020'!K8</f>
        <v>Dodo Power &amp; Gas</v>
      </c>
      <c r="B14" s="180">
        <f>'END Jul 2020'!G8</f>
        <v>42551</v>
      </c>
      <c r="C14" s="181">
        <f>91*'END Jul 2020'!M8/100</f>
        <v>76.812272727272713</v>
      </c>
      <c r="D14" s="181">
        <f>$C$5*'END Jul 2020'!N8/100</f>
        <v>457.69090909090903</v>
      </c>
      <c r="E14" s="182">
        <v>0</v>
      </c>
      <c r="F14" s="181">
        <v>0</v>
      </c>
      <c r="G14" s="181">
        <v>0</v>
      </c>
      <c r="H14" s="183">
        <f t="shared" si="0"/>
        <v>534.5031818181817</v>
      </c>
      <c r="I14" s="202">
        <f t="shared" si="1"/>
        <v>2351.8139999999999</v>
      </c>
    </row>
    <row r="15" spans="1:9" x14ac:dyDescent="0.3">
      <c r="A15" s="179" t="str">
        <f>'END Jul 2020'!K9</f>
        <v>EnergyAustralia</v>
      </c>
      <c r="B15" s="180">
        <f>'END Jul 2020'!G9</f>
        <v>42551</v>
      </c>
      <c r="C15" s="181">
        <f>91*'END Jul 2020'!M9/100</f>
        <v>68.25</v>
      </c>
      <c r="D15" s="181">
        <f>$C$5*'END Jul 2020'!N9/100</f>
        <v>470.78181818181815</v>
      </c>
      <c r="E15" s="182">
        <v>0</v>
      </c>
      <c r="F15" s="181">
        <v>0</v>
      </c>
      <c r="G15" s="181">
        <v>0</v>
      </c>
      <c r="H15" s="183">
        <f t="shared" si="0"/>
        <v>539.03181818181815</v>
      </c>
      <c r="I15" s="202">
        <f t="shared" si="1"/>
        <v>2371.7400000000002</v>
      </c>
    </row>
    <row r="16" spans="1:9" x14ac:dyDescent="0.3">
      <c r="A16" s="179" t="str">
        <f>'END Jul 2020'!K10</f>
        <v>Mojo Power</v>
      </c>
      <c r="B16" s="180">
        <f>'END Jul 2020'!G10</f>
        <v>42553</v>
      </c>
      <c r="C16" s="181">
        <f>91*'END Jul 2020'!M10/100</f>
        <v>87.757090909090891</v>
      </c>
      <c r="D16" s="181">
        <f>$C$5*'END Jul 2020'!N10/100</f>
        <v>442.14545454545458</v>
      </c>
      <c r="E16" s="182">
        <v>0</v>
      </c>
      <c r="F16" s="181">
        <v>0</v>
      </c>
      <c r="G16" s="181">
        <v>0</v>
      </c>
      <c r="H16" s="183">
        <f t="shared" si="0"/>
        <v>529.90254545454547</v>
      </c>
      <c r="I16" s="202">
        <f t="shared" si="1"/>
        <v>2331.5712000000003</v>
      </c>
    </row>
    <row r="17" spans="1:9" x14ac:dyDescent="0.3">
      <c r="A17" s="179" t="str">
        <f>'END Jul 2020'!K11</f>
        <v>Momentum Energy</v>
      </c>
      <c r="B17" s="180">
        <f>'END Jul 2020'!G11</f>
        <v>42551</v>
      </c>
      <c r="C17" s="181">
        <f>91*'END Jul 2020'!M11/100</f>
        <v>86.342454545454544</v>
      </c>
      <c r="D17" s="181">
        <f>$C$5*'END Jul 2020'!N11/100</f>
        <v>444.2727272727272</v>
      </c>
      <c r="E17" s="182">
        <v>0</v>
      </c>
      <c r="F17" s="181">
        <v>0</v>
      </c>
      <c r="G17" s="181">
        <v>0</v>
      </c>
      <c r="H17" s="183">
        <f t="shared" si="0"/>
        <v>530.61518181818178</v>
      </c>
      <c r="I17" s="202">
        <f t="shared" si="1"/>
        <v>2334.7067999999999</v>
      </c>
    </row>
    <row r="18" spans="1:9" x14ac:dyDescent="0.3">
      <c r="A18" s="179" t="str">
        <f>'END Jul 2020'!K12</f>
        <v>Origin Energy</v>
      </c>
      <c r="B18" s="180">
        <f>'END Jul 2020'!G12</f>
        <v>42551</v>
      </c>
      <c r="C18" s="181">
        <f>91*'END Jul 2020'!M12/100</f>
        <v>71.98927272727272</v>
      </c>
      <c r="D18" s="181">
        <f>$C$5*'END Jul 2020'!N12/100</f>
        <v>465.38181818181818</v>
      </c>
      <c r="E18" s="182">
        <v>0</v>
      </c>
      <c r="F18" s="181">
        <v>0</v>
      </c>
      <c r="G18" s="181">
        <v>0</v>
      </c>
      <c r="H18" s="183">
        <f t="shared" si="0"/>
        <v>537.37109090909087</v>
      </c>
      <c r="I18" s="202">
        <f t="shared" si="1"/>
        <v>2364.4328</v>
      </c>
    </row>
    <row r="19" spans="1:9" x14ac:dyDescent="0.3">
      <c r="A19" s="179" t="str">
        <f>'END Jul 2020'!K13</f>
        <v>Powerdirect</v>
      </c>
      <c r="B19" s="180">
        <f>'END Jul 2020'!G13</f>
        <v>42551</v>
      </c>
      <c r="C19" s="181">
        <f>91*'END Jul 2020'!M13/100</f>
        <v>76.485500000000002</v>
      </c>
      <c r="D19" s="181">
        <f>$C$5*'END Jul 2020'!N13/100</f>
        <v>458.63999999999993</v>
      </c>
      <c r="E19" s="182">
        <v>0</v>
      </c>
      <c r="F19" s="181">
        <v>0</v>
      </c>
      <c r="G19" s="181">
        <v>0</v>
      </c>
      <c r="H19" s="183">
        <f t="shared" si="0"/>
        <v>535.12549999999987</v>
      </c>
      <c r="I19" s="202">
        <f t="shared" si="1"/>
        <v>2354.5521999999996</v>
      </c>
    </row>
    <row r="20" spans="1:9" x14ac:dyDescent="0.3">
      <c r="A20" s="179" t="str">
        <f>'END Jul 2020'!K14</f>
        <v>Powershop</v>
      </c>
      <c r="B20" s="180">
        <f>'END Jul 2020'!G14</f>
        <v>42551</v>
      </c>
      <c r="C20" s="181">
        <f>91*'END Jul 2020'!M14/100</f>
        <v>87.078727272727264</v>
      </c>
      <c r="D20" s="181">
        <f>$C$5*'END Jul 2020'!N14/100</f>
        <v>423.98181818181808</v>
      </c>
      <c r="E20" s="182">
        <v>0</v>
      </c>
      <c r="F20" s="181">
        <v>0</v>
      </c>
      <c r="G20" s="181">
        <v>0</v>
      </c>
      <c r="H20" s="183">
        <f t="shared" si="0"/>
        <v>511.06054545454538</v>
      </c>
      <c r="I20" s="202">
        <f t="shared" si="1"/>
        <v>2248.6663999999996</v>
      </c>
    </row>
    <row r="21" spans="1:9" x14ac:dyDescent="0.3">
      <c r="A21" s="179" t="str">
        <f>'END Jul 2020'!K15</f>
        <v>Red Energy</v>
      </c>
      <c r="B21" s="180">
        <f>'END Jul 2020'!G15</f>
        <v>42551</v>
      </c>
      <c r="C21" s="181">
        <f>91*'END Jul 2020'!M15/100</f>
        <v>81.991</v>
      </c>
      <c r="D21" s="181">
        <f>$C$5*'END Jul 2020'!N15/100</f>
        <v>449.99999999999994</v>
      </c>
      <c r="E21" s="182">
        <v>0</v>
      </c>
      <c r="F21" s="181">
        <v>0</v>
      </c>
      <c r="G21" s="181">
        <v>0</v>
      </c>
      <c r="H21" s="183">
        <f t="shared" si="0"/>
        <v>531.99099999999999</v>
      </c>
      <c r="I21" s="202">
        <f t="shared" si="1"/>
        <v>2340.7604000000001</v>
      </c>
    </row>
    <row r="22" spans="1:9" x14ac:dyDescent="0.3">
      <c r="A22" s="179" t="str">
        <f>'END Jul 2020'!K16</f>
        <v>Simply Energy</v>
      </c>
      <c r="B22" s="180">
        <f>'END Jul 2020'!G16</f>
        <v>42551</v>
      </c>
      <c r="C22" s="181">
        <f>91*'END Jul 2020'!M16/100</f>
        <v>72.857909090909075</v>
      </c>
      <c r="D22" s="181">
        <f>$C$5*'END Jul 2020'!N16/100</f>
        <v>464.07272727272721</v>
      </c>
      <c r="E22" s="182">
        <v>0</v>
      </c>
      <c r="F22" s="181">
        <v>0</v>
      </c>
      <c r="G22" s="181">
        <v>0</v>
      </c>
      <c r="H22" s="183">
        <f t="shared" si="0"/>
        <v>536.93063636363627</v>
      </c>
      <c r="I22" s="202">
        <f t="shared" si="1"/>
        <v>2362.4947999999999</v>
      </c>
    </row>
    <row r="23" spans="1:9" x14ac:dyDescent="0.3">
      <c r="A23" s="179" t="str">
        <f>'END Jul 2020'!K17</f>
        <v>1st Energy</v>
      </c>
      <c r="B23" s="180">
        <f>'END Jul 2020'!G17</f>
        <v>42551</v>
      </c>
      <c r="C23" s="181">
        <f>91*'END Jul 2020'!M17/100</f>
        <v>90.999999999999986</v>
      </c>
      <c r="D23" s="181">
        <f>IF($C$5&lt;='END Jul 2020'!P17,($C$5*'END Jul 2020'!N17/100),('END Jul 2020'!P17*'END Jul 2020'!N17/100))</f>
        <v>327.43636363636364</v>
      </c>
      <c r="E23" s="182">
        <v>0</v>
      </c>
      <c r="F23" s="181">
        <v>0</v>
      </c>
      <c r="G23" s="181">
        <f>IF(($C$5&lt;'END Jul 2020'!R17),(0),($C$5-'END Jul 2020'!R17)*'END Jul 2020'!S17/100)</f>
        <v>125.55</v>
      </c>
      <c r="H23" s="183">
        <f t="shared" si="0"/>
        <v>543.98636363636365</v>
      </c>
      <c r="I23" s="202">
        <f t="shared" si="1"/>
        <v>2393.5400000000004</v>
      </c>
    </row>
    <row r="24" spans="1:9" x14ac:dyDescent="0.3">
      <c r="A24" s="179" t="str">
        <f>'END Jul 2020'!K18</f>
        <v>Amaysim</v>
      </c>
      <c r="B24" s="180">
        <f>'END Jul 2020'!G18</f>
        <v>42551</v>
      </c>
      <c r="C24" s="181">
        <f>91*'END Jul 2020'!M18/100</f>
        <v>82.354999999999976</v>
      </c>
      <c r="D24" s="181">
        <f>$C$5*'END Jul 2020'!N18/100</f>
        <v>449.99999999999994</v>
      </c>
      <c r="E24" s="182">
        <v>0</v>
      </c>
      <c r="F24" s="181">
        <v>0</v>
      </c>
      <c r="G24" s="181">
        <v>0</v>
      </c>
      <c r="H24" s="183">
        <f t="shared" si="0"/>
        <v>532.3549999999999</v>
      </c>
      <c r="I24" s="202">
        <f t="shared" si="1"/>
        <v>2342.3619999999996</v>
      </c>
    </row>
    <row r="25" spans="1:9" x14ac:dyDescent="0.3">
      <c r="A25" s="251" t="str">
        <f>'END Jul 2020'!K19</f>
        <v>ReAmped Energy</v>
      </c>
      <c r="B25" s="180">
        <f>'END Jul 2020'!G19</f>
        <v>42551</v>
      </c>
      <c r="C25" s="181">
        <f>91*'END Jul 2020'!M19/100</f>
        <v>104.55072727272726</v>
      </c>
      <c r="D25" s="181">
        <f>$C$5*'END Jul 2020'!N19/100</f>
        <v>414</v>
      </c>
      <c r="E25" s="182">
        <v>0</v>
      </c>
      <c r="F25" s="181">
        <v>0</v>
      </c>
      <c r="G25" s="181">
        <v>0</v>
      </c>
      <c r="H25" s="183">
        <f t="shared" si="0"/>
        <v>518.55072727272727</v>
      </c>
      <c r="I25" s="202">
        <f t="shared" si="1"/>
        <v>2281.6232</v>
      </c>
    </row>
    <row r="26" spans="1:9" x14ac:dyDescent="0.3">
      <c r="A26" s="251" t="str">
        <f>'END Jul 2020'!K20</f>
        <v>Enova Energy</v>
      </c>
      <c r="B26" s="180">
        <f>'END Jul 2020'!G20</f>
        <v>42551</v>
      </c>
      <c r="C26" s="181">
        <f>91*'END Jul 2020'!M20/100</f>
        <v>86.449999999999989</v>
      </c>
      <c r="D26" s="181">
        <f>$C$5*'END Jul 2020'!N20/100</f>
        <v>442.79999999999995</v>
      </c>
      <c r="E26" s="182">
        <v>0</v>
      </c>
      <c r="F26" s="181">
        <v>0</v>
      </c>
      <c r="G26" s="181">
        <v>0</v>
      </c>
      <c r="H26" s="183">
        <f t="shared" ref="H26:H32" si="2">SUM(C26:G26)</f>
        <v>529.25</v>
      </c>
      <c r="I26" s="202">
        <f t="shared" ref="I26:I32" si="3">(H26*4)*1.1</f>
        <v>2328.7000000000003</v>
      </c>
    </row>
    <row r="27" spans="1:9" x14ac:dyDescent="0.3">
      <c r="A27" s="251" t="str">
        <f>'END Jul 2020'!K21</f>
        <v>Discover Energy</v>
      </c>
      <c r="B27" s="180">
        <f>'END Jul 2020'!G21</f>
        <v>42551</v>
      </c>
      <c r="C27" s="181">
        <f>91*'END Jul 2020'!M21/100</f>
        <v>71.434999999999988</v>
      </c>
      <c r="D27" s="181">
        <f>$C$5*'END Jul 2020'!N21/100</f>
        <v>466.0363636363636</v>
      </c>
      <c r="E27" s="182">
        <v>0</v>
      </c>
      <c r="F27" s="181">
        <v>0</v>
      </c>
      <c r="G27" s="181">
        <v>0</v>
      </c>
      <c r="H27" s="183">
        <f t="shared" si="2"/>
        <v>537.47136363636355</v>
      </c>
      <c r="I27" s="202">
        <f t="shared" si="3"/>
        <v>2364.8739999999998</v>
      </c>
    </row>
    <row r="28" spans="1:9" x14ac:dyDescent="0.3">
      <c r="A28" s="251" t="str">
        <f>'END Jul 2020'!K22</f>
        <v>Future X Power</v>
      </c>
      <c r="B28" s="180">
        <f>'END Jul 2020'!G22</f>
        <v>42494</v>
      </c>
      <c r="C28" s="181">
        <f>91*'END Jul 2020'!M22/100</f>
        <v>75.711999999999989</v>
      </c>
      <c r="D28" s="181">
        <f>$C$5*'END Jul 2020'!N22/100</f>
        <v>462.76363636363635</v>
      </c>
      <c r="E28" s="182">
        <v>0</v>
      </c>
      <c r="F28" s="181">
        <v>0</v>
      </c>
      <c r="G28" s="181">
        <v>0</v>
      </c>
      <c r="H28" s="183">
        <f t="shared" si="2"/>
        <v>538.47563636363634</v>
      </c>
      <c r="I28" s="202">
        <f t="shared" si="3"/>
        <v>2369.2928000000002</v>
      </c>
    </row>
    <row r="29" spans="1:9" x14ac:dyDescent="0.3">
      <c r="A29" s="251" t="str">
        <f>'END Jul 2020'!K23</f>
        <v>Nectr</v>
      </c>
      <c r="B29" s="180">
        <f>'END Jul 2020'!G23</f>
        <v>42551</v>
      </c>
      <c r="C29" s="181">
        <f>91*'END Jul 2020'!M23/100</f>
        <v>72.526999999999987</v>
      </c>
      <c r="D29" s="181">
        <f>$C$5*'END Jul 2020'!N23/100</f>
        <v>464.39999999999992</v>
      </c>
      <c r="E29" s="182">
        <v>0</v>
      </c>
      <c r="F29" s="181">
        <v>0</v>
      </c>
      <c r="G29" s="181">
        <v>0</v>
      </c>
      <c r="H29" s="183">
        <f t="shared" si="2"/>
        <v>536.92699999999991</v>
      </c>
      <c r="I29" s="202">
        <f t="shared" si="3"/>
        <v>2362.4787999999999</v>
      </c>
    </row>
    <row r="30" spans="1:9" x14ac:dyDescent="0.3">
      <c r="A30" s="251" t="str">
        <f>'END Jul 2020'!K24</f>
        <v>People Energy</v>
      </c>
      <c r="B30" s="180">
        <f>'END Jul 2020'!G24</f>
        <v>42551</v>
      </c>
      <c r="C30" s="181">
        <f>91*'END Jul 2020'!M24/100</f>
        <v>87.757090909090891</v>
      </c>
      <c r="D30" s="181">
        <f>$C$5*'END Jul 2020'!N24/100</f>
        <v>442.14545454545458</v>
      </c>
      <c r="E30" s="182">
        <v>0</v>
      </c>
      <c r="F30" s="181">
        <v>0</v>
      </c>
      <c r="G30" s="181">
        <v>0</v>
      </c>
      <c r="H30" s="183">
        <f t="shared" si="2"/>
        <v>529.90254545454547</v>
      </c>
      <c r="I30" s="202">
        <f t="shared" si="3"/>
        <v>2331.5712000000003</v>
      </c>
    </row>
    <row r="31" spans="1:9" x14ac:dyDescent="0.3">
      <c r="A31" s="251" t="str">
        <f>'END Jul 2020'!K25</f>
        <v>Elysian Energy</v>
      </c>
      <c r="B31" s="180">
        <f>'END Jul 2020'!G25</f>
        <v>42551</v>
      </c>
      <c r="C31" s="181">
        <f>91*'END Jul 2020'!M25/100</f>
        <v>78.483363636363634</v>
      </c>
      <c r="D31" s="181">
        <f>$C$5*'END Jul 2020'!N25/100</f>
        <v>378.32727272727271</v>
      </c>
      <c r="E31" s="182">
        <v>0</v>
      </c>
      <c r="F31" s="181">
        <v>0</v>
      </c>
      <c r="G31" s="181">
        <v>0</v>
      </c>
      <c r="H31" s="183">
        <f t="shared" si="2"/>
        <v>456.81063636363638</v>
      </c>
      <c r="I31" s="202">
        <f t="shared" si="3"/>
        <v>2009.9668000000001</v>
      </c>
    </row>
    <row r="32" spans="1:9" x14ac:dyDescent="0.3">
      <c r="A32" s="251" t="str">
        <f>'END Jul 2020'!K26</f>
        <v>OVO Energy</v>
      </c>
      <c r="B32" s="180">
        <f>'END Jul 2020'!G26</f>
        <v>42551</v>
      </c>
      <c r="C32" s="181">
        <f>91*'END Jul 2020'!M26/100</f>
        <v>76.530999999999992</v>
      </c>
      <c r="D32" s="181">
        <f>$C$5*'END Jul 2020'!N26/100</f>
        <v>414.16363636363627</v>
      </c>
      <c r="E32" s="182">
        <v>0</v>
      </c>
      <c r="F32" s="181">
        <v>0</v>
      </c>
      <c r="G32" s="181">
        <v>0</v>
      </c>
      <c r="H32" s="183">
        <f t="shared" si="2"/>
        <v>490.69463636363628</v>
      </c>
      <c r="I32" s="202">
        <f t="shared" si="3"/>
        <v>2159.0563999999999</v>
      </c>
    </row>
    <row r="33" spans="1:9" x14ac:dyDescent="0.3">
      <c r="A33" s="251" t="str">
        <f>'END Jul 2020'!K27</f>
        <v>Sumo Power</v>
      </c>
      <c r="B33" s="180">
        <f>'END Jul 2020'!G27</f>
        <v>42551</v>
      </c>
      <c r="C33" s="181">
        <f>91*'END Jul 2020'!M27/100</f>
        <v>100.09999999999998</v>
      </c>
      <c r="D33" s="181">
        <f>$C$5*'END Jul 2020'!N27/100</f>
        <v>423</v>
      </c>
      <c r="E33" s="182">
        <v>0</v>
      </c>
      <c r="F33" s="181">
        <v>0</v>
      </c>
      <c r="G33" s="181">
        <v>0</v>
      </c>
      <c r="H33" s="183">
        <f t="shared" ref="H33:H34" si="4">SUM(C33:G33)</f>
        <v>523.1</v>
      </c>
      <c r="I33" s="202">
        <f t="shared" ref="I33:I34" si="5">(H33*4)*1.1</f>
        <v>2301.6400000000003</v>
      </c>
    </row>
    <row r="34" spans="1:9" ht="14" thickBot="1" x14ac:dyDescent="0.35">
      <c r="A34" s="184" t="str">
        <f>'END Jul 2020'!K28</f>
        <v>Tango Energy</v>
      </c>
      <c r="B34" s="185">
        <f>'END Jul 2020'!G28</f>
        <v>42551</v>
      </c>
      <c r="C34" s="186">
        <f>91*'END Jul 2020'!M28/100</f>
        <v>87.268999999999991</v>
      </c>
      <c r="D34" s="186">
        <f>$C$5*'END Jul 2020'!N28/100</f>
        <v>442.79999999999995</v>
      </c>
      <c r="E34" s="187">
        <v>0</v>
      </c>
      <c r="F34" s="186">
        <v>0</v>
      </c>
      <c r="G34" s="186">
        <v>0</v>
      </c>
      <c r="H34" s="188">
        <f t="shared" si="4"/>
        <v>530.06899999999996</v>
      </c>
      <c r="I34" s="203">
        <f t="shared" si="5"/>
        <v>2332.3036000000002</v>
      </c>
    </row>
    <row r="35" spans="1:9" s="266" customFormat="1" x14ac:dyDescent="0.3"/>
    <row r="36" spans="1:9" ht="14" thickBot="1" x14ac:dyDescent="0.35"/>
    <row r="37" spans="1:9" ht="14" x14ac:dyDescent="0.3">
      <c r="A37" s="176" t="s">
        <v>89</v>
      </c>
      <c r="B37" s="91"/>
      <c r="C37" s="91"/>
      <c r="D37" s="91"/>
      <c r="E37" s="91"/>
      <c r="F37" s="91"/>
      <c r="G37" s="91"/>
      <c r="H37" s="91"/>
      <c r="I37" s="177"/>
    </row>
    <row r="38" spans="1:9" ht="14" x14ac:dyDescent="0.3">
      <c r="A38" s="92" t="s">
        <v>79</v>
      </c>
      <c r="B38" s="93"/>
      <c r="C38" s="168">
        <v>2000</v>
      </c>
      <c r="D38" s="93"/>
      <c r="E38" s="93"/>
      <c r="F38" s="93"/>
      <c r="G38" s="93"/>
      <c r="H38" s="93"/>
      <c r="I38" s="178"/>
    </row>
    <row r="39" spans="1:9" ht="14" x14ac:dyDescent="0.3">
      <c r="A39" s="92" t="s">
        <v>91</v>
      </c>
      <c r="B39" s="93"/>
      <c r="C39" s="257">
        <v>0.7</v>
      </c>
      <c r="D39" s="93"/>
      <c r="E39" s="93"/>
      <c r="F39" s="93"/>
      <c r="G39" s="93"/>
      <c r="H39" s="93"/>
      <c r="I39" s="178"/>
    </row>
    <row r="40" spans="1:9" ht="14" x14ac:dyDescent="0.3">
      <c r="A40" s="92" t="s">
        <v>92</v>
      </c>
      <c r="B40" s="93"/>
      <c r="C40" s="257">
        <v>0.3</v>
      </c>
      <c r="D40" s="93"/>
      <c r="E40" s="93"/>
      <c r="F40" s="93"/>
      <c r="G40" s="93"/>
      <c r="H40" s="93"/>
      <c r="I40" s="178"/>
    </row>
    <row r="41" spans="1:9" ht="14" x14ac:dyDescent="0.3">
      <c r="A41" s="92"/>
      <c r="B41" s="93"/>
      <c r="C41" s="93"/>
      <c r="D41" s="93"/>
      <c r="E41" s="93"/>
      <c r="F41" s="93"/>
      <c r="G41" s="93"/>
      <c r="H41" s="93"/>
      <c r="I41" s="178"/>
    </row>
    <row r="42" spans="1:9" ht="28" x14ac:dyDescent="0.3">
      <c r="A42" s="301" t="s">
        <v>80</v>
      </c>
      <c r="B42" s="298" t="s">
        <v>81</v>
      </c>
      <c r="C42" s="298" t="s">
        <v>82</v>
      </c>
      <c r="D42" s="298" t="s">
        <v>83</v>
      </c>
      <c r="E42" s="298" t="s">
        <v>84</v>
      </c>
      <c r="F42" s="298" t="s">
        <v>86</v>
      </c>
      <c r="G42" s="298" t="s">
        <v>93</v>
      </c>
      <c r="H42" s="298" t="s">
        <v>87</v>
      </c>
      <c r="I42" s="300" t="s">
        <v>88</v>
      </c>
    </row>
    <row r="43" spans="1:9" x14ac:dyDescent="0.3">
      <c r="A43" s="179" t="str">
        <f>'END Jul 2020'!K29</f>
        <v>AGL</v>
      </c>
      <c r="B43" s="180">
        <f>'END Jul 2020'!G29</f>
        <v>42551</v>
      </c>
      <c r="C43" s="181">
        <f>91*'END Jul 2020'!M29/100</f>
        <v>81.949636363636344</v>
      </c>
      <c r="D43" s="181">
        <f>($C$38*$C$39)*'END Jul 2020'!N29/100</f>
        <v>356.74545454545455</v>
      </c>
      <c r="E43" s="182">
        <v>0</v>
      </c>
      <c r="F43" s="181">
        <v>0</v>
      </c>
      <c r="G43" s="181">
        <f>($C$38*$C$40)*'END Jul 2020'!AE29/100</f>
        <v>68.399999999999991</v>
      </c>
      <c r="H43" s="183">
        <f t="shared" ref="H43:H59" si="6">SUM(C43:G43)</f>
        <v>507.09509090909086</v>
      </c>
      <c r="I43" s="202">
        <f t="shared" ref="I43:I59" si="7">(H43*4)*1.1</f>
        <v>2231.2183999999997</v>
      </c>
    </row>
    <row r="44" spans="1:9" x14ac:dyDescent="0.3">
      <c r="A44" s="179" t="str">
        <f>'END Jul 2020'!K30</f>
        <v>Alinta Energy</v>
      </c>
      <c r="B44" s="180">
        <f>'END Jul 2020'!G30</f>
        <v>42551</v>
      </c>
      <c r="C44" s="181">
        <f>91*'END Jul 2020'!M30/100</f>
        <v>79.151800000000009</v>
      </c>
      <c r="D44" s="181">
        <f>($C$38*$C$39)*'END Jul 2020'!N30/100</f>
        <v>360.08</v>
      </c>
      <c r="E44" s="182">
        <v>0</v>
      </c>
      <c r="F44" s="181">
        <v>0</v>
      </c>
      <c r="G44" s="181">
        <f>($C$38*$C$40)*'END Jul 2020'!AE30/100</f>
        <v>63.899999999999991</v>
      </c>
      <c r="H44" s="183">
        <f t="shared" si="6"/>
        <v>503.1318</v>
      </c>
      <c r="I44" s="202">
        <f t="shared" si="7"/>
        <v>2213.7799199999999</v>
      </c>
    </row>
    <row r="45" spans="1:9" x14ac:dyDescent="0.3">
      <c r="A45" s="179" t="str">
        <f>'END Jul 2020'!K31</f>
        <v>Click Energy</v>
      </c>
      <c r="B45" s="180">
        <f>'END Jul 2020'!G31</f>
        <v>42551</v>
      </c>
      <c r="C45" s="181">
        <f>91*'END Jul 2020'!M31/100</f>
        <v>82.354999999999976</v>
      </c>
      <c r="D45" s="181">
        <f>($C$38*$C$39)*'END Jul 2020'!N31/100</f>
        <v>349.99999999999994</v>
      </c>
      <c r="E45" s="182">
        <v>0</v>
      </c>
      <c r="F45" s="181">
        <v>0</v>
      </c>
      <c r="G45" s="181">
        <f>($C$38*$C$40)*'END Jul 2020'!AE31/100</f>
        <v>92.127272727272725</v>
      </c>
      <c r="H45" s="183">
        <f t="shared" si="6"/>
        <v>524.48227272727263</v>
      </c>
      <c r="I45" s="202">
        <f t="shared" si="7"/>
        <v>2307.7219999999998</v>
      </c>
    </row>
    <row r="46" spans="1:9" x14ac:dyDescent="0.3">
      <c r="A46" s="179" t="str">
        <f>'END Jul 2020'!K32</f>
        <v>Commander</v>
      </c>
      <c r="B46" s="180">
        <f>'END Jul 2020'!G32</f>
        <v>42551</v>
      </c>
      <c r="C46" s="181">
        <f>91*'END Jul 2020'!M32/100</f>
        <v>85.920545454545447</v>
      </c>
      <c r="D46" s="181">
        <f>($C$38*$C$39)*'END Jul 2020'!N32/100</f>
        <v>355.98181818181814</v>
      </c>
      <c r="E46" s="182">
        <v>0</v>
      </c>
      <c r="F46" s="181">
        <v>0</v>
      </c>
      <c r="G46" s="181">
        <f>($C$38*$C$40)*'END Jul 2020'!AE32/100</f>
        <v>81.763636363636365</v>
      </c>
      <c r="H46" s="183">
        <f t="shared" si="6"/>
        <v>523.66599999999994</v>
      </c>
      <c r="I46" s="202">
        <f t="shared" si="7"/>
        <v>2304.1304</v>
      </c>
    </row>
    <row r="47" spans="1:9" x14ac:dyDescent="0.3">
      <c r="A47" s="179" t="str">
        <f>'END Jul 2020'!K33</f>
        <v>CovaU</v>
      </c>
      <c r="B47" s="180">
        <f>'END Jul 2020'!G33</f>
        <v>42551</v>
      </c>
      <c r="C47" s="181">
        <f>91*'END Jul 2020'!M33/100</f>
        <v>79.17</v>
      </c>
      <c r="D47" s="181">
        <f>($C$38*$C$39)*'END Jul 2020'!N33/100</f>
        <v>335.99999999999994</v>
      </c>
      <c r="E47" s="182">
        <v>0</v>
      </c>
      <c r="F47" s="181">
        <v>0</v>
      </c>
      <c r="G47" s="181">
        <f>($C$38*$C$40)*'END Jul 2020'!AE33/100</f>
        <v>96</v>
      </c>
      <c r="H47" s="183">
        <f t="shared" si="6"/>
        <v>511.16999999999996</v>
      </c>
      <c r="I47" s="202">
        <f t="shared" si="7"/>
        <v>2249.1480000000001</v>
      </c>
    </row>
    <row r="48" spans="1:9" x14ac:dyDescent="0.3">
      <c r="A48" s="179" t="str">
        <f>'END Jul 2020'!K34</f>
        <v>Diamond Energy</v>
      </c>
      <c r="B48" s="180">
        <f>'END Jul 2020'!G34</f>
        <v>42551</v>
      </c>
      <c r="C48" s="181">
        <f>91*'END Jul 2020'!M34/100</f>
        <v>77.581636363636363</v>
      </c>
      <c r="D48" s="181">
        <f>($C$38*$C$39)*'END Jul 2020'!N34/100</f>
        <v>359.8</v>
      </c>
      <c r="E48" s="182">
        <v>0</v>
      </c>
      <c r="F48" s="181">
        <v>0</v>
      </c>
      <c r="G48" s="181">
        <f>($C$38*$C$40)*'END Jul 2020'!AE34/100</f>
        <v>80.999999999999986</v>
      </c>
      <c r="H48" s="183">
        <f t="shared" si="6"/>
        <v>518.3816363636364</v>
      </c>
      <c r="I48" s="202">
        <f t="shared" si="7"/>
        <v>2280.8792000000003</v>
      </c>
    </row>
    <row r="49" spans="1:9" x14ac:dyDescent="0.3">
      <c r="A49" s="179" t="str">
        <f>'END Jul 2020'!K35</f>
        <v>Dodo Power &amp; Gas</v>
      </c>
      <c r="B49" s="180">
        <f>'END Jul 2020'!G35</f>
        <v>42551</v>
      </c>
      <c r="C49" s="181">
        <f>91*'END Jul 2020'!M35/100</f>
        <v>85.920545454545447</v>
      </c>
      <c r="D49" s="181">
        <f>($C$38*$C$39)*'END Jul 2020'!N35/100</f>
        <v>355.98181818181814</v>
      </c>
      <c r="E49" s="182">
        <v>0</v>
      </c>
      <c r="F49" s="181">
        <v>0</v>
      </c>
      <c r="G49" s="181">
        <f>($C$38*$C$40)*'END Jul 2020'!AE35/100</f>
        <v>81.763636363636365</v>
      </c>
      <c r="H49" s="183">
        <f t="shared" si="6"/>
        <v>523.66599999999994</v>
      </c>
      <c r="I49" s="202">
        <f t="shared" si="7"/>
        <v>2304.1304</v>
      </c>
    </row>
    <row r="50" spans="1:9" x14ac:dyDescent="0.3">
      <c r="A50" s="179" t="str">
        <f>'END Jul 2020'!K36</f>
        <v>EnergyAustralia</v>
      </c>
      <c r="B50" s="180">
        <f>'END Jul 2020'!G36</f>
        <v>42551</v>
      </c>
      <c r="C50" s="181">
        <f>91*'END Jul 2020'!M36/100</f>
        <v>70.069999999999993</v>
      </c>
      <c r="D50" s="181">
        <f>($C$38*$C$39)*'END Jul 2020'!N36/100</f>
        <v>366.16363636363633</v>
      </c>
      <c r="E50" s="182">
        <v>0</v>
      </c>
      <c r="F50" s="181">
        <v>0</v>
      </c>
      <c r="G50" s="181">
        <f>($C$38*$C$40)*'END Jul 2020'!AE36/100</f>
        <v>80.181818181818173</v>
      </c>
      <c r="H50" s="183">
        <f t="shared" si="6"/>
        <v>516.41545454545451</v>
      </c>
      <c r="I50" s="202">
        <f t="shared" si="7"/>
        <v>2272.2280000000001</v>
      </c>
    </row>
    <row r="51" spans="1:9" x14ac:dyDescent="0.3">
      <c r="A51" s="179" t="str">
        <f>'END Jul 2020'!K37</f>
        <v>Mojo Power</v>
      </c>
      <c r="B51" s="180">
        <f>'END Jul 2020'!G37</f>
        <v>42553</v>
      </c>
      <c r="C51" s="181">
        <f>91*'END Jul 2020'!M37/100</f>
        <v>82.570090909090908</v>
      </c>
      <c r="D51" s="181">
        <f>($C$38*$C$39)*'END Jul 2020'!N37/100</f>
        <v>344.78181818181815</v>
      </c>
      <c r="E51" s="182">
        <v>0</v>
      </c>
      <c r="F51" s="181">
        <v>0</v>
      </c>
      <c r="G51" s="181">
        <f>($C$38*$C$40)*'END Jul 2020'!AE37/100</f>
        <v>97.145454545454527</v>
      </c>
      <c r="H51" s="183">
        <f t="shared" si="6"/>
        <v>524.49736363636362</v>
      </c>
      <c r="I51" s="202">
        <f t="shared" si="7"/>
        <v>2307.7883999999999</v>
      </c>
    </row>
    <row r="52" spans="1:9" x14ac:dyDescent="0.3">
      <c r="A52" s="179" t="str">
        <f>'END Jul 2020'!K38</f>
        <v>Momentum Energy</v>
      </c>
      <c r="B52" s="180">
        <f>'END Jul 2020'!G38</f>
        <v>42551</v>
      </c>
      <c r="C52" s="181">
        <f>91*'END Jul 2020'!M38/100</f>
        <v>89.568818181818173</v>
      </c>
      <c r="D52" s="181">
        <f>($C$38*$C$39)*'END Jul 2020'!N38/100</f>
        <v>350.89090909090902</v>
      </c>
      <c r="E52" s="182">
        <v>0</v>
      </c>
      <c r="F52" s="181">
        <v>0</v>
      </c>
      <c r="G52" s="181">
        <f>($C$38*$C$40)*'END Jul 2020'!AE38/100</f>
        <v>83.4</v>
      </c>
      <c r="H52" s="183">
        <f t="shared" si="6"/>
        <v>523.85972727272724</v>
      </c>
      <c r="I52" s="202">
        <f t="shared" si="7"/>
        <v>2304.9828000000002</v>
      </c>
    </row>
    <row r="53" spans="1:9" x14ac:dyDescent="0.3">
      <c r="A53" s="179" t="str">
        <f>'END Jul 2020'!K39</f>
        <v>Origin Energy</v>
      </c>
      <c r="B53" s="180">
        <f>'END Jul 2020'!G39</f>
        <v>42551</v>
      </c>
      <c r="C53" s="181">
        <f>91*'END Jul 2020'!M39/100</f>
        <v>77.656090909090892</v>
      </c>
      <c r="D53" s="181">
        <f>($C$38*$C$39)*'END Jul 2020'!N39/100</f>
        <v>361.9636363636364</v>
      </c>
      <c r="E53" s="182">
        <v>0</v>
      </c>
      <c r="F53" s="181">
        <v>0</v>
      </c>
      <c r="G53" s="181">
        <f>($C$38*$C$40)*'END Jul 2020'!AE39/100</f>
        <v>63.763636363636351</v>
      </c>
      <c r="H53" s="183">
        <f t="shared" si="6"/>
        <v>503.38336363636364</v>
      </c>
      <c r="I53" s="202">
        <f t="shared" si="7"/>
        <v>2214.8868000000002</v>
      </c>
    </row>
    <row r="54" spans="1:9" x14ac:dyDescent="0.3">
      <c r="A54" s="179" t="str">
        <f>'END Jul 2020'!K40</f>
        <v>Powerdirect</v>
      </c>
      <c r="B54" s="180">
        <f>'END Jul 2020'!G40</f>
        <v>42551</v>
      </c>
      <c r="C54" s="181">
        <f>91*'END Jul 2020'!M40/100</f>
        <v>81.945499999999996</v>
      </c>
      <c r="D54" s="181">
        <f>($C$38*$C$39)*'END Jul 2020'!N40/100</f>
        <v>356.71999999999991</v>
      </c>
      <c r="E54" s="182">
        <v>0</v>
      </c>
      <c r="F54" s="181">
        <v>0</v>
      </c>
      <c r="G54" s="181">
        <f>($C$38*$C$40)*'END Jul 2020'!AE40/100</f>
        <v>85.199999999999989</v>
      </c>
      <c r="H54" s="183">
        <f t="shared" si="6"/>
        <v>523.86549999999988</v>
      </c>
      <c r="I54" s="202">
        <f t="shared" si="7"/>
        <v>2305.0081999999998</v>
      </c>
    </row>
    <row r="55" spans="1:9" x14ac:dyDescent="0.3">
      <c r="A55" s="179" t="str">
        <f>'END Jul 2020'!K41</f>
        <v>Powershop</v>
      </c>
      <c r="B55" s="180">
        <f>'END Jul 2020'!G41</f>
        <v>42551</v>
      </c>
      <c r="C55" s="181">
        <f>91*'END Jul 2020'!M41/100</f>
        <v>92.364999999999995</v>
      </c>
      <c r="D55" s="181">
        <f>($C$38*$C$39)*'END Jul 2020'!N41/100</f>
        <v>329.76363636363635</v>
      </c>
      <c r="E55" s="182">
        <v>0</v>
      </c>
      <c r="F55" s="181">
        <v>0</v>
      </c>
      <c r="G55" s="181">
        <f>($C$38*$C$40)*'END Jul 2020'!AE41/100</f>
        <v>67.527272727272717</v>
      </c>
      <c r="H55" s="183">
        <f t="shared" si="6"/>
        <v>489.65590909090906</v>
      </c>
      <c r="I55" s="202">
        <f t="shared" si="7"/>
        <v>2154.4859999999999</v>
      </c>
    </row>
    <row r="56" spans="1:9" x14ac:dyDescent="0.3">
      <c r="A56" s="179" t="str">
        <f>'END Jul 2020'!K42</f>
        <v>Red Energy</v>
      </c>
      <c r="B56" s="180">
        <f>'END Jul 2020'!G42</f>
        <v>42551</v>
      </c>
      <c r="C56" s="181">
        <f>91*'END Jul 2020'!M42/100</f>
        <v>81.991</v>
      </c>
      <c r="D56" s="181">
        <f>($C$38*$C$39)*'END Jul 2020'!N42/100</f>
        <v>349.99999999999994</v>
      </c>
      <c r="E56" s="182">
        <v>0</v>
      </c>
      <c r="F56" s="181">
        <v>0</v>
      </c>
      <c r="G56" s="181">
        <f>($C$38*$C$40)*'END Jul 2020'!AE42/100</f>
        <v>91.199999999999989</v>
      </c>
      <c r="H56" s="183">
        <f t="shared" si="6"/>
        <v>523.19099999999992</v>
      </c>
      <c r="I56" s="202">
        <f t="shared" si="7"/>
        <v>2302.0403999999999</v>
      </c>
    </row>
    <row r="57" spans="1:9" x14ac:dyDescent="0.3">
      <c r="A57" s="179" t="str">
        <f>'END Jul 2020'!K43</f>
        <v>Simply Energy</v>
      </c>
      <c r="B57" s="180">
        <f>'END Jul 2020'!G43</f>
        <v>42551</v>
      </c>
      <c r="C57" s="181">
        <f>91*'END Jul 2020'!M43/100</f>
        <v>75.786454545454546</v>
      </c>
      <c r="D57" s="181">
        <f>($C$38*$C$39)*'END Jul 2020'!N43/100</f>
        <v>360.94545454545448</v>
      </c>
      <c r="E57" s="182">
        <v>0</v>
      </c>
      <c r="F57" s="181">
        <v>0</v>
      </c>
      <c r="G57" s="181">
        <f>($C$38*$C$40)*'END Jul 2020'!AE43/100</f>
        <v>88.254545454545436</v>
      </c>
      <c r="H57" s="183">
        <f t="shared" si="6"/>
        <v>524.98645454545442</v>
      </c>
      <c r="I57" s="202">
        <f t="shared" si="7"/>
        <v>2309.9403999999995</v>
      </c>
    </row>
    <row r="58" spans="1:9" x14ac:dyDescent="0.3">
      <c r="A58" s="179" t="str">
        <f>'END Jul 2020'!K44</f>
        <v>1st Energy</v>
      </c>
      <c r="B58" s="180">
        <f>'END Jul 2020'!G44</f>
        <v>42551</v>
      </c>
      <c r="C58" s="181">
        <f>91*'END Jul 2020'!M44/100</f>
        <v>95.549999999999983</v>
      </c>
      <c r="D58" s="181">
        <f>IF($C$38*$C$39&gt;='END Jul 2020'!P44,('END Jul 2020'!P44*'END Jul 2020'!N44/100),(($C$38*$C$39)*'END Jul 2020'!N44/100))</f>
        <v>327.43636363636364</v>
      </c>
      <c r="E58" s="182">
        <v>0</v>
      </c>
      <c r="F58" s="181">
        <f>IF(($C$38*$C$39&lt;'END Jul 2020'!R44),(0),($C$38*$C$39-'END Jul 2020'!R44)*'END Jul 2020'!S44/100)</f>
        <v>13.95</v>
      </c>
      <c r="G58" s="181">
        <f>($C$38*$C$40)*'END Jul 2020'!AE44/100</f>
        <v>75.599999999999994</v>
      </c>
      <c r="H58" s="183">
        <f t="shared" si="6"/>
        <v>512.5363636363636</v>
      </c>
      <c r="I58" s="202">
        <f t="shared" si="7"/>
        <v>2255.16</v>
      </c>
    </row>
    <row r="59" spans="1:9" x14ac:dyDescent="0.3">
      <c r="A59" s="179" t="str">
        <f>'END Jul 2020'!K45</f>
        <v>Amaysim</v>
      </c>
      <c r="B59" s="180">
        <f>'END Jul 2020'!G45</f>
        <v>42551</v>
      </c>
      <c r="C59" s="181">
        <f>91*'END Jul 2020'!M45/100</f>
        <v>82.354999999999976</v>
      </c>
      <c r="D59" s="181">
        <f>($C$38*$C$39)*'END Jul 2020'!N45/100</f>
        <v>349.99999999999994</v>
      </c>
      <c r="E59" s="182">
        <v>0</v>
      </c>
      <c r="F59" s="181">
        <v>0</v>
      </c>
      <c r="G59" s="181">
        <f>($C$38*$C$40)*'END Jul 2020'!AE45/100</f>
        <v>92.127272727272725</v>
      </c>
      <c r="H59" s="183">
        <f t="shared" si="6"/>
        <v>524.48227272727263</v>
      </c>
      <c r="I59" s="202">
        <f t="shared" si="7"/>
        <v>2307.7219999999998</v>
      </c>
    </row>
    <row r="60" spans="1:9" x14ac:dyDescent="0.3">
      <c r="A60" s="179" t="str">
        <f>'END Jul 2020'!K46</f>
        <v>ReAmped Energy</v>
      </c>
      <c r="B60" s="180">
        <f>'END Jul 2020'!G46</f>
        <v>42551</v>
      </c>
      <c r="C60" s="181">
        <f>91*'END Jul 2020'!M46/100</f>
        <v>91.521181818181816</v>
      </c>
      <c r="D60" s="181">
        <f>($C$38*$C$39)*'END Jul 2020'!N46/100</f>
        <v>322</v>
      </c>
      <c r="E60" s="182">
        <v>0</v>
      </c>
      <c r="F60" s="181">
        <v>0</v>
      </c>
      <c r="G60" s="181">
        <f>($C$38*$C$40)*'END Jul 2020'!AE46/100</f>
        <v>108</v>
      </c>
      <c r="H60" s="183">
        <f t="shared" ref="H60:H66" si="8">SUM(C60:G60)</f>
        <v>521.52118181818184</v>
      </c>
      <c r="I60" s="202">
        <f t="shared" ref="I60:I66" si="9">(H60*4)*1.1</f>
        <v>2294.6932000000002</v>
      </c>
    </row>
    <row r="61" spans="1:9" x14ac:dyDescent="0.3">
      <c r="A61" s="179" t="str">
        <f>'END Jul 2020'!K47</f>
        <v>Enova Energy</v>
      </c>
      <c r="B61" s="180">
        <f>'END Jul 2020'!G47</f>
        <v>42551</v>
      </c>
      <c r="C61" s="181">
        <f>91*'END Jul 2020'!M47/100</f>
        <v>91.909999999999982</v>
      </c>
      <c r="D61" s="181">
        <f>($C$38*$C$39)*'END Jul 2020'!N47/100</f>
        <v>344.4</v>
      </c>
      <c r="E61" s="182">
        <v>0</v>
      </c>
      <c r="F61" s="181">
        <v>0</v>
      </c>
      <c r="G61" s="181">
        <f>($C$38*$C$40)*'END Jul 2020'!AE47/100</f>
        <v>71.999999999999986</v>
      </c>
      <c r="H61" s="183">
        <f t="shared" si="8"/>
        <v>508.30999999999995</v>
      </c>
      <c r="I61" s="202">
        <f t="shared" si="9"/>
        <v>2236.5639999999999</v>
      </c>
    </row>
    <row r="62" spans="1:9" x14ac:dyDescent="0.3">
      <c r="A62" s="179" t="str">
        <f>'END Jul 2020'!K48</f>
        <v>Discover Energy</v>
      </c>
      <c r="B62" s="180">
        <f>'END Jul 2020'!G48</f>
        <v>42551</v>
      </c>
      <c r="C62" s="181">
        <f>91*'END Jul 2020'!M48/100</f>
        <v>76.456545454545434</v>
      </c>
      <c r="D62" s="181">
        <f>($C$38*$C$39)*'END Jul 2020'!N48/100</f>
        <v>362.4727272727273</v>
      </c>
      <c r="E62" s="182">
        <v>0</v>
      </c>
      <c r="F62" s="181">
        <v>0</v>
      </c>
      <c r="G62" s="181">
        <f>($C$38*$C$40)*'END Jul 2020'!AE48/100</f>
        <v>85.909090909090907</v>
      </c>
      <c r="H62" s="183">
        <f t="shared" si="8"/>
        <v>524.83836363636362</v>
      </c>
      <c r="I62" s="202">
        <f t="shared" si="9"/>
        <v>2309.2888000000003</v>
      </c>
    </row>
    <row r="63" spans="1:9" x14ac:dyDescent="0.3">
      <c r="A63" s="179" t="str">
        <f>'END Jul 2020'!K49</f>
        <v>Future X Power</v>
      </c>
      <c r="B63" s="180">
        <f>'END Jul 2020'!G49</f>
        <v>42494</v>
      </c>
      <c r="C63" s="181">
        <f>91*'END Jul 2020'!M49/100</f>
        <v>81.478090909090895</v>
      </c>
      <c r="D63" s="181">
        <f>($C$38*$C$39)*'END Jul 2020'!N49/100</f>
        <v>359.92727272727274</v>
      </c>
      <c r="E63" s="182">
        <v>0</v>
      </c>
      <c r="F63" s="181">
        <v>0</v>
      </c>
      <c r="G63" s="181">
        <f>($C$38*$C$40)*'END Jul 2020'!AE49/100</f>
        <v>83.23636363636362</v>
      </c>
      <c r="H63" s="183">
        <f t="shared" si="8"/>
        <v>524.64172727272728</v>
      </c>
      <c r="I63" s="202">
        <f t="shared" si="9"/>
        <v>2308.4236000000001</v>
      </c>
    </row>
    <row r="64" spans="1:9" x14ac:dyDescent="0.3">
      <c r="A64" s="179" t="str">
        <f>'END Jul 2020'!K50</f>
        <v>Nectr</v>
      </c>
      <c r="B64" s="180">
        <f>'END Jul 2020'!G50</f>
        <v>42551</v>
      </c>
      <c r="C64" s="181">
        <f>91*'END Jul 2020'!M50/100</f>
        <v>72.526999999999987</v>
      </c>
      <c r="D64" s="181">
        <f>($C$38*$C$39)*'END Jul 2020'!N50/100</f>
        <v>361.19999999999993</v>
      </c>
      <c r="E64" s="182">
        <v>0</v>
      </c>
      <c r="F64" s="181">
        <v>0</v>
      </c>
      <c r="G64" s="181">
        <f>($C$38*$C$40)*'END Jul 2020'!AE50/100</f>
        <v>91.199999999999989</v>
      </c>
      <c r="H64" s="183">
        <f t="shared" si="8"/>
        <v>524.92699999999991</v>
      </c>
      <c r="I64" s="202">
        <f t="shared" si="9"/>
        <v>2309.6787999999997</v>
      </c>
    </row>
    <row r="65" spans="1:9" x14ac:dyDescent="0.3">
      <c r="A65" s="179" t="str">
        <f>'END Jul 2020'!K51</f>
        <v>People Energy</v>
      </c>
      <c r="B65" s="180">
        <f>'END Jul 2020'!G51</f>
        <v>42551</v>
      </c>
      <c r="C65" s="181">
        <f>91*'END Jul 2020'!M51/100</f>
        <v>82.570090909090908</v>
      </c>
      <c r="D65" s="181">
        <f>($C$38*$C$39)*'END Jul 2020'!N51/100</f>
        <v>344.78181818181815</v>
      </c>
      <c r="E65" s="182">
        <v>0</v>
      </c>
      <c r="F65" s="181">
        <v>0</v>
      </c>
      <c r="G65" s="181">
        <f>($C$38*$C$40)*'END Jul 2020'!AE51/100</f>
        <v>97.145454545454527</v>
      </c>
      <c r="H65" s="183">
        <f t="shared" si="8"/>
        <v>524.49736363636362</v>
      </c>
      <c r="I65" s="202">
        <f t="shared" si="9"/>
        <v>2307.7883999999999</v>
      </c>
    </row>
    <row r="66" spans="1:9" x14ac:dyDescent="0.3">
      <c r="A66" s="179" t="str">
        <f>'END Jul 2020'!K52</f>
        <v>Elysian Energy</v>
      </c>
      <c r="B66" s="180">
        <f>'END Jul 2020'!G52</f>
        <v>42551</v>
      </c>
      <c r="C66" s="181">
        <f>91*'END Jul 2020'!M52/100</f>
        <v>78.483363636363634</v>
      </c>
      <c r="D66" s="181">
        <f>($C$38*$C$39)*'END Jul 2020'!N52/100</f>
        <v>294.25454545454539</v>
      </c>
      <c r="E66" s="182">
        <v>0</v>
      </c>
      <c r="F66" s="181">
        <v>0</v>
      </c>
      <c r="G66" s="181">
        <f>($C$38*$C$40)*'END Jul 2020'!AE52/100</f>
        <v>76.74545454545455</v>
      </c>
      <c r="H66" s="183">
        <f t="shared" si="8"/>
        <v>449.48336363636361</v>
      </c>
      <c r="I66" s="202">
        <f t="shared" si="9"/>
        <v>1977.7268000000001</v>
      </c>
    </row>
    <row r="67" spans="1:9" x14ac:dyDescent="0.3">
      <c r="A67" s="179" t="str">
        <f>'END Jul 2020'!K53</f>
        <v>Sumo Power</v>
      </c>
      <c r="B67" s="180">
        <f>'END Jul 2020'!G53</f>
        <v>42551</v>
      </c>
      <c r="C67" s="181">
        <f>91*'END Jul 2020'!M53/100</f>
        <v>104.64999999999998</v>
      </c>
      <c r="D67" s="181">
        <f>($C$38*$C$39)*'END Jul 2020'!N53/100</f>
        <v>329</v>
      </c>
      <c r="E67" s="182">
        <v>0</v>
      </c>
      <c r="F67" s="181">
        <v>0</v>
      </c>
      <c r="G67" s="181">
        <f>($C$38*$C$40)*'END Jul 2020'!AE53/100</f>
        <v>88.8</v>
      </c>
      <c r="H67" s="183">
        <f t="shared" ref="H67:H68" si="10">SUM(C67:G67)</f>
        <v>522.44999999999993</v>
      </c>
      <c r="I67" s="202">
        <f t="shared" ref="I67:I68" si="11">(H67*4)*1.1</f>
        <v>2298.7799999999997</v>
      </c>
    </row>
    <row r="68" spans="1:9" s="266" customFormat="1" ht="14" thickBot="1" x14ac:dyDescent="0.35">
      <c r="A68" s="184" t="str">
        <f>'END Jul 2020'!K54</f>
        <v>Tango Energy</v>
      </c>
      <c r="B68" s="185">
        <f>'END Jul 2020'!G54</f>
        <v>42551</v>
      </c>
      <c r="C68" s="186">
        <f>91*'END Jul 2020'!M54/100</f>
        <v>88.542999999999992</v>
      </c>
      <c r="D68" s="186">
        <f>($C$38*$C$39)*'END Jul 2020'!N54/100</f>
        <v>344.4</v>
      </c>
      <c r="E68" s="186">
        <v>0</v>
      </c>
      <c r="F68" s="186">
        <v>0</v>
      </c>
      <c r="G68" s="186">
        <f>($C$38*$C$40)*'END Jul 2020'!AE54/100</f>
        <v>90.981818181818184</v>
      </c>
      <c r="H68" s="188">
        <f t="shared" si="10"/>
        <v>523.92481818181818</v>
      </c>
      <c r="I68" s="203">
        <f t="shared" si="11"/>
        <v>2305.2692000000002</v>
      </c>
    </row>
    <row r="69" spans="1:9" s="266" customFormat="1" x14ac:dyDescent="0.3"/>
    <row r="70" spans="1:9" ht="14" thickBot="1" x14ac:dyDescent="0.35"/>
    <row r="71" spans="1:9" ht="14" x14ac:dyDescent="0.3">
      <c r="A71" s="176" t="s">
        <v>94</v>
      </c>
      <c r="B71" s="91"/>
      <c r="C71" s="91"/>
      <c r="D71" s="91"/>
      <c r="E71" s="91"/>
      <c r="F71" s="91"/>
      <c r="G71" s="91"/>
      <c r="H71" s="91"/>
      <c r="I71" s="177"/>
    </row>
    <row r="72" spans="1:9" ht="14" x14ac:dyDescent="0.3">
      <c r="A72" s="92" t="s">
        <v>79</v>
      </c>
      <c r="B72" s="93"/>
      <c r="C72" s="168">
        <v>2000</v>
      </c>
      <c r="D72" s="93"/>
      <c r="E72" s="93"/>
      <c r="F72" s="93"/>
      <c r="G72" s="93"/>
      <c r="H72" s="93"/>
      <c r="I72" s="178"/>
    </row>
    <row r="73" spans="1:9" ht="14" x14ac:dyDescent="0.3">
      <c r="A73" s="92" t="s">
        <v>91</v>
      </c>
      <c r="B73" s="93"/>
      <c r="C73" s="257">
        <v>0.2</v>
      </c>
      <c r="D73" s="93"/>
      <c r="E73" s="93"/>
      <c r="F73" s="93"/>
      <c r="G73" s="93"/>
      <c r="H73" s="93"/>
      <c r="I73" s="178"/>
    </row>
    <row r="74" spans="1:9" ht="14" x14ac:dyDescent="0.3">
      <c r="A74" s="92" t="s">
        <v>95</v>
      </c>
      <c r="B74" s="93"/>
      <c r="C74" s="257">
        <v>0.5</v>
      </c>
      <c r="D74" s="93"/>
      <c r="E74" s="93"/>
      <c r="F74" s="93"/>
      <c r="G74" s="93"/>
      <c r="H74" s="93"/>
      <c r="I74" s="178"/>
    </row>
    <row r="75" spans="1:9" ht="14" x14ac:dyDescent="0.3">
      <c r="A75" s="92" t="s">
        <v>92</v>
      </c>
      <c r="B75" s="93"/>
      <c r="C75" s="257">
        <v>0.3</v>
      </c>
      <c r="D75" s="93"/>
      <c r="E75" s="93"/>
      <c r="F75" s="93"/>
      <c r="G75" s="93"/>
      <c r="H75" s="93"/>
      <c r="I75" s="178"/>
    </row>
    <row r="76" spans="1:9" ht="14" x14ac:dyDescent="0.3">
      <c r="A76" s="92"/>
      <c r="B76" s="93"/>
      <c r="C76" s="93"/>
      <c r="D76" s="93"/>
      <c r="E76" s="93"/>
      <c r="F76" s="93"/>
      <c r="G76" s="93"/>
      <c r="H76" s="93"/>
      <c r="I76" s="178"/>
    </row>
    <row r="77" spans="1:9" ht="28" x14ac:dyDescent="0.3">
      <c r="A77" s="301" t="s">
        <v>80</v>
      </c>
      <c r="B77" s="298" t="s">
        <v>81</v>
      </c>
      <c r="C77" s="298" t="s">
        <v>82</v>
      </c>
      <c r="D77" s="298" t="s">
        <v>96</v>
      </c>
      <c r="E77" s="298" t="s">
        <v>86</v>
      </c>
      <c r="F77" s="298" t="s">
        <v>97</v>
      </c>
      <c r="G77" s="298" t="s">
        <v>98</v>
      </c>
      <c r="H77" s="298" t="s">
        <v>87</v>
      </c>
      <c r="I77" s="300" t="s">
        <v>88</v>
      </c>
    </row>
    <row r="78" spans="1:9" x14ac:dyDescent="0.3">
      <c r="A78" s="179" t="str">
        <f>'END Jul 2020'!K55</f>
        <v>AGL</v>
      </c>
      <c r="B78" s="180">
        <f>'END Jul 2020'!G55</f>
        <v>42551</v>
      </c>
      <c r="C78" s="181">
        <f>91*'END Jul 2020'!M55/100</f>
        <v>79.17</v>
      </c>
      <c r="D78" s="181">
        <f>($C$72*$C$73)*'END Jul 2020'!N55/100</f>
        <v>132.03636363636363</v>
      </c>
      <c r="E78" s="181">
        <v>0</v>
      </c>
      <c r="F78" s="181">
        <f>($C$72*$C$74)*'END Jul 2020'!AH55/100</f>
        <v>330.09090909090907</v>
      </c>
      <c r="G78" s="181">
        <f>($C$72*$C$75)*'END Jul 2020'!W55/100</f>
        <v>80.509090909090901</v>
      </c>
      <c r="H78" s="183">
        <f t="shared" ref="H78:H93" si="12">SUM(C78:G78)</f>
        <v>621.80636363636359</v>
      </c>
      <c r="I78" s="202">
        <f t="shared" ref="I78:I93" si="13">(H78*4)*1.1</f>
        <v>2735.9479999999999</v>
      </c>
    </row>
    <row r="79" spans="1:9" x14ac:dyDescent="0.3">
      <c r="A79" s="179" t="str">
        <f>'END Jul 2020'!K56</f>
        <v>Alinta Energy</v>
      </c>
      <c r="B79" s="180">
        <f>'END Jul 2020'!G56</f>
        <v>42551</v>
      </c>
      <c r="C79" s="181">
        <f>91*'END Jul 2020'!M56/100</f>
        <v>79.042600000000007</v>
      </c>
      <c r="D79" s="181">
        <f>($C$72*$C$73)*'END Jul 2020'!N56/100</f>
        <v>124</v>
      </c>
      <c r="E79" s="181">
        <v>0</v>
      </c>
      <c r="F79" s="181">
        <f>($C$72*$C$74)*'END Jul 2020'!AH56/100</f>
        <v>264.99999999999994</v>
      </c>
      <c r="G79" s="181">
        <f>($C$72*$C$75)*'END Jul 2020'!W56/100</f>
        <v>105</v>
      </c>
      <c r="H79" s="183">
        <f t="shared" si="12"/>
        <v>573.04259999999999</v>
      </c>
      <c r="I79" s="202">
        <f t="shared" si="13"/>
        <v>2521.38744</v>
      </c>
    </row>
    <row r="80" spans="1:9" x14ac:dyDescent="0.3">
      <c r="A80" s="179" t="str">
        <f>'END Jul 2020'!K57</f>
        <v>Click Energy</v>
      </c>
      <c r="B80" s="180">
        <f>'END Jul 2020'!G57</f>
        <v>42551</v>
      </c>
      <c r="C80" s="181">
        <f>91*'END Jul 2020'!M57/100</f>
        <v>82.354999999999976</v>
      </c>
      <c r="D80" s="181">
        <f>($C$72*$C$73)*'END Jul 2020'!N57/100</f>
        <v>115.3090909090909</v>
      </c>
      <c r="E80" s="181">
        <v>0</v>
      </c>
      <c r="F80" s="181">
        <f>($C$72*$C$74)*'END Jul 2020'!AH57/100</f>
        <v>239</v>
      </c>
      <c r="G80" s="181">
        <f>($C$72*$C$75)*'END Jul 2020'!W57/100</f>
        <v>140.39999999999998</v>
      </c>
      <c r="H80" s="183">
        <f t="shared" si="12"/>
        <v>577.06409090909085</v>
      </c>
      <c r="I80" s="202">
        <f t="shared" si="13"/>
        <v>2539.0819999999999</v>
      </c>
    </row>
    <row r="81" spans="1:9" x14ac:dyDescent="0.3">
      <c r="A81" s="179" t="str">
        <f>'END Jul 2020'!K58</f>
        <v>Commander</v>
      </c>
      <c r="B81" s="180">
        <f>'END Jul 2020'!G58</f>
        <v>42551</v>
      </c>
      <c r="C81" s="181">
        <f>91*'END Jul 2020'!M58/100</f>
        <v>91.943090909090898</v>
      </c>
      <c r="D81" s="181">
        <f>($C$72*$C$73)*'END Jul 2020'!N58/100</f>
        <v>110.90909090909091</v>
      </c>
      <c r="E81" s="181">
        <v>0</v>
      </c>
      <c r="F81" s="181">
        <f>($C$72*$C$74)*'END Jul 2020'!AH58/100</f>
        <v>228.09090909090909</v>
      </c>
      <c r="G81" s="181">
        <f>($C$72*$C$75)*'END Jul 2020'!W58/100</f>
        <v>133.69090909090909</v>
      </c>
      <c r="H81" s="183">
        <f t="shared" si="12"/>
        <v>564.63400000000001</v>
      </c>
      <c r="I81" s="202">
        <f t="shared" si="13"/>
        <v>2484.3896000000004</v>
      </c>
    </row>
    <row r="82" spans="1:9" x14ac:dyDescent="0.3">
      <c r="A82" s="179" t="str">
        <f>'END Jul 2020'!K59</f>
        <v>CovaU</v>
      </c>
      <c r="B82" s="180">
        <f>'END Jul 2020'!G59</f>
        <v>42551</v>
      </c>
      <c r="C82" s="181">
        <f>91*'END Jul 2020'!M59/100</f>
        <v>79.17</v>
      </c>
      <c r="D82" s="181">
        <f>($C$72*$C$73)*'END Jul 2020'!N59/100</f>
        <v>124</v>
      </c>
      <c r="E82" s="181">
        <v>0</v>
      </c>
      <c r="F82" s="181">
        <f>($C$72*$C$74)*'END Jul 2020'!AH59/100</f>
        <v>194.99999999999997</v>
      </c>
      <c r="G82" s="181">
        <f>($C$72*$C$75)*'END Jul 2020'!W59/100</f>
        <v>152.4</v>
      </c>
      <c r="H82" s="183">
        <f t="shared" si="12"/>
        <v>550.56999999999994</v>
      </c>
      <c r="I82" s="202">
        <f t="shared" si="13"/>
        <v>2422.5079999999998</v>
      </c>
    </row>
    <row r="83" spans="1:9" x14ac:dyDescent="0.3">
      <c r="A83" s="179" t="str">
        <f>'END Jul 2020'!K60</f>
        <v>Diamond Energy</v>
      </c>
      <c r="B83" s="180">
        <f>'END Jul 2020'!G60</f>
        <v>42551</v>
      </c>
      <c r="C83" s="181">
        <f>91*'END Jul 2020'!M60/100</f>
        <v>88.27</v>
      </c>
      <c r="D83" s="181">
        <f>($C$72*$C$73)*'END Jul 2020'!N60/100</f>
        <v>144</v>
      </c>
      <c r="E83" s="181">
        <v>0</v>
      </c>
      <c r="F83" s="181">
        <f>($C$72*$C$74)*'END Jul 2020'!AH60/100</f>
        <v>252.54545454545453</v>
      </c>
      <c r="G83" s="181">
        <f>($C$72*$C$75)*'END Jul 2020'!W60/100</f>
        <v>103.47272727272725</v>
      </c>
      <c r="H83" s="183">
        <f t="shared" si="12"/>
        <v>588.28818181818178</v>
      </c>
      <c r="I83" s="202">
        <f t="shared" si="13"/>
        <v>2588.4679999999998</v>
      </c>
    </row>
    <row r="84" spans="1:9" x14ac:dyDescent="0.3">
      <c r="A84" s="179" t="str">
        <f>'END Jul 2020'!K61</f>
        <v>Dodo Power &amp; Gas</v>
      </c>
      <c r="B84" s="180">
        <f>'END Jul 2020'!G61</f>
        <v>42551</v>
      </c>
      <c r="C84" s="181">
        <f>91*'END Jul 2020'!M61/100</f>
        <v>91.943090909090898</v>
      </c>
      <c r="D84" s="181">
        <f>($C$72*$C$73)*'END Jul 2020'!N61/100</f>
        <v>110.90909090909091</v>
      </c>
      <c r="E84" s="181">
        <v>0</v>
      </c>
      <c r="F84" s="181">
        <f>($C$72*$C$74)*'END Jul 2020'!AH61/100</f>
        <v>228.09090909090909</v>
      </c>
      <c r="G84" s="181">
        <f>($C$72*$C$75)*'END Jul 2020'!W61/100</f>
        <v>133.69090909090909</v>
      </c>
      <c r="H84" s="183">
        <f t="shared" si="12"/>
        <v>564.63400000000001</v>
      </c>
      <c r="I84" s="202">
        <f t="shared" si="13"/>
        <v>2484.3896000000004</v>
      </c>
    </row>
    <row r="85" spans="1:9" x14ac:dyDescent="0.3">
      <c r="A85" s="179" t="str">
        <f>'END Jul 2020'!K62</f>
        <v>EnergyAustralia</v>
      </c>
      <c r="B85" s="180">
        <f>'END Jul 2020'!G62</f>
        <v>42551</v>
      </c>
      <c r="C85" s="181">
        <f>91*'END Jul 2020'!M62/100</f>
        <v>82.354999999999976</v>
      </c>
      <c r="D85" s="181">
        <f>($C$72*$C$73)*'END Jul 2020'!N62/100</f>
        <v>144.32727272727271</v>
      </c>
      <c r="E85" s="181">
        <v>0</v>
      </c>
      <c r="F85" s="181">
        <f>($C$72*$C$74)*'END Jul 2020'!AH62/100</f>
        <v>279.45454545454538</v>
      </c>
      <c r="G85" s="181">
        <f>($C$72*$C$75)*'END Jul 2020'!W62/100</f>
        <v>106.52727272727272</v>
      </c>
      <c r="H85" s="183">
        <f t="shared" si="12"/>
        <v>612.66409090909076</v>
      </c>
      <c r="I85" s="202">
        <f t="shared" si="13"/>
        <v>2695.7219999999998</v>
      </c>
    </row>
    <row r="86" spans="1:9" x14ac:dyDescent="0.3">
      <c r="A86" s="179" t="str">
        <f>'END Jul 2020'!K63</f>
        <v>Mojo Power</v>
      </c>
      <c r="B86" s="180">
        <f>'END Jul 2020'!G63</f>
        <v>42553</v>
      </c>
      <c r="C86" s="181">
        <f>91*'END Jul 2020'!M63/100</f>
        <v>96.757818181818166</v>
      </c>
      <c r="D86" s="181">
        <f>($C$72*$C$73)*'END Jul 2020'!N63/100</f>
        <v>142.90909090909088</v>
      </c>
      <c r="E86" s="181">
        <v>0</v>
      </c>
      <c r="F86" s="181">
        <f>($C$72*$C$74)*'END Jul 2020'!AH63/100</f>
        <v>218.54545454545453</v>
      </c>
      <c r="G86" s="181">
        <f>($C$72*$C$75)*'END Jul 2020'!W63/100</f>
        <v>107.23636363636362</v>
      </c>
      <c r="H86" s="183">
        <f t="shared" si="12"/>
        <v>565.44872727272718</v>
      </c>
      <c r="I86" s="202">
        <f t="shared" si="13"/>
        <v>2487.9743999999996</v>
      </c>
    </row>
    <row r="87" spans="1:9" x14ac:dyDescent="0.3">
      <c r="A87" s="179" t="str">
        <f>'END Jul 2020'!K64</f>
        <v>Momentum Energy</v>
      </c>
      <c r="B87" s="180">
        <f>'END Jul 2020'!G64</f>
        <v>42551</v>
      </c>
      <c r="C87" s="181">
        <f>91*'END Jul 2020'!M64/100</f>
        <v>86.342454545454544</v>
      </c>
      <c r="D87" s="181">
        <f>($C$72*$C$73)*'END Jul 2020'!N64/100</f>
        <v>132.21818181818182</v>
      </c>
      <c r="E87" s="181">
        <v>0</v>
      </c>
      <c r="F87" s="181">
        <f>($C$72*$C$74)*'END Jul 2020'!AH64/100</f>
        <v>233.54545454545456</v>
      </c>
      <c r="G87" s="181">
        <f>($C$72*$C$75)*'END Jul 2020'!W64/100</f>
        <v>97.636363636363626</v>
      </c>
      <c r="H87" s="183">
        <f t="shared" si="12"/>
        <v>549.74245454545462</v>
      </c>
      <c r="I87" s="202">
        <f t="shared" si="13"/>
        <v>2418.8668000000007</v>
      </c>
    </row>
    <row r="88" spans="1:9" x14ac:dyDescent="0.3">
      <c r="A88" s="179" t="str">
        <f>'END Jul 2020'!K65</f>
        <v>Origin Energy</v>
      </c>
      <c r="B88" s="180">
        <f>'END Jul 2020'!G65</f>
        <v>42551</v>
      </c>
      <c r="C88" s="181">
        <f>91*'END Jul 2020'!M65/100</f>
        <v>87.062181818181799</v>
      </c>
      <c r="D88" s="181">
        <f>($C$72*$C$73)*'END Jul 2020'!N65/100</f>
        <v>139.78181818181815</v>
      </c>
      <c r="E88" s="181">
        <v>0</v>
      </c>
      <c r="F88" s="181">
        <f>($C$72*$C$74)*'END Jul 2020'!AH65/100</f>
        <v>277.63636363636363</v>
      </c>
      <c r="G88" s="181">
        <f>($C$72*$C$75)*'END Jul 2020'!W65/100</f>
        <v>102.92727272727272</v>
      </c>
      <c r="H88" s="183">
        <f t="shared" si="12"/>
        <v>607.40763636363624</v>
      </c>
      <c r="I88" s="202">
        <f t="shared" si="13"/>
        <v>2672.5935999999997</v>
      </c>
    </row>
    <row r="89" spans="1:9" x14ac:dyDescent="0.3">
      <c r="A89" s="179" t="str">
        <f>'END Jul 2020'!K66</f>
        <v>Powerdirect</v>
      </c>
      <c r="B89" s="180">
        <f>'END Jul 2020'!G66</f>
        <v>42551</v>
      </c>
      <c r="C89" s="181">
        <f>91*'END Jul 2020'!M66/100</f>
        <v>79.17</v>
      </c>
      <c r="D89" s="181">
        <f>($C$72*$C$73)*'END Jul 2020'!N66/100</f>
        <v>132.04</v>
      </c>
      <c r="E89" s="181">
        <v>0</v>
      </c>
      <c r="F89" s="181">
        <f>($C$72*$C$74)*'END Jul 2020'!AH66/100</f>
        <v>276.7</v>
      </c>
      <c r="G89" s="181">
        <f>($C$72*$C$75)*'END Jul 2020'!W66/100</f>
        <v>80.52</v>
      </c>
      <c r="H89" s="183">
        <f t="shared" si="12"/>
        <v>568.42999999999995</v>
      </c>
      <c r="I89" s="202">
        <f t="shared" si="13"/>
        <v>2501.0920000000001</v>
      </c>
    </row>
    <row r="90" spans="1:9" x14ac:dyDescent="0.3">
      <c r="A90" s="179" t="str">
        <f>'END Jul 2020'!K67</f>
        <v>Powershop</v>
      </c>
      <c r="B90" s="180">
        <f>'END Jul 2020'!G67</f>
        <v>42551</v>
      </c>
      <c r="C90" s="181">
        <f>91*'END Jul 2020'!M67/100</f>
        <v>101.15890909090909</v>
      </c>
      <c r="D90" s="181">
        <f>($C$72*$C$73)*'END Jul 2020'!N67/100</f>
        <v>134.76363636363635</v>
      </c>
      <c r="E90" s="181">
        <v>0</v>
      </c>
      <c r="F90" s="181">
        <f>($C$72*$C$74)*'END Jul 2020'!AH67/100</f>
        <v>246.18181818181813</v>
      </c>
      <c r="G90" s="181">
        <f>($C$72*$C$75)*'END Jul 2020'!W67/100</f>
        <v>93.163636363636343</v>
      </c>
      <c r="H90" s="183">
        <f t="shared" si="12"/>
        <v>575.26799999999992</v>
      </c>
      <c r="I90" s="202">
        <f t="shared" si="13"/>
        <v>2531.1792</v>
      </c>
    </row>
    <row r="91" spans="1:9" x14ac:dyDescent="0.3">
      <c r="A91" s="179" t="str">
        <f>'END Jul 2020'!K68</f>
        <v>Red Energy</v>
      </c>
      <c r="B91" s="180">
        <f>'END Jul 2020'!G68</f>
        <v>42551</v>
      </c>
      <c r="C91" s="181">
        <f>91*'END Jul 2020'!M68/100</f>
        <v>93.092999999999989</v>
      </c>
      <c r="D91" s="181">
        <f>($C$72*$C$73)*'END Jul 2020'!N68/100</f>
        <v>128</v>
      </c>
      <c r="E91" s="181">
        <v>0</v>
      </c>
      <c r="F91" s="181">
        <f>($C$72*$C$74)*'END Jul 2020'!AH68/100</f>
        <v>230.99999999999997</v>
      </c>
      <c r="G91" s="181">
        <f>($C$72*$C$75)*'END Jul 2020'!W68/100</f>
        <v>108</v>
      </c>
      <c r="H91" s="183">
        <f t="shared" si="12"/>
        <v>560.09299999999996</v>
      </c>
      <c r="I91" s="202">
        <f t="shared" si="13"/>
        <v>2464.4092000000001</v>
      </c>
    </row>
    <row r="92" spans="1:9" x14ac:dyDescent="0.3">
      <c r="A92" s="179" t="str">
        <f>'END Jul 2020'!K69</f>
        <v>Simply Energy</v>
      </c>
      <c r="B92" s="180">
        <f>'END Jul 2020'!G69</f>
        <v>42551</v>
      </c>
      <c r="C92" s="181">
        <f>91*'END Jul 2020'!M69/100</f>
        <v>81.072727272727263</v>
      </c>
      <c r="D92" s="181">
        <f>($C$72*$C$73)*'END Jul 2020'!N69/100</f>
        <v>139.19999999999999</v>
      </c>
      <c r="E92" s="181">
        <v>0</v>
      </c>
      <c r="F92" s="181">
        <f>($C$72*$C$74)*'END Jul 2020'!AH69/100</f>
        <v>301.90909090909088</v>
      </c>
      <c r="G92" s="181">
        <f>($C$72*$C$75)*'END Jul 2020'!W69/100</f>
        <v>101.99999999999999</v>
      </c>
      <c r="H92" s="183">
        <f t="shared" si="12"/>
        <v>624.18181818181813</v>
      </c>
      <c r="I92" s="202">
        <f t="shared" si="13"/>
        <v>2746.4</v>
      </c>
    </row>
    <row r="93" spans="1:9" x14ac:dyDescent="0.3">
      <c r="A93" s="179" t="str">
        <f>'END Jul 2020'!K70</f>
        <v>1st Energy</v>
      </c>
      <c r="B93" s="180">
        <f>'END Jul 2020'!G70</f>
        <v>42551</v>
      </c>
      <c r="C93" s="181">
        <f>91*'END Jul 2020'!M70/100</f>
        <v>118.3</v>
      </c>
      <c r="D93" s="181">
        <f>($C$72*$C$73)*'END Jul 2020'!N70/100</f>
        <v>97.999999999999986</v>
      </c>
      <c r="E93" s="181">
        <v>0</v>
      </c>
      <c r="F93" s="181">
        <f>($C$72*$C$74)*'END Jul 2020'!AH70/100</f>
        <v>217</v>
      </c>
      <c r="G93" s="181">
        <f>($C$72*$C$75)*'END Jul 2020'!W70/100</f>
        <v>113.99999999999999</v>
      </c>
      <c r="H93" s="183">
        <f t="shared" si="12"/>
        <v>547.29999999999995</v>
      </c>
      <c r="I93" s="202">
        <f t="shared" si="13"/>
        <v>2408.12</v>
      </c>
    </row>
    <row r="94" spans="1:9" x14ac:dyDescent="0.3">
      <c r="A94" s="179" t="str">
        <f>'END Jul 2020'!K71</f>
        <v>Amaysim</v>
      </c>
      <c r="B94" s="180">
        <f>'END Jul 2020'!G71</f>
        <v>42551</v>
      </c>
      <c r="C94" s="181">
        <f>91*'END Jul 2020'!M71/100</f>
        <v>82.354999999999976</v>
      </c>
      <c r="D94" s="181">
        <f>($C$72*$C$73)*'END Jul 2020'!N71/100</f>
        <v>115.3090909090909</v>
      </c>
      <c r="E94" s="181">
        <v>0</v>
      </c>
      <c r="F94" s="181">
        <f>($C$72*$C$74)*'END Jul 2020'!AH71/100</f>
        <v>239</v>
      </c>
      <c r="G94" s="181">
        <f>($C$72*$C$75)*'END Jul 2020'!W71/100</f>
        <v>140.39999999999998</v>
      </c>
      <c r="H94" s="183">
        <f t="shared" ref="H94:H100" si="14">SUM(C94:G94)</f>
        <v>577.06409090909085</v>
      </c>
      <c r="I94" s="202">
        <f t="shared" ref="I94:I100" si="15">(H94*4)*1.1</f>
        <v>2539.0819999999999</v>
      </c>
    </row>
    <row r="95" spans="1:9" x14ac:dyDescent="0.3">
      <c r="A95" s="179" t="str">
        <f>'END Jul 2020'!K72</f>
        <v>Enova Energy</v>
      </c>
      <c r="B95" s="180">
        <f>'END Jul 2020'!G72</f>
        <v>42551</v>
      </c>
      <c r="C95" s="181">
        <f>91*'END Jul 2020'!M72/100</f>
        <v>86.449999999999989</v>
      </c>
      <c r="D95" s="181">
        <f>($C$72*$C$73)*'END Jul 2020'!N72/100</f>
        <v>98.4</v>
      </c>
      <c r="E95" s="181">
        <v>0</v>
      </c>
      <c r="F95" s="181">
        <f>($C$72*$C$74)*'END Jul 2020'!AH72/100</f>
        <v>245.99999999999997</v>
      </c>
      <c r="G95" s="181">
        <f>($C$72*$C$75)*'END Jul 2020'!W72/100</f>
        <v>147.6</v>
      </c>
      <c r="H95" s="183">
        <f t="shared" si="14"/>
        <v>578.44999999999993</v>
      </c>
      <c r="I95" s="202">
        <f t="shared" si="15"/>
        <v>2545.1799999999998</v>
      </c>
    </row>
    <row r="96" spans="1:9" x14ac:dyDescent="0.3">
      <c r="A96" s="179" t="str">
        <f>'END Jul 2020'!K73</f>
        <v>Future X Power</v>
      </c>
      <c r="B96" s="180">
        <f>'END Jul 2020'!G73</f>
        <v>42494</v>
      </c>
      <c r="C96" s="181">
        <f>91*'END Jul 2020'!M73/100</f>
        <v>85.300090909090898</v>
      </c>
      <c r="D96" s="181">
        <f>($C$72*$C$73)*'END Jul 2020'!N73/100</f>
        <v>119.78181818181817</v>
      </c>
      <c r="E96" s="181">
        <v>0</v>
      </c>
      <c r="F96" s="181">
        <f>($C$72*$C$74)*'END Jul 2020'!AH73/100</f>
        <v>232.09090909090909</v>
      </c>
      <c r="G96" s="181">
        <f>($C$72*$C$75)*'END Jul 2020'!W73/100</f>
        <v>127.47272727272728</v>
      </c>
      <c r="H96" s="183">
        <f t="shared" si="14"/>
        <v>564.64554545454541</v>
      </c>
      <c r="I96" s="202">
        <f t="shared" si="15"/>
        <v>2484.4404</v>
      </c>
    </row>
    <row r="97" spans="1:9" x14ac:dyDescent="0.3">
      <c r="A97" s="179" t="str">
        <f>'END Jul 2020'!K74</f>
        <v>People Energy</v>
      </c>
      <c r="B97" s="180">
        <f>'END Jul 2020'!G74</f>
        <v>42551</v>
      </c>
      <c r="C97" s="181">
        <f>91*'END Jul 2020'!M74/100</f>
        <v>96.757818181818166</v>
      </c>
      <c r="D97" s="181">
        <f>($C$72*$C$73)*'END Jul 2020'!N74/100</f>
        <v>142.90909090909088</v>
      </c>
      <c r="E97" s="181">
        <v>0</v>
      </c>
      <c r="F97" s="181">
        <f>($C$72*$C$74)*'END Jul 2020'!AH74/100</f>
        <v>218.54545454545453</v>
      </c>
      <c r="G97" s="181">
        <f>($C$72*$C$75)*'END Jul 2020'!W74/100</f>
        <v>107.23636363636362</v>
      </c>
      <c r="H97" s="183">
        <f t="shared" si="14"/>
        <v>565.44872727272718</v>
      </c>
      <c r="I97" s="202">
        <f t="shared" si="15"/>
        <v>2487.9743999999996</v>
      </c>
    </row>
    <row r="98" spans="1:9" x14ac:dyDescent="0.3">
      <c r="A98" s="179" t="str">
        <f>'END Jul 2020'!K75</f>
        <v>Elysian Energy</v>
      </c>
      <c r="B98" s="180">
        <f>'END Jul 2020'!G75</f>
        <v>42551</v>
      </c>
      <c r="C98" s="181">
        <f>91*'END Jul 2020'!M75/100</f>
        <v>103.69036363636364</v>
      </c>
      <c r="D98" s="181">
        <f>($C$72*$C$73)*'END Jul 2020'!N75/100</f>
        <v>107.16363636363636</v>
      </c>
      <c r="E98" s="181">
        <v>0</v>
      </c>
      <c r="F98" s="181">
        <f>($C$72*$C$74)*'END Jul 2020'!AH75/100</f>
        <v>207.45454545454544</v>
      </c>
      <c r="G98" s="181">
        <f>($C$72*$C$75)*'END Jul 2020'!W75/100</f>
        <v>121.25454545454544</v>
      </c>
      <c r="H98" s="183">
        <f t="shared" si="14"/>
        <v>539.56309090909087</v>
      </c>
      <c r="I98" s="202">
        <f t="shared" si="15"/>
        <v>2374.0776000000001</v>
      </c>
    </row>
    <row r="99" spans="1:9" x14ac:dyDescent="0.3">
      <c r="A99" s="179" t="str">
        <f>'END Jul 2020'!K76</f>
        <v>Sumo Power</v>
      </c>
      <c r="B99" s="180">
        <f>'END Jul 2020'!G76</f>
        <v>42551</v>
      </c>
      <c r="C99" s="181">
        <f>91*'END Jul 2020'!M76/100</f>
        <v>109.19999999999999</v>
      </c>
      <c r="D99" s="181">
        <f>($C$72*$C$73)*'END Jul 2020'!N76/100</f>
        <v>99.999999999999986</v>
      </c>
      <c r="E99" s="181">
        <v>0</v>
      </c>
      <c r="F99" s="181">
        <f>($C$72*$C$74)*'END Jul 2020'!AH76/100</f>
        <v>219.99999999999997</v>
      </c>
      <c r="G99" s="181">
        <f>($C$72*$C$75)*'END Jul 2020'!W76/100</f>
        <v>120</v>
      </c>
      <c r="H99" s="183">
        <f t="shared" si="14"/>
        <v>549.19999999999993</v>
      </c>
      <c r="I99" s="202">
        <f t="shared" si="15"/>
        <v>2416.48</v>
      </c>
    </row>
    <row r="100" spans="1:9" s="266" customFormat="1" ht="14" thickBot="1" x14ac:dyDescent="0.35">
      <c r="A100" s="184" t="str">
        <f>'END Jul 2020'!K77</f>
        <v>Tango Energy</v>
      </c>
      <c r="B100" s="185">
        <f>'END Jul 2020'!G77</f>
        <v>42551</v>
      </c>
      <c r="C100" s="186">
        <f>91*'END Jul 2020'!M77/100</f>
        <v>90.999999999999986</v>
      </c>
      <c r="D100" s="186">
        <f>($C$72*$C$73)*'END Jul 2020'!N77/100</f>
        <v>119.99999999999999</v>
      </c>
      <c r="E100" s="186">
        <v>0</v>
      </c>
      <c r="F100" s="186">
        <f>($C$72*$C$74)*'END Jul 2020'!AH77/100</f>
        <v>230</v>
      </c>
      <c r="G100" s="186">
        <f>($C$72*$C$75)*'END Jul 2020'!W77/100</f>
        <v>108</v>
      </c>
      <c r="H100" s="188">
        <f t="shared" si="14"/>
        <v>549</v>
      </c>
      <c r="I100" s="203">
        <f t="shared" si="15"/>
        <v>2415.6000000000004</v>
      </c>
    </row>
  </sheetData>
  <sheetProtection algorithmName="SHA-512" hashValue="44ZOSrEQCq83O+HYomMaOlESD0A7bGshW3p3r1FYC3SLcal11mdpytLsqNeto8B0vsQaiofQE7s98g1MW4yQmQ==" saltValue="ayZFYa8A8eD1nYpt5CpDNg==" spinCount="100000" sheet="1" objects="1" scenarios="1"/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284F-BEC1-E644-BF91-09DA96793773}">
  <sheetPr codeName="Sheet5"/>
  <dimension ref="A1:I84"/>
  <sheetViews>
    <sheetView zoomScaleNormal="100" workbookViewId="0">
      <selection activeCell="M72" sqref="M72"/>
    </sheetView>
  </sheetViews>
  <sheetFormatPr defaultColWidth="10.84375" defaultRowHeight="13.5" x14ac:dyDescent="0.3"/>
  <cols>
    <col min="1" max="1" width="17.4609375" style="236" customWidth="1"/>
    <col min="2" max="2" width="12.4609375" style="236" customWidth="1"/>
    <col min="3" max="9" width="12.15234375" style="236" customWidth="1"/>
    <col min="10" max="16384" width="10.84375" style="236"/>
  </cols>
  <sheetData>
    <row r="1" spans="1:9" ht="14" x14ac:dyDescent="0.3">
      <c r="A1" s="235" t="s">
        <v>76</v>
      </c>
      <c r="B1" s="235"/>
      <c r="C1" s="235"/>
      <c r="D1" s="235"/>
      <c r="E1" s="235"/>
      <c r="F1" s="235"/>
      <c r="G1" s="235"/>
      <c r="H1" s="235"/>
      <c r="I1" s="235"/>
    </row>
    <row r="2" spans="1:9" ht="14" x14ac:dyDescent="0.3">
      <c r="A2" s="237" t="s">
        <v>77</v>
      </c>
      <c r="B2" s="235"/>
      <c r="C2" s="235"/>
      <c r="D2" s="235"/>
      <c r="E2" s="235"/>
      <c r="F2" s="235"/>
      <c r="G2" s="235"/>
      <c r="H2" s="235"/>
      <c r="I2" s="235"/>
    </row>
    <row r="3" spans="1:9" ht="14.5" thickBot="1" x14ac:dyDescent="0.35">
      <c r="A3" s="235"/>
      <c r="B3" s="235"/>
      <c r="C3" s="235"/>
      <c r="D3" s="235"/>
      <c r="E3" s="235"/>
      <c r="F3" s="238"/>
      <c r="G3" s="235"/>
      <c r="H3" s="235"/>
      <c r="I3" s="235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'ESS Jul 2019'!K2</f>
        <v>Energy Locals</v>
      </c>
      <c r="B8" s="180">
        <f>'ESS Jul 2019'!G2</f>
        <v>42187</v>
      </c>
      <c r="C8" s="181">
        <f>91*'ESS Jul 2019'!M2/100</f>
        <v>165.8681818181818</v>
      </c>
      <c r="D8" s="181">
        <f>$C$5*'ESS Jul 2019'!N2/100</f>
        <v>433.63636363636363</v>
      </c>
      <c r="E8" s="182">
        <v>0</v>
      </c>
      <c r="F8" s="181">
        <v>0</v>
      </c>
      <c r="G8" s="181">
        <v>0</v>
      </c>
      <c r="H8" s="183">
        <f>SUM(C8:G8)</f>
        <v>599.50454545454545</v>
      </c>
      <c r="I8" s="202">
        <f>(H8*4)*1.1</f>
        <v>2637.82</v>
      </c>
    </row>
    <row r="9" spans="1:9" x14ac:dyDescent="0.3">
      <c r="A9" s="179" t="str">
        <f>'ESS Jul 2019'!K3</f>
        <v>AGL</v>
      </c>
      <c r="B9" s="180">
        <f>'ESS Jul 2019'!G3</f>
        <v>42187</v>
      </c>
      <c r="C9" s="181">
        <f>91*'ESS Jul 2019'!M3/100</f>
        <v>127.4</v>
      </c>
      <c r="D9" s="181">
        <f>$C$5*'ESS Jul 2019'!N3/100</f>
        <v>495.98181818181808</v>
      </c>
      <c r="E9" s="182">
        <v>0</v>
      </c>
      <c r="F9" s="181">
        <v>0</v>
      </c>
      <c r="G9" s="181">
        <v>0</v>
      </c>
      <c r="H9" s="183">
        <f t="shared" ref="H9:H22" si="0">SUM(C9:G9)</f>
        <v>623.38181818181806</v>
      </c>
      <c r="I9" s="202">
        <f t="shared" ref="I9:I28" si="1">(H9*4)*1.1</f>
        <v>2742.8799999999997</v>
      </c>
    </row>
    <row r="10" spans="1:9" x14ac:dyDescent="0.3">
      <c r="A10" s="179" t="str">
        <f>'ESS Jul 2019'!K4</f>
        <v>Alinta Energy</v>
      </c>
      <c r="B10" s="180">
        <f>'ESS Jul 2019'!G4</f>
        <v>42185</v>
      </c>
      <c r="C10" s="181">
        <f>91*'ESS Jul 2019'!M4/100</f>
        <v>128.76499999999999</v>
      </c>
      <c r="D10" s="181">
        <f>$C$5*'ESS Jul 2019'!N4/100</f>
        <v>411.87272727272727</v>
      </c>
      <c r="E10" s="182">
        <v>0</v>
      </c>
      <c r="F10" s="181">
        <v>0</v>
      </c>
      <c r="G10" s="181">
        <v>0</v>
      </c>
      <c r="H10" s="183">
        <f t="shared" si="0"/>
        <v>540.63772727272726</v>
      </c>
      <c r="I10" s="202">
        <f t="shared" si="1"/>
        <v>2378.806</v>
      </c>
    </row>
    <row r="11" spans="1:9" x14ac:dyDescent="0.3">
      <c r="A11" s="179" t="str">
        <f>'ESS Jul 2019'!K5</f>
        <v>Click Energy</v>
      </c>
      <c r="B11" s="180">
        <f>'ESS Jul 2019'!G5</f>
        <v>42188</v>
      </c>
      <c r="C11" s="181">
        <f>91*'ESS Jul 2019'!M5/100</f>
        <v>124.66999999999999</v>
      </c>
      <c r="D11" s="181">
        <f>$C$5*'ESS Jul 2019'!N5/100</f>
        <v>500.39999999999992</v>
      </c>
      <c r="E11" s="182">
        <v>0</v>
      </c>
      <c r="F11" s="181">
        <v>0</v>
      </c>
      <c r="G11" s="181">
        <v>0</v>
      </c>
      <c r="H11" s="183">
        <f t="shared" si="0"/>
        <v>625.06999999999994</v>
      </c>
      <c r="I11" s="202">
        <f t="shared" si="1"/>
        <v>2750.308</v>
      </c>
    </row>
    <row r="12" spans="1:9" x14ac:dyDescent="0.3">
      <c r="A12" s="179" t="str">
        <f>'ESS Jul 2019'!K6</f>
        <v>Commander</v>
      </c>
      <c r="B12" s="180">
        <f>'ESS Jul 2019'!G6</f>
        <v>42185</v>
      </c>
      <c r="C12" s="181">
        <f>91*'ESS Jul 2019'!M6/100</f>
        <v>126.83745454545455</v>
      </c>
      <c r="D12" s="181">
        <f>$C$5*'ESS Jul 2019'!N6/100</f>
        <v>496.98</v>
      </c>
      <c r="E12" s="182">
        <v>0</v>
      </c>
      <c r="F12" s="181">
        <v>0</v>
      </c>
      <c r="G12" s="181">
        <v>0</v>
      </c>
      <c r="H12" s="183">
        <f t="shared" si="0"/>
        <v>623.81745454545455</v>
      </c>
      <c r="I12" s="202">
        <f t="shared" si="1"/>
        <v>2744.7968000000001</v>
      </c>
    </row>
    <row r="13" spans="1:9" x14ac:dyDescent="0.3">
      <c r="A13" s="179" t="str">
        <f>'ESS Jul 2019'!K7</f>
        <v>CovaU</v>
      </c>
      <c r="B13" s="180">
        <f>'ESS Jul 2019'!G7</f>
        <v>42185</v>
      </c>
      <c r="C13" s="181">
        <f>91*'ESS Jul 2019'!M7/100</f>
        <v>150.15</v>
      </c>
      <c r="D13" s="181">
        <f>$C$5*'ESS Jul 2019'!N7/100</f>
        <v>450</v>
      </c>
      <c r="E13" s="182">
        <v>0</v>
      </c>
      <c r="F13" s="181">
        <v>0</v>
      </c>
      <c r="G13" s="181">
        <v>0</v>
      </c>
      <c r="H13" s="183">
        <f t="shared" si="0"/>
        <v>600.15</v>
      </c>
      <c r="I13" s="202">
        <f t="shared" si="1"/>
        <v>2640.6600000000003</v>
      </c>
    </row>
    <row r="14" spans="1:9" x14ac:dyDescent="0.3">
      <c r="A14" s="179" t="str">
        <f>'ESS Jul 2019'!K8</f>
        <v>Diamond Energy</v>
      </c>
      <c r="B14" s="180">
        <f>'ESS Jul 2019'!G8</f>
        <v>42185</v>
      </c>
      <c r="C14" s="181">
        <f>91*'ESS Jul 2019'!M8/100</f>
        <v>125.125</v>
      </c>
      <c r="D14" s="181">
        <f>$C$5*'ESS Jul 2019'!N8/100</f>
        <v>483.12</v>
      </c>
      <c r="E14" s="182">
        <v>0</v>
      </c>
      <c r="F14" s="181">
        <v>0</v>
      </c>
      <c r="G14" s="181">
        <v>0</v>
      </c>
      <c r="H14" s="183">
        <f t="shared" si="0"/>
        <v>608.245</v>
      </c>
      <c r="I14" s="202">
        <f t="shared" si="1"/>
        <v>2676.2780000000002</v>
      </c>
    </row>
    <row r="15" spans="1:9" x14ac:dyDescent="0.3">
      <c r="A15" s="179" t="str">
        <f>'ESS Jul 2019'!K9</f>
        <v>Dodo Power &amp; Gas</v>
      </c>
      <c r="B15" s="180">
        <f>'ESS Jul 2019'!G9</f>
        <v>42185</v>
      </c>
      <c r="C15" s="181">
        <f>91*'ESS Jul 2019'!M9/100</f>
        <v>126.83745454545455</v>
      </c>
      <c r="D15" s="181">
        <f>$C$5*'ESS Jul 2019'!N9/100</f>
        <v>496.98</v>
      </c>
      <c r="E15" s="182">
        <v>0</v>
      </c>
      <c r="F15" s="181">
        <v>0</v>
      </c>
      <c r="G15" s="181">
        <v>0</v>
      </c>
      <c r="H15" s="183">
        <f t="shared" si="0"/>
        <v>623.81745454545455</v>
      </c>
      <c r="I15" s="202">
        <f t="shared" si="1"/>
        <v>2744.7968000000001</v>
      </c>
    </row>
    <row r="16" spans="1:9" x14ac:dyDescent="0.3">
      <c r="A16" s="179" t="str">
        <f>'ESS Jul 2019'!K10</f>
        <v>EnergyAustralia</v>
      </c>
      <c r="B16" s="180">
        <f>'ESS Jul 2019'!G10</f>
        <v>42214</v>
      </c>
      <c r="C16" s="181">
        <f>91*'ESS Jul 2019'!M10/100</f>
        <v>116.48</v>
      </c>
      <c r="D16" s="181">
        <f>$C$5*'ESS Jul 2019'!N10/100</f>
        <v>513.32727272727277</v>
      </c>
      <c r="E16" s="182">
        <v>0</v>
      </c>
      <c r="F16" s="181">
        <v>0</v>
      </c>
      <c r="G16" s="181">
        <v>0</v>
      </c>
      <c r="H16" s="183">
        <f t="shared" si="0"/>
        <v>629.80727272727279</v>
      </c>
      <c r="I16" s="202">
        <f t="shared" si="1"/>
        <v>2771.1520000000005</v>
      </c>
    </row>
    <row r="17" spans="1:9" x14ac:dyDescent="0.3">
      <c r="A17" s="179" t="str">
        <f>'ESS Jul 2019'!K11</f>
        <v>Mojo Power</v>
      </c>
      <c r="B17" s="180">
        <f>'ESS Jul 2019'!G11</f>
        <v>41820</v>
      </c>
      <c r="C17" s="181">
        <f>91*'ESS Jul 2019'!M11/100</f>
        <v>188.41549999999998</v>
      </c>
      <c r="D17" s="181">
        <f>$C$5*'ESS Jul 2019'!N11/100</f>
        <v>457.38</v>
      </c>
      <c r="E17" s="182">
        <v>0</v>
      </c>
      <c r="F17" s="181">
        <v>0</v>
      </c>
      <c r="G17" s="181">
        <v>0</v>
      </c>
      <c r="H17" s="183">
        <f t="shared" si="0"/>
        <v>645.79549999999995</v>
      </c>
      <c r="I17" s="202">
        <f t="shared" si="1"/>
        <v>2841.5001999999999</v>
      </c>
    </row>
    <row r="18" spans="1:9" x14ac:dyDescent="0.3">
      <c r="A18" s="179" t="str">
        <f>'ESS Jul 2019'!K12</f>
        <v>Momentum Energy</v>
      </c>
      <c r="B18" s="180">
        <f>'ESS Jul 2019'!G12</f>
        <v>42185</v>
      </c>
      <c r="C18" s="181">
        <f>91*'ESS Jul 2019'!M12/100</f>
        <v>128.583</v>
      </c>
      <c r="D18" s="181">
        <f>$C$5*'ESS Jul 2019'!N12/100</f>
        <v>494.28</v>
      </c>
      <c r="E18" s="182">
        <v>0</v>
      </c>
      <c r="F18" s="181">
        <v>0</v>
      </c>
      <c r="G18" s="181">
        <v>0</v>
      </c>
      <c r="H18" s="183">
        <f t="shared" si="0"/>
        <v>622.86299999999994</v>
      </c>
      <c r="I18" s="202">
        <f t="shared" si="1"/>
        <v>2740.5972000000002</v>
      </c>
    </row>
    <row r="19" spans="1:9" x14ac:dyDescent="0.3">
      <c r="A19" s="179" t="str">
        <f>'ESS Jul 2019'!K13</f>
        <v>Origin Energy</v>
      </c>
      <c r="B19" s="180">
        <f>'ESS Jul 2019'!G13</f>
        <v>42201</v>
      </c>
      <c r="C19" s="181">
        <f>91*'ESS Jul 2019'!M13/100</f>
        <v>125.125</v>
      </c>
      <c r="D19" s="181">
        <f>$C$5*'ESS Jul 2019'!N13/100</f>
        <v>499.74545454545449</v>
      </c>
      <c r="E19" s="182">
        <v>0</v>
      </c>
      <c r="F19" s="181">
        <v>0</v>
      </c>
      <c r="G19" s="181">
        <v>0</v>
      </c>
      <c r="H19" s="183">
        <f t="shared" si="0"/>
        <v>624.87045454545455</v>
      </c>
      <c r="I19" s="202">
        <f t="shared" si="1"/>
        <v>2749.4300000000003</v>
      </c>
    </row>
    <row r="20" spans="1:9" x14ac:dyDescent="0.3">
      <c r="A20" s="179" t="str">
        <f>'ESS Jul 2019'!K14</f>
        <v>Powerdirect</v>
      </c>
      <c r="B20" s="180">
        <f>'ESS Jul 2019'!G14</f>
        <v>42187</v>
      </c>
      <c r="C20" s="181">
        <f>91*'ESS Jul 2019'!M14/100</f>
        <v>127.4</v>
      </c>
      <c r="D20" s="181">
        <f>$C$5*'ESS Jul 2019'!N14/100</f>
        <v>495.98181818181808</v>
      </c>
      <c r="E20" s="182">
        <v>0</v>
      </c>
      <c r="F20" s="181">
        <v>0</v>
      </c>
      <c r="G20" s="181">
        <v>0</v>
      </c>
      <c r="H20" s="183">
        <f t="shared" si="0"/>
        <v>623.38181818181806</v>
      </c>
      <c r="I20" s="202">
        <f t="shared" si="1"/>
        <v>2742.8799999999997</v>
      </c>
    </row>
    <row r="21" spans="1:9" x14ac:dyDescent="0.3">
      <c r="A21" s="179" t="str">
        <f>'ESS Jul 2019'!K15</f>
        <v>Powershop</v>
      </c>
      <c r="B21" s="180">
        <f>'ESS Jul 2019'!G15</f>
        <v>42195</v>
      </c>
      <c r="C21" s="181">
        <f>91*'ESS Jul 2019'!M15/100</f>
        <v>136.00363636363633</v>
      </c>
      <c r="D21" s="181">
        <f>$C$5*'ESS Jul 2019'!N15/100</f>
        <v>482.23636363636359</v>
      </c>
      <c r="E21" s="182">
        <v>0</v>
      </c>
      <c r="F21" s="181">
        <v>0</v>
      </c>
      <c r="G21" s="181">
        <v>0</v>
      </c>
      <c r="H21" s="183">
        <f t="shared" si="0"/>
        <v>618.2399999999999</v>
      </c>
      <c r="I21" s="202">
        <f t="shared" si="1"/>
        <v>2720.2559999999999</v>
      </c>
    </row>
    <row r="22" spans="1:9" x14ac:dyDescent="0.3">
      <c r="A22" s="179" t="str">
        <f>'ESS Jul 2019'!K16</f>
        <v>Red Energy</v>
      </c>
      <c r="B22" s="180">
        <f>'ESS Jul 2019'!G16</f>
        <v>42185</v>
      </c>
      <c r="C22" s="181">
        <f>91*'ESS Jul 2019'!M16/100</f>
        <v>132.49600000000001</v>
      </c>
      <c r="D22" s="181">
        <f>$C$5*'ESS Jul 2019'!N16/100</f>
        <v>486</v>
      </c>
      <c r="E22" s="182">
        <v>0</v>
      </c>
      <c r="F22" s="181">
        <v>0</v>
      </c>
      <c r="G22" s="181">
        <v>0</v>
      </c>
      <c r="H22" s="183">
        <f t="shared" si="0"/>
        <v>618.49599999999998</v>
      </c>
      <c r="I22" s="202">
        <f t="shared" si="1"/>
        <v>2721.3824</v>
      </c>
    </row>
    <row r="23" spans="1:9" x14ac:dyDescent="0.3">
      <c r="A23" s="179" t="str">
        <f>'ESS Jul 2019'!K17</f>
        <v>Simply Energy</v>
      </c>
      <c r="B23" s="180">
        <f>'ESS Jul 2019'!G17</f>
        <v>42192</v>
      </c>
      <c r="C23" s="181">
        <f>91*'ESS Jul 2019'!M17/100</f>
        <v>124.66172727272726</v>
      </c>
      <c r="D23" s="181">
        <f>$C$5*'ESS Jul 2019'!N17/100</f>
        <v>471.43636363636358</v>
      </c>
      <c r="E23" s="182">
        <v>0</v>
      </c>
      <c r="F23" s="181">
        <v>0</v>
      </c>
      <c r="G23" s="181">
        <v>0</v>
      </c>
      <c r="H23" s="183">
        <f>SUM(C23:G23)</f>
        <v>596.09809090909084</v>
      </c>
      <c r="I23" s="202">
        <f t="shared" si="1"/>
        <v>2622.8316</v>
      </c>
    </row>
    <row r="24" spans="1:9" x14ac:dyDescent="0.3">
      <c r="A24" s="179" t="str">
        <f>'ESS Jul 2019'!K18</f>
        <v>1st Energy</v>
      </c>
      <c r="B24" s="180">
        <f>'ESS Jul 2019'!G18</f>
        <v>42185</v>
      </c>
      <c r="C24" s="181">
        <f>91*'ESS Jul 2019'!M18/100</f>
        <v>165.16499999999999</v>
      </c>
      <c r="D24" s="181">
        <f>IF($C$5&gt;='ESS Jul 2019'!P18,('ESS Jul 2019'!P18*'ESS Jul 2019'!N18/100),($C$5*'ESS Jul 2019'!N18/100))</f>
        <v>344.25</v>
      </c>
      <c r="E24" s="182">
        <v>0</v>
      </c>
      <c r="F24" s="181">
        <v>0</v>
      </c>
      <c r="G24" s="181">
        <f>IF(($C$5&lt;'ESS Jul 2019'!R18),(0),($C$5-'ESS Jul 2019'!R18)*'ESS Jul 2019'!S18/100)</f>
        <v>131.85</v>
      </c>
      <c r="H24" s="183">
        <f t="shared" ref="H24" si="2">SUM(C24:G24)</f>
        <v>641.26499999999999</v>
      </c>
      <c r="I24" s="202">
        <f t="shared" si="1"/>
        <v>2821.5660000000003</v>
      </c>
    </row>
    <row r="25" spans="1:9" x14ac:dyDescent="0.3">
      <c r="A25" s="179" t="str">
        <f>'ESS Jul 2019'!K19</f>
        <v>Amaysim</v>
      </c>
      <c r="B25" s="180">
        <f>'ESS Jul 2019'!G19</f>
        <v>42188</v>
      </c>
      <c r="C25" s="181">
        <f>91*'ESS Jul 2019'!M19/100</f>
        <v>124.67</v>
      </c>
      <c r="D25" s="181">
        <f>$C$5*'ESS Jul 2019'!N19/100</f>
        <v>500.4</v>
      </c>
      <c r="E25" s="182">
        <v>0</v>
      </c>
      <c r="F25" s="181">
        <v>0</v>
      </c>
      <c r="G25" s="181">
        <v>0</v>
      </c>
      <c r="H25" s="183">
        <f>SUM(C25:G25)</f>
        <v>625.06999999999994</v>
      </c>
      <c r="I25" s="202">
        <f t="shared" si="1"/>
        <v>2750.308</v>
      </c>
    </row>
    <row r="26" spans="1:9" x14ac:dyDescent="0.3">
      <c r="A26" s="251" t="str">
        <f>'ESS Jul 2019'!K20</f>
        <v>ReAmped Energy</v>
      </c>
      <c r="B26" s="180">
        <f>'ESS Jul 2019'!G20</f>
        <v>42185</v>
      </c>
      <c r="C26" s="181">
        <f>91*'ESS Jul 2019'!M20/100</f>
        <v>177.5137</v>
      </c>
      <c r="D26" s="181">
        <f>$C$5*'ESS Jul 2019'!N20/100</f>
        <v>414</v>
      </c>
      <c r="E26" s="182">
        <v>0</v>
      </c>
      <c r="F26" s="181">
        <v>0</v>
      </c>
      <c r="G26" s="181">
        <v>0</v>
      </c>
      <c r="H26" s="183">
        <f t="shared" ref="H26:H28" si="3">SUM(C26:G26)</f>
        <v>591.51369999999997</v>
      </c>
      <c r="I26" s="202">
        <f t="shared" si="1"/>
        <v>2602.6602800000001</v>
      </c>
    </row>
    <row r="27" spans="1:9" x14ac:dyDescent="0.3">
      <c r="A27" s="251" t="str">
        <f>'ESS Jul 2019'!K21</f>
        <v>Powerclub</v>
      </c>
      <c r="B27" s="180">
        <f>'ESS Jul 2019'!G21</f>
        <v>42185</v>
      </c>
      <c r="C27" s="181">
        <f>91*'ESS Jul 2019'!M21/100</f>
        <v>105.77509090909089</v>
      </c>
      <c r="D27" s="181">
        <f>$C$5*'ESS Jul 2019'!N21/100</f>
        <v>530.1</v>
      </c>
      <c r="E27" s="182">
        <v>0</v>
      </c>
      <c r="F27" s="181">
        <v>0</v>
      </c>
      <c r="G27" s="181">
        <v>0</v>
      </c>
      <c r="H27" s="183">
        <f t="shared" si="3"/>
        <v>635.87509090909089</v>
      </c>
      <c r="I27" s="202">
        <f t="shared" si="1"/>
        <v>2797.8504000000003</v>
      </c>
    </row>
    <row r="28" spans="1:9" ht="14" thickBot="1" x14ac:dyDescent="0.35">
      <c r="A28" s="258" t="str">
        <f>'ESS Jul 2019'!K22</f>
        <v>Enova Energy</v>
      </c>
      <c r="B28" s="185">
        <f>'ESS Jul 2019'!G22</f>
        <v>42185</v>
      </c>
      <c r="C28" s="186">
        <f>91*'ESS Jul 2019'!M22/100</f>
        <v>135.59</v>
      </c>
      <c r="D28" s="186">
        <f>$C$5*'ESS Jul 2019'!N22/100</f>
        <v>453.59999999999991</v>
      </c>
      <c r="E28" s="187">
        <v>0</v>
      </c>
      <c r="F28" s="186">
        <v>0</v>
      </c>
      <c r="G28" s="186">
        <v>0</v>
      </c>
      <c r="H28" s="188">
        <f t="shared" si="3"/>
        <v>589.18999999999994</v>
      </c>
      <c r="I28" s="203">
        <f t="shared" si="1"/>
        <v>2592.4360000000001</v>
      </c>
    </row>
    <row r="29" spans="1:9" x14ac:dyDescent="0.3">
      <c r="A29" s="239"/>
      <c r="B29" s="239"/>
      <c r="C29" s="239"/>
      <c r="D29" s="239"/>
      <c r="E29" s="239"/>
      <c r="F29" s="239"/>
      <c r="G29" s="239"/>
      <c r="H29" s="239"/>
      <c r="I29" s="239"/>
    </row>
    <row r="30" spans="1:9" ht="14" thickBot="1" x14ac:dyDescent="0.35"/>
    <row r="31" spans="1:9" ht="14" x14ac:dyDescent="0.3">
      <c r="A31" s="176" t="s">
        <v>89</v>
      </c>
      <c r="B31" s="91"/>
      <c r="C31" s="91"/>
      <c r="D31" s="91"/>
      <c r="E31" s="91"/>
      <c r="F31" s="91"/>
      <c r="G31" s="91"/>
      <c r="H31" s="91"/>
      <c r="I31" s="177"/>
    </row>
    <row r="32" spans="1:9" ht="14" x14ac:dyDescent="0.3">
      <c r="A32" s="92" t="s">
        <v>79</v>
      </c>
      <c r="B32" s="93"/>
      <c r="C32" s="168">
        <v>2000</v>
      </c>
      <c r="D32" s="93"/>
      <c r="E32" s="93"/>
      <c r="F32" s="93"/>
      <c r="G32" s="93"/>
      <c r="H32" s="93"/>
      <c r="I32" s="178"/>
    </row>
    <row r="33" spans="1:9" ht="14" x14ac:dyDescent="0.3">
      <c r="A33" s="92" t="s">
        <v>91</v>
      </c>
      <c r="B33" s="93"/>
      <c r="C33" s="257">
        <v>0.7</v>
      </c>
      <c r="D33" s="93"/>
      <c r="E33" s="93"/>
      <c r="F33" s="93"/>
      <c r="G33" s="93"/>
      <c r="H33" s="93"/>
      <c r="I33" s="178"/>
    </row>
    <row r="34" spans="1:9" ht="14" x14ac:dyDescent="0.3">
      <c r="A34" s="92" t="s">
        <v>92</v>
      </c>
      <c r="B34" s="93"/>
      <c r="C34" s="257">
        <v>0.3</v>
      </c>
      <c r="D34" s="93"/>
      <c r="E34" s="93"/>
      <c r="F34" s="93"/>
      <c r="G34" s="93"/>
      <c r="H34" s="93"/>
      <c r="I34" s="178"/>
    </row>
    <row r="35" spans="1:9" ht="14" x14ac:dyDescent="0.3">
      <c r="A35" s="92"/>
      <c r="B35" s="93"/>
      <c r="C35" s="93"/>
      <c r="D35" s="93"/>
      <c r="E35" s="93"/>
      <c r="F35" s="93"/>
      <c r="G35" s="93"/>
      <c r="H35" s="93"/>
      <c r="I35" s="178"/>
    </row>
    <row r="36" spans="1:9" ht="28" x14ac:dyDescent="0.3">
      <c r="A36" s="301" t="s">
        <v>80</v>
      </c>
      <c r="B36" s="298" t="s">
        <v>81</v>
      </c>
      <c r="C36" s="298" t="s">
        <v>82</v>
      </c>
      <c r="D36" s="298" t="s">
        <v>83</v>
      </c>
      <c r="E36" s="298" t="s">
        <v>84</v>
      </c>
      <c r="F36" s="298" t="s">
        <v>86</v>
      </c>
      <c r="G36" s="298" t="s">
        <v>93</v>
      </c>
      <c r="H36" s="298" t="s">
        <v>87</v>
      </c>
      <c r="I36" s="300" t="s">
        <v>88</v>
      </c>
    </row>
    <row r="37" spans="1:9" x14ac:dyDescent="0.3">
      <c r="A37" s="179" t="str">
        <f>'ESS Jul 2019'!K23</f>
        <v>Energy Locals</v>
      </c>
      <c r="B37" s="180">
        <f>'ESS Jul 2019'!G23</f>
        <v>42187</v>
      </c>
      <c r="C37" s="181">
        <f>91*'ESS Jul 2019'!M23/100</f>
        <v>180.75909090909087</v>
      </c>
      <c r="D37" s="181">
        <f>($C$32*$C$33)*'ESS Jul 2019'!N23/100</f>
        <v>337.27272727272725</v>
      </c>
      <c r="E37" s="182">
        <v>0</v>
      </c>
      <c r="F37" s="181">
        <v>0</v>
      </c>
      <c r="G37" s="181">
        <f>($C$32*$C$34)*'ESS Jul 2019'!AE23/100</f>
        <v>92.72727272727272</v>
      </c>
      <c r="H37" s="183">
        <f>SUM(C37:G37)</f>
        <v>610.7590909090909</v>
      </c>
      <c r="I37" s="202">
        <f>(H37*4)*1.1</f>
        <v>2687.34</v>
      </c>
    </row>
    <row r="38" spans="1:9" x14ac:dyDescent="0.3">
      <c r="A38" s="179" t="str">
        <f>'ESS Jul 2019'!K24</f>
        <v>AGL</v>
      </c>
      <c r="B38" s="180">
        <f>'ESS Jul 2019'!G24</f>
        <v>42187</v>
      </c>
      <c r="C38" s="181">
        <f>91*'ESS Jul 2019'!M24/100</f>
        <v>139.22999999999999</v>
      </c>
      <c r="D38" s="181">
        <f>($C$32*$C$33)*'ESS Jul 2019'!N24/100</f>
        <v>385.76363636363635</v>
      </c>
      <c r="E38" s="182">
        <v>0</v>
      </c>
      <c r="F38" s="181">
        <v>0</v>
      </c>
      <c r="G38" s="181">
        <f>($C$32*$C$34)*'ESS Jul 2019'!AE24/100</f>
        <v>95.836363636363615</v>
      </c>
      <c r="H38" s="183">
        <f t="shared" ref="H38:H55" si="4">SUM(C38:G38)</f>
        <v>620.82999999999993</v>
      </c>
      <c r="I38" s="202">
        <f t="shared" ref="I38:I55" si="5">(H38*4)*1.1</f>
        <v>2731.652</v>
      </c>
    </row>
    <row r="39" spans="1:9" x14ac:dyDescent="0.3">
      <c r="A39" s="179" t="str">
        <f>'ESS Jul 2019'!K25</f>
        <v>Alinta Energy</v>
      </c>
      <c r="B39" s="180">
        <f>'ESS Jul 2019'!G25</f>
        <v>42185</v>
      </c>
      <c r="C39" s="181">
        <f>91*'ESS Jul 2019'!M25/100</f>
        <v>141.05000000000001</v>
      </c>
      <c r="D39" s="181">
        <f>($C$32*$C$33)*'ESS Jul 2019'!N25/100</f>
        <v>320.34545454545457</v>
      </c>
      <c r="E39" s="182">
        <v>0</v>
      </c>
      <c r="F39" s="181">
        <v>0</v>
      </c>
      <c r="G39" s="181">
        <f>($C$32*$C$34)*'ESS Jul 2019'!AE25/100</f>
        <v>74.127272727272725</v>
      </c>
      <c r="H39" s="183">
        <f t="shared" si="4"/>
        <v>535.52272727272725</v>
      </c>
      <c r="I39" s="202">
        <f t="shared" si="5"/>
        <v>2356.3000000000002</v>
      </c>
    </row>
    <row r="40" spans="1:9" x14ac:dyDescent="0.3">
      <c r="A40" s="179" t="str">
        <f>'ESS Jul 2019'!K26</f>
        <v>Click Energy</v>
      </c>
      <c r="B40" s="180">
        <f>'ESS Jul 2019'!G26</f>
        <v>42188</v>
      </c>
      <c r="C40" s="181">
        <f>91*'ESS Jul 2019'!M26/100</f>
        <v>124.66999999999999</v>
      </c>
      <c r="D40" s="181">
        <f>($C$32*$C$33)*'ESS Jul 2019'!N26/100</f>
        <v>389.19999999999993</v>
      </c>
      <c r="E40" s="182">
        <v>0</v>
      </c>
      <c r="F40" s="181">
        <v>0</v>
      </c>
      <c r="G40" s="181">
        <f>($C$32*$C$34)*'ESS Jul 2019'!AE26/100</f>
        <v>114</v>
      </c>
      <c r="H40" s="183">
        <f t="shared" si="4"/>
        <v>627.86999999999989</v>
      </c>
      <c r="I40" s="202">
        <f t="shared" si="5"/>
        <v>2762.6279999999997</v>
      </c>
    </row>
    <row r="41" spans="1:9" x14ac:dyDescent="0.3">
      <c r="A41" s="179" t="str">
        <f>'ESS Jul 2019'!K27</f>
        <v>Commander</v>
      </c>
      <c r="B41" s="180">
        <f>'ESS Jul 2019'!G27</f>
        <v>42185</v>
      </c>
      <c r="C41" s="181">
        <f>91*'ESS Jul 2019'!M27/100</f>
        <v>134.84545454545452</v>
      </c>
      <c r="D41" s="181">
        <f>($C$32*$C$33)*'ESS Jul 2019'!N27/100</f>
        <v>386.54</v>
      </c>
      <c r="E41" s="182">
        <v>0</v>
      </c>
      <c r="F41" s="181">
        <v>0</v>
      </c>
      <c r="G41" s="181">
        <f>($C$32*$C$34)*'ESS Jul 2019'!AE27/100</f>
        <v>104.34</v>
      </c>
      <c r="H41" s="183">
        <f t="shared" si="4"/>
        <v>625.72545454545457</v>
      </c>
      <c r="I41" s="202">
        <f t="shared" si="5"/>
        <v>2753.1920000000005</v>
      </c>
    </row>
    <row r="42" spans="1:9" x14ac:dyDescent="0.3">
      <c r="A42" s="179" t="str">
        <f>'ESS Jul 2019'!K28</f>
        <v>CovaU</v>
      </c>
      <c r="B42" s="180">
        <f>'ESS Jul 2019'!G28</f>
        <v>42185</v>
      </c>
      <c r="C42" s="181">
        <f>91*'ESS Jul 2019'!M28/100</f>
        <v>150.15</v>
      </c>
      <c r="D42" s="181">
        <f>($C$32*$C$33)*'ESS Jul 2019'!N28/100</f>
        <v>474.88</v>
      </c>
      <c r="E42" s="182">
        <v>0</v>
      </c>
      <c r="F42" s="181">
        <v>0</v>
      </c>
      <c r="G42" s="181">
        <f>($C$32*$C$34)*'ESS Jul 2019'!AE28/100</f>
        <v>126.72</v>
      </c>
      <c r="H42" s="183">
        <f t="shared" si="4"/>
        <v>751.75</v>
      </c>
      <c r="I42" s="202">
        <f t="shared" si="5"/>
        <v>3307.7000000000003</v>
      </c>
    </row>
    <row r="43" spans="1:9" x14ac:dyDescent="0.3">
      <c r="A43" s="179" t="str">
        <f>'ESS Jul 2019'!K29</f>
        <v>Diamond Energy</v>
      </c>
      <c r="B43" s="180">
        <f>'ESS Jul 2019'!G29</f>
        <v>42185</v>
      </c>
      <c r="C43" s="181">
        <f>91*'ESS Jul 2019'!M29/100</f>
        <v>137.41</v>
      </c>
      <c r="D43" s="181">
        <f>($C$32*$C$33)*'ESS Jul 2019'!N29/100</f>
        <v>375.76</v>
      </c>
      <c r="E43" s="182">
        <v>0</v>
      </c>
      <c r="F43" s="181">
        <v>0</v>
      </c>
      <c r="G43" s="181">
        <f>($C$32*$C$34)*'ESS Jul 2019'!AE29/100</f>
        <v>90.6</v>
      </c>
      <c r="H43" s="183">
        <f t="shared" si="4"/>
        <v>603.77</v>
      </c>
      <c r="I43" s="202">
        <f t="shared" si="5"/>
        <v>2656.5880000000002</v>
      </c>
    </row>
    <row r="44" spans="1:9" x14ac:dyDescent="0.3">
      <c r="A44" s="179" t="str">
        <f>'ESS Jul 2019'!K30</f>
        <v>Dodo Power &amp; Gas</v>
      </c>
      <c r="B44" s="180">
        <f>'ESS Jul 2019'!G30</f>
        <v>42185</v>
      </c>
      <c r="C44" s="181">
        <f>91*'ESS Jul 2019'!M30/100</f>
        <v>134.84545454545452</v>
      </c>
      <c r="D44" s="181">
        <f>($C$32*$C$33)*'ESS Jul 2019'!N30/100</f>
        <v>386.54</v>
      </c>
      <c r="E44" s="182">
        <v>0</v>
      </c>
      <c r="F44" s="181">
        <v>0</v>
      </c>
      <c r="G44" s="181">
        <f>($C$32*$C$34)*'ESS Jul 2019'!AE30/100</f>
        <v>104.34</v>
      </c>
      <c r="H44" s="183">
        <f t="shared" si="4"/>
        <v>625.72545454545457</v>
      </c>
      <c r="I44" s="202">
        <f t="shared" si="5"/>
        <v>2753.1920000000005</v>
      </c>
    </row>
    <row r="45" spans="1:9" x14ac:dyDescent="0.3">
      <c r="A45" s="179" t="str">
        <f>'ESS Jul 2019'!K31</f>
        <v>EnergyAustralia</v>
      </c>
      <c r="B45" s="180">
        <f>'ESS Jul 2019'!G31</f>
        <v>42214</v>
      </c>
      <c r="C45" s="181">
        <f>91*'ESS Jul 2019'!M31/100</f>
        <v>122.85</v>
      </c>
      <c r="D45" s="181">
        <f>($C$32*$C$33)*'ESS Jul 2019'!N31/100</f>
        <v>399.25454545454545</v>
      </c>
      <c r="E45" s="182">
        <v>0</v>
      </c>
      <c r="F45" s="181">
        <v>0</v>
      </c>
      <c r="G45" s="181">
        <f>($C$32*$C$34)*'ESS Jul 2019'!AE31/100</f>
        <v>72.272727272727266</v>
      </c>
      <c r="H45" s="183">
        <f t="shared" si="4"/>
        <v>594.37727272727273</v>
      </c>
      <c r="I45" s="202">
        <f t="shared" si="5"/>
        <v>2615.2600000000002</v>
      </c>
    </row>
    <row r="46" spans="1:9" x14ac:dyDescent="0.3">
      <c r="A46" s="179" t="str">
        <f>'ESS Jul 2019'!K32</f>
        <v>Mojo Power</v>
      </c>
      <c r="B46" s="180">
        <f>'ESS Jul 2019'!G32</f>
        <v>41820</v>
      </c>
      <c r="C46" s="181">
        <f>91*'ESS Jul 2019'!M32/100</f>
        <v>199.2354</v>
      </c>
      <c r="D46" s="181">
        <f>($C$32*$C$33)*'ESS Jul 2019'!N32/100</f>
        <v>355.74</v>
      </c>
      <c r="E46" s="182">
        <v>0</v>
      </c>
      <c r="F46" s="181">
        <v>0</v>
      </c>
      <c r="G46" s="181">
        <f>($C$32*$C$34)*'ESS Jul 2019'!AE32/100</f>
        <v>88.380000000000024</v>
      </c>
      <c r="H46" s="183">
        <f t="shared" si="4"/>
        <v>643.35540000000003</v>
      </c>
      <c r="I46" s="202">
        <f t="shared" si="5"/>
        <v>2830.7637600000003</v>
      </c>
    </row>
    <row r="47" spans="1:9" x14ac:dyDescent="0.3">
      <c r="A47" s="179" t="str">
        <f>'ESS Jul 2019'!K33</f>
        <v>Momentum Energy</v>
      </c>
      <c r="B47" s="180">
        <f>'ESS Jul 2019'!G33</f>
        <v>42185</v>
      </c>
      <c r="C47" s="181">
        <f>91*'ESS Jul 2019'!M33/100</f>
        <v>140.34020000000001</v>
      </c>
      <c r="D47" s="181">
        <f>($C$32*$C$33)*'ESS Jul 2019'!N33/100</f>
        <v>384.44</v>
      </c>
      <c r="E47" s="182">
        <v>0</v>
      </c>
      <c r="F47" s="181">
        <v>0</v>
      </c>
      <c r="G47" s="181">
        <f>($C$32*$C$34)*'ESS Jul 2019'!AE33/100</f>
        <v>99.9</v>
      </c>
      <c r="H47" s="183">
        <f t="shared" si="4"/>
        <v>624.68020000000001</v>
      </c>
      <c r="I47" s="202">
        <f t="shared" si="5"/>
        <v>2748.5928800000002</v>
      </c>
    </row>
    <row r="48" spans="1:9" x14ac:dyDescent="0.3">
      <c r="A48" s="179" t="str">
        <f>'ESS Jul 2019'!K34</f>
        <v>Origin Energy</v>
      </c>
      <c r="B48" s="180">
        <f>'ESS Jul 2019'!G34</f>
        <v>42201</v>
      </c>
      <c r="C48" s="181">
        <f>91*'ESS Jul 2019'!M34/100</f>
        <v>137.40999999999997</v>
      </c>
      <c r="D48" s="181">
        <f>($C$32*$C$33)*'ESS Jul 2019'!N34/100</f>
        <v>388.69090909090903</v>
      </c>
      <c r="E48" s="182">
        <v>0</v>
      </c>
      <c r="F48" s="181">
        <v>0</v>
      </c>
      <c r="G48" s="181">
        <f>($C$32*$C$34)*'ESS Jul 2019'!AE34/100</f>
        <v>99.218181818181819</v>
      </c>
      <c r="H48" s="183">
        <f t="shared" si="4"/>
        <v>625.31909090909085</v>
      </c>
      <c r="I48" s="202">
        <f t="shared" si="5"/>
        <v>2751.404</v>
      </c>
    </row>
    <row r="49" spans="1:9" x14ac:dyDescent="0.3">
      <c r="A49" s="179" t="str">
        <f>'ESS Jul 2019'!K35</f>
        <v>Powerdirect</v>
      </c>
      <c r="B49" s="180">
        <f>'ESS Jul 2019'!G35</f>
        <v>42187</v>
      </c>
      <c r="C49" s="181">
        <f>91*'ESS Jul 2019'!M35/100</f>
        <v>139.22999999999999</v>
      </c>
      <c r="D49" s="181">
        <f>($C$32*$C$33)*'ESS Jul 2019'!N35/100</f>
        <v>385.76363636363635</v>
      </c>
      <c r="E49" s="182">
        <v>0</v>
      </c>
      <c r="F49" s="181">
        <v>0</v>
      </c>
      <c r="G49" s="181">
        <f>($C$32*$C$34)*'ESS Jul 2019'!AE35/100</f>
        <v>95.836363636363615</v>
      </c>
      <c r="H49" s="183">
        <f t="shared" si="4"/>
        <v>620.82999999999993</v>
      </c>
      <c r="I49" s="202">
        <f t="shared" si="5"/>
        <v>2731.652</v>
      </c>
    </row>
    <row r="50" spans="1:9" x14ac:dyDescent="0.3">
      <c r="A50" s="179" t="str">
        <f>'ESS Jul 2019'!K36</f>
        <v>Powershop</v>
      </c>
      <c r="B50" s="180">
        <f>'ESS Jul 2019'!G36</f>
        <v>42195</v>
      </c>
      <c r="C50" s="181">
        <f>91*'ESS Jul 2019'!M36/100</f>
        <v>150.03418181818182</v>
      </c>
      <c r="D50" s="181">
        <f>($C$32*$C$33)*'ESS Jul 2019'!N36/100</f>
        <v>375.07272727272726</v>
      </c>
      <c r="E50" s="182">
        <v>0</v>
      </c>
      <c r="F50" s="181">
        <v>0</v>
      </c>
      <c r="G50" s="181">
        <f>($C$32*$C$34)*'ESS Jul 2019'!AE36/100</f>
        <v>95.399999999999977</v>
      </c>
      <c r="H50" s="183">
        <f t="shared" si="4"/>
        <v>620.50690909090906</v>
      </c>
      <c r="I50" s="202">
        <f t="shared" si="5"/>
        <v>2730.2303999999999</v>
      </c>
    </row>
    <row r="51" spans="1:9" x14ac:dyDescent="0.3">
      <c r="A51" s="179" t="str">
        <f>'ESS Jul 2019'!K37</f>
        <v>Red Energy</v>
      </c>
      <c r="B51" s="180">
        <f>'ESS Jul 2019'!G37</f>
        <v>42185</v>
      </c>
      <c r="C51" s="181">
        <f>91*'ESS Jul 2019'!M37/100</f>
        <v>136.95500000000001</v>
      </c>
      <c r="D51" s="181">
        <f>($C$32*$C$33)*'ESS Jul 2019'!N37/100</f>
        <v>378</v>
      </c>
      <c r="E51" s="182">
        <v>0</v>
      </c>
      <c r="F51" s="181">
        <v>0</v>
      </c>
      <c r="G51" s="181">
        <f>($C$32*$C$34)*'ESS Jul 2019'!AE37/100</f>
        <v>104.4</v>
      </c>
      <c r="H51" s="183">
        <f t="shared" si="4"/>
        <v>619.35500000000002</v>
      </c>
      <c r="I51" s="202">
        <f t="shared" si="5"/>
        <v>2725.1620000000003</v>
      </c>
    </row>
    <row r="52" spans="1:9" x14ac:dyDescent="0.3">
      <c r="A52" s="179" t="str">
        <f>'ESS Jul 2019'!K38</f>
        <v>Simply Energy</v>
      </c>
      <c r="B52" s="180">
        <f>'ESS Jul 2019'!G38</f>
        <v>42192</v>
      </c>
      <c r="C52" s="181">
        <f>91*'ESS Jul 2019'!M38/100</f>
        <v>140.52054545454544</v>
      </c>
      <c r="D52" s="181">
        <f>($C$32*$C$33)*'ESS Jul 2019'!N38/100</f>
        <v>366.67272727272723</v>
      </c>
      <c r="E52" s="182">
        <v>0</v>
      </c>
      <c r="F52" s="181">
        <v>0</v>
      </c>
      <c r="G52" s="181">
        <f>($C$32*$C$34)*'ESS Jul 2019'!AE38/100</f>
        <v>90.654545454545456</v>
      </c>
      <c r="H52" s="183">
        <f t="shared" si="4"/>
        <v>597.84781818181807</v>
      </c>
      <c r="I52" s="202">
        <f t="shared" si="5"/>
        <v>2630.5303999999996</v>
      </c>
    </row>
    <row r="53" spans="1:9" x14ac:dyDescent="0.3">
      <c r="A53" s="179" t="str">
        <f>'ESS Jul 2019'!K39</f>
        <v>1st Energy</v>
      </c>
      <c r="B53" s="180">
        <f>'ESS Jul 2019'!G39</f>
        <v>42185</v>
      </c>
      <c r="C53" s="181">
        <f>91*'ESS Jul 2019'!M39/100</f>
        <v>161.97999999999999</v>
      </c>
      <c r="D53" s="181">
        <f>IF($C$32*$C$33&gt;='ESS Jul 2019'!P39,('ESS Jul 2019'!P39*'ESS Jul 2019'!N39/100),(($C$32*$C$33)*'ESS Jul 2019'!N39/100))</f>
        <v>344.25</v>
      </c>
      <c r="E53" s="182">
        <v>0</v>
      </c>
      <c r="F53" s="181">
        <f>IF(($C$32*$C$33&lt;'ESS Jul 2019'!R39),(0),($C$32*$C$33-'ESS Jul 2019'!R39)*'ESS Jul 2019'!S39/100)</f>
        <v>14.65</v>
      </c>
      <c r="G53" s="181">
        <f>($C$32*$C$34)*'ESS Jul 2019'!AE39/100</f>
        <v>84</v>
      </c>
      <c r="H53" s="183">
        <f t="shared" ref="H53" si="6">SUM(C53:G53)</f>
        <v>604.88</v>
      </c>
      <c r="I53" s="202">
        <f t="shared" si="5"/>
        <v>2661.4720000000002</v>
      </c>
    </row>
    <row r="54" spans="1:9" x14ac:dyDescent="0.3">
      <c r="A54" s="179" t="str">
        <f>'ESS Jul 2019'!K40</f>
        <v>Amaysim</v>
      </c>
      <c r="B54" s="180">
        <f>'ESS Jul 2019'!G40</f>
        <v>42188</v>
      </c>
      <c r="C54" s="181">
        <f>91*'ESS Jul 2019'!M40/100</f>
        <v>124.67</v>
      </c>
      <c r="D54" s="181">
        <f>($C$32*$C$33)*'ESS Jul 2019'!N40/100</f>
        <v>389.2</v>
      </c>
      <c r="E54" s="182">
        <v>0</v>
      </c>
      <c r="F54" s="181">
        <v>0</v>
      </c>
      <c r="G54" s="181">
        <f>($C$32*$C$34)*'ESS Jul 2019'!AE40/100</f>
        <v>114</v>
      </c>
      <c r="H54" s="183">
        <f t="shared" si="4"/>
        <v>627.87</v>
      </c>
      <c r="I54" s="202">
        <f t="shared" si="5"/>
        <v>2762.6280000000002</v>
      </c>
    </row>
    <row r="55" spans="1:9" x14ac:dyDescent="0.3">
      <c r="A55" s="251" t="str">
        <f>'ESS Jul 2019'!K41</f>
        <v>ReAmped Energy</v>
      </c>
      <c r="B55" s="180">
        <f>'ESS Jul 2019'!G41</f>
        <v>42185</v>
      </c>
      <c r="C55" s="181">
        <f>91*'ESS Jul 2019'!M41/100</f>
        <v>182.50049999999999</v>
      </c>
      <c r="D55" s="181">
        <f>($C$32*$C$33)*'ESS Jul 2019'!N41/100</f>
        <v>322</v>
      </c>
      <c r="E55" s="182">
        <v>0</v>
      </c>
      <c r="F55" s="181">
        <v>0</v>
      </c>
      <c r="G55" s="181">
        <f>($C$32*$C$34)*'ESS Jul 2019'!AE41/100</f>
        <v>108</v>
      </c>
      <c r="H55" s="183">
        <f t="shared" si="4"/>
        <v>612.50049999999999</v>
      </c>
      <c r="I55" s="202">
        <f t="shared" si="5"/>
        <v>2695.0022000000004</v>
      </c>
    </row>
    <row r="56" spans="1:9" ht="14" thickBot="1" x14ac:dyDescent="0.35">
      <c r="A56" s="258" t="str">
        <f>'ESS Jul 2019'!K42</f>
        <v>Enova Energy</v>
      </c>
      <c r="B56" s="185">
        <f>'ESS Jul 2019'!G42</f>
        <v>42185</v>
      </c>
      <c r="C56" s="186">
        <f>91*'ESS Jul 2019'!M42/100</f>
        <v>148.33000000000001</v>
      </c>
      <c r="D56" s="186">
        <f>($C$32*$C$33)*'ESS Jul 2019'!N42/100</f>
        <v>352.79999999999995</v>
      </c>
      <c r="E56" s="187">
        <v>0</v>
      </c>
      <c r="F56" s="186">
        <v>0</v>
      </c>
      <c r="G56" s="186">
        <f>($C$32*$C$34)*'ESS Jul 2019'!AE42/100</f>
        <v>96</v>
      </c>
      <c r="H56" s="188">
        <f t="shared" ref="H56" si="7">SUM(C56:G56)</f>
        <v>597.13</v>
      </c>
      <c r="I56" s="203">
        <f t="shared" ref="I56" si="8">(H56*4)*1.1</f>
        <v>2627.3720000000003</v>
      </c>
    </row>
    <row r="57" spans="1:9" s="239" customFormat="1" x14ac:dyDescent="0.3"/>
    <row r="58" spans="1:9" ht="14" thickBot="1" x14ac:dyDescent="0.35"/>
    <row r="59" spans="1:9" ht="14" x14ac:dyDescent="0.3">
      <c r="A59" s="176" t="s">
        <v>94</v>
      </c>
      <c r="B59" s="91"/>
      <c r="C59" s="91"/>
      <c r="D59" s="91"/>
      <c r="E59" s="91"/>
      <c r="F59" s="91"/>
      <c r="G59" s="91"/>
      <c r="H59" s="91"/>
      <c r="I59" s="177"/>
    </row>
    <row r="60" spans="1:9" ht="14" x14ac:dyDescent="0.3">
      <c r="A60" s="92" t="s">
        <v>79</v>
      </c>
      <c r="B60" s="93"/>
      <c r="C60" s="168">
        <v>1800</v>
      </c>
      <c r="D60" s="93"/>
      <c r="E60" s="93"/>
      <c r="F60" s="93"/>
      <c r="G60" s="93"/>
      <c r="H60" s="93"/>
      <c r="I60" s="178"/>
    </row>
    <row r="61" spans="1:9" ht="14" x14ac:dyDescent="0.3">
      <c r="A61" s="92" t="s">
        <v>91</v>
      </c>
      <c r="B61" s="93"/>
      <c r="C61" s="257">
        <v>0.2</v>
      </c>
      <c r="D61" s="93"/>
      <c r="E61" s="93"/>
      <c r="F61" s="93"/>
      <c r="G61" s="93"/>
      <c r="H61" s="93"/>
      <c r="I61" s="178"/>
    </row>
    <row r="62" spans="1:9" ht="14" x14ac:dyDescent="0.3">
      <c r="A62" s="92" t="s">
        <v>95</v>
      </c>
      <c r="B62" s="93"/>
      <c r="C62" s="257">
        <v>0.5</v>
      </c>
      <c r="D62" s="93"/>
      <c r="E62" s="93"/>
      <c r="F62" s="93"/>
      <c r="G62" s="93"/>
      <c r="H62" s="93"/>
      <c r="I62" s="178"/>
    </row>
    <row r="63" spans="1:9" ht="14" x14ac:dyDescent="0.3">
      <c r="A63" s="92" t="s">
        <v>92</v>
      </c>
      <c r="B63" s="93"/>
      <c r="C63" s="257">
        <v>0.3</v>
      </c>
      <c r="D63" s="93"/>
      <c r="E63" s="93"/>
      <c r="F63" s="93"/>
      <c r="G63" s="93"/>
      <c r="H63" s="93"/>
      <c r="I63" s="178"/>
    </row>
    <row r="64" spans="1:9" ht="14" x14ac:dyDescent="0.3">
      <c r="A64" s="166"/>
      <c r="B64" s="93"/>
      <c r="C64" s="167"/>
      <c r="D64" s="93"/>
      <c r="E64" s="93"/>
      <c r="F64" s="93"/>
      <c r="G64" s="93"/>
      <c r="H64" s="93"/>
      <c r="I64" s="178"/>
    </row>
    <row r="65" spans="1:9" ht="28" x14ac:dyDescent="0.3">
      <c r="A65" s="301" t="s">
        <v>80</v>
      </c>
      <c r="B65" s="298" t="s">
        <v>81</v>
      </c>
      <c r="C65" s="298" t="s">
        <v>82</v>
      </c>
      <c r="D65" s="298" t="s">
        <v>96</v>
      </c>
      <c r="E65" s="298" t="s">
        <v>86</v>
      </c>
      <c r="F65" s="298" t="s">
        <v>97</v>
      </c>
      <c r="G65" s="298" t="s">
        <v>98</v>
      </c>
      <c r="H65" s="298" t="s">
        <v>87</v>
      </c>
      <c r="I65" s="300" t="s">
        <v>88</v>
      </c>
    </row>
    <row r="66" spans="1:9" x14ac:dyDescent="0.3">
      <c r="A66" s="179" t="str">
        <f>'ESS Jul 2019'!K43</f>
        <v>Energy Locals</v>
      </c>
      <c r="B66" s="180">
        <f>'ESS Jul 2019'!G43</f>
        <v>42187</v>
      </c>
      <c r="C66" s="181">
        <f>91*'ESS Jul 2019'!M43/100</f>
        <v>160.90454545454543</v>
      </c>
      <c r="D66" s="181">
        <f>($C$60*$C$61)*'ESS Jul 2019'!N43/100</f>
        <v>98.181818181818187</v>
      </c>
      <c r="E66" s="181">
        <v>0</v>
      </c>
      <c r="F66" s="181">
        <f>($C$60*$C$62)*'ESS Jul 2019'!AH43/100</f>
        <v>233.18181818181816</v>
      </c>
      <c r="G66" s="181">
        <f>($C$60*$C$63)*'ESS Jul 2019'!W43/100</f>
        <v>98.181818181818187</v>
      </c>
      <c r="H66" s="183">
        <f>SUM(C66:G66)</f>
        <v>590.45000000000005</v>
      </c>
      <c r="I66" s="202">
        <f>(H66*4)*1.1</f>
        <v>2597.9800000000005</v>
      </c>
    </row>
    <row r="67" spans="1:9" x14ac:dyDescent="0.3">
      <c r="A67" s="179" t="str">
        <f>'ESS Jul 2019'!K44</f>
        <v>AGL</v>
      </c>
      <c r="B67" s="180">
        <f>'ESS Jul 2019'!G44</f>
        <v>42187</v>
      </c>
      <c r="C67" s="181">
        <f>91*'ESS Jul 2019'!M44/100</f>
        <v>127.4</v>
      </c>
      <c r="D67" s="181">
        <f>($C$60*$C$61)*'ESS Jul 2019'!N44/100</f>
        <v>123.31636363636362</v>
      </c>
      <c r="E67" s="181">
        <v>0</v>
      </c>
      <c r="F67" s="181">
        <f>($C$60*$C$62)*'ESS Jul 2019'!AH44/100</f>
        <v>299.7</v>
      </c>
      <c r="G67" s="181">
        <f>($C$60*$C$63)*'ESS Jul 2019'!W44/100</f>
        <v>97.592727272727259</v>
      </c>
      <c r="H67" s="183">
        <f t="shared" ref="H67:H83" si="9">SUM(C67:G67)</f>
        <v>648.0090909090909</v>
      </c>
      <c r="I67" s="202">
        <f t="shared" ref="I67:I83" si="10">(H67*4)*1.1</f>
        <v>2851.2400000000002</v>
      </c>
    </row>
    <row r="68" spans="1:9" x14ac:dyDescent="0.3">
      <c r="A68" s="179" t="str">
        <f>'ESS Jul 2019'!K45</f>
        <v>Alinta Energy</v>
      </c>
      <c r="B68" s="180">
        <f>'ESS Jul 2019'!G45</f>
        <v>42185</v>
      </c>
      <c r="C68" s="181">
        <f>91*'ESS Jul 2019'!M45/100</f>
        <v>128.76499999999999</v>
      </c>
      <c r="D68" s="181">
        <f>($C$60*$C$61)*'ESS Jul 2019'!N45/100</f>
        <v>100.3090909090909</v>
      </c>
      <c r="E68" s="181">
        <v>0</v>
      </c>
      <c r="F68" s="181">
        <f>($C$60*$C$62)*'ESS Jul 2019'!AH45/100</f>
        <v>236.86363636363637</v>
      </c>
      <c r="G68" s="181">
        <f>($C$60*$C$63)*'ESS Jul 2019'!W45/100</f>
        <v>83.50363636363636</v>
      </c>
      <c r="H68" s="183">
        <f t="shared" si="9"/>
        <v>549.44136363636358</v>
      </c>
      <c r="I68" s="202">
        <f t="shared" si="10"/>
        <v>2417.5419999999999</v>
      </c>
    </row>
    <row r="69" spans="1:9" x14ac:dyDescent="0.3">
      <c r="A69" s="179" t="str">
        <f>'ESS Jul 2019'!K46</f>
        <v>Click Energy</v>
      </c>
      <c r="B69" s="180">
        <f>'ESS Jul 2019'!G46</f>
        <v>42188</v>
      </c>
      <c r="C69" s="181">
        <f>91*'ESS Jul 2019'!M46/100</f>
        <v>124.66999999999999</v>
      </c>
      <c r="D69" s="181">
        <f>($C$60*$C$61)*'ESS Jul 2019'!N46/100</f>
        <v>115.56</v>
      </c>
      <c r="E69" s="181">
        <v>0</v>
      </c>
      <c r="F69" s="181">
        <f>($C$60*$C$62)*'ESS Jul 2019'!AH46/100</f>
        <v>261</v>
      </c>
      <c r="G69" s="181">
        <f>($C$60*$C$63)*'ESS Jul 2019'!W46/100</f>
        <v>112.32</v>
      </c>
      <c r="H69" s="183">
        <f t="shared" si="9"/>
        <v>613.54999999999995</v>
      </c>
      <c r="I69" s="202">
        <f t="shared" si="10"/>
        <v>2699.62</v>
      </c>
    </row>
    <row r="70" spans="1:9" x14ac:dyDescent="0.3">
      <c r="A70" s="179" t="str">
        <f>'ESS Jul 2019'!K47</f>
        <v>Commander</v>
      </c>
      <c r="B70" s="180">
        <f>'ESS Jul 2019'!G47</f>
        <v>42185</v>
      </c>
      <c r="C70" s="181">
        <f>91*'ESS Jul 2019'!M47/100</f>
        <v>134.316</v>
      </c>
      <c r="D70" s="181">
        <f>($C$60*$C$61)*'ESS Jul 2019'!N47/100</f>
        <v>122.11200000000001</v>
      </c>
      <c r="E70" s="181">
        <v>0</v>
      </c>
      <c r="F70" s="181">
        <f>($C$60*$C$62)*'ESS Jul 2019'!AH47/100</f>
        <v>287.73</v>
      </c>
      <c r="G70" s="181">
        <f>($C$60*$C$63)*'ESS Jul 2019'!W47/100</f>
        <v>114.04800000000002</v>
      </c>
      <c r="H70" s="183">
        <f t="shared" si="9"/>
        <v>658.20600000000002</v>
      </c>
      <c r="I70" s="202">
        <f t="shared" si="10"/>
        <v>2896.1064000000001</v>
      </c>
    </row>
    <row r="71" spans="1:9" x14ac:dyDescent="0.3">
      <c r="A71" s="179" t="str">
        <f>'ESS Jul 2019'!K48</f>
        <v>CovaU</v>
      </c>
      <c r="B71" s="180">
        <f>'ESS Jul 2019'!G48</f>
        <v>42185</v>
      </c>
      <c r="C71" s="181">
        <f>91*'ESS Jul 2019'!M48/100</f>
        <v>167.08427272727272</v>
      </c>
      <c r="D71" s="181">
        <f>($C$60*$C$61)*'ESS Jul 2019'!N48/100</f>
        <v>122.11200000000001</v>
      </c>
      <c r="E71" s="181">
        <v>0</v>
      </c>
      <c r="F71" s="181">
        <f>($C$60*$C$62)*'ESS Jul 2019'!AH48/100</f>
        <v>287.73</v>
      </c>
      <c r="G71" s="181">
        <f>($C$60*$C$63)*'ESS Jul 2019'!W48/100</f>
        <v>114.04800000000002</v>
      </c>
      <c r="H71" s="183">
        <f t="shared" si="9"/>
        <v>690.97427272727282</v>
      </c>
      <c r="I71" s="202">
        <f t="shared" si="10"/>
        <v>3040.2868000000008</v>
      </c>
    </row>
    <row r="72" spans="1:9" x14ac:dyDescent="0.3">
      <c r="A72" s="179" t="str">
        <f>'ESS Jul 2019'!K49</f>
        <v>Diamond Energy</v>
      </c>
      <c r="B72" s="180">
        <f>'ESS Jul 2019'!G49</f>
        <v>42185</v>
      </c>
      <c r="C72" s="181">
        <f>91*'ESS Jul 2019'!M49/100</f>
        <v>136.40899999999999</v>
      </c>
      <c r="D72" s="181">
        <f>IF($C$60*$C$61&gt;='ESS Jul 2019'!P49,('ESS Jul 2019'!P49*'ESS Jul 2019'!N49/100),(($C$60*$C$61)*'ESS Jul 2019'!N49/100))</f>
        <v>116.06400000000002</v>
      </c>
      <c r="E72" s="181">
        <f>IF(($C$60*$C$61&lt;'ESS Jul 2019'!P49),(0),($C$60*$C$61-'ESS Jul 2019'!P49)*'ESS Jul 2019'!Q49/100)</f>
        <v>0</v>
      </c>
      <c r="F72" s="181">
        <f>($C$60*$C$62)*'ESS Jul 2019'!AH49/100</f>
        <v>285.48</v>
      </c>
      <c r="G72" s="181">
        <f>($C$60*$C$63)*'ESS Jul 2019'!W49/100</f>
        <v>104.706</v>
      </c>
      <c r="H72" s="183">
        <f t="shared" si="9"/>
        <v>642.65899999999999</v>
      </c>
      <c r="I72" s="202">
        <f t="shared" si="10"/>
        <v>2827.6996000000004</v>
      </c>
    </row>
    <row r="73" spans="1:9" x14ac:dyDescent="0.3">
      <c r="A73" s="179" t="str">
        <f>'ESS Jul 2019'!K50</f>
        <v>Dodo Power &amp; Gas</v>
      </c>
      <c r="B73" s="180">
        <f>'ESS Jul 2019'!G50</f>
        <v>42185</v>
      </c>
      <c r="C73" s="181">
        <f>91*'ESS Jul 2019'!M50/100</f>
        <v>134.316</v>
      </c>
      <c r="D73" s="181">
        <f>($C$60*$C$61)*'ESS Jul 2019'!N50/100</f>
        <v>122.11200000000001</v>
      </c>
      <c r="E73" s="181">
        <v>0</v>
      </c>
      <c r="F73" s="181">
        <f>($C$60*$C$62)*'ESS Jul 2019'!AH50/100</f>
        <v>287.73</v>
      </c>
      <c r="G73" s="181">
        <f>($C$60*$C$63)*'ESS Jul 2019'!W50/100</f>
        <v>114.04800000000002</v>
      </c>
      <c r="H73" s="183">
        <f t="shared" si="9"/>
        <v>658.20600000000002</v>
      </c>
      <c r="I73" s="202">
        <f t="shared" si="10"/>
        <v>2896.1064000000001</v>
      </c>
    </row>
    <row r="74" spans="1:9" x14ac:dyDescent="0.3">
      <c r="A74" s="179" t="str">
        <f>'ESS Jul 2019'!K51</f>
        <v>EnergyAustralia</v>
      </c>
      <c r="B74" s="180">
        <f>'ESS Jul 2019'!G51</f>
        <v>42214</v>
      </c>
      <c r="C74" s="181">
        <f>91*'ESS Jul 2019'!M51/100</f>
        <v>131.768</v>
      </c>
      <c r="D74" s="181">
        <f>($C$60*$C$61)*'ESS Jul 2019'!N51/100</f>
        <v>129.852</v>
      </c>
      <c r="E74" s="181">
        <v>0</v>
      </c>
      <c r="F74" s="181">
        <f>($C$60*$C$62)*'ESS Jul 2019'!AH51/100</f>
        <v>304.56000000000006</v>
      </c>
      <c r="G74" s="181">
        <f>($C$60*$C$63)*'ESS Jul 2019'!W51/100</f>
        <v>100.54800000000002</v>
      </c>
      <c r="H74" s="183">
        <f t="shared" si="9"/>
        <v>666.72800000000007</v>
      </c>
      <c r="I74" s="202">
        <f t="shared" si="10"/>
        <v>2933.6032000000005</v>
      </c>
    </row>
    <row r="75" spans="1:9" x14ac:dyDescent="0.3">
      <c r="A75" s="179" t="str">
        <f>'ESS Jul 2019'!K52</f>
        <v>Mojo Power</v>
      </c>
      <c r="B75" s="180">
        <f>'ESS Jul 2019'!G52</f>
        <v>41820</v>
      </c>
      <c r="C75" s="181">
        <f>91*'ESS Jul 2019'!M52/100</f>
        <v>190.61770000000001</v>
      </c>
      <c r="D75" s="181">
        <f>($C$60*$C$61)*'ESS Jul 2019'!N52/100</f>
        <v>114.91199999999999</v>
      </c>
      <c r="E75" s="181">
        <v>0</v>
      </c>
      <c r="F75" s="181">
        <f>($C$60*$C$62)*'ESS Jul 2019'!AH52/100</f>
        <v>263.07000000000005</v>
      </c>
      <c r="G75" s="181">
        <f>($C$60*$C$63)*'ESS Jul 2019'!W52/100</f>
        <v>91.151999999999987</v>
      </c>
      <c r="H75" s="183">
        <f t="shared" si="9"/>
        <v>659.75170000000003</v>
      </c>
      <c r="I75" s="202">
        <f t="shared" si="10"/>
        <v>2902.9074800000003</v>
      </c>
    </row>
    <row r="76" spans="1:9" x14ac:dyDescent="0.3">
      <c r="A76" s="179" t="str">
        <f>'ESS Jul 2019'!K53</f>
        <v>Momentum Energy</v>
      </c>
      <c r="B76" s="180">
        <f>'ESS Jul 2019'!G53</f>
        <v>42185</v>
      </c>
      <c r="C76" s="181">
        <f>91*'ESS Jul 2019'!M53/100</f>
        <v>128.583</v>
      </c>
      <c r="D76" s="181">
        <f>IF($C$60*$C$61&gt;='ESS Jul 2019'!P53,('ESS Jul 2019'!P53*'ESS Jul 2019'!N53/100),(($C$60*$C$61)*'ESS Jul 2019'!N53/100))</f>
        <v>128.952</v>
      </c>
      <c r="E76" s="181">
        <f>IF(($C$60*$C$61&lt;'ESS Jul 2019'!P53),(0),($C$60*$C$61-'ESS Jul 2019'!P53)*'ESS Jul 2019'!Q53/100)</f>
        <v>0</v>
      </c>
      <c r="F76" s="181">
        <f>($C$60*$C$62)*'ESS Jul 2019'!AH53/100</f>
        <v>313.47000000000003</v>
      </c>
      <c r="G76" s="181">
        <f>($C$60*$C$63)*'ESS Jul 2019'!W53/100</f>
        <v>104.22</v>
      </c>
      <c r="H76" s="183">
        <f t="shared" si="9"/>
        <v>675.22500000000002</v>
      </c>
      <c r="I76" s="202">
        <f t="shared" si="10"/>
        <v>2970.9900000000002</v>
      </c>
    </row>
    <row r="77" spans="1:9" x14ac:dyDescent="0.3">
      <c r="A77" s="179" t="str">
        <f>'ESS Jul 2019'!K54</f>
        <v>Origin Energy</v>
      </c>
      <c r="B77" s="180">
        <f>'ESS Jul 2019'!G54</f>
        <v>42201</v>
      </c>
      <c r="C77" s="181">
        <f>91*'ESS Jul 2019'!M54/100</f>
        <v>125.125</v>
      </c>
      <c r="D77" s="181">
        <f>($C$60*$C$61)*'ESS Jul 2019'!N54/100</f>
        <v>124.88727272727272</v>
      </c>
      <c r="E77" s="181">
        <v>0</v>
      </c>
      <c r="F77" s="181">
        <f>($C$60*$C$62)*'ESS Jul 2019'!AH54/100</f>
        <v>292.41818181818184</v>
      </c>
      <c r="G77" s="181">
        <f>($C$60*$C$63)*'ESS Jul 2019'!W54/100</f>
        <v>102.1581818181818</v>
      </c>
      <c r="H77" s="183">
        <f t="shared" si="9"/>
        <v>644.58863636363628</v>
      </c>
      <c r="I77" s="202">
        <f t="shared" si="10"/>
        <v>2836.19</v>
      </c>
    </row>
    <row r="78" spans="1:9" x14ac:dyDescent="0.3">
      <c r="A78" s="179" t="str">
        <f>'ESS Jul 2019'!K55</f>
        <v>Powerdirect</v>
      </c>
      <c r="B78" s="180">
        <f>'ESS Jul 2019'!G55</f>
        <v>42187</v>
      </c>
      <c r="C78" s="181">
        <f>91*'ESS Jul 2019'!M55/100</f>
        <v>127.4</v>
      </c>
      <c r="D78" s="181">
        <f>($C$60*$C$61)*'ESS Jul 2019'!N55/100</f>
        <v>123.31636363636362</v>
      </c>
      <c r="E78" s="181">
        <v>0</v>
      </c>
      <c r="F78" s="181">
        <f>($C$60*$C$62)*'ESS Jul 2019'!AH55/100</f>
        <v>299.7</v>
      </c>
      <c r="G78" s="181">
        <f>($C$60*$C$63)*'ESS Jul 2019'!W55/100</f>
        <v>97.592727272727259</v>
      </c>
      <c r="H78" s="183">
        <f t="shared" si="9"/>
        <v>648.0090909090909</v>
      </c>
      <c r="I78" s="202">
        <f t="shared" si="10"/>
        <v>2851.2400000000002</v>
      </c>
    </row>
    <row r="79" spans="1:9" x14ac:dyDescent="0.3">
      <c r="A79" s="179" t="str">
        <f>'ESS Jul 2019'!K56</f>
        <v>Powershop</v>
      </c>
      <c r="B79" s="180">
        <f>'ESS Jul 2019'!G56</f>
        <v>42195</v>
      </c>
      <c r="C79" s="181">
        <f>91*'ESS Jul 2019'!M56/100</f>
        <v>139.13072727272726</v>
      </c>
      <c r="D79" s="181">
        <f>($C$60*$C$61)*'ESS Jul 2019'!N56/100</f>
        <v>111.24</v>
      </c>
      <c r="E79" s="181">
        <v>0</v>
      </c>
      <c r="F79" s="181">
        <f>($C$60*$C$62)*'ESS Jul 2019'!AH56/100</f>
        <v>250.93636363636364</v>
      </c>
      <c r="G79" s="181">
        <f>($C$60*$C$63)*'ESS Jul 2019'!W56/100</f>
        <v>103.43454545454544</v>
      </c>
      <c r="H79" s="183">
        <f t="shared" si="9"/>
        <v>604.7416363636363</v>
      </c>
      <c r="I79" s="202">
        <f t="shared" si="10"/>
        <v>2660.8631999999998</v>
      </c>
    </row>
    <row r="80" spans="1:9" x14ac:dyDescent="0.3">
      <c r="A80" s="179" t="str">
        <f>'ESS Jul 2019'!K57</f>
        <v>Red Energy</v>
      </c>
      <c r="B80" s="180">
        <f>'ESS Jul 2019'!G57</f>
        <v>42185</v>
      </c>
      <c r="C80" s="181">
        <f>91*'ESS Jul 2019'!M57/100</f>
        <v>132.49600000000001</v>
      </c>
      <c r="D80" s="181">
        <f>($C$60*$C$61)*'ESS Jul 2019'!N57/100</f>
        <v>115.2</v>
      </c>
      <c r="E80" s="181">
        <v>0</v>
      </c>
      <c r="F80" s="181">
        <f>($C$60*$C$62)*'ESS Jul 2019'!AH57/100</f>
        <v>269.99999999999994</v>
      </c>
      <c r="G80" s="181">
        <f>($C$60*$C$63)*'ESS Jul 2019'!W57/100</f>
        <v>90.72</v>
      </c>
      <c r="H80" s="183">
        <f t="shared" si="9"/>
        <v>608.41599999999994</v>
      </c>
      <c r="I80" s="202">
        <f t="shared" si="10"/>
        <v>2677.0304000000001</v>
      </c>
    </row>
    <row r="81" spans="1:9" x14ac:dyDescent="0.3">
      <c r="A81" s="179" t="str">
        <f>'ESS Jul 2019'!K58</f>
        <v>Simply Energy</v>
      </c>
      <c r="B81" s="180">
        <f>'ESS Jul 2019'!G58</f>
        <v>42192</v>
      </c>
      <c r="C81" s="181">
        <f>91*'ESS Jul 2019'!M58/100</f>
        <v>124.66172727272726</v>
      </c>
      <c r="D81" s="181">
        <f>($C$60*$C$61)*'ESS Jul 2019'!N58/100</f>
        <v>110.88</v>
      </c>
      <c r="E81" s="181">
        <v>0</v>
      </c>
      <c r="F81" s="181">
        <f>($C$60*$C$62)*'ESS Jul 2019'!AH58/100</f>
        <v>264.92727272727274</v>
      </c>
      <c r="G81" s="181">
        <f>($C$60*$C$63)*'ESS Jul 2019'!W58/100</f>
        <v>99.998181818181806</v>
      </c>
      <c r="H81" s="183">
        <f t="shared" si="9"/>
        <v>600.46718181818176</v>
      </c>
      <c r="I81" s="202">
        <f t="shared" si="10"/>
        <v>2642.0556000000001</v>
      </c>
    </row>
    <row r="82" spans="1:9" x14ac:dyDescent="0.3">
      <c r="A82" s="179" t="str">
        <f>'ESS Jul 2019'!K59</f>
        <v>1st Energy</v>
      </c>
      <c r="B82" s="180">
        <f>'ESS Jul 2019'!G59</f>
        <v>42185</v>
      </c>
      <c r="C82" s="181">
        <f>91*'ESS Jul 2019'!M59/100</f>
        <v>150.15</v>
      </c>
      <c r="D82" s="181">
        <f>($C$60*$C$61)*'ESS Jul 2019'!N59/100</f>
        <v>109.44</v>
      </c>
      <c r="E82" s="181">
        <v>0</v>
      </c>
      <c r="F82" s="181">
        <f>($C$60*$C$62)*'ESS Jul 2019'!AH59/100</f>
        <v>243.9</v>
      </c>
      <c r="G82" s="181">
        <f>($C$60*$C$63)*'ESS Jul 2019'!W59/100</f>
        <v>101.52</v>
      </c>
      <c r="H82" s="183">
        <f t="shared" si="9"/>
        <v>605.01</v>
      </c>
      <c r="I82" s="202">
        <f t="shared" si="10"/>
        <v>2662.0440000000003</v>
      </c>
    </row>
    <row r="83" spans="1:9" s="239" customFormat="1" x14ac:dyDescent="0.3">
      <c r="A83" s="179" t="str">
        <f>'ESS Jul 2019'!K60</f>
        <v>Amaysim</v>
      </c>
      <c r="B83" s="180">
        <f>'ESS Jul 2019'!G60</f>
        <v>42188</v>
      </c>
      <c r="C83" s="181">
        <f>91*'ESS Jul 2019'!M60/100</f>
        <v>124.67</v>
      </c>
      <c r="D83" s="181">
        <f>($C$60*$C$61)*'ESS Jul 2019'!N60/100</f>
        <v>115.56</v>
      </c>
      <c r="E83" s="181">
        <v>0</v>
      </c>
      <c r="F83" s="181">
        <f>($C$60*$C$62)*'ESS Jul 2019'!AH60/100</f>
        <v>261</v>
      </c>
      <c r="G83" s="181">
        <f>($C$60*$C$63)*'ESS Jul 2019'!W60/100</f>
        <v>112.32</v>
      </c>
      <c r="H83" s="183">
        <f t="shared" si="9"/>
        <v>613.54999999999995</v>
      </c>
      <c r="I83" s="202">
        <f t="shared" si="10"/>
        <v>2699.62</v>
      </c>
    </row>
    <row r="84" spans="1:9" ht="14" thickBot="1" x14ac:dyDescent="0.35">
      <c r="A84" s="258" t="str">
        <f>'ESS Jul 2019'!K61</f>
        <v>Enova Energy</v>
      </c>
      <c r="B84" s="185">
        <f>'ESS Jul 2019'!G61</f>
        <v>42185</v>
      </c>
      <c r="C84" s="186">
        <f>91*'ESS Jul 2019'!M61/100</f>
        <v>138.32</v>
      </c>
      <c r="D84" s="186">
        <f>($C$60*$C$61)*'ESS Jul 2019'!N61/100</f>
        <v>122.04</v>
      </c>
      <c r="E84" s="186">
        <v>0</v>
      </c>
      <c r="F84" s="186">
        <f>($C$60*$C$62)*'ESS Jul 2019'!AH61/100</f>
        <v>224.1</v>
      </c>
      <c r="G84" s="186">
        <f>($C$60*$C$63)*'ESS Jul 2019'!W61/100</f>
        <v>94.5</v>
      </c>
      <c r="H84" s="188">
        <f t="shared" ref="H84" si="11">SUM(C84:G84)</f>
        <v>578.96</v>
      </c>
      <c r="I84" s="203">
        <f t="shared" ref="I84" si="12">(H84*4)*1.1</f>
        <v>2547.4240000000004</v>
      </c>
    </row>
  </sheetData>
  <sheetProtection algorithmName="SHA-512" hashValue="z+RCv1XF2pt3bcrTXiuYemcKZ2Z8ATGD3v4rYG82ynQdOPQVeTgJ1zZK2LO4AJu7FwYKqb+GVVxg04WOzg95LA==" saltValue="/lKRNXehOrVXIWiG/ouBFA==" spinCount="100000" sheet="1" objects="1" scenarios="1"/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EC388-59ED-244B-B7C7-97DF158E9E33}">
  <sheetPr codeName="Sheet6"/>
  <dimension ref="A1:I82"/>
  <sheetViews>
    <sheetView topLeftCell="A16" workbookViewId="0">
      <selection activeCell="L46" sqref="L46"/>
    </sheetView>
  </sheetViews>
  <sheetFormatPr defaultColWidth="10.84375" defaultRowHeight="13.5" x14ac:dyDescent="0.3"/>
  <cols>
    <col min="1" max="1" width="20.3046875" style="236" customWidth="1"/>
    <col min="2" max="2" width="12" style="236" customWidth="1"/>
    <col min="3" max="9" width="12.15234375" style="236" customWidth="1"/>
    <col min="10" max="16384" width="10.84375" style="236"/>
  </cols>
  <sheetData>
    <row r="1" spans="1:9" s="235" customFormat="1" ht="14" x14ac:dyDescent="0.3">
      <c r="A1" s="235" t="s">
        <v>76</v>
      </c>
    </row>
    <row r="2" spans="1:9" s="235" customFormat="1" ht="14" x14ac:dyDescent="0.3">
      <c r="A2" s="237" t="s">
        <v>99</v>
      </c>
    </row>
    <row r="3" spans="1:9" s="235" customFormat="1" ht="14.5" thickBot="1" x14ac:dyDescent="0.35">
      <c r="F3" s="238"/>
    </row>
    <row r="4" spans="1:9" s="235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s="235" customFormat="1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s="235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s="235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'AG Jul 2019'!K2</f>
        <v>Energy Locals</v>
      </c>
      <c r="B8" s="180">
        <f>'AG Jul 2019'!G2</f>
        <v>42187</v>
      </c>
      <c r="C8" s="181">
        <f>91*'AG Jul 2019'!M2/100</f>
        <v>119.12727272727273</v>
      </c>
      <c r="D8" s="181">
        <f>$C$5*'AG Jul 2019'!N2/100</f>
        <v>392.72727272727275</v>
      </c>
      <c r="E8" s="181">
        <v>0</v>
      </c>
      <c r="F8" s="181">
        <v>0</v>
      </c>
      <c r="G8" s="181">
        <v>0</v>
      </c>
      <c r="H8" s="183">
        <f>SUM(C8:G8)</f>
        <v>511.85454545454547</v>
      </c>
      <c r="I8" s="202">
        <f>(H8*4)*1.1</f>
        <v>2252.1600000000003</v>
      </c>
    </row>
    <row r="9" spans="1:9" x14ac:dyDescent="0.3">
      <c r="A9" s="179" t="str">
        <f>'AG Jul 2019'!K3</f>
        <v>AGL</v>
      </c>
      <c r="B9" s="180">
        <f>'AG Jul 2019'!G3</f>
        <v>42187</v>
      </c>
      <c r="C9" s="181">
        <f>91*'AG Jul 2019'!M3/100</f>
        <v>74.62</v>
      </c>
      <c r="D9" s="181">
        <f>$C$5*'AG Jul 2019'!N3/100</f>
        <v>476.99999999999994</v>
      </c>
      <c r="E9" s="181">
        <v>0</v>
      </c>
      <c r="F9" s="181">
        <v>0</v>
      </c>
      <c r="G9" s="181">
        <v>0</v>
      </c>
      <c r="H9" s="183">
        <f t="shared" ref="H9:H24" si="0">SUM(C9:G9)</f>
        <v>551.61999999999989</v>
      </c>
      <c r="I9" s="202">
        <f t="shared" ref="I9:I26" si="1">(H9*4)*1.1</f>
        <v>2427.1279999999997</v>
      </c>
    </row>
    <row r="10" spans="1:9" x14ac:dyDescent="0.3">
      <c r="A10" s="179" t="str">
        <f>'AG Jul 2019'!K4</f>
        <v>Alinta Energy</v>
      </c>
      <c r="B10" s="180">
        <f>'AG Jul 2019'!G4</f>
        <v>42185</v>
      </c>
      <c r="C10" s="181">
        <f>91*'AG Jul 2019'!M4/100</f>
        <v>76.44</v>
      </c>
      <c r="D10" s="181">
        <f>$C$5*'AG Jul 2019'!N4/100</f>
        <v>408.76363636363635</v>
      </c>
      <c r="E10" s="181">
        <v>0</v>
      </c>
      <c r="F10" s="181">
        <v>0</v>
      </c>
      <c r="G10" s="181">
        <v>0</v>
      </c>
      <c r="H10" s="183">
        <f t="shared" si="0"/>
        <v>485.20363636363635</v>
      </c>
      <c r="I10" s="202">
        <f t="shared" si="1"/>
        <v>2134.8960000000002</v>
      </c>
    </row>
    <row r="11" spans="1:9" x14ac:dyDescent="0.3">
      <c r="A11" s="179" t="str">
        <f>'AG Jul 2019'!K5</f>
        <v>Click Energy</v>
      </c>
      <c r="B11" s="180">
        <f>'AG Jul 2019'!G5</f>
        <v>42188</v>
      </c>
      <c r="C11" s="181">
        <f>91*'AG Jul 2019'!M5/100</f>
        <v>81.900000000000006</v>
      </c>
      <c r="D11" s="181">
        <f>$C$5*'AG Jul 2019'!N5/100</f>
        <v>463.86</v>
      </c>
      <c r="E11" s="181">
        <v>0</v>
      </c>
      <c r="F11" s="181">
        <v>0</v>
      </c>
      <c r="G11" s="181">
        <v>0</v>
      </c>
      <c r="H11" s="183">
        <f t="shared" si="0"/>
        <v>545.76</v>
      </c>
      <c r="I11" s="202">
        <f t="shared" si="1"/>
        <v>2401.3440000000001</v>
      </c>
    </row>
    <row r="12" spans="1:9" x14ac:dyDescent="0.3">
      <c r="A12" s="179" t="str">
        <f>'AG Jul 2019'!K6</f>
        <v>Commander</v>
      </c>
      <c r="B12" s="180">
        <f>'AG Jul 2019'!G6</f>
        <v>42185</v>
      </c>
      <c r="C12" s="181">
        <f>91*'AG Jul 2019'!M6/100</f>
        <v>80.741818181818175</v>
      </c>
      <c r="D12" s="181">
        <f>$C$5*'AG Jul 2019'!N6/100</f>
        <v>466.02</v>
      </c>
      <c r="E12" s="181">
        <v>0</v>
      </c>
      <c r="F12" s="181">
        <v>0</v>
      </c>
      <c r="G12" s="181">
        <v>0</v>
      </c>
      <c r="H12" s="183">
        <f t="shared" si="0"/>
        <v>546.76181818181817</v>
      </c>
      <c r="I12" s="202">
        <f t="shared" si="1"/>
        <v>2405.752</v>
      </c>
    </row>
    <row r="13" spans="1:9" x14ac:dyDescent="0.3">
      <c r="A13" s="179" t="str">
        <f>'AG Jul 2019'!K7</f>
        <v>CovaU</v>
      </c>
      <c r="B13" s="180">
        <f>'AG Jul 2019'!G7</f>
        <v>42185</v>
      </c>
      <c r="C13" s="181">
        <f>91*'AG Jul 2019'!M7/100</f>
        <v>80.989999999999995</v>
      </c>
      <c r="D13" s="181">
        <f>$C$5*'AG Jul 2019'!N7/100</f>
        <v>449.99999999999994</v>
      </c>
      <c r="E13" s="181">
        <v>0</v>
      </c>
      <c r="F13" s="181">
        <v>0</v>
      </c>
      <c r="G13" s="181">
        <v>0</v>
      </c>
      <c r="H13" s="183">
        <f t="shared" si="0"/>
        <v>530.9899999999999</v>
      </c>
      <c r="I13" s="202">
        <f t="shared" si="1"/>
        <v>2336.3559999999998</v>
      </c>
    </row>
    <row r="14" spans="1:9" x14ac:dyDescent="0.3">
      <c r="A14" s="179" t="str">
        <f>'AG Jul 2019'!K8</f>
        <v>Diamond Energy</v>
      </c>
      <c r="B14" s="180">
        <f>'AG Jul 2019'!G8</f>
        <v>42185</v>
      </c>
      <c r="C14" s="181">
        <f>91*'AG Jul 2019'!M8/100</f>
        <v>71.462299999999999</v>
      </c>
      <c r="D14" s="181">
        <f>$C$5*'AG Jul 2019'!N8/100</f>
        <v>483.12</v>
      </c>
      <c r="E14" s="181">
        <v>0</v>
      </c>
      <c r="F14" s="181">
        <v>0</v>
      </c>
      <c r="G14" s="181">
        <v>0</v>
      </c>
      <c r="H14" s="183">
        <f t="shared" si="0"/>
        <v>554.58230000000003</v>
      </c>
      <c r="I14" s="202">
        <f t="shared" si="1"/>
        <v>2440.1621200000004</v>
      </c>
    </row>
    <row r="15" spans="1:9" x14ac:dyDescent="0.3">
      <c r="A15" s="179" t="str">
        <f>'AG Jul 2019'!K9</f>
        <v>Dodo Power &amp; Gas</v>
      </c>
      <c r="B15" s="180">
        <f>'AG Jul 2019'!G9</f>
        <v>42185</v>
      </c>
      <c r="C15" s="181">
        <f>91*'AG Jul 2019'!M9/100</f>
        <v>80.741818181818175</v>
      </c>
      <c r="D15" s="181">
        <f>$C$5*'AG Jul 2019'!N9/100</f>
        <v>466.02</v>
      </c>
      <c r="E15" s="181">
        <v>0</v>
      </c>
      <c r="F15" s="181">
        <v>0</v>
      </c>
      <c r="G15" s="181">
        <v>0</v>
      </c>
      <c r="H15" s="183">
        <f t="shared" si="0"/>
        <v>546.76181818181817</v>
      </c>
      <c r="I15" s="202">
        <f t="shared" si="1"/>
        <v>2405.752</v>
      </c>
    </row>
    <row r="16" spans="1:9" x14ac:dyDescent="0.3">
      <c r="A16" s="179" t="str">
        <f>'AG Jul 2019'!K10</f>
        <v>EnergyAustralia</v>
      </c>
      <c r="B16" s="180">
        <f>'AG Jul 2019'!G10</f>
        <v>42214</v>
      </c>
      <c r="C16" s="181">
        <f>91*'AG Jul 2019'!M10/100</f>
        <v>70.069999999999993</v>
      </c>
      <c r="D16" s="181">
        <f>$C$5*'AG Jul 2019'!N10/100</f>
        <v>485.83636363636361</v>
      </c>
      <c r="E16" s="181">
        <v>0</v>
      </c>
      <c r="F16" s="181">
        <v>0</v>
      </c>
      <c r="G16" s="181">
        <v>0</v>
      </c>
      <c r="H16" s="183">
        <f t="shared" si="0"/>
        <v>555.90636363636361</v>
      </c>
      <c r="I16" s="202">
        <f t="shared" si="1"/>
        <v>2445.9880000000003</v>
      </c>
    </row>
    <row r="17" spans="1:9" x14ac:dyDescent="0.3">
      <c r="A17" s="179" t="str">
        <f>'AG Jul 2019'!K11</f>
        <v>Mojo Power</v>
      </c>
      <c r="B17" s="180">
        <f>'AG Jul 2019'!G11</f>
        <v>41901</v>
      </c>
      <c r="C17" s="181">
        <f>91*'AG Jul 2019'!M11/100</f>
        <v>149.0762</v>
      </c>
      <c r="D17" s="181">
        <f>$C$5*'AG Jul 2019'!N11/100</f>
        <v>456.3</v>
      </c>
      <c r="E17" s="181">
        <v>0</v>
      </c>
      <c r="F17" s="181">
        <v>0</v>
      </c>
      <c r="G17" s="181">
        <v>0</v>
      </c>
      <c r="H17" s="183">
        <f t="shared" si="0"/>
        <v>605.37620000000004</v>
      </c>
      <c r="I17" s="202">
        <f t="shared" si="1"/>
        <v>2663.6552800000004</v>
      </c>
    </row>
    <row r="18" spans="1:9" x14ac:dyDescent="0.3">
      <c r="A18" s="179" t="str">
        <f>'AG Jul 2019'!K12</f>
        <v>Momentum Energy</v>
      </c>
      <c r="B18" s="180">
        <f>'AG Jul 2019'!G12</f>
        <v>42185</v>
      </c>
      <c r="C18" s="181">
        <f>91*'AG Jul 2019'!M12/100</f>
        <v>76.067727272727282</v>
      </c>
      <c r="D18" s="181">
        <f>$C$5*'AG Jul 2019'!N12/100</f>
        <v>474.70909090909089</v>
      </c>
      <c r="E18" s="181">
        <v>0</v>
      </c>
      <c r="F18" s="181">
        <v>0</v>
      </c>
      <c r="G18" s="181">
        <v>0</v>
      </c>
      <c r="H18" s="183">
        <f t="shared" si="0"/>
        <v>550.77681818181816</v>
      </c>
      <c r="I18" s="202">
        <f t="shared" si="1"/>
        <v>2423.4180000000001</v>
      </c>
    </row>
    <row r="19" spans="1:9" x14ac:dyDescent="0.3">
      <c r="A19" s="179" t="str">
        <f>'AG Jul 2019'!K13</f>
        <v>Origin Energy</v>
      </c>
      <c r="B19" s="180">
        <f>'AG Jul 2019'!G13</f>
        <v>42201</v>
      </c>
      <c r="C19" s="181">
        <f>91*'AG Jul 2019'!M13/100</f>
        <v>71.459818181818179</v>
      </c>
      <c r="D19" s="181">
        <f>$C$5*'AG Jul 2019'!N13/100</f>
        <v>483.05454545454535</v>
      </c>
      <c r="E19" s="181">
        <v>0</v>
      </c>
      <c r="F19" s="181">
        <v>0</v>
      </c>
      <c r="G19" s="181">
        <v>0</v>
      </c>
      <c r="H19" s="183">
        <f t="shared" si="0"/>
        <v>554.51436363636356</v>
      </c>
      <c r="I19" s="202">
        <f t="shared" si="1"/>
        <v>2439.8631999999998</v>
      </c>
    </row>
    <row r="20" spans="1:9" x14ac:dyDescent="0.3">
      <c r="A20" s="179" t="str">
        <f>'AG Jul 2019'!K14</f>
        <v>Powerdirect</v>
      </c>
      <c r="B20" s="180">
        <f>'AG Jul 2019'!G14</f>
        <v>42187</v>
      </c>
      <c r="C20" s="181">
        <f>91*'AG Jul 2019'!M14/100</f>
        <v>74.62</v>
      </c>
      <c r="D20" s="181">
        <f>$C$5*'AG Jul 2019'!N14/100</f>
        <v>476.99999999999994</v>
      </c>
      <c r="E20" s="181">
        <v>0</v>
      </c>
      <c r="F20" s="181">
        <v>0</v>
      </c>
      <c r="G20" s="181">
        <v>0</v>
      </c>
      <c r="H20" s="183">
        <f t="shared" si="0"/>
        <v>551.61999999999989</v>
      </c>
      <c r="I20" s="202">
        <f t="shared" si="1"/>
        <v>2427.1279999999997</v>
      </c>
    </row>
    <row r="21" spans="1:9" x14ac:dyDescent="0.3">
      <c r="A21" s="179" t="str">
        <f>'AG Jul 2019'!K15</f>
        <v>Powershop</v>
      </c>
      <c r="B21" s="180">
        <f>'AG Jul 2019'!G15</f>
        <v>42185</v>
      </c>
      <c r="C21" s="181">
        <f>91*'AG Jul 2019'!M15/100</f>
        <v>90.75181818181818</v>
      </c>
      <c r="D21" s="181">
        <f>$C$5*'AG Jul 2019'!N15/100</f>
        <v>447.54545454545456</v>
      </c>
      <c r="E21" s="181">
        <v>0</v>
      </c>
      <c r="F21" s="181">
        <v>0</v>
      </c>
      <c r="G21" s="181">
        <v>0</v>
      </c>
      <c r="H21" s="183">
        <f t="shared" si="0"/>
        <v>538.29727272727268</v>
      </c>
      <c r="I21" s="202">
        <f t="shared" si="1"/>
        <v>2368.5079999999998</v>
      </c>
    </row>
    <row r="22" spans="1:9" x14ac:dyDescent="0.3">
      <c r="A22" s="179" t="str">
        <f>'AG Jul 2019'!K16</f>
        <v>Red Energy</v>
      </c>
      <c r="B22" s="180">
        <f>'AG Jul 2019'!G16</f>
        <v>42185</v>
      </c>
      <c r="C22" s="181">
        <f>91*'AG Jul 2019'!M16/100</f>
        <v>83.992999999999995</v>
      </c>
      <c r="D22" s="181">
        <f>$C$5*'AG Jul 2019'!N16/100</f>
        <v>459</v>
      </c>
      <c r="E22" s="181">
        <v>0</v>
      </c>
      <c r="F22" s="181">
        <v>0</v>
      </c>
      <c r="G22" s="181">
        <v>0</v>
      </c>
      <c r="H22" s="183">
        <f t="shared" si="0"/>
        <v>542.99299999999994</v>
      </c>
      <c r="I22" s="202">
        <f t="shared" si="1"/>
        <v>2389.1691999999998</v>
      </c>
    </row>
    <row r="23" spans="1:9" x14ac:dyDescent="0.3">
      <c r="A23" s="179" t="str">
        <f>'AG Jul 2019'!K17</f>
        <v>Simply Energy</v>
      </c>
      <c r="B23" s="180">
        <f>'AG Jul 2019'!G17</f>
        <v>42192</v>
      </c>
      <c r="C23" s="181">
        <f>91*'AG Jul 2019'!M17/100</f>
        <v>74.694454545454548</v>
      </c>
      <c r="D23" s="181">
        <f>$C$5*'AG Jul 2019'!N17/100</f>
        <v>433.79999999999995</v>
      </c>
      <c r="E23" s="181">
        <v>0</v>
      </c>
      <c r="F23" s="181">
        <v>0</v>
      </c>
      <c r="G23" s="181">
        <v>0</v>
      </c>
      <c r="H23" s="183">
        <f t="shared" si="0"/>
        <v>508.49445454545452</v>
      </c>
      <c r="I23" s="202">
        <f t="shared" si="1"/>
        <v>2237.3755999999998</v>
      </c>
    </row>
    <row r="24" spans="1:9" x14ac:dyDescent="0.3">
      <c r="A24" s="179" t="str">
        <f>'AG Jul 2019'!K18</f>
        <v>1st Energy</v>
      </c>
      <c r="B24" s="180">
        <f>'AG Jul 2019'!G18</f>
        <v>42185</v>
      </c>
      <c r="C24" s="181">
        <f>91*'AG Jul 2019'!M18/100</f>
        <v>91</v>
      </c>
      <c r="D24" s="181">
        <f>IF($C$5&gt;='AG Jul 2019'!P18,('AG Jul 2019'!P18*'AG Jul 2019'!N18/100),($C$5*'AG Jul 2019'!N18/100))</f>
        <v>334.8</v>
      </c>
      <c r="E24" s="181">
        <v>0</v>
      </c>
      <c r="F24" s="181">
        <v>0</v>
      </c>
      <c r="G24" s="181">
        <f>IF(($C$5&lt;'AG Jul 2019'!R18),(0),($C$5-'AG Jul 2019'!R18)*'AG Jul 2019'!S18/100)</f>
        <v>126</v>
      </c>
      <c r="H24" s="183">
        <f t="shared" si="0"/>
        <v>551.79999999999995</v>
      </c>
      <c r="I24" s="202">
        <f t="shared" si="1"/>
        <v>2427.92</v>
      </c>
    </row>
    <row r="25" spans="1:9" x14ac:dyDescent="0.3">
      <c r="A25" s="179" t="str">
        <f>'AG Jul 2019'!K19</f>
        <v>Amaysim</v>
      </c>
      <c r="B25" s="180">
        <f>'AG Jul 2019'!G19</f>
        <v>42188</v>
      </c>
      <c r="C25" s="181">
        <f>91*'AG Jul 2019'!M19/100</f>
        <v>81.900000000000006</v>
      </c>
      <c r="D25" s="181">
        <f>$C$5*'AG Jul 2019'!N19/100</f>
        <v>463.86</v>
      </c>
      <c r="E25" s="181">
        <v>0</v>
      </c>
      <c r="F25" s="181">
        <v>0</v>
      </c>
      <c r="G25" s="181">
        <v>0</v>
      </c>
      <c r="H25" s="183">
        <f t="shared" ref="H25:H26" si="2">SUM(C25:G25)</f>
        <v>545.76</v>
      </c>
      <c r="I25" s="202">
        <f t="shared" si="1"/>
        <v>2401.3440000000001</v>
      </c>
    </row>
    <row r="26" spans="1:9" x14ac:dyDescent="0.3">
      <c r="A26" s="251" t="str">
        <f>'AG Jul 2019'!K20</f>
        <v>ReAmped Energy</v>
      </c>
      <c r="B26" s="180">
        <f>'AG Jul 2019'!G20</f>
        <v>42185</v>
      </c>
      <c r="C26" s="181">
        <f>91*'AG Jul 2019'!M20/100</f>
        <v>106.59739999999999</v>
      </c>
      <c r="D26" s="181">
        <f>$C$5*'AG Jul 2019'!N20/100</f>
        <v>414</v>
      </c>
      <c r="E26" s="181">
        <v>0</v>
      </c>
      <c r="F26" s="181">
        <v>0</v>
      </c>
      <c r="G26" s="181">
        <v>0</v>
      </c>
      <c r="H26" s="183">
        <f t="shared" si="2"/>
        <v>520.59739999999999</v>
      </c>
      <c r="I26" s="202">
        <f t="shared" si="1"/>
        <v>2290.6285600000001</v>
      </c>
    </row>
    <row r="27" spans="1:9" x14ac:dyDescent="0.3">
      <c r="A27" s="251" t="str">
        <f>'AG Jul 2019'!K21</f>
        <v>Amber Electric</v>
      </c>
      <c r="B27" s="180">
        <f>'AG Jul 2019'!G21</f>
        <v>41934</v>
      </c>
      <c r="C27" s="181">
        <f>91*'AG Jul 2019'!M21/100</f>
        <v>84.520799999999994</v>
      </c>
      <c r="D27" s="181">
        <f>$C$5*'AG Jul 2019'!N21/100</f>
        <v>572.76</v>
      </c>
      <c r="E27" s="181">
        <v>0</v>
      </c>
      <c r="F27" s="181">
        <v>0</v>
      </c>
      <c r="G27" s="181">
        <v>0</v>
      </c>
      <c r="H27" s="183">
        <f t="shared" ref="H27:H28" si="3">SUM(C27:G27)</f>
        <v>657.2808</v>
      </c>
      <c r="I27" s="202">
        <f t="shared" ref="I27:I28" si="4">(H27*4)*1.1</f>
        <v>2892.0355200000004</v>
      </c>
    </row>
    <row r="28" spans="1:9" ht="14" thickBot="1" x14ac:dyDescent="0.35">
      <c r="A28" s="258" t="str">
        <f>'AG Jul 2019'!K22</f>
        <v>Powerclub</v>
      </c>
      <c r="B28" s="185">
        <f>'AG Jul 2019'!G22</f>
        <v>42185</v>
      </c>
      <c r="C28" s="186">
        <f>91*'AG Jul 2019'!M22/100</f>
        <v>64.030909090909091</v>
      </c>
      <c r="D28" s="186">
        <f>$C$5*'AG Jul 2019'!N22/100</f>
        <v>496.98</v>
      </c>
      <c r="E28" s="186">
        <v>0</v>
      </c>
      <c r="F28" s="186">
        <v>0</v>
      </c>
      <c r="G28" s="186">
        <v>0</v>
      </c>
      <c r="H28" s="188">
        <f t="shared" si="3"/>
        <v>561.01090909090908</v>
      </c>
      <c r="I28" s="203">
        <f t="shared" si="4"/>
        <v>2468.4480000000003</v>
      </c>
    </row>
    <row r="29" spans="1:9" s="239" customFormat="1" x14ac:dyDescent="0.3"/>
    <row r="30" spans="1:9" ht="14" thickBot="1" x14ac:dyDescent="0.35"/>
    <row r="31" spans="1:9" s="235" customFormat="1" ht="14" x14ac:dyDescent="0.3">
      <c r="A31" s="176" t="s">
        <v>89</v>
      </c>
      <c r="B31" s="91"/>
      <c r="C31" s="91"/>
      <c r="D31" s="91"/>
      <c r="E31" s="91"/>
      <c r="F31" s="91"/>
      <c r="G31" s="91"/>
      <c r="H31" s="91"/>
      <c r="I31" s="177"/>
    </row>
    <row r="32" spans="1:9" s="235" customFormat="1" ht="14" x14ac:dyDescent="0.3">
      <c r="A32" s="92" t="s">
        <v>79</v>
      </c>
      <c r="B32" s="93"/>
      <c r="C32" s="168">
        <v>2000</v>
      </c>
      <c r="D32" s="93"/>
      <c r="E32" s="93"/>
      <c r="F32" s="93"/>
      <c r="G32" s="93"/>
      <c r="H32" s="93"/>
      <c r="I32" s="178"/>
    </row>
    <row r="33" spans="1:9" s="235" customFormat="1" ht="14" x14ac:dyDescent="0.3">
      <c r="A33" s="92" t="s">
        <v>91</v>
      </c>
      <c r="B33" s="93"/>
      <c r="C33" s="257">
        <v>0.7</v>
      </c>
      <c r="D33" s="93"/>
      <c r="E33" s="93"/>
      <c r="F33" s="93"/>
      <c r="G33" s="93"/>
      <c r="H33" s="93"/>
      <c r="I33" s="178"/>
    </row>
    <row r="34" spans="1:9" s="235" customFormat="1" ht="14" x14ac:dyDescent="0.3">
      <c r="A34" s="92" t="s">
        <v>92</v>
      </c>
      <c r="B34" s="93"/>
      <c r="C34" s="257">
        <v>0.3</v>
      </c>
      <c r="D34" s="93"/>
      <c r="E34" s="93"/>
      <c r="F34" s="93"/>
      <c r="G34" s="93"/>
      <c r="H34" s="93"/>
      <c r="I34" s="178"/>
    </row>
    <row r="35" spans="1:9" s="235" customFormat="1" ht="14" x14ac:dyDescent="0.3">
      <c r="A35" s="92"/>
      <c r="B35" s="93"/>
      <c r="C35" s="93"/>
      <c r="D35" s="93"/>
      <c r="E35" s="93"/>
      <c r="F35" s="93"/>
      <c r="G35" s="93"/>
      <c r="H35" s="93"/>
      <c r="I35" s="178"/>
    </row>
    <row r="36" spans="1:9" s="235" customFormat="1" ht="28" x14ac:dyDescent="0.3">
      <c r="A36" s="301" t="s">
        <v>80</v>
      </c>
      <c r="B36" s="298" t="s">
        <v>81</v>
      </c>
      <c r="C36" s="298" t="s">
        <v>82</v>
      </c>
      <c r="D36" s="298" t="s">
        <v>83</v>
      </c>
      <c r="E36" s="298" t="s">
        <v>84</v>
      </c>
      <c r="F36" s="298" t="s">
        <v>86</v>
      </c>
      <c r="G36" s="298" t="s">
        <v>93</v>
      </c>
      <c r="H36" s="298" t="s">
        <v>87</v>
      </c>
      <c r="I36" s="300" t="s">
        <v>88</v>
      </c>
    </row>
    <row r="37" spans="1:9" x14ac:dyDescent="0.3">
      <c r="A37" s="179" t="str">
        <f>'AG Jul 2019'!K23</f>
        <v>Energy Locals</v>
      </c>
      <c r="B37" s="180">
        <f>'AG Jul 2019'!G23</f>
        <v>42187</v>
      </c>
      <c r="C37" s="181">
        <f>91*'AG Jul 2019'!M23/100</f>
        <v>128.22727272727272</v>
      </c>
      <c r="D37" s="181">
        <f>($C$32*$C$33)*'AG Jul 2019'!N23/100</f>
        <v>305.45454545454544</v>
      </c>
      <c r="E37" s="181">
        <v>0</v>
      </c>
      <c r="F37" s="181">
        <v>0</v>
      </c>
      <c r="G37" s="181">
        <f>($C$32*$C$34)*'AG Jul 2019'!AE23/100</f>
        <v>89.999999999999986</v>
      </c>
      <c r="H37" s="183">
        <f>SUM(C37:G37)</f>
        <v>523.68181818181813</v>
      </c>
      <c r="I37" s="202">
        <f>(H37*4)*1.1</f>
        <v>2304.1999999999998</v>
      </c>
    </row>
    <row r="38" spans="1:9" x14ac:dyDescent="0.3">
      <c r="A38" s="179" t="str">
        <f>'AG Jul 2019'!K24</f>
        <v>AGL</v>
      </c>
      <c r="B38" s="180">
        <f>'AG Jul 2019'!G24</f>
        <v>42187</v>
      </c>
      <c r="C38" s="181">
        <f>91*'AG Jul 2019'!M24/100</f>
        <v>76.44</v>
      </c>
      <c r="D38" s="181">
        <f>($C$32*$C$33)*'AG Jul 2019'!N24/100</f>
        <v>370.99999999999994</v>
      </c>
      <c r="E38" s="181">
        <v>0</v>
      </c>
      <c r="F38" s="181">
        <v>0</v>
      </c>
      <c r="G38" s="181">
        <f>($C$32*$C$34)*'AG Jul 2019'!AE24/100</f>
        <v>83.836363636363615</v>
      </c>
      <c r="H38" s="183">
        <f t="shared" ref="H38:H52" si="5">SUM(C38:G38)</f>
        <v>531.27636363636361</v>
      </c>
      <c r="I38" s="202">
        <f t="shared" ref="I38:I55" si="6">(H38*4)*1.1</f>
        <v>2337.616</v>
      </c>
    </row>
    <row r="39" spans="1:9" x14ac:dyDescent="0.3">
      <c r="A39" s="179" t="str">
        <f>'AG Jul 2019'!K25</f>
        <v>Alinta Energy</v>
      </c>
      <c r="B39" s="180">
        <f>'AG Jul 2019'!G25</f>
        <v>42185</v>
      </c>
      <c r="C39" s="181">
        <f>91*'AG Jul 2019'!M25/100</f>
        <v>80.08</v>
      </c>
      <c r="D39" s="181">
        <f>($C$32*$C$33)*'AG Jul 2019'!N25/100</f>
        <v>317.92727272727268</v>
      </c>
      <c r="E39" s="181">
        <v>0</v>
      </c>
      <c r="F39" s="181">
        <v>0</v>
      </c>
      <c r="G39" s="181">
        <f>($C$32*$C$34)*'AG Jul 2019'!AE25/100</f>
        <v>55.74545454545455</v>
      </c>
      <c r="H39" s="183">
        <f t="shared" si="5"/>
        <v>453.75272727272721</v>
      </c>
      <c r="I39" s="202">
        <f t="shared" si="6"/>
        <v>1996.5119999999999</v>
      </c>
    </row>
    <row r="40" spans="1:9" x14ac:dyDescent="0.3">
      <c r="A40" s="179" t="str">
        <f>'AG Jul 2019'!K26</f>
        <v>Click Energy</v>
      </c>
      <c r="B40" s="180">
        <f>'AG Jul 2019'!G26</f>
        <v>42188</v>
      </c>
      <c r="C40" s="181">
        <f>91*'AG Jul 2019'!M26/100</f>
        <v>81.900000000000006</v>
      </c>
      <c r="D40" s="181">
        <f>($C$32*$C$33)*'AG Jul 2019'!N26/100</f>
        <v>360.78</v>
      </c>
      <c r="E40" s="181">
        <v>0</v>
      </c>
      <c r="F40" s="181">
        <v>0</v>
      </c>
      <c r="G40" s="181">
        <f>($C$32*$C$34)*'AG Jul 2019'!AE26/100</f>
        <v>91.86</v>
      </c>
      <c r="H40" s="183">
        <f t="shared" si="5"/>
        <v>534.54</v>
      </c>
      <c r="I40" s="202">
        <f t="shared" si="6"/>
        <v>2351.9760000000001</v>
      </c>
    </row>
    <row r="41" spans="1:9" x14ac:dyDescent="0.3">
      <c r="A41" s="179" t="str">
        <f>'AG Jul 2019'!K27</f>
        <v>Commander</v>
      </c>
      <c r="B41" s="180">
        <f>'AG Jul 2019'!G27</f>
        <v>42185</v>
      </c>
      <c r="C41" s="181">
        <f>91*'AG Jul 2019'!M27/100</f>
        <v>83.656300000000016</v>
      </c>
      <c r="D41" s="181">
        <f>($C$32*$C$33)*'AG Jul 2019'!N27/100</f>
        <v>362.46</v>
      </c>
      <c r="E41" s="181">
        <v>0</v>
      </c>
      <c r="F41" s="181">
        <v>0</v>
      </c>
      <c r="G41" s="181">
        <f>($C$32*$C$34)*'AG Jul 2019'!AE27/100</f>
        <v>88.02</v>
      </c>
      <c r="H41" s="183">
        <f t="shared" si="5"/>
        <v>534.13630000000001</v>
      </c>
      <c r="I41" s="202">
        <f t="shared" si="6"/>
        <v>2350.1997200000001</v>
      </c>
    </row>
    <row r="42" spans="1:9" x14ac:dyDescent="0.3">
      <c r="A42" s="179" t="str">
        <f>'AG Jul 2019'!K28</f>
        <v>CovaU</v>
      </c>
      <c r="B42" s="180">
        <f>'AG Jul 2019'!G28</f>
        <v>42185</v>
      </c>
      <c r="C42" s="181">
        <f>91*'AG Jul 2019'!M28/100</f>
        <v>80.989999999999995</v>
      </c>
      <c r="D42" s="181">
        <f>($C$32*$C$33)*'AG Jul 2019'!N28/100</f>
        <v>349.99999999999994</v>
      </c>
      <c r="E42" s="181">
        <v>0</v>
      </c>
      <c r="F42" s="181">
        <v>0</v>
      </c>
      <c r="G42" s="181">
        <f>($C$32*$C$34)*'AG Jul 2019'!AE28/100</f>
        <v>98.4</v>
      </c>
      <c r="H42" s="183">
        <f t="shared" si="5"/>
        <v>529.39</v>
      </c>
      <c r="I42" s="202">
        <f t="shared" si="6"/>
        <v>2329.3160000000003</v>
      </c>
    </row>
    <row r="43" spans="1:9" x14ac:dyDescent="0.3">
      <c r="A43" s="179" t="str">
        <f>'AG Jul 2019'!K29</f>
        <v>Diamond Energy</v>
      </c>
      <c r="B43" s="180">
        <f>'AG Jul 2019'!G29</f>
        <v>42185</v>
      </c>
      <c r="C43" s="181">
        <f>91*'AG Jul 2019'!M29/100</f>
        <v>71.462299999999999</v>
      </c>
      <c r="D43" s="181">
        <f>($C$32*$C$33)*'AG Jul 2019'!N29/100</f>
        <v>375.76</v>
      </c>
      <c r="E43" s="181">
        <v>0</v>
      </c>
      <c r="F43" s="181">
        <v>0</v>
      </c>
      <c r="G43" s="181">
        <f>($C$32*$C$34)*'AG Jul 2019'!AE29/100</f>
        <v>73.739999999999995</v>
      </c>
      <c r="H43" s="183">
        <f t="shared" si="5"/>
        <v>520.96230000000003</v>
      </c>
      <c r="I43" s="202">
        <f t="shared" si="6"/>
        <v>2292.2341200000005</v>
      </c>
    </row>
    <row r="44" spans="1:9" x14ac:dyDescent="0.3">
      <c r="A44" s="179" t="str">
        <f>'AG Jul 2019'!K30</f>
        <v>Dodo Power &amp; Gas</v>
      </c>
      <c r="B44" s="180">
        <f>'AG Jul 2019'!G30</f>
        <v>42185</v>
      </c>
      <c r="C44" s="181">
        <f>91*'AG Jul 2019'!M30/100</f>
        <v>83.656300000000016</v>
      </c>
      <c r="D44" s="181">
        <f>($C$32*$C$33)*'AG Jul 2019'!N30/100</f>
        <v>362.46</v>
      </c>
      <c r="E44" s="181">
        <v>0</v>
      </c>
      <c r="F44" s="181">
        <v>0</v>
      </c>
      <c r="G44" s="181">
        <f>($C$32*$C$34)*'AG Jul 2019'!AE30/100</f>
        <v>88.02</v>
      </c>
      <c r="H44" s="183">
        <f t="shared" si="5"/>
        <v>534.13630000000001</v>
      </c>
      <c r="I44" s="202">
        <f t="shared" si="6"/>
        <v>2350.1997200000001</v>
      </c>
    </row>
    <row r="45" spans="1:9" x14ac:dyDescent="0.3">
      <c r="A45" s="179" t="str">
        <f>'AG Jul 2019'!K31</f>
        <v>EnergyAustralia</v>
      </c>
      <c r="B45" s="180">
        <f>'AG Jul 2019'!G31</f>
        <v>42214</v>
      </c>
      <c r="C45" s="181">
        <f>91*'AG Jul 2019'!M31/100</f>
        <v>74.62</v>
      </c>
      <c r="D45" s="181">
        <f>($C$32*$C$33)*'AG Jul 2019'!N31/100</f>
        <v>377.87272727272722</v>
      </c>
      <c r="E45" s="181">
        <v>0</v>
      </c>
      <c r="F45" s="181">
        <v>0</v>
      </c>
      <c r="G45" s="181">
        <f>($C$32*$C$34)*'AG Jul 2019'!AE31/100</f>
        <v>67.8</v>
      </c>
      <c r="H45" s="183">
        <f t="shared" si="5"/>
        <v>520.29272727272723</v>
      </c>
      <c r="I45" s="202">
        <f t="shared" si="6"/>
        <v>2289.288</v>
      </c>
    </row>
    <row r="46" spans="1:9" x14ac:dyDescent="0.3">
      <c r="A46" s="179" t="str">
        <f>'AG Jul 2019'!K32</f>
        <v>Mojo Power</v>
      </c>
      <c r="B46" s="180">
        <f>'AG Jul 2019'!G32</f>
        <v>41901</v>
      </c>
      <c r="C46" s="181">
        <f>91*'AG Jul 2019'!M32/100</f>
        <v>152.1611</v>
      </c>
      <c r="D46" s="181">
        <f>($C$32*$C$33)*'AG Jul 2019'!N32/100</f>
        <v>354.9</v>
      </c>
      <c r="E46" s="181">
        <v>0</v>
      </c>
      <c r="F46" s="181">
        <v>0</v>
      </c>
      <c r="G46" s="181">
        <f>($C$32*$C$34)*'AG Jul 2019'!AE32/100</f>
        <v>78.780000000000015</v>
      </c>
      <c r="H46" s="183">
        <f t="shared" si="5"/>
        <v>585.84109999999998</v>
      </c>
      <c r="I46" s="202">
        <f t="shared" si="6"/>
        <v>2577.70084</v>
      </c>
    </row>
    <row r="47" spans="1:9" x14ac:dyDescent="0.3">
      <c r="A47" s="179" t="str">
        <f>'AG Jul 2019'!K33</f>
        <v>Momentum Energy</v>
      </c>
      <c r="B47" s="180">
        <f>'AG Jul 2019'!G33</f>
        <v>42185</v>
      </c>
      <c r="C47" s="181">
        <f>91*'AG Jul 2019'!M33/100</f>
        <v>76.067727272727282</v>
      </c>
      <c r="D47" s="181">
        <f>($C$32*$C$33)*'AG Jul 2019'!N33/100</f>
        <v>369.21818181818179</v>
      </c>
      <c r="E47" s="181">
        <v>0</v>
      </c>
      <c r="F47" s="181">
        <v>0</v>
      </c>
      <c r="G47" s="181">
        <f>($C$32*$C$34)*'AG Jul 2019'!AE33/100</f>
        <v>90.24</v>
      </c>
      <c r="H47" s="183">
        <f t="shared" si="5"/>
        <v>535.52590909090907</v>
      </c>
      <c r="I47" s="202">
        <f t="shared" si="6"/>
        <v>2356.3140000000003</v>
      </c>
    </row>
    <row r="48" spans="1:9" x14ac:dyDescent="0.3">
      <c r="A48" s="179" t="str">
        <f>'AG Jul 2019'!K34</f>
        <v>Origin Energy</v>
      </c>
      <c r="B48" s="180">
        <f>'AG Jul 2019'!G34</f>
        <v>42201</v>
      </c>
      <c r="C48" s="181">
        <f>91*'AG Jul 2019'!M34/100</f>
        <v>71.459818181818179</v>
      </c>
      <c r="D48" s="181">
        <f>($C$32*$C$33)*'AG Jul 2019'!N34/100</f>
        <v>375.70909090909089</v>
      </c>
      <c r="E48" s="181">
        <v>0</v>
      </c>
      <c r="F48" s="181">
        <v>0</v>
      </c>
      <c r="G48" s="181">
        <f>($C$32*$C$34)*'AG Jul 2019'!AE34/100</f>
        <v>89.018181818181816</v>
      </c>
      <c r="H48" s="183">
        <f t="shared" si="5"/>
        <v>536.1870909090909</v>
      </c>
      <c r="I48" s="202">
        <f t="shared" si="6"/>
        <v>2359.2232000000004</v>
      </c>
    </row>
    <row r="49" spans="1:9" x14ac:dyDescent="0.3">
      <c r="A49" s="179" t="str">
        <f>'AG Jul 2019'!K35</f>
        <v>Powerdirect</v>
      </c>
      <c r="B49" s="180">
        <f>'AG Jul 2019'!G35</f>
        <v>42187</v>
      </c>
      <c r="C49" s="181">
        <f>91*'AG Jul 2019'!M35/100</f>
        <v>74.62</v>
      </c>
      <c r="D49" s="181">
        <f>($C$32*$C$33)*'AG Jul 2019'!N35/100</f>
        <v>370.99999999999994</v>
      </c>
      <c r="E49" s="181">
        <v>0</v>
      </c>
      <c r="F49" s="181">
        <v>0</v>
      </c>
      <c r="G49" s="181">
        <f>($C$32*$C$34)*'AG Jul 2019'!AE35/100</f>
        <v>83.836363636363615</v>
      </c>
      <c r="H49" s="183">
        <f t="shared" si="5"/>
        <v>529.45636363636356</v>
      </c>
      <c r="I49" s="202">
        <f t="shared" si="6"/>
        <v>2329.6079999999997</v>
      </c>
    </row>
    <row r="50" spans="1:9" x14ac:dyDescent="0.3">
      <c r="A50" s="179" t="str">
        <f>'AG Jul 2019'!K36</f>
        <v>Powershop</v>
      </c>
      <c r="B50" s="180">
        <f>'AG Jul 2019'!G36</f>
        <v>42185</v>
      </c>
      <c r="C50" s="181">
        <f>91*'AG Jul 2019'!M36/100</f>
        <v>98.395818181818157</v>
      </c>
      <c r="D50" s="181">
        <f>($C$32*$C$33)*'AG Jul 2019'!N36/100</f>
        <v>348.09090909090912</v>
      </c>
      <c r="E50" s="181">
        <v>0</v>
      </c>
      <c r="F50" s="181">
        <v>0</v>
      </c>
      <c r="G50" s="181">
        <f>($C$32*$C$34)*'AG Jul 2019'!AE36/100</f>
        <v>74.400000000000006</v>
      </c>
      <c r="H50" s="183">
        <f t="shared" si="5"/>
        <v>520.88672727272728</v>
      </c>
      <c r="I50" s="202">
        <f t="shared" si="6"/>
        <v>2291.9016000000001</v>
      </c>
    </row>
    <row r="51" spans="1:9" x14ac:dyDescent="0.3">
      <c r="A51" s="179" t="str">
        <f>'AG Jul 2019'!K37</f>
        <v>Red Energy</v>
      </c>
      <c r="B51" s="180">
        <f>'AG Jul 2019'!G37</f>
        <v>42185</v>
      </c>
      <c r="C51" s="181">
        <f>91*'AG Jul 2019'!M37/100</f>
        <v>89.635000000000005</v>
      </c>
      <c r="D51" s="181">
        <f>($C$32*$C$33)*'AG Jul 2019'!N37/100</f>
        <v>357</v>
      </c>
      <c r="E51" s="181">
        <v>0</v>
      </c>
      <c r="F51" s="181">
        <v>0</v>
      </c>
      <c r="G51" s="181">
        <f>($C$32*$C$34)*'AG Jul 2019'!AE37/100</f>
        <v>79.2</v>
      </c>
      <c r="H51" s="183">
        <f t="shared" si="5"/>
        <v>525.83500000000004</v>
      </c>
      <c r="I51" s="202">
        <f t="shared" si="6"/>
        <v>2313.6740000000004</v>
      </c>
    </row>
    <row r="52" spans="1:9" x14ac:dyDescent="0.3">
      <c r="A52" s="179" t="str">
        <f>'AG Jul 2019'!K38</f>
        <v>Simply Energy</v>
      </c>
      <c r="B52" s="180">
        <f>'AG Jul 2019'!G38</f>
        <v>42192</v>
      </c>
      <c r="C52" s="181">
        <f>91*'AG Jul 2019'!M38/100</f>
        <v>78.044909090909101</v>
      </c>
      <c r="D52" s="181">
        <f>($C$32*$C$33)*'AG Jul 2019'!N38/100</f>
        <v>337.4</v>
      </c>
      <c r="E52" s="181">
        <v>0</v>
      </c>
      <c r="F52" s="181">
        <v>0</v>
      </c>
      <c r="G52" s="181">
        <f>($C$32*$C$34)*'AG Jul 2019'!AE38/100</f>
        <v>86.836363636363615</v>
      </c>
      <c r="H52" s="183">
        <f t="shared" si="5"/>
        <v>502.28127272727266</v>
      </c>
      <c r="I52" s="202">
        <f t="shared" si="6"/>
        <v>2210.0376000000001</v>
      </c>
    </row>
    <row r="53" spans="1:9" x14ac:dyDescent="0.3">
      <c r="A53" s="179" t="str">
        <f>'AG Jul 2019'!K39</f>
        <v>1st Energy</v>
      </c>
      <c r="B53" s="180">
        <f>'AG Jul 2019'!G39</f>
        <v>42185</v>
      </c>
      <c r="C53" s="181">
        <f>91*'AG Jul 2019'!M39/100</f>
        <v>95.55</v>
      </c>
      <c r="D53" s="181">
        <f>IF($C$32*$C$33&gt;='AG Jul 2019'!P39,('AG Jul 2019'!P39*'AG Jul 2019'!N39/100),(($C$32*$C$33)*'AG Jul 2019'!N39/100))</f>
        <v>334.8</v>
      </c>
      <c r="E53" s="181">
        <f>IF($C$32*$C$33&lt;'AG Jul 2019'!P39,0,IF(($C$32*$C$33)&lt;='AG Jul 2019'!R39,(($C$32*$C$33-'AG Jul 2019'!P39)*'AG Jul 2019'!Q39/100),(('AG Jul 2019'!R39-'AG Jul 2019'!P39)*'AG Jul 2019'!Q39/100)))</f>
        <v>0</v>
      </c>
      <c r="F53" s="181">
        <f>IF(($C$32*$C$33&lt;'AG Jul 2019'!R39),(0),($C$32*$C$33-'AG Jul 2019'!R39)*'AG Jul 2019'!S39/100)</f>
        <v>14</v>
      </c>
      <c r="G53" s="181">
        <f>($C$32*$C$34)*'AG Jul 2019'!AE39/100</f>
        <v>81</v>
      </c>
      <c r="H53" s="183">
        <f t="shared" ref="H53:H55" si="7">SUM(C53:G53)</f>
        <v>525.35</v>
      </c>
      <c r="I53" s="202">
        <f t="shared" si="6"/>
        <v>2311.5400000000004</v>
      </c>
    </row>
    <row r="54" spans="1:9" x14ac:dyDescent="0.3">
      <c r="A54" s="179" t="str">
        <f>'AG Jul 2019'!K40</f>
        <v>Amaysim</v>
      </c>
      <c r="B54" s="180">
        <f>'AG Jul 2019'!G40</f>
        <v>42188</v>
      </c>
      <c r="C54" s="181">
        <f>91*'AG Jul 2019'!M40/100</f>
        <v>81.900000000000006</v>
      </c>
      <c r="D54" s="181">
        <f>($C$32*$C$33)*'AG Jul 2019'!N40/100</f>
        <v>360.78</v>
      </c>
      <c r="E54" s="181">
        <v>0</v>
      </c>
      <c r="F54" s="181">
        <v>0</v>
      </c>
      <c r="G54" s="181">
        <f>($C$32*$C$34)*'AG Jul 2019'!AE40/100</f>
        <v>91.86</v>
      </c>
      <c r="H54" s="183">
        <f t="shared" si="7"/>
        <v>534.54</v>
      </c>
      <c r="I54" s="202">
        <f t="shared" si="6"/>
        <v>2351.9760000000001</v>
      </c>
    </row>
    <row r="55" spans="1:9" ht="14" thickBot="1" x14ac:dyDescent="0.35">
      <c r="A55" s="184" t="str">
        <f>'AG Jul 2019'!K41</f>
        <v>ReAmped Energy</v>
      </c>
      <c r="B55" s="185">
        <f>'AG Jul 2019'!G41</f>
        <v>42185</v>
      </c>
      <c r="C55" s="186">
        <f>91*'AG Jul 2019'!M41/100</f>
        <v>99.4084</v>
      </c>
      <c r="D55" s="186">
        <f>($C$32*$C$33)*'AG Jul 2019'!N41/100</f>
        <v>322</v>
      </c>
      <c r="E55" s="186">
        <v>0</v>
      </c>
      <c r="F55" s="186">
        <v>0</v>
      </c>
      <c r="G55" s="186">
        <f>($C$32*$C$34)*'AG Jul 2019'!AE41/100</f>
        <v>108</v>
      </c>
      <c r="H55" s="188">
        <f t="shared" si="7"/>
        <v>529.40840000000003</v>
      </c>
      <c r="I55" s="203">
        <f t="shared" si="6"/>
        <v>2329.3969600000005</v>
      </c>
    </row>
    <row r="56" spans="1:9" s="239" customFormat="1" x14ac:dyDescent="0.3"/>
    <row r="57" spans="1:9" ht="14" thickBot="1" x14ac:dyDescent="0.35"/>
    <row r="58" spans="1:9" s="235" customFormat="1" ht="14" x14ac:dyDescent="0.3">
      <c r="A58" s="176" t="s">
        <v>94</v>
      </c>
      <c r="B58" s="91"/>
      <c r="C58" s="91"/>
      <c r="D58" s="91"/>
      <c r="E58" s="91"/>
      <c r="F58" s="91"/>
      <c r="G58" s="91"/>
      <c r="H58" s="91"/>
      <c r="I58" s="177"/>
    </row>
    <row r="59" spans="1:9" s="235" customFormat="1" ht="14" x14ac:dyDescent="0.3">
      <c r="A59" s="92" t="s">
        <v>79</v>
      </c>
      <c r="B59" s="93"/>
      <c r="C59" s="168">
        <v>1800</v>
      </c>
      <c r="D59" s="93"/>
      <c r="E59" s="93"/>
      <c r="F59" s="93"/>
      <c r="G59" s="93"/>
      <c r="H59" s="93"/>
      <c r="I59" s="178"/>
    </row>
    <row r="60" spans="1:9" s="235" customFormat="1" ht="14" x14ac:dyDescent="0.3">
      <c r="A60" s="92" t="s">
        <v>91</v>
      </c>
      <c r="B60" s="93"/>
      <c r="C60" s="257">
        <v>0.2</v>
      </c>
      <c r="D60" s="93"/>
      <c r="E60" s="93"/>
      <c r="F60" s="93"/>
      <c r="G60" s="93"/>
      <c r="H60" s="93"/>
      <c r="I60" s="178"/>
    </row>
    <row r="61" spans="1:9" s="235" customFormat="1" ht="14" x14ac:dyDescent="0.3">
      <c r="A61" s="92" t="s">
        <v>95</v>
      </c>
      <c r="B61" s="93"/>
      <c r="C61" s="257">
        <v>0.5</v>
      </c>
      <c r="D61" s="93"/>
      <c r="E61" s="93"/>
      <c r="F61" s="93"/>
      <c r="G61" s="93"/>
      <c r="H61" s="93"/>
      <c r="I61" s="178"/>
    </row>
    <row r="62" spans="1:9" s="235" customFormat="1" ht="14" x14ac:dyDescent="0.3">
      <c r="A62" s="92" t="s">
        <v>92</v>
      </c>
      <c r="B62" s="93"/>
      <c r="C62" s="257">
        <v>0.3</v>
      </c>
      <c r="D62" s="93"/>
      <c r="E62" s="93"/>
      <c r="F62" s="93"/>
      <c r="G62" s="93"/>
      <c r="H62" s="93"/>
      <c r="I62" s="178"/>
    </row>
    <row r="63" spans="1:9" s="235" customFormat="1" ht="14" x14ac:dyDescent="0.3">
      <c r="A63" s="166"/>
      <c r="B63" s="93"/>
      <c r="C63" s="167"/>
      <c r="D63" s="93"/>
      <c r="E63" s="93"/>
      <c r="F63" s="93"/>
      <c r="G63" s="93"/>
      <c r="H63" s="93"/>
      <c r="I63" s="178"/>
    </row>
    <row r="64" spans="1:9" s="235" customFormat="1" ht="28" x14ac:dyDescent="0.3">
      <c r="A64" s="301" t="s">
        <v>80</v>
      </c>
      <c r="B64" s="298" t="s">
        <v>81</v>
      </c>
      <c r="C64" s="298" t="s">
        <v>82</v>
      </c>
      <c r="D64" s="298" t="s">
        <v>96</v>
      </c>
      <c r="E64" s="298" t="s">
        <v>86</v>
      </c>
      <c r="F64" s="298" t="s">
        <v>97</v>
      </c>
      <c r="G64" s="298" t="s">
        <v>98</v>
      </c>
      <c r="H64" s="298" t="s">
        <v>87</v>
      </c>
      <c r="I64" s="300" t="s">
        <v>88</v>
      </c>
    </row>
    <row r="65" spans="1:9" x14ac:dyDescent="0.3">
      <c r="A65" s="179" t="str">
        <f>'AG Jul 2019'!K42</f>
        <v>Energy Locals</v>
      </c>
      <c r="B65" s="180">
        <f>'AG Jul 2019'!G42</f>
        <v>42187</v>
      </c>
      <c r="C65" s="181">
        <f>91*'AG Jul 2019'!M42/100</f>
        <v>96.790909090909082</v>
      </c>
      <c r="D65" s="181">
        <f>($C$59*$C$60)*'AG Jul 2019'!N42/100</f>
        <v>134.18181818181816</v>
      </c>
      <c r="E65" s="181">
        <v>0</v>
      </c>
      <c r="F65" s="181">
        <f>($C$59*$C$61)*'AG Jul 2019'!AH42/100</f>
        <v>171.81818181818181</v>
      </c>
      <c r="G65" s="181">
        <f>($C$59*$C$62)*'AG Jul 2019'!W42/100</f>
        <v>90.818181818181799</v>
      </c>
      <c r="H65" s="183">
        <f>SUM(C65:G65)</f>
        <v>493.60909090909087</v>
      </c>
      <c r="I65" s="202">
        <f t="shared" ref="I65:I82" si="8">(H65*4)*1.1</f>
        <v>2171.88</v>
      </c>
    </row>
    <row r="66" spans="1:9" x14ac:dyDescent="0.3">
      <c r="A66" s="179" t="str">
        <f>'AG Jul 2019'!K43</f>
        <v>AGL</v>
      </c>
      <c r="B66" s="180">
        <f>'AG Jul 2019'!G43</f>
        <v>42187</v>
      </c>
      <c r="C66" s="181">
        <f>91*'AG Jul 2019'!M43/100</f>
        <v>85.54</v>
      </c>
      <c r="D66" s="181">
        <f>($C$59*$C$60)*'AG Jul 2019'!N43/100</f>
        <v>177.90545454545452</v>
      </c>
      <c r="E66" s="181">
        <v>0</v>
      </c>
      <c r="F66" s="181">
        <f>($C$59*$C$61)*'AG Jul 2019'!AH43/100</f>
        <v>189.32727272727271</v>
      </c>
      <c r="G66" s="181">
        <f>($C$59*$C$62)*'AG Jul 2019'!W43/100</f>
        <v>74.029090909090897</v>
      </c>
      <c r="H66" s="183">
        <f t="shared" ref="H66:H82" si="9">SUM(C66:G66)</f>
        <v>526.80181818181813</v>
      </c>
      <c r="I66" s="202">
        <f t="shared" si="8"/>
        <v>2317.9279999999999</v>
      </c>
    </row>
    <row r="67" spans="1:9" x14ac:dyDescent="0.3">
      <c r="A67" s="179" t="str">
        <f>'AG Jul 2019'!K44</f>
        <v>Alinta Energy</v>
      </c>
      <c r="B67" s="180">
        <f>'AG Jul 2019'!G44</f>
        <v>42185</v>
      </c>
      <c r="C67" s="181">
        <f>91*'AG Jul 2019'!M44/100</f>
        <v>87.36</v>
      </c>
      <c r="D67" s="181">
        <f>($C$59*$C$60)*'AG Jul 2019'!N44/100</f>
        <v>152.63999999999999</v>
      </c>
      <c r="E67" s="181">
        <v>0</v>
      </c>
      <c r="F67" s="181">
        <f>($C$59*$C$61)*'AG Jul 2019'!AH44/100</f>
        <v>160.19999999999999</v>
      </c>
      <c r="G67" s="181">
        <f>($C$59*$C$62)*'AG Jul 2019'!W44/100</f>
        <v>62.689090909090901</v>
      </c>
      <c r="H67" s="183">
        <f t="shared" si="9"/>
        <v>462.8890909090909</v>
      </c>
      <c r="I67" s="202">
        <f t="shared" si="8"/>
        <v>2036.7120000000002</v>
      </c>
    </row>
    <row r="68" spans="1:9" x14ac:dyDescent="0.3">
      <c r="A68" s="179" t="str">
        <f>'AG Jul 2019'!K45</f>
        <v>Click Energy</v>
      </c>
      <c r="B68" s="180">
        <f>'AG Jul 2019'!G45</f>
        <v>42188</v>
      </c>
      <c r="C68" s="181">
        <f>91*'AG Jul 2019'!M45/100</f>
        <v>81.900000000000006</v>
      </c>
      <c r="D68" s="181">
        <f>($C$59*$C$60)*'AG Jul 2019'!N45/100</f>
        <v>135.93599999999998</v>
      </c>
      <c r="E68" s="181">
        <v>0</v>
      </c>
      <c r="F68" s="181">
        <f>($C$59*$C$61)*'AG Jul 2019'!AH45/100</f>
        <v>188.55</v>
      </c>
      <c r="G68" s="181">
        <f>($C$59*$C$62)*'AG Jul 2019'!W45/100</f>
        <v>102.6</v>
      </c>
      <c r="H68" s="183">
        <f t="shared" si="9"/>
        <v>508.98599999999999</v>
      </c>
      <c r="I68" s="202">
        <f t="shared" si="8"/>
        <v>2239.5383999999999</v>
      </c>
    </row>
    <row r="69" spans="1:9" x14ac:dyDescent="0.3">
      <c r="A69" s="179" t="str">
        <f>'AG Jul 2019'!K46</f>
        <v>Commander</v>
      </c>
      <c r="B69" s="180">
        <f>'AG Jul 2019'!G46</f>
        <v>42185</v>
      </c>
      <c r="C69" s="181">
        <f>91*'AG Jul 2019'!M46/100</f>
        <v>90.520181818181811</v>
      </c>
      <c r="D69" s="181">
        <f>($C$59*$C$60)*'AG Jul 2019'!N46/100</f>
        <v>163.90799999999999</v>
      </c>
      <c r="E69" s="181">
        <v>0</v>
      </c>
      <c r="F69" s="181">
        <f>($C$59*$C$61)*'AG Jul 2019'!AH46/100</f>
        <v>192.15</v>
      </c>
      <c r="G69" s="181">
        <f>($C$59*$C$62)*'AG Jul 2019'!W46/100</f>
        <v>100.926</v>
      </c>
      <c r="H69" s="183">
        <f t="shared" si="9"/>
        <v>547.50418181818179</v>
      </c>
      <c r="I69" s="202">
        <f t="shared" si="8"/>
        <v>2409.0183999999999</v>
      </c>
    </row>
    <row r="70" spans="1:9" x14ac:dyDescent="0.3">
      <c r="A70" s="179" t="str">
        <f>'AG Jul 2019'!K47</f>
        <v>CovaU</v>
      </c>
      <c r="B70" s="180">
        <f>'AG Jul 2019'!G47</f>
        <v>42185</v>
      </c>
      <c r="C70" s="181">
        <f>91*'AG Jul 2019'!M47/100</f>
        <v>106.75210000000001</v>
      </c>
      <c r="D70" s="181">
        <f>($C$59*$C$60)*'AG Jul 2019'!N47/100</f>
        <v>190.8</v>
      </c>
      <c r="E70" s="181">
        <v>0</v>
      </c>
      <c r="F70" s="181">
        <f>($C$59*$C$61)*'AG Jul 2019'!AH47/100</f>
        <v>233.28</v>
      </c>
      <c r="G70" s="181">
        <f>($C$59*$C$62)*'AG Jul 2019'!W47/100</f>
        <v>104.976</v>
      </c>
      <c r="H70" s="183">
        <f t="shared" si="9"/>
        <v>635.80809999999997</v>
      </c>
      <c r="I70" s="202">
        <f t="shared" si="8"/>
        <v>2797.55564</v>
      </c>
    </row>
    <row r="71" spans="1:9" x14ac:dyDescent="0.3">
      <c r="A71" s="179" t="str">
        <f>'AG Jul 2019'!K48</f>
        <v>Diamond Energy</v>
      </c>
      <c r="B71" s="180">
        <f>'AG Jul 2019'!G48</f>
        <v>42185</v>
      </c>
      <c r="C71" s="181">
        <f>91*'AG Jul 2019'!M48/100</f>
        <v>90.545000000000002</v>
      </c>
      <c r="D71" s="181">
        <f>IF($C$59*$C$60&gt;='AG Jul 2019'!P48,('AG Jul 2019'!P48*'AG Jul 2019'!N48/100),(($C$59*$C$60)*'AG Jul 2019'!N48/100))</f>
        <v>178.2</v>
      </c>
      <c r="E71" s="181">
        <f>IF(($C$59*$C$60&lt;'AG Jul 2019'!P48),(0),($C$59*$C$60-'AG Jul 2019'!P48)*'AG Jul 2019'!Q48/100)</f>
        <v>0</v>
      </c>
      <c r="F71" s="181">
        <f>($C$59*$C$61)*'AG Jul 2019'!AH48/100</f>
        <v>211.32</v>
      </c>
      <c r="G71" s="181">
        <f>($C$59*$C$62)*'AG Jul 2019'!W48/100</f>
        <v>96.93</v>
      </c>
      <c r="H71" s="183">
        <f t="shared" si="9"/>
        <v>576.995</v>
      </c>
      <c r="I71" s="202">
        <f t="shared" si="8"/>
        <v>2538.7780000000002</v>
      </c>
    </row>
    <row r="72" spans="1:9" x14ac:dyDescent="0.3">
      <c r="A72" s="179" t="str">
        <f>'AG Jul 2019'!K49</f>
        <v>Dodo Power &amp; Gas</v>
      </c>
      <c r="B72" s="180">
        <f>'AG Jul 2019'!G49</f>
        <v>42185</v>
      </c>
      <c r="C72" s="181">
        <f>91*'AG Jul 2019'!M49/100</f>
        <v>90.520181818181811</v>
      </c>
      <c r="D72" s="181">
        <f>($C$59*$C$60)*'AG Jul 2019'!N49/100</f>
        <v>163.90799999999999</v>
      </c>
      <c r="E72" s="181">
        <v>0</v>
      </c>
      <c r="F72" s="181">
        <f>($C$59*$C$61)*'AG Jul 2019'!AH49/100</f>
        <v>192.15</v>
      </c>
      <c r="G72" s="181">
        <f>($C$59*$C$62)*'AG Jul 2019'!W49/100</f>
        <v>100.926</v>
      </c>
      <c r="H72" s="183">
        <f t="shared" si="9"/>
        <v>547.50418181818179</v>
      </c>
      <c r="I72" s="202">
        <f t="shared" si="8"/>
        <v>2409.0183999999999</v>
      </c>
    </row>
    <row r="73" spans="1:9" x14ac:dyDescent="0.3">
      <c r="A73" s="179" t="str">
        <f>'AG Jul 2019'!K50</f>
        <v>EnergyAustralia</v>
      </c>
      <c r="B73" s="180">
        <f>'AG Jul 2019'!G50</f>
        <v>42214</v>
      </c>
      <c r="C73" s="181">
        <f>91*'AG Jul 2019'!M50/100</f>
        <v>87.72399999999999</v>
      </c>
      <c r="D73" s="181">
        <f>($C$59*$C$60)*'AG Jul 2019'!N50/100</f>
        <v>194.04</v>
      </c>
      <c r="E73" s="181">
        <v>0</v>
      </c>
      <c r="F73" s="181">
        <f>($C$59*$C$61)*'AG Jul 2019'!AH50/100</f>
        <v>253.8</v>
      </c>
      <c r="G73" s="181">
        <f>($C$59*$C$62)*'AG Jul 2019'!W50/100</f>
        <v>92.88</v>
      </c>
      <c r="H73" s="183">
        <f t="shared" si="9"/>
        <v>628.44400000000007</v>
      </c>
      <c r="I73" s="202">
        <f t="shared" si="8"/>
        <v>2765.1536000000006</v>
      </c>
    </row>
    <row r="74" spans="1:9" x14ac:dyDescent="0.3">
      <c r="A74" s="179" t="str">
        <f>'AG Jul 2019'!K51</f>
        <v>Mojo Power</v>
      </c>
      <c r="B74" s="180">
        <f>'AG Jul 2019'!G51</f>
        <v>41901</v>
      </c>
      <c r="C74" s="181">
        <f>91*'AG Jul 2019'!M51/100</f>
        <v>161.27929999999998</v>
      </c>
      <c r="D74" s="181">
        <f>($C$59*$C$60)*'AG Jul 2019'!N51/100</f>
        <v>161.42400000000001</v>
      </c>
      <c r="E74" s="181">
        <v>0</v>
      </c>
      <c r="F74" s="181">
        <f>($C$59*$C$61)*'AG Jul 2019'!AH51/100</f>
        <v>185.49</v>
      </c>
      <c r="G74" s="181">
        <f>($C$59*$C$62)*'AG Jul 2019'!W51/100</f>
        <v>74.358000000000004</v>
      </c>
      <c r="H74" s="183">
        <f t="shared" si="9"/>
        <v>582.55130000000008</v>
      </c>
      <c r="I74" s="202">
        <f t="shared" si="8"/>
        <v>2563.2257200000004</v>
      </c>
    </row>
    <row r="75" spans="1:9" x14ac:dyDescent="0.3">
      <c r="A75" s="179" t="str">
        <f>'AG Jul 2019'!K52</f>
        <v>Momentum Energy</v>
      </c>
      <c r="B75" s="180">
        <f>'AG Jul 2019'!G52</f>
        <v>42185</v>
      </c>
      <c r="C75" s="181">
        <f>91*'AG Jul 2019'!M52/100</f>
        <v>89.953500000000005</v>
      </c>
      <c r="D75" s="181">
        <f>($C$59*$C$60)*'AG Jul 2019'!N52/100</f>
        <v>109.944</v>
      </c>
      <c r="E75" s="181">
        <v>0</v>
      </c>
      <c r="F75" s="181">
        <f>($C$59*$C$61)*'AG Jul 2019'!AH52/100</f>
        <v>274.86</v>
      </c>
      <c r="G75" s="181">
        <f>($C$59*$C$62)*'AG Jul 2019'!W52/100</f>
        <v>132.51599999999999</v>
      </c>
      <c r="H75" s="183">
        <f t="shared" si="9"/>
        <v>607.27350000000001</v>
      </c>
      <c r="I75" s="202">
        <f t="shared" si="8"/>
        <v>2672.0034000000001</v>
      </c>
    </row>
    <row r="76" spans="1:9" x14ac:dyDescent="0.3">
      <c r="A76" s="179" t="str">
        <f>'AG Jul 2019'!K53</f>
        <v>Origin Energy</v>
      </c>
      <c r="B76" s="180">
        <f>'AG Jul 2019'!G53</f>
        <v>42201</v>
      </c>
      <c r="C76" s="181">
        <f>91*'AG Jul 2019'!M53/100</f>
        <v>82.950636363636349</v>
      </c>
      <c r="D76" s="181">
        <f>($C$59*$C$60)*'AG Jul 2019'!N53/100</f>
        <v>179.60727272727271</v>
      </c>
      <c r="E76" s="181">
        <v>0</v>
      </c>
      <c r="F76" s="181">
        <f>($C$59*$C$61)*'AG Jul 2019'!AH53/100</f>
        <v>214.19999999999996</v>
      </c>
      <c r="G76" s="181">
        <f>($C$59*$C$62)*'AG Jul 2019'!W53/100</f>
        <v>73.292727272727262</v>
      </c>
      <c r="H76" s="183">
        <f t="shared" si="9"/>
        <v>550.05063636363627</v>
      </c>
      <c r="I76" s="202">
        <f t="shared" si="8"/>
        <v>2420.2228</v>
      </c>
    </row>
    <row r="77" spans="1:9" x14ac:dyDescent="0.3">
      <c r="A77" s="179" t="str">
        <f>'AG Jul 2019'!K54</f>
        <v>Powerdirect</v>
      </c>
      <c r="B77" s="180">
        <f>'AG Jul 2019'!G54</f>
        <v>42187</v>
      </c>
      <c r="C77" s="181">
        <f>91*'AG Jul 2019'!M54/100</f>
        <v>85.54</v>
      </c>
      <c r="D77" s="181">
        <f>($C$59*$C$60)*'AG Jul 2019'!N54/100</f>
        <v>177.90545454545452</v>
      </c>
      <c r="E77" s="181">
        <v>0</v>
      </c>
      <c r="F77" s="181">
        <f>($C$59*$C$61)*'AG Jul 2019'!AH54/100</f>
        <v>189.32727272727271</v>
      </c>
      <c r="G77" s="181">
        <f>($C$59*$C$62)*'AG Jul 2019'!W54/100</f>
        <v>74.029090909090897</v>
      </c>
      <c r="H77" s="183">
        <f t="shared" si="9"/>
        <v>526.80181818181813</v>
      </c>
      <c r="I77" s="202">
        <f t="shared" si="8"/>
        <v>2317.9279999999999</v>
      </c>
    </row>
    <row r="78" spans="1:9" x14ac:dyDescent="0.3">
      <c r="A78" s="179" t="str">
        <f>'AG Jul 2019'!K55</f>
        <v>Powershop</v>
      </c>
      <c r="B78" s="180">
        <f>'AG Jul 2019'!G55</f>
        <v>42185</v>
      </c>
      <c r="C78" s="181">
        <f>91*'AG Jul 2019'!M55/100</f>
        <v>99.661545454545447</v>
      </c>
      <c r="D78" s="181">
        <f>($C$59*$C$60)*'AG Jul 2019'!N55/100</f>
        <v>129.6</v>
      </c>
      <c r="E78" s="181">
        <v>0</v>
      </c>
      <c r="F78" s="181">
        <f>($C$59*$C$61)*'AG Jul 2019'!AH55/100</f>
        <v>176.64545454545453</v>
      </c>
      <c r="G78" s="181">
        <f>($C$59*$C$62)*'AG Jul 2019'!W55/100</f>
        <v>88.854545454545445</v>
      </c>
      <c r="H78" s="183">
        <f t="shared" si="9"/>
        <v>494.7615454545454</v>
      </c>
      <c r="I78" s="202">
        <f t="shared" si="8"/>
        <v>2176.9508000000001</v>
      </c>
    </row>
    <row r="79" spans="1:9" x14ac:dyDescent="0.3">
      <c r="A79" s="179" t="str">
        <f>'AG Jul 2019'!K56</f>
        <v>Red Energy</v>
      </c>
      <c r="B79" s="180">
        <f>'AG Jul 2019'!G56</f>
        <v>42185</v>
      </c>
      <c r="C79" s="181">
        <f>91*'AG Jul 2019'!M56/100</f>
        <v>91.091000000000008</v>
      </c>
      <c r="D79" s="181">
        <f>IF($C$59*$C$60&gt;='AG Jul 2019'!P56,('AG Jul 2019'!P56*'AG Jul 2019'!N56/100),(($C$59*$C$60)*'AG Jul 2019'!N56/100))</f>
        <v>140.39999999999998</v>
      </c>
      <c r="E79" s="181">
        <f>IF(($C$59*$C$60&lt;'AG Jul 2019'!P56),(0),($C$59*$C$60-'AG Jul 2019'!P56)*'AG Jul 2019'!Q56/100)</f>
        <v>0</v>
      </c>
      <c r="F79" s="181">
        <f>($C$59*$C$61)*'AG Jul 2019'!AH56/100</f>
        <v>189</v>
      </c>
      <c r="G79" s="181">
        <f>($C$59*$C$62)*'AG Jul 2019'!W56/100</f>
        <v>75.599999999999994</v>
      </c>
      <c r="H79" s="183">
        <f t="shared" si="9"/>
        <v>496.09100000000001</v>
      </c>
      <c r="I79" s="202">
        <f t="shared" si="8"/>
        <v>2182.8004000000001</v>
      </c>
    </row>
    <row r="80" spans="1:9" x14ac:dyDescent="0.3">
      <c r="A80" s="179" t="str">
        <f>'AG Jul 2019'!K57</f>
        <v>Simply Energy</v>
      </c>
      <c r="B80" s="180">
        <f>'AG Jul 2019'!G57</f>
        <v>42192</v>
      </c>
      <c r="C80" s="181">
        <f>91*'AG Jul 2019'!M57/100</f>
        <v>82.826545454545453</v>
      </c>
      <c r="D80" s="181">
        <f>($C$59*$C$60)*'AG Jul 2019'!N57/100</f>
        <v>144.68727272727273</v>
      </c>
      <c r="E80" s="181">
        <v>0</v>
      </c>
      <c r="F80" s="181">
        <f>($C$59*$C$61)*'AG Jul 2019'!AH57/100</f>
        <v>199.6363636363636</v>
      </c>
      <c r="G80" s="181">
        <f>($C$59*$C$62)*'AG Jul 2019'!W57/100</f>
        <v>91.112727272727255</v>
      </c>
      <c r="H80" s="183">
        <f t="shared" si="9"/>
        <v>518.26290909090903</v>
      </c>
      <c r="I80" s="202">
        <f t="shared" si="8"/>
        <v>2280.3568</v>
      </c>
    </row>
    <row r="81" spans="1:9" x14ac:dyDescent="0.3">
      <c r="A81" s="179" t="str">
        <f>'AG Jul 2019'!K58</f>
        <v>1st Energy</v>
      </c>
      <c r="B81" s="180">
        <f>'AG Jul 2019'!G58</f>
        <v>42185</v>
      </c>
      <c r="C81" s="181">
        <f>91*'AG Jul 2019'!M58/100</f>
        <v>91</v>
      </c>
      <c r="D81" s="181">
        <f>($C$59*$C$60)*'AG Jul 2019'!N58/100</f>
        <v>158.4</v>
      </c>
      <c r="E81" s="181">
        <v>0</v>
      </c>
      <c r="F81" s="181">
        <f>($C$59*$C$61)*'AG Jul 2019'!AH58/100</f>
        <v>207</v>
      </c>
      <c r="G81" s="181">
        <f>($C$59*$C$62)*'AG Jul 2019'!W58/100</f>
        <v>101.52</v>
      </c>
      <c r="H81" s="183">
        <f t="shared" si="9"/>
        <v>557.91999999999996</v>
      </c>
      <c r="I81" s="202">
        <f t="shared" si="8"/>
        <v>2454.848</v>
      </c>
    </row>
    <row r="82" spans="1:9" s="239" customFormat="1" ht="14" thickBot="1" x14ac:dyDescent="0.35">
      <c r="A82" s="184" t="str">
        <f>'AG Jul 2019'!K59</f>
        <v>Amaysim</v>
      </c>
      <c r="B82" s="185">
        <f>'AG Jul 2019'!G59</f>
        <v>42188</v>
      </c>
      <c r="C82" s="186">
        <f>91*'AG Jul 2019'!M59/100</f>
        <v>81.900000000000006</v>
      </c>
      <c r="D82" s="186">
        <f>($C$59*$C$60)*'AG Jul 2019'!N59/100</f>
        <v>136.07999999999998</v>
      </c>
      <c r="E82" s="186">
        <v>0</v>
      </c>
      <c r="F82" s="186">
        <f>($C$59*$C$61)*'AG Jul 2019'!AH59/100</f>
        <v>188.55</v>
      </c>
      <c r="G82" s="186">
        <f>($C$59*$C$62)*'AG Jul 2019'!W59/100</f>
        <v>102.6</v>
      </c>
      <c r="H82" s="188">
        <f t="shared" si="9"/>
        <v>509.13</v>
      </c>
      <c r="I82" s="203">
        <f t="shared" si="8"/>
        <v>2240.172</v>
      </c>
    </row>
  </sheetData>
  <sheetProtection algorithmName="SHA-512" hashValue="g5uno5H6rUgLOSUijHwUK+87UvNCqiYkr/4uYPYlY4nxrd3OyBgGb5ouGxST+DkQSoFgB42OQG9l3f9V/AmR6g==" saltValue="5H3GyDNBsTelaAiLU8Y/yQ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243E1-2976-EB44-8C02-75ABDFBD606B}">
  <sheetPr codeName="Sheet7"/>
  <dimension ref="A1:I81"/>
  <sheetViews>
    <sheetView topLeftCell="A29" zoomScaleNormal="100" workbookViewId="0">
      <selection activeCell="C58" activeCellId="2" sqref="C5 C31:C33 C58:C61"/>
    </sheetView>
  </sheetViews>
  <sheetFormatPr defaultColWidth="10.84375" defaultRowHeight="13.5" x14ac:dyDescent="0.3"/>
  <cols>
    <col min="1" max="1" width="19.3046875" style="236" customWidth="1"/>
    <col min="2" max="2" width="11.4609375" style="236" customWidth="1"/>
    <col min="3" max="9" width="12.15234375" style="236" customWidth="1"/>
    <col min="10" max="16384" width="10.84375" style="236"/>
  </cols>
  <sheetData>
    <row r="1" spans="1:9" ht="14" x14ac:dyDescent="0.3">
      <c r="A1" s="235" t="s">
        <v>76</v>
      </c>
      <c r="B1" s="235"/>
      <c r="C1" s="235"/>
      <c r="D1" s="235"/>
      <c r="E1" s="235"/>
      <c r="F1" s="235"/>
      <c r="G1" s="235"/>
      <c r="H1" s="235"/>
      <c r="I1" s="235"/>
    </row>
    <row r="2" spans="1:9" ht="14" x14ac:dyDescent="0.3">
      <c r="A2" s="237" t="s">
        <v>101</v>
      </c>
      <c r="B2" s="235"/>
      <c r="C2" s="235"/>
      <c r="D2" s="235"/>
      <c r="E2" s="235"/>
      <c r="F2" s="235"/>
      <c r="G2" s="235"/>
      <c r="H2" s="235"/>
      <c r="I2" s="235"/>
    </row>
    <row r="3" spans="1:9" ht="14.5" thickBot="1" x14ac:dyDescent="0.35">
      <c r="A3" s="235"/>
      <c r="B3" s="235"/>
      <c r="C3" s="235"/>
      <c r="D3" s="235"/>
      <c r="E3" s="235"/>
      <c r="F3" s="238"/>
      <c r="G3" s="235"/>
      <c r="H3" s="235"/>
      <c r="I3" s="235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'END Jul 2019'!K2</f>
        <v>Energy Locals</v>
      </c>
      <c r="B8" s="180">
        <f>'END Jul 2019'!G2</f>
        <v>42187</v>
      </c>
      <c r="C8" s="181">
        <f>91*'END Jul 2019'!M2/100</f>
        <v>117.0590909090909</v>
      </c>
      <c r="D8" s="181">
        <f>$C$5*'END Jul 2019'!N2/100</f>
        <v>400.90909090909088</v>
      </c>
      <c r="E8" s="182">
        <v>0</v>
      </c>
      <c r="F8" s="181">
        <v>0</v>
      </c>
      <c r="G8" s="181">
        <v>0</v>
      </c>
      <c r="H8" s="183">
        <f>SUM(C8:G8)</f>
        <v>517.96818181818173</v>
      </c>
      <c r="I8" s="202">
        <f>(H8*4)*1.1</f>
        <v>2279.06</v>
      </c>
    </row>
    <row r="9" spans="1:9" x14ac:dyDescent="0.3">
      <c r="A9" s="179" t="str">
        <f>'END Jul 2019'!K3</f>
        <v>AGL</v>
      </c>
      <c r="B9" s="180">
        <f>'END Jul 2019'!G3</f>
        <v>42187</v>
      </c>
      <c r="C9" s="181">
        <f>91*'END Jul 2019'!M3/100</f>
        <v>74.62</v>
      </c>
      <c r="D9" s="181">
        <f>$C$5*'END Jul 2019'!N3/100</f>
        <v>464.23636363636359</v>
      </c>
      <c r="E9" s="182">
        <v>0</v>
      </c>
      <c r="F9" s="181">
        <v>0</v>
      </c>
      <c r="G9" s="181">
        <v>0</v>
      </c>
      <c r="H9" s="183">
        <f t="shared" ref="H9:H26" si="0">SUM(C9:G9)</f>
        <v>538.85636363636354</v>
      </c>
      <c r="I9" s="202">
        <f t="shared" ref="I9:I26" si="1">(H9*4)*1.1</f>
        <v>2370.9679999999998</v>
      </c>
    </row>
    <row r="10" spans="1:9" x14ac:dyDescent="0.3">
      <c r="A10" s="179" t="str">
        <f>'END Jul 2019'!K4</f>
        <v>Alinta Energy</v>
      </c>
      <c r="B10" s="180">
        <f>'END Jul 2019'!G4</f>
        <v>42185</v>
      </c>
      <c r="C10" s="181">
        <f>91*'END Jul 2019'!M4/100</f>
        <v>75.53</v>
      </c>
      <c r="D10" s="181">
        <f>$C$5*'END Jul 2019'!N4/100</f>
        <v>390.6</v>
      </c>
      <c r="E10" s="182">
        <v>0</v>
      </c>
      <c r="F10" s="181">
        <v>0</v>
      </c>
      <c r="G10" s="181">
        <v>0</v>
      </c>
      <c r="H10" s="183">
        <f t="shared" si="0"/>
        <v>466.13</v>
      </c>
      <c r="I10" s="202">
        <f t="shared" si="1"/>
        <v>2050.9720000000002</v>
      </c>
    </row>
    <row r="11" spans="1:9" x14ac:dyDescent="0.3">
      <c r="A11" s="179" t="str">
        <f>'END Jul 2019'!K5</f>
        <v>Click Energy</v>
      </c>
      <c r="B11" s="180">
        <f>'END Jul 2019'!G5</f>
        <v>42188</v>
      </c>
      <c r="C11" s="181">
        <f>91*'END Jul 2019'!M5/100</f>
        <v>76.44</v>
      </c>
      <c r="D11" s="181">
        <f>$C$5*'END Jul 2019'!N5/100</f>
        <v>461.7</v>
      </c>
      <c r="E11" s="182">
        <v>0</v>
      </c>
      <c r="F11" s="181">
        <v>0</v>
      </c>
      <c r="G11" s="181">
        <v>0</v>
      </c>
      <c r="H11" s="183">
        <f t="shared" si="0"/>
        <v>538.14</v>
      </c>
      <c r="I11" s="202">
        <f t="shared" si="1"/>
        <v>2367.8160000000003</v>
      </c>
    </row>
    <row r="12" spans="1:9" x14ac:dyDescent="0.3">
      <c r="A12" s="179" t="str">
        <f>'END Jul 2019'!K6</f>
        <v>Commander</v>
      </c>
      <c r="B12" s="180">
        <f>'END Jul 2019'!G6</f>
        <v>42185</v>
      </c>
      <c r="C12" s="181">
        <f>91*'END Jul 2019'!M6/100</f>
        <v>76.812272727272713</v>
      </c>
      <c r="D12" s="181">
        <f>$C$5*'END Jul 2019'!N6/100</f>
        <v>461.16</v>
      </c>
      <c r="E12" s="182">
        <v>0</v>
      </c>
      <c r="F12" s="181">
        <v>0</v>
      </c>
      <c r="G12" s="181">
        <v>0</v>
      </c>
      <c r="H12" s="183">
        <f t="shared" si="0"/>
        <v>537.97227272727275</v>
      </c>
      <c r="I12" s="202">
        <f t="shared" si="1"/>
        <v>2367.0780000000004</v>
      </c>
    </row>
    <row r="13" spans="1:9" x14ac:dyDescent="0.3">
      <c r="A13" s="179" t="str">
        <f>'END Jul 2019'!K7</f>
        <v>CovaU</v>
      </c>
      <c r="B13" s="180">
        <f>'END Jul 2019'!G7</f>
        <v>42185</v>
      </c>
      <c r="C13" s="181">
        <f>91*'END Jul 2019'!M7/100</f>
        <v>79.17</v>
      </c>
      <c r="D13" s="181">
        <f>$C$5*'END Jul 2019'!N7/100</f>
        <v>432</v>
      </c>
      <c r="E13" s="182">
        <v>0</v>
      </c>
      <c r="F13" s="181">
        <v>0</v>
      </c>
      <c r="G13" s="181">
        <v>0</v>
      </c>
      <c r="H13" s="183">
        <f t="shared" si="0"/>
        <v>511.17</v>
      </c>
      <c r="I13" s="202">
        <f t="shared" si="1"/>
        <v>2249.1480000000001</v>
      </c>
    </row>
    <row r="14" spans="1:9" x14ac:dyDescent="0.3">
      <c r="A14" s="179" t="str">
        <f>'END Jul 2019'!K8</f>
        <v>Diamond Energy</v>
      </c>
      <c r="B14" s="180">
        <f>'END Jul 2019'!G8</f>
        <v>42185</v>
      </c>
      <c r="C14" s="181">
        <f>91*'END Jul 2019'!M8/100</f>
        <v>72.344999999999999</v>
      </c>
      <c r="D14" s="181">
        <f>$C$5*'END Jul 2019'!N8/100</f>
        <v>467.64</v>
      </c>
      <c r="E14" s="182">
        <v>0</v>
      </c>
      <c r="F14" s="181">
        <v>0</v>
      </c>
      <c r="G14" s="181">
        <v>0</v>
      </c>
      <c r="H14" s="183">
        <f t="shared" si="0"/>
        <v>539.98500000000001</v>
      </c>
      <c r="I14" s="202">
        <f t="shared" si="1"/>
        <v>2375.9340000000002</v>
      </c>
    </row>
    <row r="15" spans="1:9" x14ac:dyDescent="0.3">
      <c r="A15" s="179" t="str">
        <f>'END Jul 2019'!K9</f>
        <v>Dodo Power &amp; Gas</v>
      </c>
      <c r="B15" s="180">
        <f>'END Jul 2019'!G9</f>
        <v>42185</v>
      </c>
      <c r="C15" s="181">
        <f>91*'END Jul 2019'!M9/100</f>
        <v>76.812272727272713</v>
      </c>
      <c r="D15" s="181">
        <f>$C$5*'END Jul 2019'!N9/100</f>
        <v>461.16</v>
      </c>
      <c r="E15" s="182">
        <v>0</v>
      </c>
      <c r="F15" s="181">
        <v>0</v>
      </c>
      <c r="G15" s="181">
        <v>0</v>
      </c>
      <c r="H15" s="183">
        <f t="shared" si="0"/>
        <v>537.97227272727275</v>
      </c>
      <c r="I15" s="202">
        <f t="shared" si="1"/>
        <v>2367.0780000000004</v>
      </c>
    </row>
    <row r="16" spans="1:9" x14ac:dyDescent="0.3">
      <c r="A16" s="179" t="str">
        <f>'END Jul 2019'!K10</f>
        <v>EnergyAustralia</v>
      </c>
      <c r="B16" s="180">
        <f>'END Jul 2019'!G10</f>
        <v>42214</v>
      </c>
      <c r="C16" s="181">
        <f>91*'END Jul 2019'!M10/100</f>
        <v>68.25</v>
      </c>
      <c r="D16" s="181">
        <f>$C$5*'END Jul 2019'!N10/100</f>
        <v>473.89090909090902</v>
      </c>
      <c r="E16" s="182">
        <v>0</v>
      </c>
      <c r="F16" s="181">
        <v>0</v>
      </c>
      <c r="G16" s="181">
        <v>0</v>
      </c>
      <c r="H16" s="183">
        <f t="shared" si="0"/>
        <v>542.14090909090896</v>
      </c>
      <c r="I16" s="202">
        <f t="shared" si="1"/>
        <v>2385.4199999999996</v>
      </c>
    </row>
    <row r="17" spans="1:9" x14ac:dyDescent="0.3">
      <c r="A17" s="179" t="str">
        <f>'END Jul 2019'!K11</f>
        <v>Mojo Power</v>
      </c>
      <c r="B17" s="180">
        <f>'END Jul 2019'!G11</f>
        <v>41901</v>
      </c>
      <c r="C17" s="181">
        <f>91*'END Jul 2019'!M11/100</f>
        <v>143.74360000000001</v>
      </c>
      <c r="D17" s="181">
        <f>$C$5*'END Jul 2019'!N11/100</f>
        <v>436.32</v>
      </c>
      <c r="E17" s="182">
        <v>0</v>
      </c>
      <c r="F17" s="181">
        <v>0</v>
      </c>
      <c r="G17" s="181">
        <v>0</v>
      </c>
      <c r="H17" s="183">
        <f t="shared" si="0"/>
        <v>580.06359999999995</v>
      </c>
      <c r="I17" s="202">
        <f t="shared" si="1"/>
        <v>2552.2798400000001</v>
      </c>
    </row>
    <row r="18" spans="1:9" x14ac:dyDescent="0.3">
      <c r="A18" s="179" t="str">
        <f>'END Jul 2019'!K12</f>
        <v>Momentum Energy</v>
      </c>
      <c r="B18" s="180">
        <f>'END Jul 2019'!G12</f>
        <v>42185</v>
      </c>
      <c r="C18" s="181">
        <f>91*'END Jul 2019'!M12/100</f>
        <v>76.067727272727282</v>
      </c>
      <c r="D18" s="181">
        <f>$C$5*'END Jul 2019'!N12/100</f>
        <v>462.2727272727272</v>
      </c>
      <c r="E18" s="182">
        <v>0</v>
      </c>
      <c r="F18" s="181">
        <v>0</v>
      </c>
      <c r="G18" s="181">
        <v>0</v>
      </c>
      <c r="H18" s="183">
        <f t="shared" si="0"/>
        <v>538.34045454545446</v>
      </c>
      <c r="I18" s="202">
        <f t="shared" si="1"/>
        <v>2368.6979999999999</v>
      </c>
    </row>
    <row r="19" spans="1:9" x14ac:dyDescent="0.3">
      <c r="A19" s="179" t="str">
        <f>'END Jul 2019'!K13</f>
        <v>Origin Energy</v>
      </c>
      <c r="B19" s="180">
        <f>'END Jul 2019'!G13</f>
        <v>42201</v>
      </c>
      <c r="C19" s="181">
        <f>91*'END Jul 2019'!M13/100</f>
        <v>72.344999999999999</v>
      </c>
      <c r="D19" s="181">
        <f>$C$5*'END Jul 2019'!N13/100</f>
        <v>467.67272727272723</v>
      </c>
      <c r="E19" s="182">
        <v>0</v>
      </c>
      <c r="F19" s="181">
        <v>0</v>
      </c>
      <c r="G19" s="181">
        <v>0</v>
      </c>
      <c r="H19" s="183">
        <f t="shared" si="0"/>
        <v>540.01772727272726</v>
      </c>
      <c r="I19" s="202">
        <f t="shared" si="1"/>
        <v>2376.078</v>
      </c>
    </row>
    <row r="20" spans="1:9" x14ac:dyDescent="0.3">
      <c r="A20" s="179" t="str">
        <f>'END Jul 2019'!K14</f>
        <v>Powerdirect</v>
      </c>
      <c r="B20" s="180">
        <f>'END Jul 2019'!G14</f>
        <v>42187</v>
      </c>
      <c r="C20" s="181">
        <f>91*'END Jul 2019'!M14/100</f>
        <v>74.62</v>
      </c>
      <c r="D20" s="181">
        <f>$C$5*'END Jul 2019'!N14/100</f>
        <v>464.23636363636359</v>
      </c>
      <c r="E20" s="182">
        <v>0</v>
      </c>
      <c r="F20" s="181">
        <v>0</v>
      </c>
      <c r="G20" s="181">
        <v>0</v>
      </c>
      <c r="H20" s="183">
        <f t="shared" si="0"/>
        <v>538.85636363636354</v>
      </c>
      <c r="I20" s="202">
        <f t="shared" si="1"/>
        <v>2370.9679999999998</v>
      </c>
    </row>
    <row r="21" spans="1:9" x14ac:dyDescent="0.3">
      <c r="A21" s="179" t="str">
        <f>'END Jul 2019'!K15</f>
        <v>Powershop</v>
      </c>
      <c r="B21" s="180">
        <f>'END Jul 2019'!G15</f>
        <v>42185</v>
      </c>
      <c r="C21" s="181">
        <f>91*'END Jul 2019'!M15/100</f>
        <v>87.078727272727264</v>
      </c>
      <c r="D21" s="181">
        <f>$C$5*'END Jul 2019'!N15/100</f>
        <v>446.07272727272726</v>
      </c>
      <c r="E21" s="182">
        <v>0</v>
      </c>
      <c r="F21" s="181">
        <v>0</v>
      </c>
      <c r="G21" s="181">
        <v>0</v>
      </c>
      <c r="H21" s="183">
        <f t="shared" si="0"/>
        <v>533.1514545454545</v>
      </c>
      <c r="I21" s="202">
        <f t="shared" si="1"/>
        <v>2345.8663999999999</v>
      </c>
    </row>
    <row r="22" spans="1:9" x14ac:dyDescent="0.3">
      <c r="A22" s="179" t="str">
        <f>'END Jul 2019'!K16</f>
        <v>Red Energy</v>
      </c>
      <c r="B22" s="180">
        <f>'END Jul 2019'!G16</f>
        <v>42185</v>
      </c>
      <c r="C22" s="181">
        <f>91*'END Jul 2019'!M16/100</f>
        <v>79.897999999999996</v>
      </c>
      <c r="D22" s="181">
        <f>$C$5*'END Jul 2019'!N16/100</f>
        <v>455.4</v>
      </c>
      <c r="E22" s="182">
        <v>0</v>
      </c>
      <c r="F22" s="181">
        <v>0</v>
      </c>
      <c r="G22" s="181">
        <v>0</v>
      </c>
      <c r="H22" s="183">
        <f t="shared" si="0"/>
        <v>535.298</v>
      </c>
      <c r="I22" s="202">
        <f t="shared" si="1"/>
        <v>2355.3112000000001</v>
      </c>
    </row>
    <row r="23" spans="1:9" x14ac:dyDescent="0.3">
      <c r="A23" s="179" t="str">
        <f>'END Jul 2019'!K17</f>
        <v>Simply Energy</v>
      </c>
      <c r="B23" s="180">
        <f>'END Jul 2019'!G17</f>
        <v>42192</v>
      </c>
      <c r="C23" s="181">
        <f>91*'END Jul 2019'!M17/100</f>
        <v>77.060454545454547</v>
      </c>
      <c r="D23" s="181">
        <f>$C$5*'END Jul 2019'!N17/100</f>
        <v>430.36363636363632</v>
      </c>
      <c r="E23" s="182">
        <v>0</v>
      </c>
      <c r="F23" s="181">
        <v>0</v>
      </c>
      <c r="G23" s="181">
        <v>0</v>
      </c>
      <c r="H23" s="183">
        <f t="shared" si="0"/>
        <v>507.42409090909086</v>
      </c>
      <c r="I23" s="202">
        <f t="shared" si="1"/>
        <v>2232.6660000000002</v>
      </c>
    </row>
    <row r="24" spans="1:9" x14ac:dyDescent="0.3">
      <c r="A24" s="179" t="str">
        <f>'END Jul 2019'!K18</f>
        <v>1st Energy</v>
      </c>
      <c r="B24" s="180">
        <f>'END Jul 2019'!G18</f>
        <v>42185</v>
      </c>
      <c r="C24" s="181">
        <f>91*'END Jul 2019'!M18/100</f>
        <v>91</v>
      </c>
      <c r="D24" s="181">
        <f>IF($C$5&lt;='END Jul 2019'!P18,($C$5*'END Jul 2019'!N18/100),('END Jul 2019'!P18*'END Jul 2019'!N18/100))</f>
        <v>329.4</v>
      </c>
      <c r="E24" s="182">
        <v>0</v>
      </c>
      <c r="F24" s="181">
        <v>0</v>
      </c>
      <c r="G24" s="181">
        <f>IF(($C$5&lt;'END Jul 2019'!R18),(0),($C$5-'END Jul 2019'!R18)*'END Jul 2019'!S18/100)</f>
        <v>125.55</v>
      </c>
      <c r="H24" s="183">
        <f t="shared" si="0"/>
        <v>545.94999999999993</v>
      </c>
      <c r="I24" s="202">
        <f t="shared" si="1"/>
        <v>2402.1799999999998</v>
      </c>
    </row>
    <row r="25" spans="1:9" x14ac:dyDescent="0.3">
      <c r="A25" s="179" t="str">
        <f>'END Jul 2019'!K19</f>
        <v>Amaysim</v>
      </c>
      <c r="B25" s="180">
        <f>'END Jul 2019'!G19</f>
        <v>42188</v>
      </c>
      <c r="C25" s="181">
        <f>91*'END Jul 2019'!M19/100</f>
        <v>76.44</v>
      </c>
      <c r="D25" s="181">
        <f>$C$5*'END Jul 2019'!N19/100</f>
        <v>461.7</v>
      </c>
      <c r="E25" s="182">
        <v>0</v>
      </c>
      <c r="F25" s="181">
        <v>0</v>
      </c>
      <c r="G25" s="181">
        <v>0</v>
      </c>
      <c r="H25" s="183">
        <f t="shared" si="0"/>
        <v>538.14</v>
      </c>
      <c r="I25" s="202">
        <f t="shared" si="1"/>
        <v>2367.8160000000003</v>
      </c>
    </row>
    <row r="26" spans="1:9" x14ac:dyDescent="0.3">
      <c r="A26" s="251" t="str">
        <f>'END Jul 2019'!K20</f>
        <v>ReAmped Energy</v>
      </c>
      <c r="B26" s="180">
        <f>'END Jul 2019'!G20</f>
        <v>42066</v>
      </c>
      <c r="C26" s="181">
        <f>91*'END Jul 2019'!M20/100</f>
        <v>106.59739999999999</v>
      </c>
      <c r="D26" s="181">
        <f>$C$5*'END Jul 2019'!N20/100</f>
        <v>414</v>
      </c>
      <c r="E26" s="182">
        <v>0</v>
      </c>
      <c r="F26" s="181">
        <v>0</v>
      </c>
      <c r="G26" s="181">
        <v>0</v>
      </c>
      <c r="H26" s="183">
        <f t="shared" si="0"/>
        <v>520.59739999999999</v>
      </c>
      <c r="I26" s="202">
        <f t="shared" si="1"/>
        <v>2290.6285600000001</v>
      </c>
    </row>
    <row r="27" spans="1:9" ht="14" thickBot="1" x14ac:dyDescent="0.35">
      <c r="A27" s="258" t="str">
        <f>'END Jul 2019'!K21</f>
        <v>Powerclub</v>
      </c>
      <c r="B27" s="185">
        <f>'END Jul 2019'!G21</f>
        <v>42185</v>
      </c>
      <c r="C27" s="186">
        <f>91*'END Jul 2019'!M21/100</f>
        <v>62.070272727272723</v>
      </c>
      <c r="D27" s="186">
        <f>$C$5*'END Jul 2019'!N21/100</f>
        <v>482.94</v>
      </c>
      <c r="E27" s="187">
        <v>0</v>
      </c>
      <c r="F27" s="186">
        <v>0</v>
      </c>
      <c r="G27" s="186">
        <v>0</v>
      </c>
      <c r="H27" s="188">
        <f t="shared" ref="H27" si="2">SUM(C27:G27)</f>
        <v>545.01027272727276</v>
      </c>
      <c r="I27" s="203">
        <f t="shared" ref="I27" si="3">(H27*4)*1.1</f>
        <v>2398.0452000000005</v>
      </c>
    </row>
    <row r="28" spans="1:9" s="239" customFormat="1" x14ac:dyDescent="0.3"/>
    <row r="29" spans="1:9" ht="14" thickBot="1" x14ac:dyDescent="0.35"/>
    <row r="30" spans="1:9" ht="14" x14ac:dyDescent="0.3">
      <c r="A30" s="176" t="s">
        <v>89</v>
      </c>
      <c r="B30" s="91"/>
      <c r="C30" s="91"/>
      <c r="D30" s="91"/>
      <c r="E30" s="91"/>
      <c r="F30" s="91"/>
      <c r="G30" s="91"/>
      <c r="H30" s="91"/>
      <c r="I30" s="177"/>
    </row>
    <row r="31" spans="1:9" ht="14" x14ac:dyDescent="0.3">
      <c r="A31" s="92" t="s">
        <v>79</v>
      </c>
      <c r="B31" s="93"/>
      <c r="C31" s="168">
        <v>2000</v>
      </c>
      <c r="D31" s="93"/>
      <c r="E31" s="93"/>
      <c r="F31" s="93"/>
      <c r="G31" s="93"/>
      <c r="H31" s="93"/>
      <c r="I31" s="178"/>
    </row>
    <row r="32" spans="1:9" ht="14" x14ac:dyDescent="0.3">
      <c r="A32" s="92" t="s">
        <v>91</v>
      </c>
      <c r="B32" s="93"/>
      <c r="C32" s="257">
        <v>0.7</v>
      </c>
      <c r="D32" s="93"/>
      <c r="E32" s="93"/>
      <c r="F32" s="93"/>
      <c r="G32" s="93"/>
      <c r="H32" s="93"/>
      <c r="I32" s="178"/>
    </row>
    <row r="33" spans="1:9" ht="14" x14ac:dyDescent="0.3">
      <c r="A33" s="92" t="s">
        <v>92</v>
      </c>
      <c r="B33" s="93"/>
      <c r="C33" s="257">
        <v>0.3</v>
      </c>
      <c r="D33" s="93"/>
      <c r="E33" s="93"/>
      <c r="F33" s="93"/>
      <c r="G33" s="93"/>
      <c r="H33" s="93"/>
      <c r="I33" s="178"/>
    </row>
    <row r="34" spans="1:9" ht="14" x14ac:dyDescent="0.3">
      <c r="A34" s="92"/>
      <c r="B34" s="93"/>
      <c r="C34" s="93"/>
      <c r="D34" s="93"/>
      <c r="E34" s="93"/>
      <c r="F34" s="93"/>
      <c r="G34" s="93"/>
      <c r="H34" s="93"/>
      <c r="I34" s="178"/>
    </row>
    <row r="35" spans="1:9" ht="28" x14ac:dyDescent="0.3">
      <c r="A35" s="301" t="s">
        <v>80</v>
      </c>
      <c r="B35" s="298" t="s">
        <v>81</v>
      </c>
      <c r="C35" s="298" t="s">
        <v>82</v>
      </c>
      <c r="D35" s="298" t="s">
        <v>83</v>
      </c>
      <c r="E35" s="298" t="s">
        <v>84</v>
      </c>
      <c r="F35" s="298" t="s">
        <v>86</v>
      </c>
      <c r="G35" s="298" t="s">
        <v>93</v>
      </c>
      <c r="H35" s="298" t="s">
        <v>87</v>
      </c>
      <c r="I35" s="300" t="s">
        <v>88</v>
      </c>
    </row>
    <row r="36" spans="1:9" x14ac:dyDescent="0.3">
      <c r="A36" s="179" t="str">
        <f>'END Jul 2019'!K22</f>
        <v>Energy Locals</v>
      </c>
      <c r="B36" s="180">
        <f>'END Jul 2019'!G22</f>
        <v>42187</v>
      </c>
      <c r="C36" s="181">
        <f>91*'END Jul 2019'!M22/100</f>
        <v>119.12727272727273</v>
      </c>
      <c r="D36" s="181">
        <f>($C$31*$C$32)*'END Jul 2019'!N22/100</f>
        <v>311.81818181818176</v>
      </c>
      <c r="E36" s="182">
        <v>0</v>
      </c>
      <c r="F36" s="181">
        <v>0</v>
      </c>
      <c r="G36" s="181">
        <f>($C$31*$C$33)*'END Jul 2019'!AE22/100</f>
        <v>89.999999999999986</v>
      </c>
      <c r="H36" s="183">
        <f>SUM(C36:G36)</f>
        <v>520.94545454545448</v>
      </c>
      <c r="I36" s="202">
        <f>(H36*4)*1.1</f>
        <v>2292.16</v>
      </c>
    </row>
    <row r="37" spans="1:9" x14ac:dyDescent="0.3">
      <c r="A37" s="179" t="str">
        <f>'END Jul 2019'!K23</f>
        <v>AGL</v>
      </c>
      <c r="B37" s="180">
        <f>'END Jul 2019'!G23</f>
        <v>42187</v>
      </c>
      <c r="C37" s="181">
        <f>91*'END Jul 2019'!M23/100</f>
        <v>80.079999999999984</v>
      </c>
      <c r="D37" s="181">
        <f>($C$31*$C$32)*'END Jul 2019'!N23/100</f>
        <v>361.07272727272726</v>
      </c>
      <c r="E37" s="182">
        <v>0</v>
      </c>
      <c r="F37" s="181">
        <v>0</v>
      </c>
      <c r="G37" s="181">
        <f>($C$31*$C$33)*'END Jul 2019'!AE23/100</f>
        <v>71.836363636363615</v>
      </c>
      <c r="H37" s="183">
        <f t="shared" ref="H37:H54" si="4">SUM(C37:G37)</f>
        <v>512.98909090909092</v>
      </c>
      <c r="I37" s="202">
        <f t="shared" ref="I37:I54" si="5">(H37*4)*1.1</f>
        <v>2257.152</v>
      </c>
    </row>
    <row r="38" spans="1:9" x14ac:dyDescent="0.3">
      <c r="A38" s="179" t="str">
        <f>'END Jul 2019'!K24</f>
        <v>Alinta Energy</v>
      </c>
      <c r="B38" s="180">
        <f>'END Jul 2019'!G24</f>
        <v>42185</v>
      </c>
      <c r="C38" s="181">
        <f>91*'END Jul 2019'!M24/100</f>
        <v>81.117400000000004</v>
      </c>
      <c r="D38" s="181">
        <f>($C$31*$C$32)*'END Jul 2019'!N24/100</f>
        <v>303.8</v>
      </c>
      <c r="E38" s="182">
        <v>0</v>
      </c>
      <c r="F38" s="181">
        <v>0</v>
      </c>
      <c r="G38" s="181">
        <f>($C$31*$C$33)*'END Jul 2019'!AE24/100</f>
        <v>49.418181818181822</v>
      </c>
      <c r="H38" s="183">
        <f t="shared" si="4"/>
        <v>434.33558181818188</v>
      </c>
      <c r="I38" s="202">
        <f t="shared" si="5"/>
        <v>1911.0765600000004</v>
      </c>
    </row>
    <row r="39" spans="1:9" x14ac:dyDescent="0.3">
      <c r="A39" s="179" t="str">
        <f>'END Jul 2019'!K25</f>
        <v>Click Energy</v>
      </c>
      <c r="B39" s="180">
        <f>'END Jul 2019'!G25</f>
        <v>42188</v>
      </c>
      <c r="C39" s="181">
        <f>91*'END Jul 2019'!M25/100</f>
        <v>76.44</v>
      </c>
      <c r="D39" s="181">
        <f>($C$31*$C$32)*'END Jul 2019'!N25/100</f>
        <v>359.1</v>
      </c>
      <c r="E39" s="182">
        <v>0</v>
      </c>
      <c r="F39" s="181">
        <v>0</v>
      </c>
      <c r="G39" s="181">
        <f>($C$31*$C$33)*'END Jul 2019'!AE25/100</f>
        <v>89.58</v>
      </c>
      <c r="H39" s="183">
        <f t="shared" si="4"/>
        <v>525.12</v>
      </c>
      <c r="I39" s="202">
        <f t="shared" si="5"/>
        <v>2310.5280000000002</v>
      </c>
    </row>
    <row r="40" spans="1:9" x14ac:dyDescent="0.3">
      <c r="A40" s="179" t="str">
        <f>'END Jul 2019'!K26</f>
        <v>Commander</v>
      </c>
      <c r="B40" s="180">
        <f>'END Jul 2019'!G26</f>
        <v>42185</v>
      </c>
      <c r="C40" s="181">
        <f>91*'END Jul 2019'!M26/100</f>
        <v>85.920545454545447</v>
      </c>
      <c r="D40" s="181">
        <f>($C$31*$C$32)*'END Jul 2019'!N26/100</f>
        <v>358.68</v>
      </c>
      <c r="E40" s="182">
        <v>0</v>
      </c>
      <c r="F40" s="181">
        <v>0</v>
      </c>
      <c r="G40" s="181">
        <f>($C$31*$C$33)*'END Jul 2019'!AE26/100</f>
        <v>79.62</v>
      </c>
      <c r="H40" s="183">
        <f t="shared" si="4"/>
        <v>524.22054545454546</v>
      </c>
      <c r="I40" s="202">
        <f t="shared" si="5"/>
        <v>2306.5704000000001</v>
      </c>
    </row>
    <row r="41" spans="1:9" x14ac:dyDescent="0.3">
      <c r="A41" s="179" t="str">
        <f>'END Jul 2019'!K27</f>
        <v>CovaU</v>
      </c>
      <c r="B41" s="180">
        <f>'END Jul 2019'!G27</f>
        <v>42185</v>
      </c>
      <c r="C41" s="181">
        <f>91*'END Jul 2019'!M27/100</f>
        <v>79.17</v>
      </c>
      <c r="D41" s="181">
        <f>($C$31*$C$32)*'END Jul 2019'!N27/100</f>
        <v>336</v>
      </c>
      <c r="E41" s="182">
        <v>0</v>
      </c>
      <c r="F41" s="181">
        <v>0</v>
      </c>
      <c r="G41" s="181">
        <f>($C$31*$C$33)*'END Jul 2019'!AE27/100</f>
        <v>96</v>
      </c>
      <c r="H41" s="183">
        <f t="shared" si="4"/>
        <v>511.17</v>
      </c>
      <c r="I41" s="202">
        <f t="shared" si="5"/>
        <v>2249.1480000000001</v>
      </c>
    </row>
    <row r="42" spans="1:9" x14ac:dyDescent="0.3">
      <c r="A42" s="179" t="str">
        <f>'END Jul 2019'!K28</f>
        <v>Diamond Energy</v>
      </c>
      <c r="B42" s="180">
        <f>'END Jul 2019'!G28</f>
        <v>42185</v>
      </c>
      <c r="C42" s="181">
        <f>91*'END Jul 2019'!M28/100</f>
        <v>78.014300000000006</v>
      </c>
      <c r="D42" s="181">
        <f>($C$31*$C$32)*'END Jul 2019'!N28/100</f>
        <v>363.72</v>
      </c>
      <c r="E42" s="182">
        <v>0</v>
      </c>
      <c r="F42" s="181">
        <v>0</v>
      </c>
      <c r="G42" s="181">
        <f>($C$31*$C$33)*'END Jul 2019'!AE28/100</f>
        <v>62.7</v>
      </c>
      <c r="H42" s="183">
        <f t="shared" si="4"/>
        <v>504.43430000000001</v>
      </c>
      <c r="I42" s="202">
        <f t="shared" si="5"/>
        <v>2219.5109200000002</v>
      </c>
    </row>
    <row r="43" spans="1:9" x14ac:dyDescent="0.3">
      <c r="A43" s="179" t="str">
        <f>'END Jul 2019'!K29</f>
        <v>Dodo Power &amp; Gas</v>
      </c>
      <c r="B43" s="180">
        <f>'END Jul 2019'!G29</f>
        <v>42185</v>
      </c>
      <c r="C43" s="181">
        <f>91*'END Jul 2019'!M29/100</f>
        <v>85.920545454545447</v>
      </c>
      <c r="D43" s="181">
        <f>($C$31*$C$32)*'END Jul 2019'!N29/100</f>
        <v>358.68</v>
      </c>
      <c r="E43" s="182">
        <v>0</v>
      </c>
      <c r="F43" s="181">
        <v>0</v>
      </c>
      <c r="G43" s="181">
        <f>($C$31*$C$33)*'END Jul 2019'!AE29/100</f>
        <v>79.62</v>
      </c>
      <c r="H43" s="183">
        <f t="shared" si="4"/>
        <v>524.22054545454546</v>
      </c>
      <c r="I43" s="202">
        <f t="shared" si="5"/>
        <v>2306.5704000000001</v>
      </c>
    </row>
    <row r="44" spans="1:9" x14ac:dyDescent="0.3">
      <c r="A44" s="179" t="str">
        <f>'END Jul 2019'!K30</f>
        <v>EnergyAustralia</v>
      </c>
      <c r="B44" s="180">
        <f>'END Jul 2019'!G30</f>
        <v>42214</v>
      </c>
      <c r="C44" s="181">
        <f>91*'END Jul 2019'!M30/100</f>
        <v>70.069999999999993</v>
      </c>
      <c r="D44" s="181">
        <f>($C$31*$C$32)*'END Jul 2019'!N30/100</f>
        <v>368.58181818181816</v>
      </c>
      <c r="E44" s="182">
        <v>0</v>
      </c>
      <c r="F44" s="181">
        <v>0</v>
      </c>
      <c r="G44" s="181">
        <f>($C$31*$C$33)*'END Jul 2019'!AE30/100</f>
        <v>67.581818181818178</v>
      </c>
      <c r="H44" s="183">
        <f t="shared" si="4"/>
        <v>506.23363636363632</v>
      </c>
      <c r="I44" s="202">
        <f t="shared" si="5"/>
        <v>2227.4279999999999</v>
      </c>
    </row>
    <row r="45" spans="1:9" x14ac:dyDescent="0.3">
      <c r="A45" s="179" t="str">
        <f>'END Jul 2019'!K31</f>
        <v>Mojo Power</v>
      </c>
      <c r="B45" s="180">
        <f>'END Jul 2019'!G31</f>
        <v>41901</v>
      </c>
      <c r="C45" s="181">
        <f>91*'END Jul 2019'!M31/100</f>
        <v>147.56559999999999</v>
      </c>
      <c r="D45" s="181">
        <f>($C$31*$C$32)*'END Jul 2019'!N31/100</f>
        <v>339.36</v>
      </c>
      <c r="E45" s="182">
        <v>0</v>
      </c>
      <c r="F45" s="181">
        <v>0</v>
      </c>
      <c r="G45" s="181">
        <f>($C$31*$C$33)*'END Jul 2019'!AE31/100</f>
        <v>69.599999999999994</v>
      </c>
      <c r="H45" s="183">
        <f t="shared" si="4"/>
        <v>556.52560000000005</v>
      </c>
      <c r="I45" s="202">
        <f t="shared" si="5"/>
        <v>2448.7126400000006</v>
      </c>
    </row>
    <row r="46" spans="1:9" x14ac:dyDescent="0.3">
      <c r="A46" s="179" t="str">
        <f>'END Jul 2019'!K32</f>
        <v>Momentum Energy</v>
      </c>
      <c r="B46" s="180">
        <f>'END Jul 2019'!G32</f>
        <v>42185</v>
      </c>
      <c r="C46" s="181">
        <f>91*'END Jul 2019'!M32/100</f>
        <v>81.502909090909085</v>
      </c>
      <c r="D46" s="181">
        <f>($C$31*$C$32)*'END Jul 2019'!N32/100</f>
        <v>359.5454545454545</v>
      </c>
      <c r="E46" s="182">
        <v>0</v>
      </c>
      <c r="F46" s="181">
        <v>0</v>
      </c>
      <c r="G46" s="181">
        <f>($C$31*$C$33)*'END Jul 2019'!AE32/100</f>
        <v>91.98</v>
      </c>
      <c r="H46" s="183">
        <f t="shared" si="4"/>
        <v>533.02836363636357</v>
      </c>
      <c r="I46" s="202">
        <f t="shared" si="5"/>
        <v>2345.3247999999999</v>
      </c>
    </row>
    <row r="47" spans="1:9" x14ac:dyDescent="0.3">
      <c r="A47" s="179" t="str">
        <f>'END Jul 2019'!K33</f>
        <v>Origin Energy</v>
      </c>
      <c r="B47" s="180">
        <f>'END Jul 2019'!G33</f>
        <v>42201</v>
      </c>
      <c r="C47" s="181">
        <f>91*'END Jul 2019'!M33/100</f>
        <v>78.011818181818171</v>
      </c>
      <c r="D47" s="181">
        <f>($C$31*$C$32)*'END Jul 2019'!N33/100</f>
        <v>363.74545454545449</v>
      </c>
      <c r="E47" s="182">
        <v>0</v>
      </c>
      <c r="F47" s="181">
        <v>0</v>
      </c>
      <c r="G47" s="181">
        <f>($C$31*$C$33)*'END Jul 2019'!AE33/100</f>
        <v>83.23636363636362</v>
      </c>
      <c r="H47" s="183">
        <f t="shared" si="4"/>
        <v>524.99363636363626</v>
      </c>
      <c r="I47" s="202">
        <f t="shared" si="5"/>
        <v>2309.9719999999998</v>
      </c>
    </row>
    <row r="48" spans="1:9" x14ac:dyDescent="0.3">
      <c r="A48" s="179" t="str">
        <f>'END Jul 2019'!K34</f>
        <v>Powerdirect</v>
      </c>
      <c r="B48" s="180">
        <f>'END Jul 2019'!G34</f>
        <v>42187</v>
      </c>
      <c r="C48" s="181">
        <f>91*'END Jul 2019'!M34/100</f>
        <v>80.079999999999984</v>
      </c>
      <c r="D48" s="181">
        <f>($C$31*$C$32)*'END Jul 2019'!N34/100</f>
        <v>361.07272727272726</v>
      </c>
      <c r="E48" s="182">
        <v>0</v>
      </c>
      <c r="F48" s="181">
        <v>0</v>
      </c>
      <c r="G48" s="181">
        <f>($C$31*$C$33)*'END Jul 2019'!AE34/100</f>
        <v>71.836363636363615</v>
      </c>
      <c r="H48" s="183">
        <f t="shared" si="4"/>
        <v>512.98909090909092</v>
      </c>
      <c r="I48" s="202">
        <f t="shared" si="5"/>
        <v>2257.152</v>
      </c>
    </row>
    <row r="49" spans="1:9" x14ac:dyDescent="0.3">
      <c r="A49" s="179" t="str">
        <f>'END Jul 2019'!K35</f>
        <v>Powershop</v>
      </c>
      <c r="B49" s="180">
        <f>'END Jul 2019'!G35</f>
        <v>42185</v>
      </c>
      <c r="C49" s="181">
        <f>91*'END Jul 2019'!M35/100</f>
        <v>92.364999999999995</v>
      </c>
      <c r="D49" s="181">
        <f>($C$31*$C$32)*'END Jul 2019'!N35/100</f>
        <v>346.94545454545454</v>
      </c>
      <c r="E49" s="182">
        <v>0</v>
      </c>
      <c r="F49" s="181">
        <v>0</v>
      </c>
      <c r="G49" s="181">
        <f>($C$31*$C$33)*'END Jul 2019'!AE35/100</f>
        <v>83.72727272727272</v>
      </c>
      <c r="H49" s="183">
        <f t="shared" si="4"/>
        <v>523.03772727272724</v>
      </c>
      <c r="I49" s="202">
        <f t="shared" si="5"/>
        <v>2301.366</v>
      </c>
    </row>
    <row r="50" spans="1:9" x14ac:dyDescent="0.3">
      <c r="A50" s="179" t="str">
        <f>'END Jul 2019'!K36</f>
        <v>Red Energy</v>
      </c>
      <c r="B50" s="180">
        <f>'END Jul 2019'!G36</f>
        <v>42185</v>
      </c>
      <c r="C50" s="181">
        <f>91*'END Jul 2019'!M36/100</f>
        <v>81.991</v>
      </c>
      <c r="D50" s="181">
        <f>($C$31*$C$32)*'END Jul 2019'!N36/100</f>
        <v>354.2</v>
      </c>
      <c r="E50" s="182">
        <v>0</v>
      </c>
      <c r="F50" s="181">
        <v>0</v>
      </c>
      <c r="G50" s="181">
        <f>($C$31*$C$33)*'END Jul 2019'!AE36/100</f>
        <v>85.8</v>
      </c>
      <c r="H50" s="183">
        <f t="shared" si="4"/>
        <v>521.99099999999999</v>
      </c>
      <c r="I50" s="202">
        <f t="shared" si="5"/>
        <v>2296.7604000000001</v>
      </c>
    </row>
    <row r="51" spans="1:9" x14ac:dyDescent="0.3">
      <c r="A51" s="179" t="str">
        <f>'END Jul 2019'!K37</f>
        <v>Simply Energy</v>
      </c>
      <c r="B51" s="180">
        <f>'END Jul 2019'!G37</f>
        <v>42192</v>
      </c>
      <c r="C51" s="181">
        <f>91*'END Jul 2019'!M37/100</f>
        <v>81.593909090909079</v>
      </c>
      <c r="D51" s="181">
        <f>($C$31*$C$32)*'END Jul 2019'!N37/100</f>
        <v>334.72727272727275</v>
      </c>
      <c r="E51" s="182">
        <v>0</v>
      </c>
      <c r="F51" s="181">
        <v>0</v>
      </c>
      <c r="G51" s="181">
        <f>($C$31*$C$33)*'END Jul 2019'!AE37/100</f>
        <v>87.490909090909085</v>
      </c>
      <c r="H51" s="183">
        <f t="shared" si="4"/>
        <v>503.8120909090909</v>
      </c>
      <c r="I51" s="202">
        <f t="shared" si="5"/>
        <v>2216.7732000000001</v>
      </c>
    </row>
    <row r="52" spans="1:9" x14ac:dyDescent="0.3">
      <c r="A52" s="179" t="str">
        <f>'END Jul 2019'!K38</f>
        <v>1st Energy</v>
      </c>
      <c r="B52" s="180">
        <f>'END Jul 2019'!G38</f>
        <v>42185</v>
      </c>
      <c r="C52" s="181">
        <f>91*'END Jul 2019'!M38/100</f>
        <v>95.55</v>
      </c>
      <c r="D52" s="181">
        <f>IF($C$31*$C$32&gt;='END Jul 2019'!P38,('END Jul 2019'!P38*'END Jul 2019'!N38/100),(($C$31*$C$32)*'END Jul 2019'!N38/100))</f>
        <v>329.4</v>
      </c>
      <c r="E52" s="182">
        <v>0</v>
      </c>
      <c r="F52" s="181">
        <f>IF(($C$31*$C$32&lt;'END Jul 2019'!R38),(0),($C$31*$C$32-'END Jul 2019'!R38)*'END Jul 2019'!S38/100)</f>
        <v>13.95</v>
      </c>
      <c r="G52" s="181">
        <f>($C$31*$C$33)*'END Jul 2019'!AE38/100</f>
        <v>75.599999999999994</v>
      </c>
      <c r="H52" s="183">
        <f t="shared" si="4"/>
        <v>514.5</v>
      </c>
      <c r="I52" s="202">
        <f t="shared" si="5"/>
        <v>2263.8000000000002</v>
      </c>
    </row>
    <row r="53" spans="1:9" x14ac:dyDescent="0.3">
      <c r="A53" s="179" t="str">
        <f>'END Jul 2019'!K39</f>
        <v>Amaysim</v>
      </c>
      <c r="B53" s="180">
        <f>'END Jul 2019'!G39</f>
        <v>42188</v>
      </c>
      <c r="C53" s="181">
        <f>91*'END Jul 2019'!M39/100</f>
        <v>76.44</v>
      </c>
      <c r="D53" s="181">
        <f>($C$31*$C$32)*'END Jul 2019'!N39/100</f>
        <v>359.1</v>
      </c>
      <c r="E53" s="182">
        <v>0</v>
      </c>
      <c r="F53" s="181">
        <v>0</v>
      </c>
      <c r="G53" s="181">
        <f>($C$31*$C$33)*'END Jul 2019'!AE39/100</f>
        <v>89.58</v>
      </c>
      <c r="H53" s="183">
        <f t="shared" si="4"/>
        <v>525.12</v>
      </c>
      <c r="I53" s="202">
        <f t="shared" si="5"/>
        <v>2310.5280000000002</v>
      </c>
    </row>
    <row r="54" spans="1:9" ht="14" thickBot="1" x14ac:dyDescent="0.35">
      <c r="A54" s="184" t="str">
        <f>'END Jul 2019'!K40</f>
        <v>ReAmped Energy</v>
      </c>
      <c r="B54" s="185">
        <f>'END Jul 2019'!G40</f>
        <v>42066</v>
      </c>
      <c r="C54" s="186">
        <f>91*'END Jul 2019'!M40/100</f>
        <v>99.4084</v>
      </c>
      <c r="D54" s="186">
        <f>($C$31*$C$32)*'END Jul 2019'!N40/100</f>
        <v>322</v>
      </c>
      <c r="E54" s="187">
        <v>0</v>
      </c>
      <c r="F54" s="186">
        <v>0</v>
      </c>
      <c r="G54" s="186">
        <f>($C$31*$C$33)*'END Jul 2019'!AE40/100</f>
        <v>108</v>
      </c>
      <c r="H54" s="188">
        <f t="shared" si="4"/>
        <v>529.40840000000003</v>
      </c>
      <c r="I54" s="203">
        <f t="shared" si="5"/>
        <v>2329.3969600000005</v>
      </c>
    </row>
    <row r="55" spans="1:9" s="239" customFormat="1" x14ac:dyDescent="0.3"/>
    <row r="56" spans="1:9" ht="14" thickBot="1" x14ac:dyDescent="0.35"/>
    <row r="57" spans="1:9" ht="14" x14ac:dyDescent="0.3">
      <c r="A57" s="176" t="s">
        <v>94</v>
      </c>
      <c r="B57" s="91"/>
      <c r="C57" s="91"/>
      <c r="D57" s="91"/>
      <c r="E57" s="91"/>
      <c r="F57" s="91"/>
      <c r="G57" s="91"/>
      <c r="H57" s="91"/>
      <c r="I57" s="177"/>
    </row>
    <row r="58" spans="1:9" ht="14" x14ac:dyDescent="0.3">
      <c r="A58" s="92" t="s">
        <v>79</v>
      </c>
      <c r="B58" s="93"/>
      <c r="C58" s="168">
        <v>2000</v>
      </c>
      <c r="D58" s="93"/>
      <c r="E58" s="93"/>
      <c r="F58" s="93"/>
      <c r="G58" s="93"/>
      <c r="H58" s="93"/>
      <c r="I58" s="178"/>
    </row>
    <row r="59" spans="1:9" ht="14" x14ac:dyDescent="0.3">
      <c r="A59" s="92" t="s">
        <v>91</v>
      </c>
      <c r="B59" s="93"/>
      <c r="C59" s="257">
        <v>0.2</v>
      </c>
      <c r="D59" s="93"/>
      <c r="E59" s="93"/>
      <c r="F59" s="93"/>
      <c r="G59" s="93"/>
      <c r="H59" s="93"/>
      <c r="I59" s="178"/>
    </row>
    <row r="60" spans="1:9" ht="14" x14ac:dyDescent="0.3">
      <c r="A60" s="92" t="s">
        <v>95</v>
      </c>
      <c r="B60" s="93"/>
      <c r="C60" s="257">
        <v>0.5</v>
      </c>
      <c r="D60" s="93"/>
      <c r="E60" s="93"/>
      <c r="F60" s="93"/>
      <c r="G60" s="93"/>
      <c r="H60" s="93"/>
      <c r="I60" s="178"/>
    </row>
    <row r="61" spans="1:9" ht="14" x14ac:dyDescent="0.3">
      <c r="A61" s="92" t="s">
        <v>92</v>
      </c>
      <c r="B61" s="93"/>
      <c r="C61" s="257">
        <v>0.3</v>
      </c>
      <c r="D61" s="93"/>
      <c r="E61" s="93"/>
      <c r="F61" s="93"/>
      <c r="G61" s="93"/>
      <c r="H61" s="93"/>
      <c r="I61" s="178"/>
    </row>
    <row r="62" spans="1:9" ht="14" x14ac:dyDescent="0.3">
      <c r="A62" s="92"/>
      <c r="B62" s="93"/>
      <c r="C62" s="93"/>
      <c r="D62" s="93"/>
      <c r="E62" s="93"/>
      <c r="F62" s="93"/>
      <c r="G62" s="93"/>
      <c r="H62" s="93"/>
      <c r="I62" s="178"/>
    </row>
    <row r="63" spans="1:9" ht="28" x14ac:dyDescent="0.3">
      <c r="A63" s="301" t="s">
        <v>80</v>
      </c>
      <c r="B63" s="298" t="s">
        <v>81</v>
      </c>
      <c r="C63" s="298" t="s">
        <v>82</v>
      </c>
      <c r="D63" s="298" t="s">
        <v>96</v>
      </c>
      <c r="E63" s="298" t="s">
        <v>86</v>
      </c>
      <c r="F63" s="298" t="s">
        <v>97</v>
      </c>
      <c r="G63" s="298" t="s">
        <v>98</v>
      </c>
      <c r="H63" s="298" t="s">
        <v>87</v>
      </c>
      <c r="I63" s="300" t="s">
        <v>88</v>
      </c>
    </row>
    <row r="64" spans="1:9" x14ac:dyDescent="0.3">
      <c r="A64" s="179" t="str">
        <f>'END Jul 2019'!K41</f>
        <v>Energy Locals</v>
      </c>
      <c r="B64" s="180">
        <f>'END Jul 2019'!G41</f>
        <v>42187</v>
      </c>
      <c r="C64" s="181">
        <f>91*'END Jul 2019'!M41/100</f>
        <v>105.89090909090908</v>
      </c>
      <c r="D64" s="181">
        <f>($C$58*$C$59)*'END Jul 2019'!N41/100</f>
        <v>105.45454545454544</v>
      </c>
      <c r="E64" s="181">
        <v>0</v>
      </c>
      <c r="F64" s="181">
        <f>($C$58*$C$60)*'END Jul 2019'!AH41/100</f>
        <v>218.18181818181816</v>
      </c>
      <c r="G64" s="181">
        <f>($C$58*$C$61)*'END Jul 2019'!W41/100</f>
        <v>128.18181818181819</v>
      </c>
      <c r="H64" s="183">
        <f>SUM(C64:G64)</f>
        <v>557.70909090909095</v>
      </c>
      <c r="I64" s="202">
        <f t="shared" ref="I64:I81" si="6">(H64*4)*1.1</f>
        <v>2453.9200000000005</v>
      </c>
    </row>
    <row r="65" spans="1:9" x14ac:dyDescent="0.3">
      <c r="A65" s="179" t="str">
        <f>'END Jul 2019'!K42</f>
        <v>AGL</v>
      </c>
      <c r="B65" s="180">
        <f>'END Jul 2019'!G42</f>
        <v>42187</v>
      </c>
      <c r="C65" s="181">
        <f>91*'END Jul 2019'!M42/100</f>
        <v>79.17</v>
      </c>
      <c r="D65" s="181">
        <f>($C$58*$C$59)*'END Jul 2019'!N42/100</f>
        <v>135.34545454545454</v>
      </c>
      <c r="E65" s="181">
        <v>0</v>
      </c>
      <c r="F65" s="181">
        <f>($C$58*$C$60)*'END Jul 2019'!AH42/100</f>
        <v>285</v>
      </c>
      <c r="G65" s="181">
        <f>($C$58*$C$61)*'END Jul 2019'!W42/100</f>
        <v>85.527272727272717</v>
      </c>
      <c r="H65" s="183">
        <f t="shared" ref="H65:H81" si="7">SUM(C65:G65)</f>
        <v>585.04272727272723</v>
      </c>
      <c r="I65" s="202">
        <f t="shared" si="6"/>
        <v>2574.1880000000001</v>
      </c>
    </row>
    <row r="66" spans="1:9" x14ac:dyDescent="0.3">
      <c r="A66" s="179" t="str">
        <f>'END Jul 2019'!K43</f>
        <v>Alinta Energy</v>
      </c>
      <c r="B66" s="180">
        <f>'END Jul 2019'!G43</f>
        <v>42185</v>
      </c>
      <c r="C66" s="181">
        <f>91*'END Jul 2019'!M43/100</f>
        <v>87.36</v>
      </c>
      <c r="D66" s="181">
        <f>($C$58*$C$59)*'END Jul 2019'!N43/100</f>
        <v>122.2909090909091</v>
      </c>
      <c r="E66" s="181">
        <v>0</v>
      </c>
      <c r="F66" s="181">
        <f>($C$58*$C$60)*'END Jul 2019'!AH43/100</f>
        <v>137.81818181818181</v>
      </c>
      <c r="G66" s="181">
        <f>($C$58*$C$61)*'END Jul 2019'!W43/100</f>
        <v>155.56363636363636</v>
      </c>
      <c r="H66" s="183">
        <f t="shared" si="7"/>
        <v>503.0327272727273</v>
      </c>
      <c r="I66" s="202">
        <f t="shared" si="6"/>
        <v>2213.3440000000005</v>
      </c>
    </row>
    <row r="67" spans="1:9" x14ac:dyDescent="0.3">
      <c r="A67" s="179" t="str">
        <f>'END Jul 2019'!K44</f>
        <v>Click Energy</v>
      </c>
      <c r="B67" s="180">
        <f>'END Jul 2019'!G44</f>
        <v>42188</v>
      </c>
      <c r="C67" s="181">
        <f>91*'END Jul 2019'!M44/100</f>
        <v>76.44</v>
      </c>
      <c r="D67" s="181">
        <f>($C$58*$C$59)*'END Jul 2019'!N44/100</f>
        <v>115.2</v>
      </c>
      <c r="E67" s="181">
        <v>0</v>
      </c>
      <c r="F67" s="181">
        <f>($C$58*$C$60)*'END Jul 2019'!AH44/100</f>
        <v>243</v>
      </c>
      <c r="G67" s="181">
        <f>($C$58*$C$61)*'END Jul 2019'!W44/100</f>
        <v>142.19999999999999</v>
      </c>
      <c r="H67" s="183">
        <f t="shared" si="7"/>
        <v>576.83999999999992</v>
      </c>
      <c r="I67" s="202">
        <f t="shared" si="6"/>
        <v>2538.096</v>
      </c>
    </row>
    <row r="68" spans="1:9" x14ac:dyDescent="0.3">
      <c r="A68" s="179" t="str">
        <f>'END Jul 2019'!K45</f>
        <v>Commander</v>
      </c>
      <c r="B68" s="180">
        <f>'END Jul 2019'!G45</f>
        <v>42185</v>
      </c>
      <c r="C68" s="181">
        <f>91*'END Jul 2019'!M45/100</f>
        <v>108.95181818181817</v>
      </c>
      <c r="D68" s="181">
        <f>($C$58*$C$59)*'END Jul 2019'!N45/100</f>
        <v>160.6</v>
      </c>
      <c r="E68" s="181">
        <v>0</v>
      </c>
      <c r="F68" s="181">
        <f>($C$58*$C$60)*'END Jul 2019'!AH45/100</f>
        <v>284.10000000000002</v>
      </c>
      <c r="G68" s="181">
        <f>($C$58*$C$61)*'END Jul 2019'!W45/100</f>
        <v>139.91999999999999</v>
      </c>
      <c r="H68" s="183">
        <f t="shared" si="7"/>
        <v>693.57181818181812</v>
      </c>
      <c r="I68" s="202">
        <f t="shared" si="6"/>
        <v>3051.7159999999999</v>
      </c>
    </row>
    <row r="69" spans="1:9" x14ac:dyDescent="0.3">
      <c r="A69" s="179" t="str">
        <f>'END Jul 2019'!K46</f>
        <v>CovaU</v>
      </c>
      <c r="B69" s="180">
        <f>'END Jul 2019'!G46</f>
        <v>42185</v>
      </c>
      <c r="C69" s="181">
        <f>91*'END Jul 2019'!M46/100</f>
        <v>113.74999999999999</v>
      </c>
      <c r="D69" s="181">
        <f>($C$58*$C$59)*'END Jul 2019'!N46/100</f>
        <v>155.52727272727273</v>
      </c>
      <c r="E69" s="181">
        <v>0</v>
      </c>
      <c r="F69" s="181">
        <f>($C$58*$C$60)*'END Jul 2019'!AH46/100</f>
        <v>313.18181818181819</v>
      </c>
      <c r="G69" s="181">
        <f>($C$58*$C$61)*'END Jul 2019'!W46/100</f>
        <v>158.78181818181815</v>
      </c>
      <c r="H69" s="183">
        <f t="shared" si="7"/>
        <v>741.2409090909091</v>
      </c>
      <c r="I69" s="202">
        <f t="shared" si="6"/>
        <v>3261.4600000000005</v>
      </c>
    </row>
    <row r="70" spans="1:9" x14ac:dyDescent="0.3">
      <c r="A70" s="179" t="str">
        <f>'END Jul 2019'!K47</f>
        <v>Diamond Energy</v>
      </c>
      <c r="B70" s="180">
        <f>'END Jul 2019'!G47</f>
        <v>42185</v>
      </c>
      <c r="C70" s="181">
        <f>91*'END Jul 2019'!M47/100</f>
        <v>95.504500000000007</v>
      </c>
      <c r="D70" s="181">
        <f>IF($C$58*$C$59&gt;='END Jul 2019'!P47,('END Jul 2019'!P47*'END Jul 2019'!N47/100),(($C$58*$C$59)*'END Jul 2019'!N47/100))</f>
        <v>139.6</v>
      </c>
      <c r="E70" s="181">
        <f>IF(($C$58*$C$59&lt;'END Jul 2019'!P47),(0),($C$58*$C$59-'END Jul 2019'!P47)*'END Jul 2019'!Q47/100)</f>
        <v>0</v>
      </c>
      <c r="F70" s="181">
        <f>($C$58*$C$60)*'END Jul 2019'!AH47/100</f>
        <v>279.7</v>
      </c>
      <c r="G70" s="181">
        <f>($C$58*$C$61)*'END Jul 2019'!W47/100</f>
        <v>107.4</v>
      </c>
      <c r="H70" s="183">
        <f t="shared" si="7"/>
        <v>622.20449999999994</v>
      </c>
      <c r="I70" s="202">
        <f t="shared" si="6"/>
        <v>2737.6997999999999</v>
      </c>
    </row>
    <row r="71" spans="1:9" x14ac:dyDescent="0.3">
      <c r="A71" s="179" t="str">
        <f>'END Jul 2019'!K48</f>
        <v>Dodo Power &amp; Gas</v>
      </c>
      <c r="B71" s="180">
        <f>'END Jul 2019'!G48</f>
        <v>42185</v>
      </c>
      <c r="C71" s="181">
        <f>91*'END Jul 2019'!M48/100</f>
        <v>108.95181818181817</v>
      </c>
      <c r="D71" s="181">
        <f>($C$58*$C$59)*'END Jul 2019'!N48/100</f>
        <v>160.6</v>
      </c>
      <c r="E71" s="181">
        <v>0</v>
      </c>
      <c r="F71" s="181">
        <f>($C$58*$C$60)*'END Jul 2019'!AH48/100</f>
        <v>284.10000000000002</v>
      </c>
      <c r="G71" s="181">
        <f>($C$58*$C$61)*'END Jul 2019'!W48/100</f>
        <v>139.91999999999999</v>
      </c>
      <c r="H71" s="183">
        <f t="shared" si="7"/>
        <v>693.57181818181812</v>
      </c>
      <c r="I71" s="202">
        <f t="shared" si="6"/>
        <v>3051.7159999999999</v>
      </c>
    </row>
    <row r="72" spans="1:9" x14ac:dyDescent="0.3">
      <c r="A72" s="179" t="str">
        <f>'END Jul 2019'!K49</f>
        <v>EnergyAustralia</v>
      </c>
      <c r="B72" s="180">
        <f>'END Jul 2019'!G49</f>
        <v>42214</v>
      </c>
      <c r="C72" s="181">
        <f>91*'END Jul 2019'!M49/100</f>
        <v>88.452000000000012</v>
      </c>
      <c r="D72" s="181">
        <f>($C$58*$C$59)*'END Jul 2019'!N49/100</f>
        <v>168.2</v>
      </c>
      <c r="E72" s="181">
        <v>0</v>
      </c>
      <c r="F72" s="181">
        <f>($C$58*$C$60)*'END Jul 2019'!AH49/100</f>
        <v>322.8</v>
      </c>
      <c r="G72" s="181">
        <f>($C$58*$C$61)*'END Jul 2019'!W49/100</f>
        <v>106.5</v>
      </c>
      <c r="H72" s="183">
        <f t="shared" si="7"/>
        <v>685.952</v>
      </c>
      <c r="I72" s="202">
        <f t="shared" si="6"/>
        <v>3018.1888000000004</v>
      </c>
    </row>
    <row r="73" spans="1:9" x14ac:dyDescent="0.3">
      <c r="A73" s="179" t="str">
        <f>'END Jul 2019'!K50</f>
        <v>Mojo Power</v>
      </c>
      <c r="B73" s="180">
        <f>'END Jul 2019'!G50</f>
        <v>41901</v>
      </c>
      <c r="C73" s="181">
        <f>91*'END Jul 2019'!M50/100</f>
        <v>152.55239999999998</v>
      </c>
      <c r="D73" s="181">
        <f>($C$58*$C$59)*'END Jul 2019'!N50/100</f>
        <v>136.32</v>
      </c>
      <c r="E73" s="181">
        <v>0</v>
      </c>
      <c r="F73" s="181">
        <f>($C$58*$C$60)*'END Jul 2019'!AH50/100</f>
        <v>255</v>
      </c>
      <c r="G73" s="181">
        <f>($C$58*$C$61)*'END Jul 2019'!W50/100</f>
        <v>99.78</v>
      </c>
      <c r="H73" s="183">
        <f t="shared" si="7"/>
        <v>643.65239999999994</v>
      </c>
      <c r="I73" s="202">
        <f t="shared" si="6"/>
        <v>2832.0705600000001</v>
      </c>
    </row>
    <row r="74" spans="1:9" x14ac:dyDescent="0.3">
      <c r="A74" s="179" t="str">
        <f>'END Jul 2019'!K51</f>
        <v>Momentum Energy</v>
      </c>
      <c r="B74" s="180">
        <f>'END Jul 2019'!G51</f>
        <v>42185</v>
      </c>
      <c r="C74" s="181">
        <f>91*'END Jul 2019'!M51/100</f>
        <v>101.58329999999999</v>
      </c>
      <c r="D74" s="181">
        <f>IF($C$58*$C$59&gt;='END Jul 2019'!P51,('END Jul 2019'!P51*'END Jul 2019'!N51/100),(($C$58*$C$59)*'END Jul 2019'!N51/100))</f>
        <v>145.47999999999999</v>
      </c>
      <c r="E74" s="181">
        <f>IF(($C$58*$C$59&lt;'END Jul 2019'!P51),(0),($C$58*$C$59-'END Jul 2019'!P51)*'END Jul 2019'!Q51/100)</f>
        <v>0</v>
      </c>
      <c r="F74" s="181">
        <f>($C$58*$C$60)*'END Jul 2019'!AH51/100</f>
        <v>312.8</v>
      </c>
      <c r="G74" s="181">
        <f>($C$58*$C$61)*'END Jul 2019'!W51/100</f>
        <v>116.46</v>
      </c>
      <c r="H74" s="183">
        <f t="shared" si="7"/>
        <v>676.32330000000002</v>
      </c>
      <c r="I74" s="202">
        <f t="shared" si="6"/>
        <v>2975.8225200000002</v>
      </c>
    </row>
    <row r="75" spans="1:9" x14ac:dyDescent="0.3">
      <c r="A75" s="179" t="str">
        <f>'END Jul 2019'!K52</f>
        <v>Origin Energy</v>
      </c>
      <c r="B75" s="180">
        <f>'END Jul 2019'!G52</f>
        <v>42201</v>
      </c>
      <c r="C75" s="181">
        <f>91*'END Jul 2019'!M52/100</f>
        <v>87.062181818181799</v>
      </c>
      <c r="D75" s="181">
        <f>($C$58*$C$59)*'END Jul 2019'!N52/100</f>
        <v>157.19999999999999</v>
      </c>
      <c r="E75" s="181">
        <v>0</v>
      </c>
      <c r="F75" s="181">
        <f>($C$58*$C$60)*'END Jul 2019'!AH52/100</f>
        <v>321.18181818181819</v>
      </c>
      <c r="G75" s="181">
        <f>($C$58*$C$61)*'END Jul 2019'!W52/100</f>
        <v>102.92727272727272</v>
      </c>
      <c r="H75" s="183">
        <f t="shared" si="7"/>
        <v>668.37127272727264</v>
      </c>
      <c r="I75" s="202">
        <f t="shared" si="6"/>
        <v>2940.8335999999999</v>
      </c>
    </row>
    <row r="76" spans="1:9" x14ac:dyDescent="0.3">
      <c r="A76" s="179" t="str">
        <f>'END Jul 2019'!K53</f>
        <v>Powerdirect</v>
      </c>
      <c r="B76" s="180">
        <f>'END Jul 2019'!G53</f>
        <v>42187</v>
      </c>
      <c r="C76" s="181">
        <f>91*'END Jul 2019'!M53/100</f>
        <v>79.17</v>
      </c>
      <c r="D76" s="181">
        <f>($C$58*$C$59)*'END Jul 2019'!N53/100</f>
        <v>135.34545454545454</v>
      </c>
      <c r="E76" s="181">
        <v>0</v>
      </c>
      <c r="F76" s="181">
        <f>($C$58*$C$60)*'END Jul 2019'!AH53/100</f>
        <v>285</v>
      </c>
      <c r="G76" s="181">
        <f>($C$58*$C$61)*'END Jul 2019'!W53/100</f>
        <v>85.527272727272717</v>
      </c>
      <c r="H76" s="183">
        <f t="shared" si="7"/>
        <v>585.04272727272723</v>
      </c>
      <c r="I76" s="202">
        <f t="shared" si="6"/>
        <v>2574.1880000000001</v>
      </c>
    </row>
    <row r="77" spans="1:9" x14ac:dyDescent="0.3">
      <c r="A77" s="179" t="str">
        <f>'END Jul 2019'!K54</f>
        <v>Powershop</v>
      </c>
      <c r="B77" s="180">
        <f>'END Jul 2019'!G54</f>
        <v>42185</v>
      </c>
      <c r="C77" s="181">
        <f>91*'END Jul 2019'!M54/100</f>
        <v>99.338909090909098</v>
      </c>
      <c r="D77" s="181">
        <f>($C$58*$C$59)*'END Jul 2019'!N54/100</f>
        <v>124.4</v>
      </c>
      <c r="E77" s="181">
        <v>0</v>
      </c>
      <c r="F77" s="181">
        <f>($C$58*$C$60)*'END Jul 2019'!AH54/100</f>
        <v>233.2</v>
      </c>
      <c r="G77" s="181">
        <f>($C$58*$C$61)*'END Jul 2019'!W54/100</f>
        <v>92.563636363636348</v>
      </c>
      <c r="H77" s="183">
        <f t="shared" si="7"/>
        <v>549.50254545454538</v>
      </c>
      <c r="I77" s="202">
        <f t="shared" si="6"/>
        <v>2417.8112000000001</v>
      </c>
    </row>
    <row r="78" spans="1:9" x14ac:dyDescent="0.3">
      <c r="A78" s="179" t="str">
        <f>'END Jul 2019'!K55</f>
        <v>Red Energy</v>
      </c>
      <c r="B78" s="180">
        <f>'END Jul 2019'!G55</f>
        <v>42185</v>
      </c>
      <c r="C78" s="181">
        <f>91*'END Jul 2019'!M55/100</f>
        <v>93.092999999999989</v>
      </c>
      <c r="D78" s="181">
        <f>IF($C$58*$C$59&gt;='END Jul 2019'!P55,('END Jul 2019'!P55*'END Jul 2019'!N55/100),(($C$58*$C$59)*'END Jul 2019'!N55/100))</f>
        <v>124</v>
      </c>
      <c r="E78" s="181">
        <f>IF(($C$58*$C$59&lt;'END Jul 2019'!P55),(0),($C$58*$C$59-'END Jul 2019'!P55)*'END Jul 2019'!Q55/100)</f>
        <v>0</v>
      </c>
      <c r="F78" s="181">
        <f>($C$58*$C$60)*'END Jul 2019'!AH55/100</f>
        <v>213</v>
      </c>
      <c r="G78" s="181">
        <f>($C$58*$C$61)*'END Jul 2019'!W55/100</f>
        <v>120</v>
      </c>
      <c r="H78" s="183">
        <f t="shared" si="7"/>
        <v>550.09299999999996</v>
      </c>
      <c r="I78" s="202">
        <f t="shared" si="6"/>
        <v>2420.4092000000001</v>
      </c>
    </row>
    <row r="79" spans="1:9" x14ac:dyDescent="0.3">
      <c r="A79" s="179" t="str">
        <f>'END Jul 2019'!K56</f>
        <v>Simply Energy</v>
      </c>
      <c r="B79" s="180">
        <f>'END Jul 2019'!G56</f>
        <v>42192</v>
      </c>
      <c r="C79" s="181">
        <f>91*'END Jul 2019'!M56/100</f>
        <v>80.386090909090896</v>
      </c>
      <c r="D79" s="181">
        <f>($C$58*$C$59)*'END Jul 2019'!N56/100</f>
        <v>115.16363636363636</v>
      </c>
      <c r="E79" s="181">
        <v>0</v>
      </c>
      <c r="F79" s="181">
        <f>($C$58*$C$60)*'END Jul 2019'!AH56/100</f>
        <v>245.36363636363632</v>
      </c>
      <c r="G79" s="181">
        <f>($C$58*$C$61)*'END Jul 2019'!W56/100</f>
        <v>124.5272727272727</v>
      </c>
      <c r="H79" s="183">
        <f t="shared" si="7"/>
        <v>565.44063636363626</v>
      </c>
      <c r="I79" s="202">
        <f t="shared" si="6"/>
        <v>2487.9387999999999</v>
      </c>
    </row>
    <row r="80" spans="1:9" x14ac:dyDescent="0.3">
      <c r="A80" s="179" t="str">
        <f>'END Jul 2019'!K57</f>
        <v>1st Energy</v>
      </c>
      <c r="B80" s="180">
        <f>'END Jul 2019'!G57</f>
        <v>42185</v>
      </c>
      <c r="C80" s="181">
        <f>91*'END Jul 2019'!M57/100</f>
        <v>118.3</v>
      </c>
      <c r="D80" s="181">
        <f>($C$58*$C$59)*'END Jul 2019'!N57/100</f>
        <v>116</v>
      </c>
      <c r="E80" s="181">
        <v>0</v>
      </c>
      <c r="F80" s="181">
        <f>($C$58*$C$60)*'END Jul 2019'!AH57/100</f>
        <v>263</v>
      </c>
      <c r="G80" s="181">
        <f>($C$58*$C$61)*'END Jul 2019'!W57/100</f>
        <v>141</v>
      </c>
      <c r="H80" s="183">
        <f t="shared" si="7"/>
        <v>638.29999999999995</v>
      </c>
      <c r="I80" s="202">
        <f t="shared" si="6"/>
        <v>2808.52</v>
      </c>
    </row>
    <row r="81" spans="1:9" s="239" customFormat="1" ht="14" thickBot="1" x14ac:dyDescent="0.35">
      <c r="A81" s="184" t="str">
        <f>'END Jul 2019'!K58</f>
        <v>Amaysim</v>
      </c>
      <c r="B81" s="185">
        <f>'END Jul 2019'!G58</f>
        <v>42188</v>
      </c>
      <c r="C81" s="186">
        <f>91*'END Jul 2019'!M58/100</f>
        <v>76.44</v>
      </c>
      <c r="D81" s="186">
        <f>($C$58*$C$59)*'END Jul 2019'!N58/100</f>
        <v>115.2</v>
      </c>
      <c r="E81" s="186">
        <v>0</v>
      </c>
      <c r="F81" s="186">
        <f>($C$58*$C$60)*'END Jul 2019'!AH58/100</f>
        <v>243</v>
      </c>
      <c r="G81" s="186">
        <f>($C$58*$C$61)*'END Jul 2019'!W58/100</f>
        <v>142.19999999999999</v>
      </c>
      <c r="H81" s="188">
        <f t="shared" si="7"/>
        <v>576.83999999999992</v>
      </c>
      <c r="I81" s="203">
        <f t="shared" si="6"/>
        <v>2538.096</v>
      </c>
    </row>
  </sheetData>
  <sheetProtection algorithmName="SHA-512" hashValue="Fs1+0wpFYl97F/rPEoFQ5gJESdMyxxTTj3eLYckZ7SvEK062iL4OGKrqMNSrQGl4qhJozTHYbq32TtGtEBw0lA==" saltValue="urso9Xj3H3uvc90/lc5ubQ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23D72-B30A-364D-988D-5172CE98ED12}">
  <sheetPr codeName="Sheet8"/>
  <dimension ref="A1:I84"/>
  <sheetViews>
    <sheetView workbookViewId="0">
      <selection activeCell="C59" activeCellId="2" sqref="C5 C31:C33 C59:C62"/>
    </sheetView>
  </sheetViews>
  <sheetFormatPr defaultColWidth="10.84375" defaultRowHeight="13.5" x14ac:dyDescent="0.3"/>
  <cols>
    <col min="1" max="1" width="17.4609375" style="214" customWidth="1"/>
    <col min="2" max="2" width="12.4609375" style="214" customWidth="1"/>
    <col min="3" max="9" width="12.15234375" style="214" customWidth="1"/>
    <col min="10" max="16384" width="10.84375" style="214"/>
  </cols>
  <sheetData>
    <row r="1" spans="1:9" ht="14" x14ac:dyDescent="0.3">
      <c r="A1" s="213" t="s">
        <v>76</v>
      </c>
      <c r="B1" s="213"/>
      <c r="C1" s="213"/>
      <c r="D1" s="213"/>
      <c r="E1" s="213"/>
      <c r="F1" s="213"/>
      <c r="G1" s="213"/>
      <c r="H1" s="213"/>
      <c r="I1" s="213"/>
    </row>
    <row r="2" spans="1:9" ht="14" x14ac:dyDescent="0.3">
      <c r="A2" s="215" t="s">
        <v>77</v>
      </c>
      <c r="B2" s="213"/>
      <c r="C2" s="213"/>
      <c r="D2" s="213"/>
      <c r="E2" s="213"/>
      <c r="F2" s="213"/>
      <c r="G2" s="213"/>
      <c r="H2" s="213"/>
      <c r="I2" s="213"/>
    </row>
    <row r="3" spans="1:9" ht="14.5" thickBot="1" x14ac:dyDescent="0.35">
      <c r="A3" s="213"/>
      <c r="B3" s="213"/>
      <c r="C3" s="213"/>
      <c r="D3" s="213"/>
      <c r="E3" s="213"/>
      <c r="F3" s="216"/>
      <c r="G3" s="213"/>
      <c r="H3" s="213"/>
      <c r="I3" s="213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'ESS Jul 2018'!K2</f>
        <v>Energy Locals</v>
      </c>
      <c r="B8" s="180">
        <f>'ESS Jul 2018'!G2</f>
        <v>41829</v>
      </c>
      <c r="C8" s="181">
        <f>91*'ESS Jul 2018'!M2/100</f>
        <v>137.41</v>
      </c>
      <c r="D8" s="181">
        <f>$C$5*'ESS Jul 2018'!N2/100</f>
        <v>431.82</v>
      </c>
      <c r="E8" s="182">
        <f>IF($C$5&lt;'ESS Jul 2018'!P2,0,IF(($C$5)&lt;='ESS Jul 2018'!R2,(($C$5-'ESS Jul 2018'!P2)*'ESS Jul 2018'!Q2/100),(('ESS Jul 2018'!R2-'ESS Jul 2018'!P2)*'ESS Jul 2018'!Q2/100)))</f>
        <v>0</v>
      </c>
      <c r="F8" s="181">
        <v>0</v>
      </c>
      <c r="G8" s="181">
        <f>IF(($C$5&lt;'ESS Jul 2018'!R2),(0),($C$5-'ESS Jul 2018'!R2)*'ESS Jul 2018'!S2/100)</f>
        <v>0</v>
      </c>
      <c r="H8" s="183">
        <f>SUM(C8:G8)</f>
        <v>569.23</v>
      </c>
      <c r="I8" s="202">
        <f>(H8*4)*1.1</f>
        <v>2504.6120000000001</v>
      </c>
    </row>
    <row r="9" spans="1:9" x14ac:dyDescent="0.3">
      <c r="A9" s="179" t="str">
        <f>'ESS Jul 2018'!K3</f>
        <v>AGL</v>
      </c>
      <c r="B9" s="180">
        <f>'ESS Jul 2018'!G3</f>
        <v>41820</v>
      </c>
      <c r="C9" s="181">
        <f>91*'ESS Jul 2018'!M3/100</f>
        <v>129.22</v>
      </c>
      <c r="D9" s="181">
        <f>$C$5*'ESS Jul 2018'!N3/100</f>
        <v>520.20000000000005</v>
      </c>
      <c r="E9" s="182">
        <f>IF($C$5&lt;'ESS Jul 2018'!P3,0,IF(($C$5)&lt;='ESS Jul 2018'!R3,(($C$5-'ESS Jul 2018'!P3)*'ESS Jul 2018'!Q3/100),(('ESS Jul 2018'!R3-'ESS Jul 2018'!P3)*'ESS Jul 2018'!Q3/100)))</f>
        <v>0</v>
      </c>
      <c r="F9" s="181">
        <v>0</v>
      </c>
      <c r="G9" s="181">
        <f>IF(($C$5&lt;'ESS Jul 2018'!R3),(0),($C$5-'ESS Jul 2018'!R3)*'ESS Jul 2018'!S3/100)</f>
        <v>0</v>
      </c>
      <c r="H9" s="183">
        <f t="shared" ref="H9:H24" si="0">SUM(C9:G9)</f>
        <v>649.42000000000007</v>
      </c>
      <c r="I9" s="202">
        <f t="shared" ref="I9:I24" si="1">(H9*4)*1.1</f>
        <v>2857.4480000000008</v>
      </c>
    </row>
    <row r="10" spans="1:9" x14ac:dyDescent="0.3">
      <c r="A10" s="179" t="str">
        <f>'ESS Jul 2018'!K4</f>
        <v>Alinta Energy</v>
      </c>
      <c r="B10" s="180">
        <f>'ESS Jul 2018'!G4</f>
        <v>41852</v>
      </c>
      <c r="C10" s="181">
        <f>91*'ESS Jul 2018'!M4/100</f>
        <v>128.76499999999999</v>
      </c>
      <c r="D10" s="181">
        <f>IF($C$5&gt;='ESS Jul 2018'!P4,('ESS Jul 2018'!P4*'ESS Jul 2018'!N4/100),($C$5*'ESS Jul 2018'!N4/100))</f>
        <v>295.60000000000002</v>
      </c>
      <c r="E10" s="182">
        <f>IF($C$5&lt;'ESS Jul 2018'!P4,0,IF(($C$5)&lt;='ESS Jul 2018'!R4,(($C$5-'ESS Jul 2018'!P4)*'ESS Jul 2018'!Q4/100),(('ESS Jul 2018'!R4-'ESS Jul 2018'!P4)*'ESS Jul 2018'!Q4/100)))</f>
        <v>221.7</v>
      </c>
      <c r="F10" s="181">
        <v>0</v>
      </c>
      <c r="G10" s="181">
        <f>IF(($C$5&lt;'ESS Jul 2018'!R4),(0),($C$5-'ESS Jul 2018'!R4)*'ESS Jul 2018'!S4/100)</f>
        <v>14.78</v>
      </c>
      <c r="H10" s="183">
        <f t="shared" si="0"/>
        <v>660.84500000000003</v>
      </c>
      <c r="I10" s="202">
        <f t="shared" si="1"/>
        <v>2907.7180000000003</v>
      </c>
    </row>
    <row r="11" spans="1:9" x14ac:dyDescent="0.3">
      <c r="A11" s="179" t="str">
        <f>'ESS Jul 2018'!K5</f>
        <v>Click Energy</v>
      </c>
      <c r="B11" s="180">
        <f>'ESS Jul 2018'!G5</f>
        <v>41880</v>
      </c>
      <c r="C11" s="181">
        <f>91*'ESS Jul 2018'!M5/100</f>
        <v>133.77000000000001</v>
      </c>
      <c r="D11" s="181">
        <f>$C$5*'ESS Jul 2018'!N5/100</f>
        <v>714.6</v>
      </c>
      <c r="E11" s="182">
        <f>IF($C$5&lt;'ESS Jul 2018'!P5,0,IF(($C$5)&lt;='ESS Jul 2018'!R5,(($C$5-'ESS Jul 2018'!P5)*'ESS Jul 2018'!Q5/100),(('ESS Jul 2018'!R5-'ESS Jul 2018'!P5)*'ESS Jul 2018'!Q5/100)))</f>
        <v>0</v>
      </c>
      <c r="F11" s="181">
        <v>0</v>
      </c>
      <c r="G11" s="181">
        <f>IF(($C$5&lt;'ESS Jul 2018'!R5),(0),($C$5-'ESS Jul 2018'!R5)*'ESS Jul 2018'!S5/100)</f>
        <v>0</v>
      </c>
      <c r="H11" s="183">
        <f t="shared" si="0"/>
        <v>848.37</v>
      </c>
      <c r="I11" s="202">
        <f t="shared" si="1"/>
        <v>3732.8280000000004</v>
      </c>
    </row>
    <row r="12" spans="1:9" x14ac:dyDescent="0.3">
      <c r="A12" s="179" t="str">
        <f>'ESS Jul 2018'!K6</f>
        <v>Commander</v>
      </c>
      <c r="B12" s="180">
        <f>'ESS Jul 2018'!G6</f>
        <v>41639</v>
      </c>
      <c r="C12" s="181">
        <f>91*'ESS Jul 2018'!M6/100</f>
        <v>160.8425</v>
      </c>
      <c r="D12" s="181">
        <f>IF($C$5&gt;='ESS Jul 2018'!P6,('ESS Jul 2018'!P6*'ESS Jul 2018'!N6/100),($C$5*'ESS Jul 2018'!N6/100))</f>
        <v>660.97500000000002</v>
      </c>
      <c r="E12" s="182">
        <f>IF($C$5&lt;'ESS Jul 2018'!P6,0,IF(($C$5)&lt;='ESS Jul 2018'!R6,(($C$5-'ESS Jul 2018'!P6)*'ESS Jul 2018'!Q6/100),(('ESS Jul 2018'!R6-'ESS Jul 2018'!P6)*'ESS Jul 2018'!Q6/100)))</f>
        <v>0</v>
      </c>
      <c r="F12" s="181">
        <v>0</v>
      </c>
      <c r="G12" s="181">
        <f>IF(($C$5&lt;'ESS Jul 2018'!R6),(0),($C$5-'ESS Jul 2018'!R6)*'ESS Jul 2018'!S6/100)</f>
        <v>18.885000000000002</v>
      </c>
      <c r="H12" s="183">
        <f t="shared" si="0"/>
        <v>840.70249999999999</v>
      </c>
      <c r="I12" s="202">
        <f t="shared" si="1"/>
        <v>3699.0910000000003</v>
      </c>
    </row>
    <row r="13" spans="1:9" x14ac:dyDescent="0.3">
      <c r="A13" s="179" t="str">
        <f>'ESS Jul 2018'!K7</f>
        <v>CovaU</v>
      </c>
      <c r="B13" s="180">
        <f>'ESS Jul 2018'!G7</f>
        <v>41820</v>
      </c>
      <c r="C13" s="181">
        <f>91*'ESS Jul 2018'!M7/100</f>
        <v>154.70910000000001</v>
      </c>
      <c r="D13" s="181">
        <f>$C$5*'ESS Jul 2018'!N7/100</f>
        <v>522</v>
      </c>
      <c r="E13" s="182">
        <f>IF($C$5&lt;'ESS Jul 2018'!P7,0,IF(($C$5)&lt;='ESS Jul 2018'!R7,(($C$5-'ESS Jul 2018'!P7)*'ESS Jul 2018'!Q7/100),(('ESS Jul 2018'!R7-'ESS Jul 2018'!P7)*'ESS Jul 2018'!Q7/100)))</f>
        <v>0</v>
      </c>
      <c r="F13" s="181">
        <v>0</v>
      </c>
      <c r="G13" s="181">
        <f>IF(($C$5&lt;'ESS Jul 2018'!R7),(0),($C$5-'ESS Jul 2018'!R7)*'ESS Jul 2018'!S7/100)</f>
        <v>0</v>
      </c>
      <c r="H13" s="183">
        <f t="shared" si="0"/>
        <v>676.70910000000003</v>
      </c>
      <c r="I13" s="202">
        <f t="shared" si="1"/>
        <v>2977.5200400000003</v>
      </c>
    </row>
    <row r="14" spans="1:9" x14ac:dyDescent="0.3">
      <c r="A14" s="179" t="str">
        <f>'ESS Jul 2018'!K8</f>
        <v>Diamond Energy</v>
      </c>
      <c r="B14" s="180">
        <f>'ESS Jul 2018'!G8</f>
        <v>41820</v>
      </c>
      <c r="C14" s="181">
        <f>91*'ESS Jul 2018'!M8/100</f>
        <v>136.04499999999999</v>
      </c>
      <c r="D14" s="181">
        <f>IF($C$5&gt;='ESS Jul 2018'!P8,('ESS Jul 2018'!P8*'ESS Jul 2018'!N8/100),($C$5*'ESS Jul 2018'!N8/100))</f>
        <v>77.91</v>
      </c>
      <c r="E14" s="182">
        <f>IF($C$5&lt;'ESS Jul 2018'!P8,0,IF(($C$5)&lt;='ESS Jul 2018'!R8,(($C$5-'ESS Jul 2018'!P8)*'ESS Jul 2018'!Q8/100),(('ESS Jul 2018'!R8-'ESS Jul 2018'!P8)*'ESS Jul 2018'!Q8/100)))</f>
        <v>201.31200000000001</v>
      </c>
      <c r="F14" s="181">
        <v>0</v>
      </c>
      <c r="G14" s="181">
        <f>IF(($C$5&lt;'ESS Jul 2018'!R8),(0),($C$5-'ESS Jul 2018'!R8)*'ESS Jul 2018'!S8/100)</f>
        <v>240.94200000000001</v>
      </c>
      <c r="H14" s="183">
        <f t="shared" si="0"/>
        <v>656.20900000000006</v>
      </c>
      <c r="I14" s="202">
        <f t="shared" si="1"/>
        <v>2887.3196000000007</v>
      </c>
    </row>
    <row r="15" spans="1:9" x14ac:dyDescent="0.3">
      <c r="A15" s="179" t="str">
        <f>'ESS Jul 2018'!K9</f>
        <v>Dodo Power &amp; Gas</v>
      </c>
      <c r="B15" s="180">
        <f>'ESS Jul 2018'!G9</f>
        <v>41639</v>
      </c>
      <c r="C15" s="181">
        <f>91*'ESS Jul 2018'!M9/100</f>
        <v>154.65449999999998</v>
      </c>
      <c r="D15" s="181">
        <f>IF($C$5&gt;='ESS Jul 2018'!P9,('ESS Jul 2018'!P9*'ESS Jul 2018'!N9/100),($C$5*'ESS Jul 2018'!N9/100))</f>
        <v>635.6</v>
      </c>
      <c r="E15" s="182">
        <f>IF($C$5&lt;'ESS Jul 2018'!P9,0,IF(($C$5)&lt;='ESS Jul 2018'!R9,(($C$5-'ESS Jul 2018'!P9)*'ESS Jul 2018'!Q9/100),(('ESS Jul 2018'!R9-'ESS Jul 2018'!P9)*'ESS Jul 2018'!Q9/100)))</f>
        <v>0</v>
      </c>
      <c r="F15" s="181">
        <v>0</v>
      </c>
      <c r="G15" s="181">
        <f>IF(($C$5&lt;'ESS Jul 2018'!R9),(0),($C$5-'ESS Jul 2018'!R9)*'ESS Jul 2018'!S9/100)</f>
        <v>18.16</v>
      </c>
      <c r="H15" s="183">
        <f t="shared" si="0"/>
        <v>808.41449999999998</v>
      </c>
      <c r="I15" s="202">
        <f t="shared" si="1"/>
        <v>3557.0238000000004</v>
      </c>
    </row>
    <row r="16" spans="1:9" x14ac:dyDescent="0.3">
      <c r="A16" s="179" t="str">
        <f>'ESS Jul 2018'!K10</f>
        <v>EnergyAustralia</v>
      </c>
      <c r="B16" s="180">
        <f>'ESS Jul 2018'!G10</f>
        <v>41640</v>
      </c>
      <c r="C16" s="181">
        <f>91*'ESS Jul 2018'!M10/100</f>
        <v>131.31300000000002</v>
      </c>
      <c r="D16" s="181">
        <f>$C$5*'ESS Jul 2018'!N10/100</f>
        <v>570.78</v>
      </c>
      <c r="E16" s="182">
        <f>IF($C$5&lt;'ESS Jul 2018'!P10,0,IF(($C$5)&lt;='ESS Jul 2018'!R10,(($C$5-'ESS Jul 2018'!P10)*'ESS Jul 2018'!Q10/100),(('ESS Jul 2018'!R10-'ESS Jul 2018'!P10)*'ESS Jul 2018'!Q10/100)))</f>
        <v>0</v>
      </c>
      <c r="F16" s="181">
        <v>0</v>
      </c>
      <c r="G16" s="181">
        <f>IF(($C$5&lt;'ESS Jul 2018'!R10),(0),($C$5-'ESS Jul 2018'!R10)*'ESS Jul 2018'!S10/100)</f>
        <v>0</v>
      </c>
      <c r="H16" s="183">
        <f t="shared" si="0"/>
        <v>702.09299999999996</v>
      </c>
      <c r="I16" s="202">
        <f t="shared" si="1"/>
        <v>3089.2092000000002</v>
      </c>
    </row>
    <row r="17" spans="1:9" x14ac:dyDescent="0.3">
      <c r="A17" s="179" t="str">
        <f>'ESS Jul 2018'!K11</f>
        <v>Mojo Power</v>
      </c>
      <c r="B17" s="180">
        <f>'ESS Jul 2018'!G11</f>
        <v>41468</v>
      </c>
      <c r="C17" s="181">
        <f>91*'ESS Jul 2018'!M11/100</f>
        <v>215.71549999999999</v>
      </c>
      <c r="D17" s="181">
        <f>$C$5*'ESS Jul 2018'!N11/100</f>
        <v>457.38</v>
      </c>
      <c r="E17" s="182">
        <f>IF($C$5&lt;'ESS Jul 2018'!P11,0,IF(($C$5)&lt;='ESS Jul 2018'!R11,(($C$5-'ESS Jul 2018'!P11)*'ESS Jul 2018'!Q11/100),(('ESS Jul 2018'!R11-'ESS Jul 2018'!P11)*'ESS Jul 2018'!Q11/100)))</f>
        <v>0</v>
      </c>
      <c r="F17" s="181">
        <v>0</v>
      </c>
      <c r="G17" s="181">
        <f>IF(($C$5&lt;'ESS Jul 2018'!R11),(0),($C$5-'ESS Jul 2018'!R11)*'ESS Jul 2018'!S11/100)</f>
        <v>0</v>
      </c>
      <c r="H17" s="183">
        <f t="shared" si="0"/>
        <v>673.09550000000002</v>
      </c>
      <c r="I17" s="202">
        <f t="shared" si="1"/>
        <v>2961.6202000000003</v>
      </c>
    </row>
    <row r="18" spans="1:9" x14ac:dyDescent="0.3">
      <c r="A18" s="179" t="str">
        <f>'ESS Jul 2018'!K12</f>
        <v>Momentum Energy</v>
      </c>
      <c r="B18" s="180">
        <f>'ESS Jul 2018'!G12</f>
        <v>41820</v>
      </c>
      <c r="C18" s="181">
        <f>91*'ESS Jul 2018'!M12/100</f>
        <v>128.583</v>
      </c>
      <c r="D18" s="181">
        <f>IF($C$5&gt;='ESS Jul 2018'!P12,('ESS Jul 2018'!P12*'ESS Jul 2018'!N12/100),($C$5*'ESS Jul 2018'!N12/100))</f>
        <v>170.16</v>
      </c>
      <c r="E18" s="182">
        <f>IF($C$5&lt;'ESS Jul 2018'!P12,0,IF(($C$5)&lt;='ESS Jul 2018'!R12,(($C$5-'ESS Jul 2018'!P12)*'ESS Jul 2018'!Q12/100),(('ESS Jul 2018'!R12-'ESS Jul 2018'!P12)*'ESS Jul 2018'!Q12/100)))</f>
        <v>0</v>
      </c>
      <c r="F18" s="181">
        <v>0</v>
      </c>
      <c r="G18" s="181">
        <f>IF(($C$5&lt;'ESS Jul 2018'!R12),(0),($C$5-'ESS Jul 2018'!R12)*'ESS Jul 2018'!S12/100)</f>
        <v>405.96</v>
      </c>
      <c r="H18" s="183">
        <f t="shared" si="0"/>
        <v>704.70299999999997</v>
      </c>
      <c r="I18" s="202">
        <f t="shared" si="1"/>
        <v>3100.6932000000002</v>
      </c>
    </row>
    <row r="19" spans="1:9" x14ac:dyDescent="0.3">
      <c r="A19" s="179" t="str">
        <f>'ESS Jul 2018'!K13</f>
        <v>Origin Energy</v>
      </c>
      <c r="B19" s="180">
        <f>'ESS Jul 2018'!G13</f>
        <v>41820</v>
      </c>
      <c r="C19" s="181">
        <f>91*'ESS Jul 2018'!M13/100</f>
        <v>128.31909999999999</v>
      </c>
      <c r="D19" s="181">
        <f>$C$5*'ESS Jul 2018'!N13/100</f>
        <v>512.46</v>
      </c>
      <c r="E19" s="182">
        <v>0</v>
      </c>
      <c r="F19" s="181">
        <v>0</v>
      </c>
      <c r="G19" s="181">
        <v>0</v>
      </c>
      <c r="H19" s="183">
        <f t="shared" si="0"/>
        <v>640.77909999999997</v>
      </c>
      <c r="I19" s="202">
        <f t="shared" si="1"/>
        <v>2819.4280400000002</v>
      </c>
    </row>
    <row r="20" spans="1:9" x14ac:dyDescent="0.3">
      <c r="A20" s="179" t="str">
        <f>'ESS Jul 2018'!K14</f>
        <v>Powerdirect</v>
      </c>
      <c r="B20" s="180">
        <f>'ESS Jul 2018'!G14</f>
        <v>41823</v>
      </c>
      <c r="C20" s="181">
        <f>91*'ESS Jul 2018'!M14/100</f>
        <v>129.22</v>
      </c>
      <c r="D20" s="181">
        <f>$C$5*'ESS Jul 2018'!N14/100</f>
        <v>520.20000000000005</v>
      </c>
      <c r="E20" s="182">
        <f>IF($C$5&lt;'ESS Jul 2018'!P14,0,IF(($C$5)&lt;='ESS Jul 2018'!R14,(($C$5-'ESS Jul 2018'!P14)*'ESS Jul 2018'!Q14/100),(('ESS Jul 2018'!R14-'ESS Jul 2018'!P14)*'ESS Jul 2018'!Q14/100)))</f>
        <v>0</v>
      </c>
      <c r="F20" s="181">
        <v>0</v>
      </c>
      <c r="G20" s="181">
        <f>IF(($C$5&lt;'ESS Jul 2018'!R14),(0),($C$5-'ESS Jul 2018'!R14)*'ESS Jul 2018'!S14/100)</f>
        <v>0</v>
      </c>
      <c r="H20" s="183">
        <f t="shared" si="0"/>
        <v>649.42000000000007</v>
      </c>
      <c r="I20" s="202">
        <f t="shared" si="1"/>
        <v>2857.4480000000008</v>
      </c>
    </row>
    <row r="21" spans="1:9" x14ac:dyDescent="0.3">
      <c r="A21" s="179" t="str">
        <f>'ESS Jul 2018'!K15</f>
        <v>Powershop</v>
      </c>
      <c r="B21" s="180">
        <f>'ESS Jul 2018'!G15</f>
        <v>41820</v>
      </c>
      <c r="C21" s="181">
        <f>91*'ESS Jul 2018'!M15/100</f>
        <v>134.99850000000001</v>
      </c>
      <c r="D21" s="181">
        <f>C5*'ESS Jul 2018'!N15/100</f>
        <v>463.86</v>
      </c>
      <c r="E21" s="182">
        <v>0</v>
      </c>
      <c r="F21" s="181">
        <v>0</v>
      </c>
      <c r="G21" s="181">
        <v>0</v>
      </c>
      <c r="H21" s="183">
        <f t="shared" si="0"/>
        <v>598.85850000000005</v>
      </c>
      <c r="I21" s="202">
        <f t="shared" si="1"/>
        <v>2634.9774000000002</v>
      </c>
    </row>
    <row r="22" spans="1:9" x14ac:dyDescent="0.3">
      <c r="A22" s="179" t="str">
        <f>'ESS Jul 2018'!K16</f>
        <v>Red Energy</v>
      </c>
      <c r="B22" s="180">
        <f>'ESS Jul 2018'!G16</f>
        <v>41852</v>
      </c>
      <c r="C22" s="181">
        <f>91*'ESS Jul 2018'!M16/100</f>
        <v>121.5942</v>
      </c>
      <c r="D22" s="181">
        <f>IF($C$5&gt;='ESS Jul 2018'!P16,('ESS Jul 2018'!P16*'ESS Jul 2018'!N16/100),($C$5*'ESS Jul 2018'!N16/100))</f>
        <v>295.8</v>
      </c>
      <c r="E22" s="182">
        <f>IF($C$5&lt;'ESS Jul 2018'!P16,0,IF(($C$5)&lt;='ESS Jul 2018'!R16,(($C$5-'ESS Jul 2018'!P16)*'ESS Jul 2018'!Q16/100),(('ESS Jul 2018'!R16-'ESS Jul 2018'!P16)*'ESS Jul 2018'!Q16/100)))</f>
        <v>218.02500000000001</v>
      </c>
      <c r="F22" s="181">
        <v>0</v>
      </c>
      <c r="G22" s="181">
        <f>IF(($C$5&lt;'ESS Jul 2018'!R16),(0),($C$5-'ESS Jul 2018'!R16)*'ESS Jul 2018'!S16/100)</f>
        <v>14.484999999999999</v>
      </c>
      <c r="H22" s="183">
        <f t="shared" si="0"/>
        <v>649.90420000000006</v>
      </c>
      <c r="I22" s="202">
        <f t="shared" si="1"/>
        <v>2859.5784800000006</v>
      </c>
    </row>
    <row r="23" spans="1:9" x14ac:dyDescent="0.3">
      <c r="A23" s="179" t="str">
        <f>'ESS Jul 2018'!K17</f>
        <v>Simply Energy</v>
      </c>
      <c r="B23" s="180">
        <f>'ESS Jul 2018'!G17</f>
        <v>41822</v>
      </c>
      <c r="C23" s="181">
        <f>91*'ESS Jul 2018'!M17/100</f>
        <v>120.666</v>
      </c>
      <c r="D23" s="181">
        <f>C5*'ESS Jul 2018'!N17/100</f>
        <v>494.46</v>
      </c>
      <c r="E23" s="182">
        <v>0</v>
      </c>
      <c r="F23" s="181">
        <v>0</v>
      </c>
      <c r="G23" s="181">
        <v>0</v>
      </c>
      <c r="H23" s="183">
        <f t="shared" si="0"/>
        <v>615.12599999999998</v>
      </c>
      <c r="I23" s="202">
        <f t="shared" si="1"/>
        <v>2706.5544</v>
      </c>
    </row>
    <row r="24" spans="1:9" x14ac:dyDescent="0.3">
      <c r="A24" s="179" t="str">
        <f>'ESS Jul 2018'!K18</f>
        <v>Sumo Power</v>
      </c>
      <c r="B24" s="180">
        <f>'ESS Jul 2018'!G18</f>
        <v>41884</v>
      </c>
      <c r="C24" s="181">
        <f>91*'ESS Jul 2018'!M18/100</f>
        <v>159.9143</v>
      </c>
      <c r="D24" s="181">
        <f>$C$5*'ESS Jul 2018'!N18/100</f>
        <v>614.34</v>
      </c>
      <c r="E24" s="182">
        <f>IF($C$5&lt;'ESS Jul 2018'!P18,0,IF(($C$5)&lt;='ESS Jul 2018'!R18,(($C$5-'ESS Jul 2018'!P18)*'ESS Jul 2018'!Q18/100),(('ESS Jul 2018'!R18-'ESS Jul 2018'!P18)*'ESS Jul 2018'!Q18/100)))</f>
        <v>0</v>
      </c>
      <c r="F24" s="181">
        <v>0</v>
      </c>
      <c r="G24" s="181">
        <f>IF(($C$5&lt;'ESS Jul 2018'!R18),(0),($C$5-'ESS Jul 2018'!R18)*'ESS Jul 2018'!S18/100)</f>
        <v>0</v>
      </c>
      <c r="H24" s="183">
        <f t="shared" si="0"/>
        <v>774.25430000000006</v>
      </c>
      <c r="I24" s="202">
        <f t="shared" si="1"/>
        <v>3406.7189200000007</v>
      </c>
    </row>
    <row r="25" spans="1:9" x14ac:dyDescent="0.3">
      <c r="A25" s="179" t="str">
        <f>'ESS Jul 2018'!K19</f>
        <v>1st Energy</v>
      </c>
      <c r="B25" s="180">
        <f>'ESS Jul 2018'!G19</f>
        <v>41820</v>
      </c>
      <c r="C25" s="181">
        <f>91*'ESS Jul 2018'!M19/100</f>
        <v>139.28460000000001</v>
      </c>
      <c r="D25" s="181">
        <f>$C$5*'ESS Jul 2018'!N19/100</f>
        <v>684.72</v>
      </c>
      <c r="E25" s="182">
        <f>IF($C$5&lt;'ESS Jul 2018'!P19,0,IF(($C$5)&lt;='ESS Jul 2018'!R19,(($C$5-'ESS Jul 2018'!P19)*'ESS Jul 2018'!Q19/100),(('ESS Jul 2018'!R19-'ESS Jul 2018'!P19)*'ESS Jul 2018'!Q19/100)))</f>
        <v>0</v>
      </c>
      <c r="F25" s="181">
        <v>0</v>
      </c>
      <c r="G25" s="181">
        <f>IF(($C$5&lt;'ESS Jul 2018'!R19),(0),($C$5-'ESS Jul 2018'!R19)*'ESS Jul 2018'!S19/100)</f>
        <v>0</v>
      </c>
      <c r="H25" s="183">
        <f t="shared" ref="H25:H27" si="2">SUM(C25:G25)</f>
        <v>824.00459999999998</v>
      </c>
      <c r="I25" s="202">
        <f t="shared" ref="I25:I27" si="3">(H25*4)*1.1</f>
        <v>3625.6202400000002</v>
      </c>
    </row>
    <row r="26" spans="1:9" x14ac:dyDescent="0.3">
      <c r="A26" s="179" t="str">
        <f>'ESS Jul 2018'!K20</f>
        <v>Amaysim</v>
      </c>
      <c r="B26" s="180">
        <f>'ESS Jul 2018'!G20</f>
        <v>41880</v>
      </c>
      <c r="C26" s="181">
        <f>91*'ESS Jul 2018'!M20/100</f>
        <v>133.77000000000001</v>
      </c>
      <c r="D26" s="181">
        <f>$C$5*'ESS Jul 2018'!N20/100</f>
        <v>714.6</v>
      </c>
      <c r="E26" s="182">
        <f>IF($C$5&lt;'ESS Jul 2018'!P20,0,IF(($C$5)&lt;='ESS Jul 2018'!R20,(($C$5-'ESS Jul 2018'!P20)*'ESS Jul 2018'!Q20/100),(('ESS Jul 2018'!R20-'ESS Jul 2018'!P20)*'ESS Jul 2018'!Q20/100)))</f>
        <v>0</v>
      </c>
      <c r="F26" s="181">
        <v>0</v>
      </c>
      <c r="G26" s="181">
        <f>IF(($C$5&lt;'ESS Jul 2018'!R20),(0),($C$5-'ESS Jul 2018'!R20)*'ESS Jul 2018'!S20/100)</f>
        <v>0</v>
      </c>
      <c r="H26" s="183">
        <f t="shared" si="2"/>
        <v>848.37</v>
      </c>
      <c r="I26" s="202">
        <f t="shared" si="3"/>
        <v>3732.8280000000004</v>
      </c>
    </row>
    <row r="27" spans="1:9" ht="14" thickBot="1" x14ac:dyDescent="0.35">
      <c r="A27" s="184" t="str">
        <f>'ESS Jul 2018'!K21</f>
        <v>Q Energy</v>
      </c>
      <c r="B27" s="185">
        <f>'ESS Jul 2018'!G21</f>
        <v>41682</v>
      </c>
      <c r="C27" s="186">
        <f>91*'ESS Jul 2018'!M21/100</f>
        <v>130.13</v>
      </c>
      <c r="D27" s="186">
        <f>$C$5*'ESS Jul 2018'!N21/100</f>
        <v>693.72</v>
      </c>
      <c r="E27" s="187">
        <f>IF($C$5&lt;'ESS Jul 2018'!P21,0,IF(($C$5)&lt;='ESS Jul 2018'!R21,(($C$5-'ESS Jul 2018'!P21)*'ESS Jul 2018'!Q21/100),(('ESS Jul 2018'!R21-'ESS Jul 2018'!P21)*'ESS Jul 2018'!Q21/100)))</f>
        <v>0</v>
      </c>
      <c r="F27" s="186">
        <v>0</v>
      </c>
      <c r="G27" s="186">
        <f>IF(($C$5&lt;'ESS Jul 2018'!R21),(0),($C$5-'ESS Jul 2018'!R21)*'ESS Jul 2018'!S21/100)</f>
        <v>0</v>
      </c>
      <c r="H27" s="188">
        <f t="shared" si="2"/>
        <v>823.85</v>
      </c>
      <c r="I27" s="203">
        <f t="shared" si="3"/>
        <v>3624.9400000000005</v>
      </c>
    </row>
    <row r="29" spans="1:9" ht="14" thickBot="1" x14ac:dyDescent="0.35"/>
    <row r="30" spans="1:9" ht="14" x14ac:dyDescent="0.3">
      <c r="A30" s="176" t="s">
        <v>89</v>
      </c>
      <c r="B30" s="91"/>
      <c r="C30" s="91"/>
      <c r="D30" s="91"/>
      <c r="E30" s="91"/>
      <c r="F30" s="91"/>
      <c r="G30" s="91"/>
      <c r="H30" s="91"/>
      <c r="I30" s="177"/>
    </row>
    <row r="31" spans="1:9" ht="14" x14ac:dyDescent="0.3">
      <c r="A31" s="92" t="s">
        <v>79</v>
      </c>
      <c r="B31" s="93"/>
      <c r="C31" s="168">
        <v>2000</v>
      </c>
      <c r="D31" s="93"/>
      <c r="E31" s="93"/>
      <c r="F31" s="93"/>
      <c r="G31" s="93"/>
      <c r="H31" s="93"/>
      <c r="I31" s="178"/>
    </row>
    <row r="32" spans="1:9" ht="14" x14ac:dyDescent="0.3">
      <c r="A32" s="92" t="s">
        <v>91</v>
      </c>
      <c r="B32" s="93"/>
      <c r="C32" s="169">
        <v>0.7</v>
      </c>
      <c r="D32" s="93"/>
      <c r="E32" s="93"/>
      <c r="F32" s="93"/>
      <c r="G32" s="93"/>
      <c r="H32" s="93"/>
      <c r="I32" s="178"/>
    </row>
    <row r="33" spans="1:9" ht="14" x14ac:dyDescent="0.3">
      <c r="A33" s="92" t="s">
        <v>92</v>
      </c>
      <c r="B33" s="93"/>
      <c r="C33" s="169">
        <v>0.3</v>
      </c>
      <c r="D33" s="93"/>
      <c r="E33" s="93"/>
      <c r="F33" s="93"/>
      <c r="G33" s="93"/>
      <c r="H33" s="93"/>
      <c r="I33" s="178"/>
    </row>
    <row r="34" spans="1:9" ht="14" x14ac:dyDescent="0.3">
      <c r="A34" s="92"/>
      <c r="B34" s="93"/>
      <c r="C34" s="93"/>
      <c r="D34" s="93"/>
      <c r="E34" s="93"/>
      <c r="F34" s="93"/>
      <c r="G34" s="93"/>
      <c r="H34" s="93"/>
      <c r="I34" s="178"/>
    </row>
    <row r="35" spans="1:9" ht="28" x14ac:dyDescent="0.3">
      <c r="A35" s="301" t="s">
        <v>80</v>
      </c>
      <c r="B35" s="298" t="s">
        <v>81</v>
      </c>
      <c r="C35" s="298" t="s">
        <v>82</v>
      </c>
      <c r="D35" s="298" t="s">
        <v>83</v>
      </c>
      <c r="E35" s="298" t="s">
        <v>84</v>
      </c>
      <c r="F35" s="298" t="s">
        <v>86</v>
      </c>
      <c r="G35" s="298" t="s">
        <v>93</v>
      </c>
      <c r="H35" s="298" t="s">
        <v>87</v>
      </c>
      <c r="I35" s="300" t="s">
        <v>88</v>
      </c>
    </row>
    <row r="36" spans="1:9" x14ac:dyDescent="0.3">
      <c r="A36" s="179" t="str">
        <f>'ESS Jul 2018'!K22</f>
        <v>Energy Locals</v>
      </c>
      <c r="B36" s="180">
        <f>'ESS Jul 2018'!G22</f>
        <v>41829</v>
      </c>
      <c r="C36" s="181">
        <f>91*'ESS Jul 2018'!M22/100</f>
        <v>146.51</v>
      </c>
      <c r="D36" s="181">
        <f>($C$31*$C$32)*'ESS Jul 2018'!N22/100</f>
        <v>335.86</v>
      </c>
      <c r="E36" s="182">
        <v>0</v>
      </c>
      <c r="F36" s="181">
        <v>0</v>
      </c>
      <c r="G36" s="181">
        <f>($C$31*$C$33)*'ESS Jul 2018'!AE22/100</f>
        <v>95.94</v>
      </c>
      <c r="H36" s="183">
        <f>SUM(C36:G36)</f>
        <v>578.30999999999995</v>
      </c>
      <c r="I36" s="202">
        <f>(H36*4)*1.1</f>
        <v>2544.5639999999999</v>
      </c>
    </row>
    <row r="37" spans="1:9" x14ac:dyDescent="0.3">
      <c r="A37" s="179" t="str">
        <f>'ESS Jul 2018'!K23</f>
        <v>AGL</v>
      </c>
      <c r="B37" s="180">
        <f>'ESS Jul 2018'!G23</f>
        <v>41820</v>
      </c>
      <c r="C37" s="181">
        <f>91*'ESS Jul 2018'!M23/100</f>
        <v>141.05000000000001</v>
      </c>
      <c r="D37" s="181">
        <f>($C$31*$C$32)*'ESS Jul 2018'!N23/100</f>
        <v>404.6</v>
      </c>
      <c r="E37" s="182">
        <v>0</v>
      </c>
      <c r="F37" s="181">
        <v>0</v>
      </c>
      <c r="G37" s="181">
        <f>($C$31*$C$33)*'ESS Jul 2018'!AE23/100</f>
        <v>95.82</v>
      </c>
      <c r="H37" s="183">
        <f t="shared" ref="H37:H52" si="4">SUM(C37:G37)</f>
        <v>641.47</v>
      </c>
      <c r="I37" s="202">
        <f t="shared" ref="I37:I52" si="5">(H37*4)*1.1</f>
        <v>2822.4680000000003</v>
      </c>
    </row>
    <row r="38" spans="1:9" x14ac:dyDescent="0.3">
      <c r="A38" s="179" t="str">
        <f>'ESS Jul 2018'!K24</f>
        <v>Alinta Energy</v>
      </c>
      <c r="B38" s="180">
        <f>'ESS Jul 2018'!G24</f>
        <v>41852</v>
      </c>
      <c r="C38" s="181">
        <f>91*'ESS Jul 2018'!M24/100</f>
        <v>141.05000000000001</v>
      </c>
      <c r="D38" s="181">
        <f>($C$31*$C$32)*'ESS Jul 2018'!N24/100</f>
        <v>413.84</v>
      </c>
      <c r="E38" s="182">
        <v>0</v>
      </c>
      <c r="F38" s="181">
        <v>0</v>
      </c>
      <c r="G38" s="181">
        <f>($C$31*$C$33)*'ESS Jul 2018'!AE24/100</f>
        <v>81</v>
      </c>
      <c r="H38" s="183">
        <f t="shared" si="4"/>
        <v>635.89</v>
      </c>
      <c r="I38" s="202">
        <f t="shared" si="5"/>
        <v>2797.9160000000002</v>
      </c>
    </row>
    <row r="39" spans="1:9" x14ac:dyDescent="0.3">
      <c r="A39" s="179" t="str">
        <f>'ESS Jul 2018'!K25</f>
        <v>Click Energy</v>
      </c>
      <c r="B39" s="180">
        <f>'ESS Jul 2018'!G25</f>
        <v>41880</v>
      </c>
      <c r="C39" s="181">
        <f>91*'ESS Jul 2018'!M25/100</f>
        <v>147.41999999999999</v>
      </c>
      <c r="D39" s="181">
        <f>($C$31*$C$32)*'ESS Jul 2018'!N25/100</f>
        <v>555.80000000000007</v>
      </c>
      <c r="E39" s="182">
        <v>0</v>
      </c>
      <c r="F39" s="181">
        <v>0</v>
      </c>
      <c r="G39" s="181">
        <f>($C$31*$C$33)*'ESS Jul 2018'!AE25/100</f>
        <v>157.80000000000001</v>
      </c>
      <c r="H39" s="183">
        <f t="shared" si="4"/>
        <v>861.02</v>
      </c>
      <c r="I39" s="202">
        <f t="shared" si="5"/>
        <v>3788.4880000000003</v>
      </c>
    </row>
    <row r="40" spans="1:9" x14ac:dyDescent="0.3">
      <c r="A40" s="179" t="str">
        <f>'ESS Jul 2018'!K26</f>
        <v>Commander</v>
      </c>
      <c r="B40" s="180">
        <f>'ESS Jul 2018'!G26</f>
        <v>41639</v>
      </c>
      <c r="C40" s="181">
        <f>91*'ESS Jul 2018'!M26/100</f>
        <v>175.41159999999999</v>
      </c>
      <c r="D40" s="181">
        <f>IF($C$31*$C$32&gt;='ESS Jul 2018'!P26,('ESS Jul 2018'!P26*'ESS Jul 2018'!N26/100),(($C$31*$C$32)*'ESS Jul 2018'!N26/100))</f>
        <v>528.78000000000009</v>
      </c>
      <c r="E40" s="182">
        <f>IF($C$31*$C$32&lt;'ESS Jul 2018'!P26,0,IF(($C$31*$C$32)&lt;='ESS Jul 2018'!R26,(($C$31*$C$32-'ESS Jul 2018'!P26)*'ESS Jul 2018'!Q26/100),(('ESS Jul 2018'!R26-'ESS Jul 2018'!P26)*'ESS Jul 2018'!Q26/100)))</f>
        <v>0</v>
      </c>
      <c r="F40" s="181">
        <f>IF(($C$31*$C$32&lt;'ESS Jul 2018'!R26),(0),($C$31*$C$32-'ESS Jul 2018'!R26)*'ESS Jul 2018'!S26/100)</f>
        <v>0</v>
      </c>
      <c r="G40" s="181">
        <f>($C$31*$C$33)*'ESS Jul 2018'!AE26/100</f>
        <v>111.54</v>
      </c>
      <c r="H40" s="183">
        <f t="shared" si="4"/>
        <v>815.73160000000007</v>
      </c>
      <c r="I40" s="202">
        <f t="shared" si="5"/>
        <v>3589.2190400000004</v>
      </c>
    </row>
    <row r="41" spans="1:9" x14ac:dyDescent="0.3">
      <c r="A41" s="179" t="str">
        <f>'ESS Jul 2018'!K27</f>
        <v>CovaU</v>
      </c>
      <c r="B41" s="180">
        <f>'ESS Jul 2018'!G27</f>
        <v>41820</v>
      </c>
      <c r="C41" s="181">
        <f>91*'ESS Jul 2018'!M27/100</f>
        <v>165.24689999999998</v>
      </c>
      <c r="D41" s="181">
        <f>($C$31*$C$32)*'ESS Jul 2018'!N27/100</f>
        <v>406</v>
      </c>
      <c r="E41" s="182">
        <v>0</v>
      </c>
      <c r="F41" s="181">
        <v>0</v>
      </c>
      <c r="G41" s="181">
        <f>($C$31*$C$33)*'ESS Jul 2018'!AE27/100</f>
        <v>117.9</v>
      </c>
      <c r="H41" s="183">
        <f t="shared" si="4"/>
        <v>689.14689999999996</v>
      </c>
      <c r="I41" s="202">
        <f t="shared" si="5"/>
        <v>3032.2463600000001</v>
      </c>
    </row>
    <row r="42" spans="1:9" x14ac:dyDescent="0.3">
      <c r="A42" s="179" t="str">
        <f>'ESS Jul 2018'!K28</f>
        <v>Diamond Energy</v>
      </c>
      <c r="B42" s="180">
        <f>'ESS Jul 2018'!G28</f>
        <v>41820</v>
      </c>
      <c r="C42" s="181">
        <f>91*'ESS Jul 2018'!M28/100</f>
        <v>150.24100000000001</v>
      </c>
      <c r="D42" s="181">
        <f>IF($C$31*$C$32&gt;='ESS Jul 2018'!P28,('ESS Jul 2018'!P28*'ESS Jul 2018'!N28/100),(($C$31*$C$32)*'ESS Jul 2018'!N28/100))</f>
        <v>77.91</v>
      </c>
      <c r="E42" s="182">
        <f>IF($C$31*$C$32&lt;'ESS Jul 2018'!P28,0,IF(($C$31*$C$32)&lt;='ESS Jul 2018'!R28,(($C$31*$C$32-'ESS Jul 2018'!P28)*'ESS Jul 2018'!Q28/100),(('ESS Jul 2018'!R28-'ESS Jul 2018'!P28)*'ESS Jul 2018'!Q28/100)))</f>
        <v>201.31200000000001</v>
      </c>
      <c r="F42" s="181">
        <f>IF(($C$31*$C$32&lt;'ESS Jul 2018'!R28),(0),($C$31*$C$32-'ESS Jul 2018'!R28)*'ESS Jul 2018'!S28/100)</f>
        <v>117.38200000000001</v>
      </c>
      <c r="G42" s="181">
        <f>($C$31*$C$33)*'ESS Jul 2018'!AE28/100</f>
        <v>89.4</v>
      </c>
      <c r="H42" s="183">
        <f t="shared" si="4"/>
        <v>636.245</v>
      </c>
      <c r="I42" s="202">
        <f t="shared" si="5"/>
        <v>2799.4780000000001</v>
      </c>
    </row>
    <row r="43" spans="1:9" x14ac:dyDescent="0.3">
      <c r="A43" s="179" t="str">
        <f>'ESS Jul 2018'!K29</f>
        <v>Dodo Power &amp; Gas</v>
      </c>
      <c r="B43" s="180">
        <f>'ESS Jul 2018'!G29</f>
        <v>41639</v>
      </c>
      <c r="C43" s="181">
        <f>91*'ESS Jul 2018'!M29/100</f>
        <v>168.66849999999999</v>
      </c>
      <c r="D43" s="181">
        <f>IF($C$31*$C$32&gt;='ESS Jul 2018'!P29,('ESS Jul 2018'!P29*'ESS Jul 2018'!N29/100),(($C$31*$C$32)*'ESS Jul 2018'!N29/100))</f>
        <v>508.48</v>
      </c>
      <c r="E43" s="182">
        <f>IF($C$31*$C$32&lt;'ESS Jul 2018'!P29,0,IF(($C$31*$C$32)&lt;='ESS Jul 2018'!R29,(($C$31*$C$32-'ESS Jul 2018'!P29)*'ESS Jul 2018'!Q29/100),(('ESS Jul 2018'!R29-'ESS Jul 2018'!P29)*'ESS Jul 2018'!Q29/100)))</f>
        <v>0</v>
      </c>
      <c r="F43" s="181">
        <f>IF(($C$31*$C$32&lt;'ESS Jul 2018'!R29),(0),($C$31*$C$32-'ESS Jul 2018'!R29)*'ESS Jul 2018'!S29/100)</f>
        <v>0</v>
      </c>
      <c r="G43" s="181">
        <f>($C$31*$C$33)*'ESS Jul 2018'!AE29/100</f>
        <v>107.28</v>
      </c>
      <c r="H43" s="183">
        <f t="shared" si="4"/>
        <v>784.42849999999999</v>
      </c>
      <c r="I43" s="202">
        <f t="shared" si="5"/>
        <v>3451.4854</v>
      </c>
    </row>
    <row r="44" spans="1:9" x14ac:dyDescent="0.3">
      <c r="A44" s="179" t="str">
        <f>'ESS Jul 2018'!K30</f>
        <v>EnergyAustralia</v>
      </c>
      <c r="B44" s="180">
        <f>'ESS Jul 2018'!G30</f>
        <v>41640</v>
      </c>
      <c r="C44" s="181">
        <f>91*'ESS Jul 2018'!M30/100</f>
        <v>142.87</v>
      </c>
      <c r="D44" s="181">
        <f>($C$31*$C$32)*'ESS Jul 2018'!N30/100</f>
        <v>443.94</v>
      </c>
      <c r="E44" s="182">
        <v>0</v>
      </c>
      <c r="F44" s="181">
        <v>0</v>
      </c>
      <c r="G44" s="181">
        <f>($C$31*$C$33)*'ESS Jul 2018'!AE30/100</f>
        <v>75.719999999999985</v>
      </c>
      <c r="H44" s="183">
        <f t="shared" si="4"/>
        <v>662.53</v>
      </c>
      <c r="I44" s="202">
        <f t="shared" si="5"/>
        <v>2915.1320000000001</v>
      </c>
    </row>
    <row r="45" spans="1:9" x14ac:dyDescent="0.3">
      <c r="A45" s="179" t="str">
        <f>'ESS Jul 2018'!K31</f>
        <v>Mojo Power</v>
      </c>
      <c r="B45" s="180">
        <f>'ESS Jul 2018'!G31</f>
        <v>41468</v>
      </c>
      <c r="C45" s="181">
        <f>91*'ESS Jul 2018'!M31/100</f>
        <v>226.53540000000001</v>
      </c>
      <c r="D45" s="181">
        <f>($C$31*$C$32)*'ESS Jul 2018'!N31/100</f>
        <v>355.74</v>
      </c>
      <c r="E45" s="182">
        <v>0</v>
      </c>
      <c r="F45" s="181">
        <v>0</v>
      </c>
      <c r="G45" s="181">
        <f>($C$31*$C$33)*'ESS Jul 2018'!AE31/100</f>
        <v>88.38</v>
      </c>
      <c r="H45" s="183">
        <f t="shared" si="4"/>
        <v>670.65539999999999</v>
      </c>
      <c r="I45" s="202">
        <f t="shared" si="5"/>
        <v>2950.8837600000002</v>
      </c>
    </row>
    <row r="46" spans="1:9" x14ac:dyDescent="0.3">
      <c r="A46" s="179" t="str">
        <f>'ESS Jul 2018'!K32</f>
        <v>Momentum Energy</v>
      </c>
      <c r="B46" s="180">
        <f>'ESS Jul 2018'!G32</f>
        <v>41820</v>
      </c>
      <c r="C46" s="181">
        <f>91*'ESS Jul 2018'!M32/100</f>
        <v>140.34929999999997</v>
      </c>
      <c r="D46" s="181">
        <f>IF($C$31*$C$32&gt;='ESS Jul 2018'!P32,('ESS Jul 2018'!P32*'ESS Jul 2018'!N32/100),(($C$31*$C$32)*'ESS Jul 2018'!N32/100))</f>
        <v>170.16</v>
      </c>
      <c r="E46" s="182">
        <f>IF($C$31*$C$32&lt;'ESS Jul 2018'!P32,0,IF(($C$31*$C$32)&lt;='ESS Jul 2018'!R32,(($C$31*$C$32-'ESS Jul 2018'!P32)*'ESS Jul 2018'!Q32/100),(('ESS Jul 2018'!R32-'ESS Jul 2018'!P32)*'ESS Jul 2018'!Q32/100)))</f>
        <v>0</v>
      </c>
      <c r="F46" s="181">
        <f>IF(($C$31*$C$32&lt;'ESS Jul 2018'!R32),(0),($C$31*$C$32-'ESS Jul 2018'!R32)*'ESS Jul 2018'!S32/100)</f>
        <v>270.64</v>
      </c>
      <c r="G46" s="181">
        <f>($C$31*$C$33)*'ESS Jul 2018'!AE32/100</f>
        <v>95.52</v>
      </c>
      <c r="H46" s="183">
        <f t="shared" si="4"/>
        <v>676.66929999999991</v>
      </c>
      <c r="I46" s="202">
        <f t="shared" si="5"/>
        <v>2977.34492</v>
      </c>
    </row>
    <row r="47" spans="1:9" x14ac:dyDescent="0.3">
      <c r="A47" s="179" t="str">
        <f>'ESS Jul 2018'!K33</f>
        <v>Origin Energy</v>
      </c>
      <c r="B47" s="180">
        <f>'ESS Jul 2018'!G33</f>
        <v>41820</v>
      </c>
      <c r="C47" s="181">
        <f>91*'ESS Jul 2018'!M33/100</f>
        <v>140.60409999999999</v>
      </c>
      <c r="D47" s="181">
        <f>($C$31*$C$32)*'ESS Jul 2018'!N33/100</f>
        <v>398.58</v>
      </c>
      <c r="E47" s="182">
        <v>0</v>
      </c>
      <c r="F47" s="181">
        <v>0</v>
      </c>
      <c r="G47" s="181">
        <f>($C$31*$C$33)*'ESS Jul 2018'!AE33/100</f>
        <v>90.6</v>
      </c>
      <c r="H47" s="183">
        <f t="shared" si="4"/>
        <v>629.78409999999997</v>
      </c>
      <c r="I47" s="202">
        <f t="shared" si="5"/>
        <v>2771.0500400000001</v>
      </c>
    </row>
    <row r="48" spans="1:9" x14ac:dyDescent="0.3">
      <c r="A48" s="179" t="str">
        <f>'ESS Jul 2018'!K34</f>
        <v>Powerdirect</v>
      </c>
      <c r="B48" s="180">
        <f>'ESS Jul 2018'!G34</f>
        <v>41823</v>
      </c>
      <c r="C48" s="181">
        <f>91*'ESS Jul 2018'!M34/100</f>
        <v>141.05000000000001</v>
      </c>
      <c r="D48" s="181">
        <f>($C$31*$C$32)*'ESS Jul 2018'!N34/100</f>
        <v>404.6</v>
      </c>
      <c r="E48" s="182">
        <v>0</v>
      </c>
      <c r="F48" s="181">
        <v>0</v>
      </c>
      <c r="G48" s="181">
        <f>($C$31*$C$33)*'ESS Jul 2018'!AE34/100</f>
        <v>95.82</v>
      </c>
      <c r="H48" s="183">
        <f t="shared" si="4"/>
        <v>641.47</v>
      </c>
      <c r="I48" s="202">
        <f t="shared" si="5"/>
        <v>2822.4680000000003</v>
      </c>
    </row>
    <row r="49" spans="1:9" x14ac:dyDescent="0.3">
      <c r="A49" s="179" t="str">
        <f>'ESS Jul 2018'!K35</f>
        <v>Powershop</v>
      </c>
      <c r="B49" s="180">
        <f>'ESS Jul 2018'!G35</f>
        <v>41820</v>
      </c>
      <c r="C49" s="181">
        <f>91*'ESS Jul 2018'!M35/100</f>
        <v>148.02969999999999</v>
      </c>
      <c r="D49" s="181">
        <f>($C$31*$C$32)*'ESS Jul 2018'!N35/100</f>
        <v>360.78</v>
      </c>
      <c r="E49" s="182">
        <v>0</v>
      </c>
      <c r="F49" s="181">
        <v>0</v>
      </c>
      <c r="G49" s="181">
        <f>($C$31*$C$33)*'ESS Jul 2018'!AE35/100</f>
        <v>98.34</v>
      </c>
      <c r="H49" s="183">
        <f t="shared" si="4"/>
        <v>607.14969999999994</v>
      </c>
      <c r="I49" s="202">
        <f t="shared" si="5"/>
        <v>2671.4586799999997</v>
      </c>
    </row>
    <row r="50" spans="1:9" x14ac:dyDescent="0.3">
      <c r="A50" s="179" t="str">
        <f>'ESS Jul 2018'!K36</f>
        <v>Red Energy</v>
      </c>
      <c r="B50" s="180">
        <f>'ESS Jul 2018'!G36</f>
        <v>41852</v>
      </c>
      <c r="C50" s="181">
        <f>91*'ESS Jul 2018'!M36/100</f>
        <v>132.73260000000002</v>
      </c>
      <c r="D50" s="181">
        <f>IF($C$31*$C$32&gt;='ESS Jul 2018'!P36,('ESS Jul 2018'!P36*'ESS Jul 2018'!N36/100),(($C$31*$C$32)*'ESS Jul 2018'!N36/100))</f>
        <v>295.8</v>
      </c>
      <c r="E50" s="182">
        <f>IF($C$31*$C$32&lt;'ESS Jul 2018'!P36,0,IF(($C$31*$C$32)&lt;='ESS Jul 2018'!R36,(($C$31*$C$32-'ESS Jul 2018'!P36)*'ESS Jul 2018'!Q36/100),(('ESS Jul 2018'!R36-'ESS Jul 2018'!P36)*'ESS Jul 2018'!Q36/100)))</f>
        <v>116.28</v>
      </c>
      <c r="F50" s="181">
        <f>IF(($C$31*$C$32&lt;'ESS Jul 2018'!R36),(0),($C$31*$C$32-'ESS Jul 2018'!R36)*'ESS Jul 2018'!S36/100)</f>
        <v>0</v>
      </c>
      <c r="G50" s="181">
        <f>($C$31*$C$33)*'ESS Jul 2018'!AE36/100</f>
        <v>80.219999999999985</v>
      </c>
      <c r="H50" s="183">
        <f t="shared" si="4"/>
        <v>625.0326</v>
      </c>
      <c r="I50" s="202">
        <f t="shared" si="5"/>
        <v>2750.1434400000003</v>
      </c>
    </row>
    <row r="51" spans="1:9" x14ac:dyDescent="0.3">
      <c r="A51" s="179" t="str">
        <f>'ESS Jul 2018'!K37</f>
        <v>Simply Energy</v>
      </c>
      <c r="B51" s="180">
        <f>'ESS Jul 2018'!G37</f>
        <v>41822</v>
      </c>
      <c r="C51" s="181">
        <f>91*'ESS Jul 2018'!M37/100</f>
        <v>132.38679999999999</v>
      </c>
      <c r="D51" s="181">
        <f>($C$31*$C$32)*'ESS Jul 2018'!N37/100</f>
        <v>384.58</v>
      </c>
      <c r="E51" s="182">
        <v>0</v>
      </c>
      <c r="F51" s="181">
        <v>0</v>
      </c>
      <c r="G51" s="181">
        <f>($C$31*$C$33)*'ESS Jul 2018'!AE37/100</f>
        <v>82.44</v>
      </c>
      <c r="H51" s="183">
        <f t="shared" si="4"/>
        <v>599.40679999999998</v>
      </c>
      <c r="I51" s="202">
        <f t="shared" si="5"/>
        <v>2637.3899200000001</v>
      </c>
    </row>
    <row r="52" spans="1:9" x14ac:dyDescent="0.3">
      <c r="A52" s="179" t="str">
        <f>'ESS Jul 2018'!K38</f>
        <v>Sumo Power</v>
      </c>
      <c r="B52" s="180">
        <f>'ESS Jul 2018'!G38</f>
        <v>41884</v>
      </c>
      <c r="C52" s="181">
        <f>91*'ESS Jul 2018'!M38/100</f>
        <v>175.20230000000001</v>
      </c>
      <c r="D52" s="181">
        <f>($C$31*$C$32)*'ESS Jul 2018'!N38/100</f>
        <v>477.82</v>
      </c>
      <c r="E52" s="182">
        <v>0</v>
      </c>
      <c r="F52" s="181">
        <v>0</v>
      </c>
      <c r="G52" s="181">
        <f>($C$31*$C$33)*'ESS Jul 2018'!AE38/100</f>
        <v>85.090909090909079</v>
      </c>
      <c r="H52" s="183">
        <f t="shared" si="4"/>
        <v>738.11320909090909</v>
      </c>
      <c r="I52" s="202">
        <f t="shared" si="5"/>
        <v>3247.6981200000005</v>
      </c>
    </row>
    <row r="53" spans="1:9" x14ac:dyDescent="0.3">
      <c r="A53" s="179" t="str">
        <f>'ESS Jul 2018'!K39</f>
        <v>1st Energy</v>
      </c>
      <c r="B53" s="180">
        <f>'ESS Jul 2018'!G39</f>
        <v>41820</v>
      </c>
      <c r="C53" s="181">
        <f>91*'ESS Jul 2018'!M39/100</f>
        <v>152.73439999999999</v>
      </c>
      <c r="D53" s="181">
        <f>($C$31*$C$32)*'ESS Jul 2018'!N39/100</f>
        <v>532.55999999999995</v>
      </c>
      <c r="E53" s="182">
        <v>0</v>
      </c>
      <c r="F53" s="181">
        <v>0</v>
      </c>
      <c r="G53" s="181">
        <f>($C$31*$C$33)*'ESS Jul 2018'!AE39/100</f>
        <v>111.6</v>
      </c>
      <c r="H53" s="183">
        <f t="shared" ref="H53:H55" si="6">SUM(C53:G53)</f>
        <v>796.89440000000002</v>
      </c>
      <c r="I53" s="202">
        <f t="shared" ref="I53:I55" si="7">(H53*4)*1.1</f>
        <v>3506.3353600000005</v>
      </c>
    </row>
    <row r="54" spans="1:9" x14ac:dyDescent="0.3">
      <c r="A54" s="179" t="str">
        <f>'ESS Jul 2018'!K40</f>
        <v>Amaysim</v>
      </c>
      <c r="B54" s="180">
        <f>'ESS Jul 2018'!G40</f>
        <v>41880</v>
      </c>
      <c r="C54" s="181">
        <f>91*'ESS Jul 2018'!M40/100</f>
        <v>147.41999999999999</v>
      </c>
      <c r="D54" s="181">
        <f>($C$31*$C$32)*'ESS Jul 2018'!N40/100</f>
        <v>594.02</v>
      </c>
      <c r="E54" s="182">
        <v>0</v>
      </c>
      <c r="F54" s="181">
        <v>0</v>
      </c>
      <c r="G54" s="181">
        <f>($C$31*$C$33)*'ESS Jul 2018'!AE40/100</f>
        <v>157.80000000000001</v>
      </c>
      <c r="H54" s="183">
        <f t="shared" si="6"/>
        <v>899.24</v>
      </c>
      <c r="I54" s="202">
        <f t="shared" si="7"/>
        <v>3956.6560000000004</v>
      </c>
    </row>
    <row r="55" spans="1:9" ht="14" thickBot="1" x14ac:dyDescent="0.35">
      <c r="A55" s="184" t="str">
        <f>'ESS Jul 2018'!K41</f>
        <v>Q Energy</v>
      </c>
      <c r="B55" s="185">
        <f>'ESS Jul 2018'!G41</f>
        <v>41682</v>
      </c>
      <c r="C55" s="186">
        <f>91*'ESS Jul 2018'!M41/100</f>
        <v>146.14600000000002</v>
      </c>
      <c r="D55" s="186">
        <f>($C$31*$C$32)*'ESS Jul 2018'!N41/100</f>
        <v>539.55999999999995</v>
      </c>
      <c r="E55" s="187">
        <v>0</v>
      </c>
      <c r="F55" s="186">
        <v>0</v>
      </c>
      <c r="G55" s="186">
        <f>($C$31*$C$33)*'ESS Jul 2018'!AE41/100</f>
        <v>165.42</v>
      </c>
      <c r="H55" s="188">
        <f t="shared" si="6"/>
        <v>851.12599999999986</v>
      </c>
      <c r="I55" s="203">
        <f t="shared" si="7"/>
        <v>3744.9543999999996</v>
      </c>
    </row>
    <row r="56" spans="1:9" s="233" customFormat="1" x14ac:dyDescent="0.3"/>
    <row r="57" spans="1:9" ht="14" thickBot="1" x14ac:dyDescent="0.35"/>
    <row r="58" spans="1:9" ht="14" x14ac:dyDescent="0.3">
      <c r="A58" s="176" t="s">
        <v>94</v>
      </c>
      <c r="B58" s="91"/>
      <c r="C58" s="91"/>
      <c r="D58" s="91"/>
      <c r="E58" s="91"/>
      <c r="F58" s="91"/>
      <c r="G58" s="91"/>
      <c r="H58" s="91"/>
      <c r="I58" s="177"/>
    </row>
    <row r="59" spans="1:9" ht="14" x14ac:dyDescent="0.3">
      <c r="A59" s="92" t="s">
        <v>79</v>
      </c>
      <c r="B59" s="93"/>
      <c r="C59" s="189">
        <v>1800</v>
      </c>
      <c r="D59" s="93"/>
      <c r="E59" s="93"/>
      <c r="F59" s="93"/>
      <c r="G59" s="93"/>
      <c r="H59" s="93"/>
      <c r="I59" s="178"/>
    </row>
    <row r="60" spans="1:9" ht="14" x14ac:dyDescent="0.3">
      <c r="A60" s="92" t="s">
        <v>91</v>
      </c>
      <c r="B60" s="93"/>
      <c r="C60" s="190">
        <v>0.2</v>
      </c>
      <c r="D60" s="93"/>
      <c r="E60" s="93"/>
      <c r="F60" s="93"/>
      <c r="G60" s="93"/>
      <c r="H60" s="93"/>
      <c r="I60" s="178"/>
    </row>
    <row r="61" spans="1:9" ht="14" x14ac:dyDescent="0.3">
      <c r="A61" s="92" t="s">
        <v>95</v>
      </c>
      <c r="B61" s="93"/>
      <c r="C61" s="190">
        <v>0.5</v>
      </c>
      <c r="D61" s="93"/>
      <c r="E61" s="93"/>
      <c r="F61" s="93"/>
      <c r="G61" s="93"/>
      <c r="H61" s="93"/>
      <c r="I61" s="178"/>
    </row>
    <row r="62" spans="1:9" ht="14" x14ac:dyDescent="0.3">
      <c r="A62" s="92" t="s">
        <v>92</v>
      </c>
      <c r="B62" s="93"/>
      <c r="C62" s="190">
        <v>0.3</v>
      </c>
      <c r="D62" s="93"/>
      <c r="E62" s="93"/>
      <c r="F62" s="93"/>
      <c r="G62" s="93"/>
      <c r="H62" s="93"/>
      <c r="I62" s="178"/>
    </row>
    <row r="63" spans="1:9" ht="14" x14ac:dyDescent="0.3">
      <c r="A63" s="166"/>
      <c r="B63" s="93"/>
      <c r="C63" s="167"/>
      <c r="D63" s="93"/>
      <c r="E63" s="93"/>
      <c r="F63" s="93"/>
      <c r="G63" s="93"/>
      <c r="H63" s="93"/>
      <c r="I63" s="178"/>
    </row>
    <row r="64" spans="1:9" ht="28" x14ac:dyDescent="0.3">
      <c r="A64" s="301" t="s">
        <v>80</v>
      </c>
      <c r="B64" s="298" t="s">
        <v>81</v>
      </c>
      <c r="C64" s="298" t="s">
        <v>82</v>
      </c>
      <c r="D64" s="298" t="s">
        <v>96</v>
      </c>
      <c r="E64" s="298" t="s">
        <v>86</v>
      </c>
      <c r="F64" s="298" t="s">
        <v>97</v>
      </c>
      <c r="G64" s="298" t="s">
        <v>98</v>
      </c>
      <c r="H64" s="298" t="s">
        <v>87</v>
      </c>
      <c r="I64" s="300" t="s">
        <v>88</v>
      </c>
    </row>
    <row r="65" spans="1:9" x14ac:dyDescent="0.3">
      <c r="A65" s="179" t="str">
        <f>'ESS Jul 2018'!K42</f>
        <v>Energy Locals</v>
      </c>
      <c r="B65" s="180">
        <f>'ESS Jul 2018'!G42</f>
        <v>41829</v>
      </c>
      <c r="C65" s="181">
        <f>91*'ESS Jul 2018'!M42/100</f>
        <v>134.68</v>
      </c>
      <c r="D65" s="181">
        <f>($C$59*$C$60)*'ESS Jul 2018'!N42/100</f>
        <v>97.164000000000001</v>
      </c>
      <c r="E65" s="181">
        <v>0</v>
      </c>
      <c r="F65" s="181">
        <f>($C$59*$C$61)*'ESS Jul 2018'!AH42/100</f>
        <v>233.91</v>
      </c>
      <c r="G65" s="181">
        <f>($C$59*$C$62)*'ESS Jul 2018'!W42/100</f>
        <v>97.145999999999987</v>
      </c>
      <c r="H65" s="183">
        <f>SUM(C65:G65)</f>
        <v>562.9</v>
      </c>
      <c r="I65" s="202">
        <f>(H65*4)*1.1</f>
        <v>2476.7600000000002</v>
      </c>
    </row>
    <row r="66" spans="1:9" x14ac:dyDescent="0.3">
      <c r="A66" s="179" t="str">
        <f>'ESS Jul 2018'!K43</f>
        <v>AGL</v>
      </c>
      <c r="B66" s="180">
        <f>'ESS Jul 2018'!G43</f>
        <v>41820</v>
      </c>
      <c r="C66" s="181">
        <f>91*'ESS Jul 2018'!M43/100</f>
        <v>129.22</v>
      </c>
      <c r="D66" s="181">
        <f>($C$59*$C$60)*'ESS Jul 2018'!N43/100</f>
        <v>129.34799999999998</v>
      </c>
      <c r="E66" s="181">
        <v>0</v>
      </c>
      <c r="F66" s="181">
        <f>($C$59*$C$61)*'ESS Jul 2018'!AH43/100</f>
        <v>314.37</v>
      </c>
      <c r="G66" s="181">
        <f>($C$59*$C$62)*'ESS Jul 2018'!W43/100</f>
        <v>102.384</v>
      </c>
      <c r="H66" s="183">
        <f t="shared" ref="H66:H81" si="8">SUM(C66:G66)</f>
        <v>675.322</v>
      </c>
      <c r="I66" s="202">
        <f t="shared" ref="I66:I81" si="9">(H66*4)*1.1</f>
        <v>2971.4168000000004</v>
      </c>
    </row>
    <row r="67" spans="1:9" x14ac:dyDescent="0.3">
      <c r="A67" s="179" t="str">
        <f>'ESS Jul 2018'!K44</f>
        <v>Alinta Energy</v>
      </c>
      <c r="B67" s="180">
        <f>'ESS Jul 2018'!G44</f>
        <v>41852</v>
      </c>
      <c r="C67" s="181">
        <f>91*'ESS Jul 2018'!M44/100</f>
        <v>128.76499999999999</v>
      </c>
      <c r="D67" s="181">
        <f>($C$59*$C$60)*'ESS Jul 2018'!N44/100</f>
        <v>129.6</v>
      </c>
      <c r="E67" s="181">
        <v>0</v>
      </c>
      <c r="F67" s="181">
        <f>($C$59*$C$61)*'ESS Jul 2018'!AH44/100</f>
        <v>306</v>
      </c>
      <c r="G67" s="181">
        <f>($C$59*$C$62)*'ESS Jul 2018'!W44/100</f>
        <v>107.89200000000001</v>
      </c>
      <c r="H67" s="183">
        <f t="shared" si="8"/>
        <v>672.25700000000006</v>
      </c>
      <c r="I67" s="202">
        <f t="shared" si="9"/>
        <v>2957.9308000000005</v>
      </c>
    </row>
    <row r="68" spans="1:9" x14ac:dyDescent="0.3">
      <c r="A68" s="179" t="str">
        <f>'ESS Jul 2018'!K45</f>
        <v>Click Energy</v>
      </c>
      <c r="B68" s="180">
        <f>'ESS Jul 2018'!G45</f>
        <v>41880</v>
      </c>
      <c r="C68" s="181">
        <f>91*'ESS Jul 2018'!M45/100</f>
        <v>133.77000000000001</v>
      </c>
      <c r="D68" s="181">
        <f>($C$59*$C$60)*'ESS Jul 2018'!N45/100</f>
        <v>155.16</v>
      </c>
      <c r="E68" s="181">
        <v>0</v>
      </c>
      <c r="F68" s="181">
        <f>($C$59*$C$61)*'ESS Jul 2018'!AH45/100</f>
        <v>373.5</v>
      </c>
      <c r="G68" s="181">
        <f>($C$59*$C$62)*'ESS Jul 2018'!W45/100</f>
        <v>162</v>
      </c>
      <c r="H68" s="183">
        <f t="shared" si="8"/>
        <v>824.43000000000006</v>
      </c>
      <c r="I68" s="202">
        <f t="shared" si="9"/>
        <v>3627.4920000000006</v>
      </c>
    </row>
    <row r="69" spans="1:9" x14ac:dyDescent="0.3">
      <c r="A69" s="179" t="str">
        <f>'ESS Jul 2018'!K46</f>
        <v>Commander</v>
      </c>
      <c r="B69" s="180">
        <f>'ESS Jul 2018'!G46</f>
        <v>41639</v>
      </c>
      <c r="C69" s="181">
        <f>91*'ESS Jul 2018'!M46/100</f>
        <v>160.8425</v>
      </c>
      <c r="D69" s="181">
        <f>($C$59*$C$60)*'ESS Jul 2018'!N46/100</f>
        <v>165.16800000000001</v>
      </c>
      <c r="E69" s="181">
        <v>0</v>
      </c>
      <c r="F69" s="181">
        <f>($C$59*$C$61)*'ESS Jul 2018'!AH46/100</f>
        <v>396.36</v>
      </c>
      <c r="G69" s="181">
        <f>($C$59*$C$62)*'ESS Jul 2018'!W46/100</f>
        <v>129.22200000000001</v>
      </c>
      <c r="H69" s="183">
        <f t="shared" si="8"/>
        <v>851.59249999999997</v>
      </c>
      <c r="I69" s="202">
        <f t="shared" si="9"/>
        <v>3747.0070000000001</v>
      </c>
    </row>
    <row r="70" spans="1:9" x14ac:dyDescent="0.3">
      <c r="A70" s="179" t="str">
        <f>'ESS Jul 2018'!K47</f>
        <v>CovaU</v>
      </c>
      <c r="B70" s="180">
        <f>'ESS Jul 2018'!G47</f>
        <v>41820</v>
      </c>
      <c r="C70" s="181">
        <f>91*'ESS Jul 2018'!M47/100</f>
        <v>154.70910000000001</v>
      </c>
      <c r="D70" s="181">
        <f>($C$59*$C$60)*'ESS Jul 2018'!N47/100</f>
        <v>126</v>
      </c>
      <c r="E70" s="181">
        <v>0</v>
      </c>
      <c r="F70" s="181">
        <f>($C$59*$C$61)*'ESS Jul 2018'!AH47/100</f>
        <v>297</v>
      </c>
      <c r="G70" s="181">
        <f>($C$59*$C$62)*'ESS Jul 2018'!W47/100</f>
        <v>178.2</v>
      </c>
      <c r="H70" s="183">
        <f t="shared" si="8"/>
        <v>755.90910000000008</v>
      </c>
      <c r="I70" s="202">
        <f t="shared" si="9"/>
        <v>3326.0000400000008</v>
      </c>
    </row>
    <row r="71" spans="1:9" x14ac:dyDescent="0.3">
      <c r="A71" s="179" t="str">
        <f>'ESS Jul 2018'!K48</f>
        <v>Diamond Energy</v>
      </c>
      <c r="B71" s="180">
        <f>'ESS Jul 2018'!G48</f>
        <v>41820</v>
      </c>
      <c r="C71" s="181">
        <f>91*'ESS Jul 2018'!M48/100</f>
        <v>136.40899999999999</v>
      </c>
      <c r="D71" s="181">
        <f>IF($C$59*$C$60&gt;='ESS Jul 2018'!P48,('ESS Jul 2018'!P48*'ESS Jul 2018'!N48/100),(($C$59*$C$60)*'ESS Jul 2018'!N48/100))</f>
        <v>116.06400000000002</v>
      </c>
      <c r="E71" s="181">
        <f>IF(($C$59*$C$60&lt;'ESS Jul 2018'!P48),(0),($C$59*$C$60-'ESS Jul 2018'!P48)*'ESS Jul 2018'!Q48/100)</f>
        <v>0</v>
      </c>
      <c r="F71" s="181">
        <f>($C$59*$C$61)*'ESS Jul 2018'!AH48/100</f>
        <v>285.48</v>
      </c>
      <c r="G71" s="181">
        <f>($C$59*$C$62)*'ESS Jul 2018'!W48/100</f>
        <v>104.706</v>
      </c>
      <c r="H71" s="183">
        <f t="shared" si="8"/>
        <v>642.65899999999999</v>
      </c>
      <c r="I71" s="202">
        <f t="shared" si="9"/>
        <v>2827.6996000000004</v>
      </c>
    </row>
    <row r="72" spans="1:9" x14ac:dyDescent="0.3">
      <c r="A72" s="179" t="str">
        <f>'ESS Jul 2018'!K49</f>
        <v>Dodo Power &amp; Gas</v>
      </c>
      <c r="B72" s="180">
        <f>'ESS Jul 2018'!G49</f>
        <v>41639</v>
      </c>
      <c r="C72" s="181">
        <f>91*'ESS Jul 2018'!M49/100</f>
        <v>154.65449999999998</v>
      </c>
      <c r="D72" s="181">
        <f>($C$59*$C$60)*'ESS Jul 2018'!N49/100</f>
        <v>158.83199999999999</v>
      </c>
      <c r="E72" s="181">
        <v>0</v>
      </c>
      <c r="F72" s="181">
        <f>($C$59*$C$61)*'ESS Jul 2018'!AH49/100</f>
        <v>381.15</v>
      </c>
      <c r="G72" s="181">
        <f>($C$59*$C$62)*'ESS Jul 2018'!W49/100</f>
        <v>124.2</v>
      </c>
      <c r="H72" s="183">
        <f t="shared" si="8"/>
        <v>818.8365</v>
      </c>
      <c r="I72" s="202">
        <f t="shared" si="9"/>
        <v>3602.8806000000004</v>
      </c>
    </row>
    <row r="73" spans="1:9" x14ac:dyDescent="0.3">
      <c r="A73" s="179" t="str">
        <f>'ESS Jul 2018'!K50</f>
        <v>EnergyAustralia</v>
      </c>
      <c r="B73" s="180">
        <f>'ESS Jul 2018'!G50</f>
        <v>41640</v>
      </c>
      <c r="C73" s="181">
        <f>91*'ESS Jul 2018'!M50/100</f>
        <v>131.768</v>
      </c>
      <c r="D73" s="181">
        <f>($C$59*$C$60)*'ESS Jul 2018'!N50/100</f>
        <v>129.852</v>
      </c>
      <c r="E73" s="181">
        <v>0</v>
      </c>
      <c r="F73" s="181">
        <f>($C$59*$C$61)*'ESS Jul 2018'!AH50/100</f>
        <v>304.56000000000006</v>
      </c>
      <c r="G73" s="181">
        <f>($C$59*$C$62)*'ESS Jul 2018'!W50/100</f>
        <v>100.54800000000002</v>
      </c>
      <c r="H73" s="183">
        <f t="shared" si="8"/>
        <v>666.72800000000007</v>
      </c>
      <c r="I73" s="202">
        <f t="shared" si="9"/>
        <v>2933.6032000000005</v>
      </c>
    </row>
    <row r="74" spans="1:9" x14ac:dyDescent="0.3">
      <c r="A74" s="179" t="str">
        <f>'ESS Jul 2018'!K51</f>
        <v>Mojo Power</v>
      </c>
      <c r="B74" s="180">
        <f>'ESS Jul 2018'!G51</f>
        <v>41468</v>
      </c>
      <c r="C74" s="181">
        <f>91*'ESS Jul 2018'!M51/100</f>
        <v>217.9177</v>
      </c>
      <c r="D74" s="181">
        <f>($C$59*$C$60)*'ESS Jul 2018'!N51/100</f>
        <v>114.91200000000001</v>
      </c>
      <c r="E74" s="181">
        <v>0</v>
      </c>
      <c r="F74" s="181">
        <f>($C$59*$C$61)*'ESS Jul 2018'!AH51/100</f>
        <v>263.07</v>
      </c>
      <c r="G74" s="181">
        <f>($C$59*$C$62)*'ESS Jul 2018'!W51/100</f>
        <v>91.151999999999987</v>
      </c>
      <c r="H74" s="183">
        <f t="shared" si="8"/>
        <v>687.05169999999998</v>
      </c>
      <c r="I74" s="202">
        <f t="shared" si="9"/>
        <v>3023.0274800000002</v>
      </c>
    </row>
    <row r="75" spans="1:9" x14ac:dyDescent="0.3">
      <c r="A75" s="179" t="str">
        <f>'ESS Jul 2018'!K52</f>
        <v>Momentum Energy</v>
      </c>
      <c r="B75" s="180">
        <f>'ESS Jul 2018'!G52</f>
        <v>41820</v>
      </c>
      <c r="C75" s="181">
        <f>91*'ESS Jul 2018'!M52/100</f>
        <v>128.583</v>
      </c>
      <c r="D75" s="181">
        <f>IF($C$59*$C$60&gt;='ESS Jul 2018'!P52,('ESS Jul 2018'!P52*'ESS Jul 2018'!N52/100),(($C$59*$C$60)*'ESS Jul 2018'!N52/100))</f>
        <v>128.952</v>
      </c>
      <c r="E75" s="181">
        <f>IF(($C$59*$C$60&lt;'ESS Jul 2018'!P52),(0),($C$59*$C$60-'ESS Jul 2018'!P52)*'ESS Jul 2018'!Q52/100)</f>
        <v>0</v>
      </c>
      <c r="F75" s="181">
        <f>($C$59*$C$61)*'ESS Jul 2018'!AH52/100</f>
        <v>313.47000000000003</v>
      </c>
      <c r="G75" s="181">
        <f>($C$59*$C$62)*'ESS Jul 2018'!W52/100</f>
        <v>104.22</v>
      </c>
      <c r="H75" s="183">
        <f t="shared" si="8"/>
        <v>675.22500000000002</v>
      </c>
      <c r="I75" s="202">
        <f t="shared" si="9"/>
        <v>2970.9900000000002</v>
      </c>
    </row>
    <row r="76" spans="1:9" x14ac:dyDescent="0.3">
      <c r="A76" s="179" t="str">
        <f>'ESS Jul 2018'!K53</f>
        <v>Origin Energy</v>
      </c>
      <c r="B76" s="180">
        <f>'ESS Jul 2018'!G53</f>
        <v>41820</v>
      </c>
      <c r="C76" s="181">
        <f>91*'ESS Jul 2018'!M53/100</f>
        <v>128.31909999999999</v>
      </c>
      <c r="D76" s="181">
        <f>($C$59*$C$60)*'ESS Jul 2018'!N53/100</f>
        <v>126.288</v>
      </c>
      <c r="E76" s="181">
        <v>0</v>
      </c>
      <c r="F76" s="181">
        <f>($C$59*$C$61)*'ESS Jul 2018'!AH53/100</f>
        <v>303.93000000000006</v>
      </c>
      <c r="G76" s="181">
        <f>($C$59*$C$62)*'ESS Jul 2018'!W53/100</f>
        <v>104.76</v>
      </c>
      <c r="H76" s="183">
        <f t="shared" si="8"/>
        <v>663.2971</v>
      </c>
      <c r="I76" s="202">
        <f t="shared" si="9"/>
        <v>2918.5072400000004</v>
      </c>
    </row>
    <row r="77" spans="1:9" x14ac:dyDescent="0.3">
      <c r="A77" s="179" t="str">
        <f>'ESS Jul 2018'!K54</f>
        <v>Powerdirect</v>
      </c>
      <c r="B77" s="180">
        <f>'ESS Jul 2018'!G54</f>
        <v>41823</v>
      </c>
      <c r="C77" s="181">
        <f>91*'ESS Jul 2018'!M54/100</f>
        <v>129.22</v>
      </c>
      <c r="D77" s="181">
        <f>($C$59*$C$60)*'ESS Jul 2018'!N54/100</f>
        <v>129.34799999999998</v>
      </c>
      <c r="E77" s="181">
        <v>0</v>
      </c>
      <c r="F77" s="181">
        <f>($C$59*$C$61)*'ESS Jul 2018'!AH54/100</f>
        <v>314.37</v>
      </c>
      <c r="G77" s="181">
        <f>($C$59*$C$62)*'ESS Jul 2018'!W54/100</f>
        <v>102.384</v>
      </c>
      <c r="H77" s="183">
        <f t="shared" si="8"/>
        <v>675.322</v>
      </c>
      <c r="I77" s="202">
        <f t="shared" si="9"/>
        <v>2971.4168000000004</v>
      </c>
    </row>
    <row r="78" spans="1:9" x14ac:dyDescent="0.3">
      <c r="A78" s="179" t="str">
        <f>'ESS Jul 2018'!K55</f>
        <v>Powershop</v>
      </c>
      <c r="B78" s="180">
        <f>'ESS Jul 2018'!G55</f>
        <v>41820</v>
      </c>
      <c r="C78" s="181">
        <f>91*'ESS Jul 2018'!M55/100</f>
        <v>137.137</v>
      </c>
      <c r="D78" s="181">
        <f>($C$59*$C$60)*'ESS Jul 2018'!N55/100</f>
        <v>108.79199999999999</v>
      </c>
      <c r="E78" s="181">
        <v>0</v>
      </c>
      <c r="F78" s="181">
        <f>($C$59*$C$61)*'ESS Jul 2018'!AH55/100</f>
        <v>244.71</v>
      </c>
      <c r="G78" s="181">
        <f>($C$59*$C$62)*'ESS Jul 2018'!W55/100</f>
        <v>109.35</v>
      </c>
      <c r="H78" s="183">
        <f t="shared" si="8"/>
        <v>599.98900000000003</v>
      </c>
      <c r="I78" s="202">
        <f t="shared" si="9"/>
        <v>2639.9516000000003</v>
      </c>
    </row>
    <row r="79" spans="1:9" x14ac:dyDescent="0.3">
      <c r="A79" s="179" t="str">
        <f>'ESS Jul 2018'!K56</f>
        <v>Red Energy</v>
      </c>
      <c r="B79" s="180">
        <f>'ESS Jul 2018'!G56</f>
        <v>41852</v>
      </c>
      <c r="C79" s="181">
        <f>91*'ESS Jul 2018'!M56/100</f>
        <v>121.5942</v>
      </c>
      <c r="D79" s="181">
        <f>($C$59*$C$60)*'ESS Jul 2018'!N56/100</f>
        <v>124.12799999999999</v>
      </c>
      <c r="E79" s="181">
        <v>0</v>
      </c>
      <c r="F79" s="181">
        <f>($C$59*$C$61)*'ESS Jul 2018'!AH56/100</f>
        <v>293.76</v>
      </c>
      <c r="G79" s="181">
        <f>($C$59*$C$62)*'ESS Jul 2018'!W56/100</f>
        <v>104.11200000000001</v>
      </c>
      <c r="H79" s="183">
        <f t="shared" si="8"/>
        <v>643.59419999999989</v>
      </c>
      <c r="I79" s="202">
        <f t="shared" si="9"/>
        <v>2831.8144799999995</v>
      </c>
    </row>
    <row r="80" spans="1:9" x14ac:dyDescent="0.3">
      <c r="A80" s="179" t="str">
        <f>'ESS Jul 2018'!K57</f>
        <v>Simply Energy</v>
      </c>
      <c r="B80" s="180">
        <f>'ESS Jul 2018'!G57</f>
        <v>41822</v>
      </c>
      <c r="C80" s="181">
        <f>91*'ESS Jul 2018'!M57/100</f>
        <v>122.86820000000002</v>
      </c>
      <c r="D80" s="181">
        <f>($C$59*$C$60)*'ESS Jul 2018'!N57/100</f>
        <v>121.32000000000002</v>
      </c>
      <c r="E80" s="181">
        <v>0</v>
      </c>
      <c r="F80" s="181">
        <f>($C$59*$C$61)*'ESS Jul 2018'!AH57/100</f>
        <v>284.94</v>
      </c>
      <c r="G80" s="181">
        <f>($C$59*$C$62)*'ESS Jul 2018'!W57/100</f>
        <v>97.415999999999997</v>
      </c>
      <c r="H80" s="183">
        <f t="shared" si="8"/>
        <v>626.54420000000005</v>
      </c>
      <c r="I80" s="202">
        <f t="shared" si="9"/>
        <v>2756.7944800000005</v>
      </c>
    </row>
    <row r="81" spans="1:9" x14ac:dyDescent="0.3">
      <c r="A81" s="179" t="str">
        <f>'ESS Jul 2018'!K58</f>
        <v>Sumo Power</v>
      </c>
      <c r="B81" s="180">
        <f>'ESS Jul 2018'!G58</f>
        <v>41884</v>
      </c>
      <c r="C81" s="181">
        <f>91*'ESS Jul 2018'!M58/100</f>
        <v>170.61590000000001</v>
      </c>
      <c r="D81" s="181">
        <f>($C$59*$C$60)*'ESS Jul 2018'!N58/100</f>
        <v>138.92400000000001</v>
      </c>
      <c r="E81" s="181">
        <v>0</v>
      </c>
      <c r="F81" s="181">
        <f>($C$59*$C$61)*'ESS Jul 2018'!AH58/100</f>
        <v>347.31</v>
      </c>
      <c r="G81" s="181">
        <f>($C$59*$C$62)*'ESS Jul 2018'!W58/100</f>
        <v>130.41</v>
      </c>
      <c r="H81" s="183">
        <f t="shared" si="8"/>
        <v>787.2598999999999</v>
      </c>
      <c r="I81" s="202">
        <f t="shared" si="9"/>
        <v>3463.9435599999997</v>
      </c>
    </row>
    <row r="82" spans="1:9" s="233" customFormat="1" x14ac:dyDescent="0.3">
      <c r="A82" s="179" t="str">
        <f>'ESS Jul 2018'!K59</f>
        <v>1st Energy</v>
      </c>
      <c r="B82" s="180">
        <f>'ESS Jul 2018'!G59</f>
        <v>41820</v>
      </c>
      <c r="C82" s="181">
        <f>91*'ESS Jul 2018'!M59/100</f>
        <v>138.33820000000003</v>
      </c>
      <c r="D82" s="181">
        <f>($C$59*$C$60)*'ESS Jul 2018'!N59/100</f>
        <v>157.32000000000002</v>
      </c>
      <c r="E82" s="181">
        <v>0</v>
      </c>
      <c r="F82" s="181">
        <f>($C$59*$C$61)*'ESS Jul 2018'!AH59/100</f>
        <v>393.3</v>
      </c>
      <c r="G82" s="181">
        <f>($C$59*$C$62)*'ESS Jul 2018'!W59/100</f>
        <v>136.35</v>
      </c>
      <c r="H82" s="183">
        <f t="shared" ref="H82:H84" si="10">SUM(C82:G82)</f>
        <v>825.30820000000006</v>
      </c>
      <c r="I82" s="202">
        <f t="shared" ref="I82:I84" si="11">(H82*4)*1.1</f>
        <v>3631.3560800000005</v>
      </c>
    </row>
    <row r="83" spans="1:9" x14ac:dyDescent="0.3">
      <c r="A83" s="179" t="str">
        <f>'ESS Jul 2018'!K60</f>
        <v>Amaysim</v>
      </c>
      <c r="B83" s="180">
        <f>'ESS Jul 2018'!G60</f>
        <v>41880</v>
      </c>
      <c r="C83" s="181">
        <f>91*'ESS Jul 2018'!M60/100</f>
        <v>133.77000000000001</v>
      </c>
      <c r="D83" s="181">
        <f>($C$59*$C$60)*'ESS Jul 2018'!N60/100</f>
        <v>155.16</v>
      </c>
      <c r="E83" s="181">
        <v>0</v>
      </c>
      <c r="F83" s="181">
        <f>($C$59*$C$61)*'ESS Jul 2018'!AH60/100</f>
        <v>373.5</v>
      </c>
      <c r="G83" s="181">
        <f>($C$59*$C$62)*'ESS Jul 2018'!W60/100</f>
        <v>162</v>
      </c>
      <c r="H83" s="183">
        <f t="shared" si="10"/>
        <v>824.43000000000006</v>
      </c>
      <c r="I83" s="202">
        <f t="shared" si="11"/>
        <v>3627.4920000000006</v>
      </c>
    </row>
    <row r="84" spans="1:9" ht="14" thickBot="1" x14ac:dyDescent="0.35">
      <c r="A84" s="184" t="str">
        <f>'ESS Jul 2018'!K61</f>
        <v>Q Energy</v>
      </c>
      <c r="B84" s="185">
        <f>'ESS Jul 2018'!G61</f>
        <v>41682</v>
      </c>
      <c r="C84" s="186">
        <f>91*'ESS Jul 2018'!M61/100</f>
        <v>130.13</v>
      </c>
      <c r="D84" s="186">
        <f>($C$59*$C$60)*'ESS Jul 2018'!N61/100</f>
        <v>152.0676</v>
      </c>
      <c r="E84" s="186">
        <v>0</v>
      </c>
      <c r="F84" s="186">
        <f>($C$59*$C$61)*'ESS Jul 2018'!AH61/100</f>
        <v>365.53500000000003</v>
      </c>
      <c r="G84" s="186">
        <f>($C$59*$C$62)*'ESS Jul 2018'!W61/100</f>
        <v>164.89440000000002</v>
      </c>
      <c r="H84" s="188">
        <f t="shared" si="10"/>
        <v>812.62700000000007</v>
      </c>
      <c r="I84" s="203">
        <f t="shared" si="11"/>
        <v>3575.5588000000007</v>
      </c>
    </row>
  </sheetData>
  <sheetProtection algorithmName="SHA-512" hashValue="WTQI4kKtCOZE1PbhXwQC76itfmcPaVFychlBB7vNK0HJ8EUpb3qnk4yRHAJ8OQlxrVtpU0DVFDfK/JCqMuMFAA==" saltValue="l89Nb2gLSGvkkLPzqX1V3w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24EE5-E7EB-0C46-89E8-B1C53BB788C7}">
  <sheetPr codeName="Sheet9"/>
  <dimension ref="A1:I84"/>
  <sheetViews>
    <sheetView topLeftCell="A34" workbookViewId="0">
      <selection activeCell="C59" activeCellId="2" sqref="C5 C31:C33 C59:C62"/>
    </sheetView>
  </sheetViews>
  <sheetFormatPr defaultColWidth="10.84375" defaultRowHeight="13.5" x14ac:dyDescent="0.3"/>
  <cols>
    <col min="1" max="1" width="20.3046875" style="214" customWidth="1"/>
    <col min="2" max="2" width="12" style="214" customWidth="1"/>
    <col min="3" max="9" width="12.15234375" style="214" customWidth="1"/>
    <col min="10" max="16384" width="10.84375" style="214"/>
  </cols>
  <sheetData>
    <row r="1" spans="1:9" s="213" customFormat="1" ht="14" x14ac:dyDescent="0.3">
      <c r="A1" s="213" t="s">
        <v>76</v>
      </c>
    </row>
    <row r="2" spans="1:9" s="213" customFormat="1" ht="14" x14ac:dyDescent="0.3">
      <c r="A2" s="215" t="s">
        <v>99</v>
      </c>
    </row>
    <row r="3" spans="1:9" s="213" customFormat="1" ht="14.5" thickBot="1" x14ac:dyDescent="0.35">
      <c r="F3" s="216"/>
    </row>
    <row r="4" spans="1:9" s="213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s="213" customFormat="1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s="213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s="213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'AG Jul 2018'!K2</f>
        <v>Energy Locals</v>
      </c>
      <c r="B8" s="180">
        <f>'AG Jul 2018'!G2</f>
        <v>41829</v>
      </c>
      <c r="C8" s="181">
        <f>91*'AG Jul 2018'!M2/100</f>
        <v>90.09</v>
      </c>
      <c r="D8" s="181">
        <f>$C$5*'AG Jul 2018'!N2/100</f>
        <v>431.82</v>
      </c>
      <c r="E8" s="181">
        <v>0</v>
      </c>
      <c r="F8" s="181">
        <v>0</v>
      </c>
      <c r="G8" s="181">
        <f>IF(($C$5&lt;'AG Jul 2018'!R2),(0),($C$5-'AG Jul 2018'!R2)*'AG Jul 2018'!S2/100)</f>
        <v>0</v>
      </c>
      <c r="H8" s="183">
        <f>SUM(C8:G8)</f>
        <v>521.91</v>
      </c>
      <c r="I8" s="202">
        <f>(H8*4)*1.1</f>
        <v>2296.404</v>
      </c>
    </row>
    <row r="9" spans="1:9" x14ac:dyDescent="0.3">
      <c r="A9" s="179" t="str">
        <f>'AG Jul 2018'!K3</f>
        <v>AGL</v>
      </c>
      <c r="B9" s="180">
        <f>'AG Jul 2018'!G3</f>
        <v>41820</v>
      </c>
      <c r="C9" s="181">
        <f>91*'AG Jul 2018'!M3/100</f>
        <v>76.44</v>
      </c>
      <c r="D9" s="181">
        <f>$C$5*'AG Jul 2018'!N3/100</f>
        <v>520.20000000000005</v>
      </c>
      <c r="E9" s="181">
        <v>0</v>
      </c>
      <c r="F9" s="181">
        <v>0</v>
      </c>
      <c r="G9" s="181">
        <v>0</v>
      </c>
      <c r="H9" s="183">
        <f t="shared" ref="H9:H24" si="0">SUM(C9:G9)</f>
        <v>596.6400000000001</v>
      </c>
      <c r="I9" s="202">
        <f t="shared" ref="I9:I27" si="1">(H9*4)*1.1</f>
        <v>2625.2160000000008</v>
      </c>
    </row>
    <row r="10" spans="1:9" x14ac:dyDescent="0.3">
      <c r="A10" s="179" t="str">
        <f>'AG Jul 2018'!K4</f>
        <v>Alinta Energy</v>
      </c>
      <c r="B10" s="180">
        <f>'AG Jul 2018'!G4</f>
        <v>41852</v>
      </c>
      <c r="C10" s="181">
        <f>91*'AG Jul 2018'!M4/100</f>
        <v>76.44</v>
      </c>
      <c r="D10" s="181">
        <f>IF($C$5&gt;='AG Jul 2018'!P4,('AG Jul 2018'!P4*'AG Jul 2018'!N4/100),($C$5*'AG Jul 2018'!N4/100))</f>
        <v>293.39999999999998</v>
      </c>
      <c r="E10" s="181">
        <f>IF($C$5&lt;'AG Jul 2018'!P4,0,IF(($C$5)&lt;='AG Jul 2018'!R4,(($C$5-'AG Jul 2018'!P4)*'AG Jul 2018'!Q4/100),(('AG Jul 2018'!R4-'AG Jul 2018'!P4)*'AG Jul 2018'!Q4/100)))</f>
        <v>234.72</v>
      </c>
      <c r="F10" s="181">
        <v>0</v>
      </c>
      <c r="G10" s="181">
        <f>IF(($C$5&lt;'AG Jul 2018'!R4),(0),($C$5-'AG Jul 2018'!R4)*'AG Jul 2018'!S4/100)</f>
        <v>0</v>
      </c>
      <c r="H10" s="183">
        <f t="shared" si="0"/>
        <v>604.55999999999995</v>
      </c>
      <c r="I10" s="202">
        <f t="shared" si="1"/>
        <v>2660.0639999999999</v>
      </c>
    </row>
    <row r="11" spans="1:9" x14ac:dyDescent="0.3">
      <c r="A11" s="179" t="str">
        <f>'AG Jul 2018'!K5</f>
        <v>Click Energy</v>
      </c>
      <c r="B11" s="180">
        <f>'AG Jul 2018'!G5</f>
        <v>41880</v>
      </c>
      <c r="C11" s="181">
        <f>91*'AG Jul 2018'!M5/100</f>
        <v>81.900000000000006</v>
      </c>
      <c r="D11" s="181">
        <f>$C$5*'AG Jul 2018'!N5/100</f>
        <v>689.4</v>
      </c>
      <c r="E11" s="181">
        <v>0</v>
      </c>
      <c r="F11" s="181">
        <v>0</v>
      </c>
      <c r="G11" s="181">
        <v>0</v>
      </c>
      <c r="H11" s="183">
        <f t="shared" si="0"/>
        <v>771.3</v>
      </c>
      <c r="I11" s="202">
        <f t="shared" si="1"/>
        <v>3393.7200000000003</v>
      </c>
    </row>
    <row r="12" spans="1:9" x14ac:dyDescent="0.3">
      <c r="A12" s="179" t="str">
        <f>'AG Jul 2018'!K6</f>
        <v>Commander</v>
      </c>
      <c r="B12" s="180">
        <f>'AG Jul 2018'!G6</f>
        <v>41639</v>
      </c>
      <c r="C12" s="181">
        <f>91*'AG Jul 2018'!M6/100</f>
        <v>94.266900000000007</v>
      </c>
      <c r="D12" s="181">
        <f>IF($C$5&gt;='AG Jul 2018'!P6,('AG Jul 2018'!P6*'AG Jul 2018'!N6/100),($C$5*'AG Jul 2018'!N6/100))</f>
        <v>356.8</v>
      </c>
      <c r="E12" s="181">
        <f>IF($C$5&lt;'AG Jul 2018'!P6,0,IF(($C$5)&lt;='AG Jul 2018'!R6,(($C$5-'AG Jul 2018'!P6)*'AG Jul 2018'!Q6/100),(('AG Jul 2018'!R6-'AG Jul 2018'!P6)*'AG Jul 2018'!Q6/100)))</f>
        <v>285.44</v>
      </c>
      <c r="F12" s="181">
        <v>0</v>
      </c>
      <c r="G12" s="181">
        <f>IF(($C$5&lt;'AG Jul 2018'!R6),(0),($C$5-'AG Jul 2018'!R6)*'AG Jul 2018'!S6/100)</f>
        <v>0</v>
      </c>
      <c r="H12" s="183">
        <f t="shared" si="0"/>
        <v>736.50690000000009</v>
      </c>
      <c r="I12" s="202">
        <f t="shared" si="1"/>
        <v>3240.6303600000006</v>
      </c>
    </row>
    <row r="13" spans="1:9" x14ac:dyDescent="0.3">
      <c r="A13" s="179" t="str">
        <f>'AG Jul 2018'!K7</f>
        <v>CovaU</v>
      </c>
      <c r="B13" s="180">
        <f>'AG Jul 2018'!G7</f>
        <v>41820</v>
      </c>
      <c r="C13" s="181">
        <f>91*'AG Jul 2018'!M7/100</f>
        <v>100.1</v>
      </c>
      <c r="D13" s="181">
        <f>$C$5*'AG Jul 2018'!N7/100</f>
        <v>522</v>
      </c>
      <c r="E13" s="181">
        <v>0</v>
      </c>
      <c r="F13" s="181">
        <v>0</v>
      </c>
      <c r="G13" s="181">
        <v>0</v>
      </c>
      <c r="H13" s="183">
        <f t="shared" si="0"/>
        <v>622.1</v>
      </c>
      <c r="I13" s="202">
        <f t="shared" si="1"/>
        <v>2737.2400000000002</v>
      </c>
    </row>
    <row r="14" spans="1:9" x14ac:dyDescent="0.3">
      <c r="A14" s="179" t="str">
        <f>'AG Jul 2018'!K8</f>
        <v>Diamond Energy</v>
      </c>
      <c r="B14" s="180">
        <f>'AG Jul 2018'!G8</f>
        <v>41820</v>
      </c>
      <c r="C14" s="181">
        <f>91*'AG Jul 2018'!M8/100</f>
        <v>79.625</v>
      </c>
      <c r="D14" s="181">
        <f>IF($C$5&gt;='AG Jul 2018'!P8,('AG Jul 2018'!P8*'AG Jul 2018'!N8/100),($C$5*'AG Jul 2018'!N8/100))</f>
        <v>79.17</v>
      </c>
      <c r="E14" s="181">
        <f>IF($C$5&lt;'AG Jul 2018'!P8,0,IF(($C$5)&lt;='AG Jul 2018'!R8,(($C$5-'AG Jul 2018'!P8)*'AG Jul 2018'!Q8/100),(('AG Jul 2018'!R8-'AG Jul 2018'!P8)*'AG Jul 2018'!Q8/100)))</f>
        <v>205.27200000000002</v>
      </c>
      <c r="F14" s="181">
        <v>0</v>
      </c>
      <c r="G14" s="181">
        <f>IF(($C$5&lt;'AG Jul 2018'!R8),(0),($C$5-'AG Jul 2018'!R8)*'AG Jul 2018'!S8/100)</f>
        <v>249.21</v>
      </c>
      <c r="H14" s="183">
        <f t="shared" si="0"/>
        <v>613.27700000000004</v>
      </c>
      <c r="I14" s="202">
        <f t="shared" si="1"/>
        <v>2698.4188000000004</v>
      </c>
    </row>
    <row r="15" spans="1:9" x14ac:dyDescent="0.3">
      <c r="A15" s="179" t="str">
        <f>'AG Jul 2018'!K9</f>
        <v>Dodo Power &amp; Gas</v>
      </c>
      <c r="B15" s="180">
        <f>'AG Jul 2018'!G9</f>
        <v>41639</v>
      </c>
      <c r="C15" s="181">
        <f>91*'AG Jul 2018'!M9/100</f>
        <v>90.645099999999999</v>
      </c>
      <c r="D15" s="181">
        <f>IF($C$5&gt;='AG Jul 2018'!P9,('AG Jul 2018'!P9*'AG Jul 2018'!N9/100),($C$5*'AG Jul 2018'!N9/100))</f>
        <v>343.1</v>
      </c>
      <c r="E15" s="181">
        <f>IF($C$5&lt;'AG Jul 2018'!P9,0,IF(($C$5)&lt;='AG Jul 2018'!R9,(($C$5-'AG Jul 2018'!P9)*'AG Jul 2018'!Q9/100),(('AG Jul 2018'!R9-'AG Jul 2018'!P9)*'AG Jul 2018'!Q9/100)))</f>
        <v>274.48</v>
      </c>
      <c r="F15" s="181">
        <v>0</v>
      </c>
      <c r="G15" s="181">
        <f>IF(($C$5&lt;'AG Jul 2018'!R9),(0),($C$5-'AG Jul 2018'!R9)*'AG Jul 2018'!S9/100)</f>
        <v>0</v>
      </c>
      <c r="H15" s="183">
        <f t="shared" si="0"/>
        <v>708.22510000000011</v>
      </c>
      <c r="I15" s="202">
        <f t="shared" si="1"/>
        <v>3116.1904400000008</v>
      </c>
    </row>
    <row r="16" spans="1:9" x14ac:dyDescent="0.3">
      <c r="A16" s="179" t="str">
        <f>'AG Jul 2018'!K10</f>
        <v>EnergyAustralia</v>
      </c>
      <c r="B16" s="180">
        <f>'AG Jul 2018'!G10</f>
        <v>41640</v>
      </c>
      <c r="C16" s="181">
        <f>91*'AG Jul 2018'!M10/100</f>
        <v>76.530999999999992</v>
      </c>
      <c r="D16" s="181">
        <f>$C$5*'AG Jul 2018'!N10/100</f>
        <v>528.29999999999995</v>
      </c>
      <c r="E16" s="181">
        <v>0</v>
      </c>
      <c r="F16" s="181">
        <v>0</v>
      </c>
      <c r="G16" s="181">
        <v>0</v>
      </c>
      <c r="H16" s="183">
        <f t="shared" si="0"/>
        <v>604.8309999999999</v>
      </c>
      <c r="I16" s="202">
        <f t="shared" si="1"/>
        <v>2661.2563999999998</v>
      </c>
    </row>
    <row r="17" spans="1:9" x14ac:dyDescent="0.3">
      <c r="A17" s="179" t="str">
        <f>'AG Jul 2018'!K11</f>
        <v>Mojo Power</v>
      </c>
      <c r="B17" s="180">
        <f>'AG Jul 2018'!G11</f>
        <v>41468</v>
      </c>
      <c r="C17" s="181">
        <f>91*'AG Jul 2018'!M11/100</f>
        <v>176.37619999999998</v>
      </c>
      <c r="D17" s="181">
        <f>$C$5*'AG Jul 2018'!N11/100</f>
        <v>456.3</v>
      </c>
      <c r="E17" s="181">
        <v>0</v>
      </c>
      <c r="F17" s="181">
        <v>0</v>
      </c>
      <c r="G17" s="181">
        <v>0</v>
      </c>
      <c r="H17" s="183">
        <f t="shared" si="0"/>
        <v>632.67619999999999</v>
      </c>
      <c r="I17" s="202">
        <f t="shared" si="1"/>
        <v>2783.7752800000003</v>
      </c>
    </row>
    <row r="18" spans="1:9" x14ac:dyDescent="0.3">
      <c r="A18" s="179" t="str">
        <f>'AG Jul 2018'!K12</f>
        <v>Momentum Energy</v>
      </c>
      <c r="B18" s="180">
        <f>'AG Jul 2018'!G12</f>
        <v>41820</v>
      </c>
      <c r="C18" s="181">
        <f>91*'AG Jul 2018'!M12/100</f>
        <v>76.066900000000004</v>
      </c>
      <c r="D18" s="181">
        <f>IF($C$5&gt;='AG Jul 2018'!P12,('AG Jul 2018'!P12*'AG Jul 2018'!N12/100),($C$5*'AG Jul 2018'!N12/100))</f>
        <v>180.3</v>
      </c>
      <c r="E18" s="181">
        <f>IF($C$5&lt;'AG Jul 2018'!P12,0,IF(($C$5)&lt;='AG Jul 2018'!R12,(($C$5-'AG Jul 2018'!P12)*'AG Jul 2018'!Q12/100),(('AG Jul 2018'!R12-'AG Jul 2018'!P12)*'AG Jul 2018'!Q12/100)))</f>
        <v>353.4</v>
      </c>
      <c r="F18" s="181">
        <v>0</v>
      </c>
      <c r="G18" s="181">
        <f>IF(($C$5&lt;'AG Jul 2018'!R12),(0),($C$5-'AG Jul 2018'!R12)*'AG Jul 2018'!S12/100)</f>
        <v>0</v>
      </c>
      <c r="H18" s="183">
        <f t="shared" si="0"/>
        <v>609.76689999999996</v>
      </c>
      <c r="I18" s="202">
        <f t="shared" si="1"/>
        <v>2682.9743600000002</v>
      </c>
    </row>
    <row r="19" spans="1:9" x14ac:dyDescent="0.3">
      <c r="A19" s="179" t="str">
        <f>'AG Jul 2018'!K13</f>
        <v>Origin Energy</v>
      </c>
      <c r="B19" s="180">
        <f>'AG Jul 2018'!G13</f>
        <v>41820</v>
      </c>
      <c r="C19" s="181">
        <f>91*'AG Jul 2018'!M13/100</f>
        <v>75.884900000000002</v>
      </c>
      <c r="D19" s="181">
        <f>$C$5*'AG Jul 2018'!N13/100</f>
        <v>513.36</v>
      </c>
      <c r="E19" s="181">
        <v>0</v>
      </c>
      <c r="F19" s="181">
        <v>0</v>
      </c>
      <c r="G19" s="181">
        <v>0</v>
      </c>
      <c r="H19" s="183">
        <f t="shared" si="0"/>
        <v>589.24490000000003</v>
      </c>
      <c r="I19" s="202">
        <f t="shared" si="1"/>
        <v>2592.6775600000005</v>
      </c>
    </row>
    <row r="20" spans="1:9" x14ac:dyDescent="0.3">
      <c r="A20" s="179" t="str">
        <f>'AG Jul 2018'!K14</f>
        <v>Powerdirect</v>
      </c>
      <c r="B20" s="180">
        <f>'AG Jul 2018'!G14</f>
        <v>41823</v>
      </c>
      <c r="C20" s="181">
        <f>91*'AG Jul 2018'!M14/100</f>
        <v>76.44</v>
      </c>
      <c r="D20" s="181">
        <f>$C$5*'AG Jul 2018'!N14/100</f>
        <v>520.20000000000005</v>
      </c>
      <c r="E20" s="181">
        <v>0</v>
      </c>
      <c r="F20" s="181">
        <v>0</v>
      </c>
      <c r="G20" s="181">
        <v>0</v>
      </c>
      <c r="H20" s="183">
        <f t="shared" si="0"/>
        <v>596.6400000000001</v>
      </c>
      <c r="I20" s="202">
        <f t="shared" si="1"/>
        <v>2625.2160000000008</v>
      </c>
    </row>
    <row r="21" spans="1:9" x14ac:dyDescent="0.3">
      <c r="A21" s="179" t="str">
        <f>'AG Jul 2018'!K15</f>
        <v>Powershop</v>
      </c>
      <c r="B21" s="180">
        <f>'AG Jul 2018'!G15</f>
        <v>41820</v>
      </c>
      <c r="C21" s="181">
        <f>91*'AG Jul 2018'!M15/100</f>
        <v>82.691699999999997</v>
      </c>
      <c r="D21" s="181">
        <f>C5*'AG Jul 2018'!N15/100</f>
        <v>477.54</v>
      </c>
      <c r="E21" s="181">
        <v>0</v>
      </c>
      <c r="F21" s="181">
        <v>0</v>
      </c>
      <c r="G21" s="181">
        <v>0</v>
      </c>
      <c r="H21" s="183">
        <f t="shared" si="0"/>
        <v>560.23170000000005</v>
      </c>
      <c r="I21" s="202">
        <f t="shared" si="1"/>
        <v>2465.0194800000004</v>
      </c>
    </row>
    <row r="22" spans="1:9" x14ac:dyDescent="0.3">
      <c r="A22" s="179" t="str">
        <f>'AG Jul 2018'!K16</f>
        <v>Red Energy</v>
      </c>
      <c r="B22" s="180">
        <f>'AG Jul 2018'!G16</f>
        <v>41879</v>
      </c>
      <c r="C22" s="181">
        <f>91*'AG Jul 2018'!M16/100</f>
        <v>77.040599999999998</v>
      </c>
      <c r="D22" s="181">
        <f>IF($C$5&gt;='AG Jul 2018'!P16,('AG Jul 2018'!P16*'AG Jul 2018'!N16/100),($C$5*'AG Jul 2018'!N16/100))</f>
        <v>279.5</v>
      </c>
      <c r="E22" s="181">
        <f>IF($C$5&lt;'AG Jul 2018'!P16,0,IF(($C$5)&lt;='AG Jul 2018'!R16,(($C$5-'AG Jul 2018'!P16)*'AG Jul 2018'!Q16/100),(('AG Jul 2018'!R16-'AG Jul 2018'!P16)*'AG Jul 2018'!Q16/100)))</f>
        <v>218.72</v>
      </c>
      <c r="F22" s="181">
        <v>0</v>
      </c>
      <c r="G22" s="181">
        <f>IF(($C$5&lt;'AG Jul 2018'!R16),(0),($C$5-'AG Jul 2018'!R16)*'AG Jul 2018'!S16/100)</f>
        <v>0</v>
      </c>
      <c r="H22" s="183">
        <f t="shared" si="0"/>
        <v>575.26059999999995</v>
      </c>
      <c r="I22" s="202">
        <f t="shared" si="1"/>
        <v>2531.1466399999999</v>
      </c>
    </row>
    <row r="23" spans="1:9" x14ac:dyDescent="0.3">
      <c r="A23" s="179" t="str">
        <f>'AG Jul 2018'!K17</f>
        <v>Simply Energy</v>
      </c>
      <c r="B23" s="180">
        <f>'AG Jul 2018'!G17</f>
        <v>41822</v>
      </c>
      <c r="C23" s="181">
        <f>91*'AG Jul 2018'!M17/100</f>
        <v>72.026499999999999</v>
      </c>
      <c r="D23" s="181">
        <f>IF($C$5&gt;='AG Jul 2018'!P17,('AG Jul 2018'!P17*'AG Jul 2018'!N17/100),($C$5*'AG Jul 2018'!N17/100))</f>
        <v>279.7</v>
      </c>
      <c r="E23" s="181">
        <f>IF($C$5&lt;'AG Jul 2018'!P17,0,IF(($C$5)&lt;='AG Jul 2018'!R17,(($C$5-'AG Jul 2018'!P17)*'AG Jul 2018'!Q17/100),(('AG Jul 2018'!R17-'AG Jul 2018'!P17)*'AG Jul 2018'!Q17/100)))</f>
        <v>220.48</v>
      </c>
      <c r="F23" s="181">
        <v>0</v>
      </c>
      <c r="G23" s="181">
        <f>IF(($C$5&lt;'AG Jul 2018'!R17),(0),($C$5-'AG Jul 2018'!R17)*'AG Jul 2018'!S17/100)</f>
        <v>0</v>
      </c>
      <c r="H23" s="183">
        <f t="shared" si="0"/>
        <v>572.20650000000001</v>
      </c>
      <c r="I23" s="202">
        <f t="shared" si="1"/>
        <v>2517.7086000000004</v>
      </c>
    </row>
    <row r="24" spans="1:9" x14ac:dyDescent="0.3">
      <c r="A24" s="179" t="str">
        <f>'AG Jul 2018'!K18</f>
        <v>Sumo Power</v>
      </c>
      <c r="B24" s="180">
        <f>'AG Jul 2018'!G18</f>
        <v>41894</v>
      </c>
      <c r="C24" s="181">
        <f>91*'AG Jul 2018'!M18/100</f>
        <v>84.654818181818172</v>
      </c>
      <c r="D24" s="181">
        <f>$C$5*'AG Jul 2018'!N18/100</f>
        <v>658.63636363636351</v>
      </c>
      <c r="E24" s="181">
        <v>0</v>
      </c>
      <c r="F24" s="181">
        <v>0</v>
      </c>
      <c r="G24" s="181">
        <f>IF(($C$5&lt;'AG Jul 2018'!R18),(0),($C$5-'AG Jul 2018'!R18)*'AG Jul 2018'!S18/100)</f>
        <v>0</v>
      </c>
      <c r="H24" s="183">
        <f t="shared" si="0"/>
        <v>743.29118181818171</v>
      </c>
      <c r="I24" s="202">
        <f t="shared" si="1"/>
        <v>3270.4811999999997</v>
      </c>
    </row>
    <row r="25" spans="1:9" x14ac:dyDescent="0.3">
      <c r="A25" s="179" t="str">
        <f>'AG Jul 2018'!K19</f>
        <v>1st Energy</v>
      </c>
      <c r="B25" s="180">
        <f>'AG Jul 2018'!G19</f>
        <v>41820</v>
      </c>
      <c r="C25" s="181">
        <f>91*'AG Jul 2018'!M19/100</f>
        <v>83.410599999999988</v>
      </c>
      <c r="D25" s="181">
        <f>$C$5*'AG Jul 2018'!N19/100</f>
        <v>637.91999999999996</v>
      </c>
      <c r="E25" s="181">
        <v>0</v>
      </c>
      <c r="F25" s="181">
        <v>0</v>
      </c>
      <c r="G25" s="181">
        <f>IF(($C$5&lt;'AG Jul 2018'!R19),(0),($C$5-'AG Jul 2018'!R19)*'AG Jul 2018'!S19/100)</f>
        <v>0</v>
      </c>
      <c r="H25" s="183">
        <f t="shared" ref="H25:H27" si="2">SUM(C25:G25)</f>
        <v>721.3306</v>
      </c>
      <c r="I25" s="202">
        <f t="shared" si="1"/>
        <v>3173.8546400000005</v>
      </c>
    </row>
    <row r="26" spans="1:9" x14ac:dyDescent="0.3">
      <c r="A26" s="179" t="str">
        <f>'AG Jul 2018'!K20</f>
        <v>Amaysim</v>
      </c>
      <c r="B26" s="180">
        <f>'AG Jul 2018'!G20</f>
        <v>41880</v>
      </c>
      <c r="C26" s="181">
        <f>91*'AG Jul 2018'!M20/100</f>
        <v>81.900000000000006</v>
      </c>
      <c r="D26" s="181">
        <f>$C$5*'AG Jul 2018'!N20/100</f>
        <v>689.4</v>
      </c>
      <c r="E26" s="181">
        <v>0</v>
      </c>
      <c r="F26" s="181">
        <v>0</v>
      </c>
      <c r="G26" s="181">
        <f>IF(($C$5&lt;'AG Jul 2018'!R20),(0),($C$5-'AG Jul 2018'!R20)*'AG Jul 2018'!S20/100)</f>
        <v>0</v>
      </c>
      <c r="H26" s="183">
        <f t="shared" si="2"/>
        <v>771.3</v>
      </c>
      <c r="I26" s="202">
        <f t="shared" si="1"/>
        <v>3393.7200000000003</v>
      </c>
    </row>
    <row r="27" spans="1:9" ht="14" thickBot="1" x14ac:dyDescent="0.35">
      <c r="A27" s="184" t="str">
        <f>'AG Jul 2018'!K21</f>
        <v>Q Energy</v>
      </c>
      <c r="B27" s="185">
        <f>'AG Jul 2018'!G21</f>
        <v>41820</v>
      </c>
      <c r="C27" s="186">
        <f>91*'AG Jul 2018'!M21/100</f>
        <v>70.069999999999993</v>
      </c>
      <c r="D27" s="186">
        <f>IF($C$5&gt;='AG Jul 2018'!P21,('AG Jul 2018'!P21*'AG Jul 2018'!N21/100),($C$5*'AG Jul 2018'!N21/100))</f>
        <v>388.7</v>
      </c>
      <c r="E27" s="186">
        <f>IF($C$5&lt;'AG Jul 2018'!P21,0,IF(($C$5)&lt;='AG Jul 2018'!R21,(($C$5-'AG Jul 2018'!P21)*'AG Jul 2018'!Q21/100),(('AG Jul 2018'!R21-'AG Jul 2018'!P21)*'AG Jul 2018'!Q21/100)))</f>
        <v>0</v>
      </c>
      <c r="F27" s="186">
        <v>0</v>
      </c>
      <c r="G27" s="186">
        <f>IF(($C$5&lt;'AG Jul 2018'!R21),(0),($C$5-'AG Jul 2018'!R21)*'AG Jul 2018'!S21/100)</f>
        <v>310.95999999999998</v>
      </c>
      <c r="H27" s="188">
        <f t="shared" si="2"/>
        <v>769.73</v>
      </c>
      <c r="I27" s="203">
        <f t="shared" si="1"/>
        <v>3386.8120000000004</v>
      </c>
    </row>
    <row r="28" spans="1:9" s="233" customFormat="1" x14ac:dyDescent="0.3"/>
    <row r="29" spans="1:9" ht="14" thickBot="1" x14ac:dyDescent="0.35"/>
    <row r="30" spans="1:9" s="213" customFormat="1" ht="14" x14ac:dyDescent="0.3">
      <c r="A30" s="176" t="s">
        <v>89</v>
      </c>
      <c r="B30" s="91"/>
      <c r="C30" s="91"/>
      <c r="D30" s="91"/>
      <c r="E30" s="91"/>
      <c r="F30" s="91"/>
      <c r="G30" s="91"/>
      <c r="H30" s="91"/>
      <c r="I30" s="177"/>
    </row>
    <row r="31" spans="1:9" s="213" customFormat="1" ht="14" x14ac:dyDescent="0.3">
      <c r="A31" s="92" t="s">
        <v>79</v>
      </c>
      <c r="B31" s="93"/>
      <c r="C31" s="168">
        <v>2000</v>
      </c>
      <c r="D31" s="93"/>
      <c r="E31" s="93"/>
      <c r="F31" s="93"/>
      <c r="G31" s="93"/>
      <c r="H31" s="93"/>
      <c r="I31" s="178"/>
    </row>
    <row r="32" spans="1:9" s="213" customFormat="1" ht="14" x14ac:dyDescent="0.3">
      <c r="A32" s="92" t="s">
        <v>91</v>
      </c>
      <c r="B32" s="93"/>
      <c r="C32" s="169">
        <v>0.7</v>
      </c>
      <c r="D32" s="93"/>
      <c r="E32" s="93"/>
      <c r="F32" s="93"/>
      <c r="G32" s="93"/>
      <c r="H32" s="93"/>
      <c r="I32" s="178"/>
    </row>
    <row r="33" spans="1:9" s="213" customFormat="1" ht="14" x14ac:dyDescent="0.3">
      <c r="A33" s="92" t="s">
        <v>92</v>
      </c>
      <c r="B33" s="93"/>
      <c r="C33" s="169">
        <v>0.3</v>
      </c>
      <c r="D33" s="93"/>
      <c r="E33" s="93"/>
      <c r="F33" s="93"/>
      <c r="G33" s="93"/>
      <c r="H33" s="93"/>
      <c r="I33" s="178"/>
    </row>
    <row r="34" spans="1:9" s="213" customFormat="1" ht="14" x14ac:dyDescent="0.3">
      <c r="A34" s="92"/>
      <c r="B34" s="93"/>
      <c r="C34" s="93"/>
      <c r="D34" s="93"/>
      <c r="E34" s="93"/>
      <c r="F34" s="93"/>
      <c r="G34" s="93"/>
      <c r="H34" s="93"/>
      <c r="I34" s="178"/>
    </row>
    <row r="35" spans="1:9" s="213" customFormat="1" ht="28" x14ac:dyDescent="0.3">
      <c r="A35" s="301" t="s">
        <v>80</v>
      </c>
      <c r="B35" s="298" t="s">
        <v>81</v>
      </c>
      <c r="C35" s="298" t="s">
        <v>82</v>
      </c>
      <c r="D35" s="298" t="s">
        <v>83</v>
      </c>
      <c r="E35" s="298" t="s">
        <v>84</v>
      </c>
      <c r="F35" s="298" t="s">
        <v>86</v>
      </c>
      <c r="G35" s="298" t="s">
        <v>93</v>
      </c>
      <c r="H35" s="298" t="s">
        <v>87</v>
      </c>
      <c r="I35" s="300" t="s">
        <v>88</v>
      </c>
    </row>
    <row r="36" spans="1:9" x14ac:dyDescent="0.3">
      <c r="A36" s="179" t="str">
        <f>'AG Jul 2018'!K22</f>
        <v>Energy Locals</v>
      </c>
      <c r="B36" s="180">
        <f>'AG Jul 2018'!G22</f>
        <v>41829</v>
      </c>
      <c r="C36" s="181">
        <f>91*'AG Jul 2018'!M22/100</f>
        <v>94.64</v>
      </c>
      <c r="D36" s="181">
        <f>($C$31*$C$32)*'AG Jul 2018'!N22/100</f>
        <v>335.86</v>
      </c>
      <c r="E36" s="181">
        <v>0</v>
      </c>
      <c r="F36" s="181">
        <v>0</v>
      </c>
      <c r="G36" s="181">
        <f>($C$31*$C$33)*'AG Jul 2018'!AE22/100</f>
        <v>89.94</v>
      </c>
      <c r="H36" s="183">
        <f>SUM(C36:G36)</f>
        <v>520.44000000000005</v>
      </c>
      <c r="I36" s="202">
        <f>(H36*4)*1.1</f>
        <v>2289.9360000000006</v>
      </c>
    </row>
    <row r="37" spans="1:9" x14ac:dyDescent="0.3">
      <c r="A37" s="179" t="str">
        <f>'AG Jul 2018'!K23</f>
        <v>AGL</v>
      </c>
      <c r="B37" s="180">
        <f>'AG Jul 2018'!G23</f>
        <v>41820</v>
      </c>
      <c r="C37" s="181">
        <f>91*'AG Jul 2018'!M23/100</f>
        <v>76.44</v>
      </c>
      <c r="D37" s="181">
        <f>($C$31*$C$32)*'AG Jul 2018'!N23/100</f>
        <v>404.6</v>
      </c>
      <c r="E37" s="181">
        <v>0</v>
      </c>
      <c r="F37" s="181">
        <v>0</v>
      </c>
      <c r="G37" s="181">
        <f>($C$31*$C$33)*'AG Jul 2018'!AE23/100</f>
        <v>83.82</v>
      </c>
      <c r="H37" s="183">
        <f t="shared" ref="H37:H52" si="3">SUM(C37:G37)</f>
        <v>564.86</v>
      </c>
      <c r="I37" s="202">
        <f t="shared" ref="I37:I55" si="4">(H37*4)*1.1</f>
        <v>2485.3840000000005</v>
      </c>
    </row>
    <row r="38" spans="1:9" x14ac:dyDescent="0.3">
      <c r="A38" s="179" t="str">
        <f>'AG Jul 2018'!K24</f>
        <v>Alinta Energy</v>
      </c>
      <c r="B38" s="180">
        <f>'AG Jul 2018'!G24</f>
        <v>41852</v>
      </c>
      <c r="C38" s="181">
        <f>91*'AG Jul 2018'!M24/100</f>
        <v>80.08</v>
      </c>
      <c r="D38" s="181">
        <f>IF($C$31*$C$32&gt;='AG Jul 2018'!P24,('AG Jul 2018'!P24*'AG Jul 2018'!N24/100),(($C$31*$C$32)*'AG Jul 2018'!N24/100))</f>
        <v>293.39999999999998</v>
      </c>
      <c r="E38" s="181">
        <f>IF($C$31*$C$32&lt;'AG Jul 2018'!P24,0,IF(($C$31*$C$32)&lt;='AG Jul 2018'!R24,(($C$31*$C$32-'AG Jul 2018'!P24)*'AG Jul 2018'!Q24/100),(('AG Jul 2018'!R24-'AG Jul 2018'!P24)*'AG Jul 2018'!Q24/100)))</f>
        <v>117.36</v>
      </c>
      <c r="F38" s="181">
        <f>IF(($C$31*$C$32&lt;'AG Jul 2018'!R24),(0),($C$31*$C$32-'AG Jul 2018'!R24)*'AG Jul 2018'!S24/100)</f>
        <v>0</v>
      </c>
      <c r="G38" s="181">
        <f>($C$31*$C$33)*'AG Jul 2018'!AE24/100</f>
        <v>72</v>
      </c>
      <c r="H38" s="183">
        <f t="shared" si="3"/>
        <v>562.83999999999992</v>
      </c>
      <c r="I38" s="202">
        <f t="shared" si="4"/>
        <v>2476.4959999999996</v>
      </c>
    </row>
    <row r="39" spans="1:9" x14ac:dyDescent="0.3">
      <c r="A39" s="179" t="str">
        <f>'AG Jul 2018'!K25</f>
        <v>Click Energy</v>
      </c>
      <c r="B39" s="180">
        <f>'AG Jul 2018'!G25</f>
        <v>41880</v>
      </c>
      <c r="C39" s="181">
        <f>91*'AG Jul 2018'!M25/100</f>
        <v>85.54</v>
      </c>
      <c r="D39" s="181">
        <f>($C$31*$C$32)*'AG Jul 2018'!N25/100</f>
        <v>536.19999999999993</v>
      </c>
      <c r="E39" s="181">
        <v>0</v>
      </c>
      <c r="F39" s="181">
        <v>0</v>
      </c>
      <c r="G39" s="181">
        <f>($C$31*$C$33)*'AG Jul 2018'!AE25/100</f>
        <v>150</v>
      </c>
      <c r="H39" s="183">
        <f t="shared" si="3"/>
        <v>771.7399999999999</v>
      </c>
      <c r="I39" s="202">
        <f t="shared" si="4"/>
        <v>3395.6559999999999</v>
      </c>
    </row>
    <row r="40" spans="1:9" x14ac:dyDescent="0.3">
      <c r="A40" s="179" t="str">
        <f>'AG Jul 2018'!K26</f>
        <v>Commander</v>
      </c>
      <c r="B40" s="180">
        <f>'AG Jul 2018'!G26</f>
        <v>41639</v>
      </c>
      <c r="C40" s="181">
        <f>91*'AG Jul 2018'!M26/100</f>
        <v>100.5095</v>
      </c>
      <c r="D40" s="181">
        <f>IF($C$31*$C$32&gt;='AG Jul 2018'!P26,('AG Jul 2018'!P26*'AG Jul 2018'!N26/100),(($C$31*$C$32)*'AG Jul 2018'!N26/100))</f>
        <v>356.8</v>
      </c>
      <c r="E40" s="181">
        <f>IF($C$31*$C$32&lt;'AG Jul 2018'!P26,0,IF(($C$31*$C$32)&lt;='AG Jul 2018'!R26,(($C$31*$C$32-'AG Jul 2018'!P26)*'AG Jul 2018'!Q26/100),(('AG Jul 2018'!R26-'AG Jul 2018'!P26)*'AG Jul 2018'!Q26/100)))</f>
        <v>142.72</v>
      </c>
      <c r="F40" s="181">
        <f>IF(($C$31*$C$32&lt;'AG Jul 2018'!R26),(0),($C$31*$C$32-'AG Jul 2018'!R26)*'AG Jul 2018'!S26/100)</f>
        <v>0</v>
      </c>
      <c r="G40" s="181">
        <f>($C$31*$C$33)*'AG Jul 2018'!AE26/100</f>
        <v>100.32</v>
      </c>
      <c r="H40" s="183">
        <f t="shared" si="3"/>
        <v>700.34950000000003</v>
      </c>
      <c r="I40" s="202">
        <f t="shared" si="4"/>
        <v>3081.5378000000005</v>
      </c>
    </row>
    <row r="41" spans="1:9" x14ac:dyDescent="0.3">
      <c r="A41" s="179" t="str">
        <f>'AG Jul 2018'!K27</f>
        <v>CovaU</v>
      </c>
      <c r="B41" s="180">
        <f>'AG Jul 2018'!G27</f>
        <v>41820</v>
      </c>
      <c r="C41" s="181">
        <f>91*'AG Jul 2018'!M27/100</f>
        <v>100.1</v>
      </c>
      <c r="D41" s="181">
        <f>($C$31*$C$32)*'AG Jul 2018'!N27/100</f>
        <v>406</v>
      </c>
      <c r="E41" s="181">
        <v>0</v>
      </c>
      <c r="F41" s="181">
        <v>0</v>
      </c>
      <c r="G41" s="181">
        <f>($C$31*$C$33)*'AG Jul 2018'!AE27/100</f>
        <v>114</v>
      </c>
      <c r="H41" s="183">
        <f t="shared" si="3"/>
        <v>620.1</v>
      </c>
      <c r="I41" s="202">
        <f t="shared" si="4"/>
        <v>2728.4400000000005</v>
      </c>
    </row>
    <row r="42" spans="1:9" x14ac:dyDescent="0.3">
      <c r="A42" s="179" t="str">
        <f>'AG Jul 2018'!K28</f>
        <v>Diamond Energy</v>
      </c>
      <c r="B42" s="180">
        <f>'AG Jul 2018'!G28</f>
        <v>41820</v>
      </c>
      <c r="C42" s="181">
        <f>91*'AG Jul 2018'!M28/100</f>
        <v>83.255899999999997</v>
      </c>
      <c r="D42" s="181">
        <f>IF($C$31*$C$32&gt;='AG Jul 2018'!P28,('AG Jul 2018'!P28*'AG Jul 2018'!N28/100),(($C$31*$C$32)*'AG Jul 2018'!N28/100))</f>
        <v>79.17</v>
      </c>
      <c r="E42" s="181">
        <f>IF($C$31*$C$32&lt;'AG Jul 2018'!P28,0,IF(($C$31*$C$32)&lt;='AG Jul 2018'!R28,(($C$31*$C$32-'AG Jul 2018'!P28)*'AG Jul 2018'!Q28/100),(('AG Jul 2018'!R28-'AG Jul 2018'!P28)*'AG Jul 2018'!Q28/100)))</f>
        <v>205.27200000000002</v>
      </c>
      <c r="F42" s="181">
        <f>IF(($C$31*$C$32&lt;'AG Jul 2018'!R28),(0),($C$31*$C$32-'AG Jul 2018'!R28)*'AG Jul 2018'!S28/100)</f>
        <v>121.41</v>
      </c>
      <c r="G42" s="181">
        <f>($C$31*$C$33)*'AG Jul 2018'!AE28/100</f>
        <v>83.7</v>
      </c>
      <c r="H42" s="183">
        <f t="shared" si="3"/>
        <v>572.80790000000002</v>
      </c>
      <c r="I42" s="202">
        <f t="shared" si="4"/>
        <v>2520.3547600000002</v>
      </c>
    </row>
    <row r="43" spans="1:9" x14ac:dyDescent="0.3">
      <c r="A43" s="179" t="str">
        <f>'AG Jul 2018'!K29</f>
        <v>Dodo Power &amp; Gas</v>
      </c>
      <c r="B43" s="180">
        <f>'AG Jul 2018'!G29</f>
        <v>41639</v>
      </c>
      <c r="C43" s="181">
        <f>91*'AG Jul 2018'!M29/100</f>
        <v>96.651099999999985</v>
      </c>
      <c r="D43" s="181">
        <f>IF($C$31*$C$32&gt;='AG Jul 2018'!P29,('AG Jul 2018'!P29*'AG Jul 2018'!N29/100),(($C$31*$C$32)*'AG Jul 2018'!N29/100))</f>
        <v>343.1</v>
      </c>
      <c r="E43" s="181">
        <f>IF($C$31*$C$32&lt;'AG Jul 2018'!P29,0,IF(($C$31*$C$32)&lt;='AG Jul 2018'!R29,(($C$31*$C$32-'AG Jul 2018'!P29)*'AG Jul 2018'!Q29/100),(('AG Jul 2018'!R29-'AG Jul 2018'!P29)*'AG Jul 2018'!Q29/100)))</f>
        <v>137.24</v>
      </c>
      <c r="F43" s="181">
        <f>IF(($C$31*$C$32&lt;'AG Jul 2018'!R29),(0),($C$31*$C$32-'AG Jul 2018'!R29)*'AG Jul 2018'!S29/100)</f>
        <v>0</v>
      </c>
      <c r="G43" s="181">
        <f>($C$31*$C$33)*'AG Jul 2018'!AE29/100</f>
        <v>96.479999999999976</v>
      </c>
      <c r="H43" s="183">
        <f t="shared" si="3"/>
        <v>673.47109999999998</v>
      </c>
      <c r="I43" s="202">
        <f t="shared" si="4"/>
        <v>2963.2728400000001</v>
      </c>
    </row>
    <row r="44" spans="1:9" x14ac:dyDescent="0.3">
      <c r="A44" s="179" t="str">
        <f>'AG Jul 2018'!K30</f>
        <v>EnergyAustralia</v>
      </c>
      <c r="B44" s="180">
        <f>'AG Jul 2018'!G30</f>
        <v>41640</v>
      </c>
      <c r="C44" s="181">
        <f>91*'AG Jul 2018'!M30/100</f>
        <v>79.807000000000002</v>
      </c>
      <c r="D44" s="181">
        <f>($C$31*$C$32)*'AG Jul 2018'!N30/100</f>
        <v>410.9</v>
      </c>
      <c r="E44" s="181">
        <v>0</v>
      </c>
      <c r="F44" s="181">
        <v>0</v>
      </c>
      <c r="G44" s="181">
        <f>($C$31*$C$33)*'AG Jul 2018'!AE30/100</f>
        <v>72.36</v>
      </c>
      <c r="H44" s="183">
        <f t="shared" si="3"/>
        <v>563.06700000000001</v>
      </c>
      <c r="I44" s="202">
        <f t="shared" si="4"/>
        <v>2477.4948000000004</v>
      </c>
    </row>
    <row r="45" spans="1:9" x14ac:dyDescent="0.3">
      <c r="A45" s="179" t="str">
        <f>'AG Jul 2018'!K31</f>
        <v>Mojo Power</v>
      </c>
      <c r="B45" s="180">
        <f>'AG Jul 2018'!G31</f>
        <v>41468</v>
      </c>
      <c r="C45" s="181">
        <f>91*'AG Jul 2018'!M31/100</f>
        <v>179.46110000000002</v>
      </c>
      <c r="D45" s="181">
        <f>($C$31*$C$32)*'AG Jul 2018'!N31/100</f>
        <v>354.9</v>
      </c>
      <c r="E45" s="181">
        <v>0</v>
      </c>
      <c r="F45" s="181">
        <v>0</v>
      </c>
      <c r="G45" s="181">
        <f>($C$31*$C$33)*'AG Jul 2018'!AE31/100</f>
        <v>78.780000000000015</v>
      </c>
      <c r="H45" s="183">
        <f t="shared" si="3"/>
        <v>613.14109999999994</v>
      </c>
      <c r="I45" s="202">
        <f t="shared" si="4"/>
        <v>2697.8208399999999</v>
      </c>
    </row>
    <row r="46" spans="1:9" x14ac:dyDescent="0.3">
      <c r="A46" s="179" t="str">
        <f>'AG Jul 2018'!K32</f>
        <v>Momentum Energy</v>
      </c>
      <c r="B46" s="180">
        <f>'AG Jul 2018'!G32</f>
        <v>41820</v>
      </c>
      <c r="C46" s="181">
        <f>91*'AG Jul 2018'!M32/100</f>
        <v>76.066900000000004</v>
      </c>
      <c r="D46" s="181">
        <f>IF($C$31*$C$32&gt;='AG Jul 2018'!P32,('AG Jul 2018'!P32*'AG Jul 2018'!N32/100),(($C$31*$C$32)*'AG Jul 2018'!N32/100))</f>
        <v>180.3</v>
      </c>
      <c r="E46" s="181">
        <f>IF($C$31*$C$32&lt;'AG Jul 2018'!P32,0,IF(($C$31*$C$32)&lt;='AG Jul 2018'!R32,(($C$31*$C$32-'AG Jul 2018'!P32)*'AG Jul 2018'!Q32/100),(('AG Jul 2018'!R32-'AG Jul 2018'!P32)*'AG Jul 2018'!Q32/100)))</f>
        <v>235.6</v>
      </c>
      <c r="F46" s="181">
        <f>IF(($C$31*$C$32&lt;'AG Jul 2018'!R32),(0),($C$31*$C$32-'AG Jul 2018'!R32)*'AG Jul 2018'!S32/100)</f>
        <v>0</v>
      </c>
      <c r="G46" s="181">
        <f>($C$31*$C$33)*'AG Jul 2018'!AE32/100</f>
        <v>83.58</v>
      </c>
      <c r="H46" s="183">
        <f t="shared" si="3"/>
        <v>575.54690000000005</v>
      </c>
      <c r="I46" s="202">
        <f t="shared" si="4"/>
        <v>2532.4063600000004</v>
      </c>
    </row>
    <row r="47" spans="1:9" x14ac:dyDescent="0.3">
      <c r="A47" s="179" t="str">
        <f>'AG Jul 2018'!K33</f>
        <v>Origin Energy</v>
      </c>
      <c r="B47" s="180">
        <f>'AG Jul 2018'!G33</f>
        <v>41820</v>
      </c>
      <c r="C47" s="181">
        <f>91*'AG Jul 2018'!M33/100</f>
        <v>75.884900000000002</v>
      </c>
      <c r="D47" s="181">
        <f>($C$31*$C$32)*'AG Jul 2018'!N33/100</f>
        <v>399.28</v>
      </c>
      <c r="E47" s="181">
        <v>0</v>
      </c>
      <c r="F47" s="181">
        <v>0</v>
      </c>
      <c r="G47" s="181">
        <f>($C$31*$C$33)*'AG Jul 2018'!AE33/100</f>
        <v>73.739999999999995</v>
      </c>
      <c r="H47" s="183">
        <f t="shared" si="3"/>
        <v>548.9049</v>
      </c>
      <c r="I47" s="202">
        <f t="shared" si="4"/>
        <v>2415.18156</v>
      </c>
    </row>
    <row r="48" spans="1:9" x14ac:dyDescent="0.3">
      <c r="A48" s="179" t="str">
        <f>'AG Jul 2018'!K34</f>
        <v>Powerdirect</v>
      </c>
      <c r="B48" s="180">
        <f>'AG Jul 2018'!G34</f>
        <v>41823</v>
      </c>
      <c r="C48" s="181">
        <f>91*'AG Jul 2018'!M34/100</f>
        <v>76.44</v>
      </c>
      <c r="D48" s="181">
        <f>($C$31*$C$32)*'AG Jul 2018'!N34/100</f>
        <v>404.6</v>
      </c>
      <c r="E48" s="181">
        <v>0</v>
      </c>
      <c r="F48" s="181">
        <v>0</v>
      </c>
      <c r="G48" s="181">
        <f>($C$31*$C$33)*'AG Jul 2018'!AE34/100</f>
        <v>83.82</v>
      </c>
      <c r="H48" s="183">
        <f t="shared" si="3"/>
        <v>564.86</v>
      </c>
      <c r="I48" s="202">
        <f t="shared" si="4"/>
        <v>2485.3840000000005</v>
      </c>
    </row>
    <row r="49" spans="1:9" x14ac:dyDescent="0.3">
      <c r="A49" s="179" t="str">
        <f>'AG Jul 2018'!K35</f>
        <v>Powershop</v>
      </c>
      <c r="B49" s="180">
        <f>'AG Jul 2018'!G35</f>
        <v>41820</v>
      </c>
      <c r="C49" s="181">
        <f>91*'AG Jul 2018'!M35/100</f>
        <v>82.691699999999997</v>
      </c>
      <c r="D49" s="181">
        <f>(C31*C32)*'AG Jul 2018'!N35/100</f>
        <v>437.36</v>
      </c>
      <c r="E49" s="181">
        <v>0</v>
      </c>
      <c r="F49" s="181">
        <v>0</v>
      </c>
      <c r="G49" s="181">
        <f>($C$31*$C$33)*'AG Jul 2018'!AE35/100</f>
        <v>96</v>
      </c>
      <c r="H49" s="183">
        <f t="shared" si="3"/>
        <v>616.05169999999998</v>
      </c>
      <c r="I49" s="202">
        <f t="shared" si="4"/>
        <v>2710.6274800000001</v>
      </c>
    </row>
    <row r="50" spans="1:9" x14ac:dyDescent="0.3">
      <c r="A50" s="179" t="str">
        <f>'AG Jul 2018'!K36</f>
        <v>Red Energy</v>
      </c>
      <c r="B50" s="180">
        <f>'AG Jul 2018'!G36</f>
        <v>41879</v>
      </c>
      <c r="C50" s="181">
        <f>91*'AG Jul 2018'!M36/100</f>
        <v>79.825199999999995</v>
      </c>
      <c r="D50" s="181">
        <f>IF($C$31*$C$32&gt;='AG Jul 2018'!P36,('AG Jul 2018'!P36*'AG Jul 2018'!N36/100),(($C$31*$C$32)*'AG Jul 2018'!N36/100))</f>
        <v>279.5</v>
      </c>
      <c r="E50" s="181">
        <f>IF($C$31*$C$32&lt;'AG Jul 2018'!P36,0,IF(($C$31*$C$32)&lt;='AG Jul 2018'!R36,(($C$31*$C$32-'AG Jul 2018'!P36)*'AG Jul 2018'!Q36/100),(('AG Jul 2018'!R36-'AG Jul 2018'!P36)*'AG Jul 2018'!Q36/100)))</f>
        <v>109.36</v>
      </c>
      <c r="F50" s="181">
        <f>IF(($C$31*$C$32&lt;'AG Jul 2018'!R36),(0),($C$31*$C$32-'AG Jul 2018'!R36)*'AG Jul 2018'!S36/100)</f>
        <v>0</v>
      </c>
      <c r="G50" s="181">
        <f>($C$31*$C$33)*'AG Jul 2018'!AE36/100</f>
        <v>71.64</v>
      </c>
      <c r="H50" s="183">
        <f t="shared" si="3"/>
        <v>540.3252</v>
      </c>
      <c r="I50" s="202">
        <f t="shared" si="4"/>
        <v>2377.4308800000003</v>
      </c>
    </row>
    <row r="51" spans="1:9" x14ac:dyDescent="0.3">
      <c r="A51" s="179" t="str">
        <f>'AG Jul 2018'!K37</f>
        <v>Simply Energy</v>
      </c>
      <c r="B51" s="180">
        <f>'AG Jul 2018'!G37</f>
        <v>41822</v>
      </c>
      <c r="C51" s="181">
        <f>91*'AG Jul 2018'!M37/100</f>
        <v>75.375299999999996</v>
      </c>
      <c r="D51" s="181">
        <f>IF($C$31*$C$32&gt;='AG Jul 2018'!P37,('AG Jul 2018'!P37*'AG Jul 2018'!N37/100),(($C$31*$C$32)*'AG Jul 2018'!N37/100))</f>
        <v>279.7</v>
      </c>
      <c r="E51" s="181">
        <f>IF($C$31*$C$32&lt;'AG Jul 2018'!P37,0,IF(($C$31*$C$32)&lt;='AG Jul 2018'!R37,(($C$31*$C$32-'AG Jul 2018'!P37)*'AG Jul 2018'!Q37/100),(('AG Jul 2018'!R37-'AG Jul 2018'!P37)*'AG Jul 2018'!Q37/100)))</f>
        <v>110.24</v>
      </c>
      <c r="F51" s="181">
        <f>IF(($C$31*$C$32&lt;'AG Jul 2018'!R37),(0),($C$31*$C$32-'AG Jul 2018'!R37)*'AG Jul 2018'!S37/100)</f>
        <v>0</v>
      </c>
      <c r="G51" s="181">
        <f>($C$31*$C$33)*'AG Jul 2018'!AE37/100</f>
        <v>82.68</v>
      </c>
      <c r="H51" s="183">
        <f t="shared" si="3"/>
        <v>547.99530000000004</v>
      </c>
      <c r="I51" s="202">
        <f t="shared" si="4"/>
        <v>2411.1793200000002</v>
      </c>
    </row>
    <row r="52" spans="1:9" x14ac:dyDescent="0.3">
      <c r="A52" s="179" t="str">
        <f>'AG Jul 2018'!K38</f>
        <v>Sumo Power</v>
      </c>
      <c r="B52" s="180">
        <f>'AG Jul 2018'!G38</f>
        <v>41894</v>
      </c>
      <c r="C52" s="181">
        <f>91*'AG Jul 2018'!M38/100</f>
        <v>89.917100000000005</v>
      </c>
      <c r="D52" s="181">
        <f>($C$31*$C$32)*'AG Jul 2018'!N38/100</f>
        <v>512.2600000000001</v>
      </c>
      <c r="E52" s="181">
        <v>0</v>
      </c>
      <c r="F52" s="181">
        <v>0</v>
      </c>
      <c r="G52" s="181">
        <f>($C$31*$C$33)*'AG Jul 2018'!AE38/100</f>
        <v>77.52</v>
      </c>
      <c r="H52" s="183">
        <f t="shared" si="3"/>
        <v>679.69710000000009</v>
      </c>
      <c r="I52" s="202">
        <f t="shared" si="4"/>
        <v>2990.6672400000007</v>
      </c>
    </row>
    <row r="53" spans="1:9" x14ac:dyDescent="0.3">
      <c r="A53" s="179" t="str">
        <f>'AG Jul 2018'!K39</f>
        <v>1st Energy</v>
      </c>
      <c r="B53" s="180">
        <f>'AG Jul 2018'!G39</f>
        <v>41850</v>
      </c>
      <c r="C53" s="181">
        <f>91*'AG Jul 2018'!M39/100</f>
        <v>83.410599999999988</v>
      </c>
      <c r="D53" s="181">
        <f>($C$31*$C$32)*'AG Jul 2018'!N39/100</f>
        <v>496.16</v>
      </c>
      <c r="E53" s="181">
        <v>0</v>
      </c>
      <c r="F53" s="181">
        <v>0</v>
      </c>
      <c r="G53" s="181">
        <f>($C$31*$C$33)*'AG Jul 2018'!AE39/100</f>
        <v>100.68</v>
      </c>
      <c r="H53" s="183">
        <f t="shared" ref="H53:H55" si="5">SUM(C53:G53)</f>
        <v>680.25060000000008</v>
      </c>
      <c r="I53" s="202">
        <f t="shared" si="4"/>
        <v>2993.1026400000005</v>
      </c>
    </row>
    <row r="54" spans="1:9" x14ac:dyDescent="0.3">
      <c r="A54" s="179" t="str">
        <f>'AG Jul 2018'!K40</f>
        <v>Amaysim</v>
      </c>
      <c r="B54" s="180">
        <f>'AG Jul 2018'!G40</f>
        <v>41880</v>
      </c>
      <c r="C54" s="181">
        <f>91*'AG Jul 2018'!M40/100</f>
        <v>85.54</v>
      </c>
      <c r="D54" s="181">
        <f>($C$31*$C$32)*'AG Jul 2018'!N40/100</f>
        <v>536.19999999999993</v>
      </c>
      <c r="E54" s="181">
        <v>0</v>
      </c>
      <c r="F54" s="181">
        <v>0</v>
      </c>
      <c r="G54" s="181">
        <f>($C$31*$C$33)*'AG Jul 2018'!AE40/100</f>
        <v>150</v>
      </c>
      <c r="H54" s="183">
        <f t="shared" si="5"/>
        <v>771.7399999999999</v>
      </c>
      <c r="I54" s="202">
        <f t="shared" si="4"/>
        <v>3395.6559999999999</v>
      </c>
    </row>
    <row r="55" spans="1:9" ht="14" thickBot="1" x14ac:dyDescent="0.35">
      <c r="A55" s="184" t="str">
        <f>'AG Jul 2018'!K41</f>
        <v>Q Energy</v>
      </c>
      <c r="B55" s="185">
        <f>'AG Jul 2018'!G41</f>
        <v>41820</v>
      </c>
      <c r="C55" s="186">
        <f>91*'AG Jul 2018'!M41/100</f>
        <v>74.074000000000012</v>
      </c>
      <c r="D55" s="186">
        <f>IF($C$31*$C$32&gt;='AG Jul 2018'!P41,('AG Jul 2018'!P41*'AG Jul 2018'!N41/100),(($C$31*$C$32)*'AG Jul 2018'!N41/100))</f>
        <v>388.7</v>
      </c>
      <c r="E55" s="186">
        <f>IF($C$31*$C$32&lt;'AG Jul 2018'!P41,0,IF(($C$31*$C$32)&lt;='AG Jul 2018'!R41,(($C$31*$C$32-'AG Jul 2018'!P41)*'AG Jul 2018'!Q41/100),(('AG Jul 2018'!R41-'AG Jul 2018'!P41)*'AG Jul 2018'!Q41/100)))</f>
        <v>0</v>
      </c>
      <c r="F55" s="186">
        <f>IF(($C$31*$C$32&lt;'AG Jul 2018'!R41),(0),($C$31*$C$32-'AG Jul 2018'!R41)*'AG Jul 2018'!S41/100)</f>
        <v>155.47999999999999</v>
      </c>
      <c r="G55" s="186">
        <f>($C$31*$C$33)*'AG Jul 2018'!AE41/100</f>
        <v>162.95400000000001</v>
      </c>
      <c r="H55" s="188">
        <f t="shared" si="5"/>
        <v>781.20800000000008</v>
      </c>
      <c r="I55" s="203">
        <f t="shared" si="4"/>
        <v>3437.3152000000005</v>
      </c>
    </row>
    <row r="56" spans="1:9" s="233" customFormat="1" x14ac:dyDescent="0.3"/>
    <row r="57" spans="1:9" ht="14" thickBot="1" x14ac:dyDescent="0.35"/>
    <row r="58" spans="1:9" s="213" customFormat="1" ht="14" x14ac:dyDescent="0.3">
      <c r="A58" s="176" t="s">
        <v>94</v>
      </c>
      <c r="B58" s="91"/>
      <c r="C58" s="91"/>
      <c r="D58" s="91"/>
      <c r="E58" s="91"/>
      <c r="F58" s="91"/>
      <c r="G58" s="91"/>
      <c r="H58" s="91"/>
      <c r="I58" s="177"/>
    </row>
    <row r="59" spans="1:9" s="213" customFormat="1" ht="14" x14ac:dyDescent="0.3">
      <c r="A59" s="92" t="s">
        <v>79</v>
      </c>
      <c r="B59" s="93"/>
      <c r="C59" s="189">
        <v>1800</v>
      </c>
      <c r="D59" s="93"/>
      <c r="E59" s="93"/>
      <c r="F59" s="93"/>
      <c r="G59" s="93"/>
      <c r="H59" s="93"/>
      <c r="I59" s="178"/>
    </row>
    <row r="60" spans="1:9" s="213" customFormat="1" ht="14" x14ac:dyDescent="0.3">
      <c r="A60" s="92" t="s">
        <v>91</v>
      </c>
      <c r="B60" s="93"/>
      <c r="C60" s="190">
        <v>0.2</v>
      </c>
      <c r="D60" s="93"/>
      <c r="E60" s="93"/>
      <c r="F60" s="93"/>
      <c r="G60" s="93"/>
      <c r="H60" s="93"/>
      <c r="I60" s="178"/>
    </row>
    <row r="61" spans="1:9" s="213" customFormat="1" ht="14" x14ac:dyDescent="0.3">
      <c r="A61" s="92" t="s">
        <v>95</v>
      </c>
      <c r="B61" s="93"/>
      <c r="C61" s="190">
        <v>0.5</v>
      </c>
      <c r="D61" s="93"/>
      <c r="E61" s="93"/>
      <c r="F61" s="93"/>
      <c r="G61" s="93"/>
      <c r="H61" s="93"/>
      <c r="I61" s="178"/>
    </row>
    <row r="62" spans="1:9" s="213" customFormat="1" ht="14" x14ac:dyDescent="0.3">
      <c r="A62" s="92" t="s">
        <v>92</v>
      </c>
      <c r="B62" s="93"/>
      <c r="C62" s="190">
        <v>0.3</v>
      </c>
      <c r="D62" s="93"/>
      <c r="E62" s="93"/>
      <c r="F62" s="93"/>
      <c r="G62" s="93"/>
      <c r="H62" s="93"/>
      <c r="I62" s="178"/>
    </row>
    <row r="63" spans="1:9" s="213" customFormat="1" ht="14" x14ac:dyDescent="0.3">
      <c r="A63" s="166"/>
      <c r="B63" s="93"/>
      <c r="C63" s="167"/>
      <c r="D63" s="93"/>
      <c r="E63" s="93"/>
      <c r="F63" s="93"/>
      <c r="G63" s="93"/>
      <c r="H63" s="93"/>
      <c r="I63" s="178"/>
    </row>
    <row r="64" spans="1:9" s="213" customFormat="1" ht="28" x14ac:dyDescent="0.3">
      <c r="A64" s="301" t="s">
        <v>80</v>
      </c>
      <c r="B64" s="298" t="s">
        <v>81</v>
      </c>
      <c r="C64" s="298" t="s">
        <v>82</v>
      </c>
      <c r="D64" s="298" t="s">
        <v>96</v>
      </c>
      <c r="E64" s="298" t="s">
        <v>86</v>
      </c>
      <c r="F64" s="298" t="s">
        <v>97</v>
      </c>
      <c r="G64" s="298" t="s">
        <v>98</v>
      </c>
      <c r="H64" s="298" t="s">
        <v>87</v>
      </c>
      <c r="I64" s="300" t="s">
        <v>88</v>
      </c>
    </row>
    <row r="65" spans="1:9" x14ac:dyDescent="0.3">
      <c r="A65" s="179" t="str">
        <f>'AG Jul 2018'!K42</f>
        <v>Energy Locals</v>
      </c>
      <c r="B65" s="180">
        <f>'AG Jul 2018'!G42</f>
        <v>41829</v>
      </c>
      <c r="C65" s="181">
        <f>91*'AG Jul 2018'!M42/100</f>
        <v>105.56</v>
      </c>
      <c r="D65" s="181">
        <f>($C$59*$C$60)*'AG Jul 2018'!N42/100</f>
        <v>140.364</v>
      </c>
      <c r="E65" s="181">
        <v>0</v>
      </c>
      <c r="F65" s="181">
        <f>($C$59*$C$61)*'AG Jul 2018'!AH42/100</f>
        <v>179.91</v>
      </c>
      <c r="G65" s="181">
        <f>($C$59*$C$62)*'AG Jul 2018'!W42/100</f>
        <v>86.346000000000004</v>
      </c>
      <c r="H65" s="183">
        <f>SUM(C65:G65)</f>
        <v>512.18000000000006</v>
      </c>
      <c r="I65" s="202">
        <f t="shared" ref="I65:I81" si="6">(H65*4)*1.1</f>
        <v>2253.5920000000006</v>
      </c>
    </row>
    <row r="66" spans="1:9" x14ac:dyDescent="0.3">
      <c r="A66" s="179" t="str">
        <f>'AG Jul 2018'!K43</f>
        <v>AGL</v>
      </c>
      <c r="B66" s="180">
        <f>'AG Jul 2018'!G43</f>
        <v>41820</v>
      </c>
      <c r="C66" s="181">
        <f>91*'AG Jul 2018'!M43/100</f>
        <v>87.36</v>
      </c>
      <c r="D66" s="181">
        <f>($C$59*$C$60)*'AG Jul 2018'!N43/100</f>
        <v>194.04</v>
      </c>
      <c r="E66" s="181">
        <v>0</v>
      </c>
      <c r="F66" s="181">
        <f>($C$59*$C$61)*'AG Jul 2018'!AH43/100</f>
        <v>206.55</v>
      </c>
      <c r="G66" s="181">
        <f>($C$59*$C$62)*'AG Jul 2018'!W43/100</f>
        <v>80.73</v>
      </c>
      <c r="H66" s="183">
        <f t="shared" ref="H66:H81" si="7">SUM(C66:G66)</f>
        <v>568.67999999999995</v>
      </c>
      <c r="I66" s="202">
        <f t="shared" si="6"/>
        <v>2502.192</v>
      </c>
    </row>
    <row r="67" spans="1:9" x14ac:dyDescent="0.3">
      <c r="A67" s="179" t="str">
        <f>'AG Jul 2018'!K44</f>
        <v>Alinta Energy</v>
      </c>
      <c r="B67" s="180">
        <f>'AG Jul 2018'!G44</f>
        <v>41852</v>
      </c>
      <c r="C67" s="181">
        <f>91*'AG Jul 2018'!M44/100</f>
        <v>87.36</v>
      </c>
      <c r="D67" s="181">
        <f>($C$59*$C$60)*'AG Jul 2018'!N44/100</f>
        <v>197.208</v>
      </c>
      <c r="E67" s="181">
        <v>0</v>
      </c>
      <c r="F67" s="181">
        <f>($C$59*$C$61)*'AG Jul 2018'!AH44/100</f>
        <v>207</v>
      </c>
      <c r="G67" s="181">
        <f>($C$59*$C$62)*'AG Jul 2018'!W44/100</f>
        <v>81</v>
      </c>
      <c r="H67" s="183">
        <f t="shared" si="7"/>
        <v>572.56799999999998</v>
      </c>
      <c r="I67" s="202">
        <f t="shared" si="6"/>
        <v>2519.2991999999999</v>
      </c>
    </row>
    <row r="68" spans="1:9" x14ac:dyDescent="0.3">
      <c r="A68" s="179" t="str">
        <f>'AG Jul 2018'!K45</f>
        <v>Click Energy</v>
      </c>
      <c r="B68" s="180">
        <f>'AG Jul 2018'!G45</f>
        <v>41880</v>
      </c>
      <c r="C68" s="181">
        <f>91*'AG Jul 2018'!M45/100</f>
        <v>91.91</v>
      </c>
      <c r="D68" s="181">
        <f>($C$59*$C$60)*'AG Jul 2018'!N45/100</f>
        <v>211.32</v>
      </c>
      <c r="E68" s="181">
        <v>0</v>
      </c>
      <c r="F68" s="181">
        <f>($C$59*$C$61)*'AG Jul 2018'!AH45/100</f>
        <v>281.7</v>
      </c>
      <c r="G68" s="181">
        <f>($C$59*$C$62)*'AG Jul 2018'!W45/100</f>
        <v>150.12</v>
      </c>
      <c r="H68" s="183">
        <f t="shared" si="7"/>
        <v>735.05000000000007</v>
      </c>
      <c r="I68" s="202">
        <f t="shared" si="6"/>
        <v>3234.2200000000007</v>
      </c>
    </row>
    <row r="69" spans="1:9" x14ac:dyDescent="0.3">
      <c r="A69" s="179" t="str">
        <f>'AG Jul 2018'!K46</f>
        <v>Commander</v>
      </c>
      <c r="B69" s="180">
        <f>'AG Jul 2018'!G46</f>
        <v>41639</v>
      </c>
      <c r="C69" s="181">
        <f>91*'AG Jul 2018'!M46/100</f>
        <v>105.196</v>
      </c>
      <c r="D69" s="181">
        <f>($C$59*$C$60)*'AG Jul 2018'!N46/100</f>
        <v>250.92</v>
      </c>
      <c r="E69" s="181">
        <v>0</v>
      </c>
      <c r="F69" s="181">
        <f>($C$59*$C$61)*'AG Jul 2018'!AH46/100</f>
        <v>265.41000000000003</v>
      </c>
      <c r="G69" s="181">
        <f>($C$59*$C$62)*'AG Jul 2018'!W46/100</f>
        <v>98.225999999999999</v>
      </c>
      <c r="H69" s="183">
        <f t="shared" si="7"/>
        <v>719.75200000000007</v>
      </c>
      <c r="I69" s="202">
        <f t="shared" si="6"/>
        <v>3166.9088000000006</v>
      </c>
    </row>
    <row r="70" spans="1:9" x14ac:dyDescent="0.3">
      <c r="A70" s="179" t="str">
        <f>'AG Jul 2018'!K47</f>
        <v>CovaU</v>
      </c>
      <c r="B70" s="180">
        <f>'AG Jul 2018'!G47</f>
        <v>41820</v>
      </c>
      <c r="C70" s="181">
        <f>91*'AG Jul 2018'!M47/100</f>
        <v>98.844200000000001</v>
      </c>
      <c r="D70" s="181">
        <f>($C$59*$C$60)*'AG Jul 2018'!N47/100</f>
        <v>148.78799999999998</v>
      </c>
      <c r="E70" s="181">
        <v>0</v>
      </c>
      <c r="F70" s="181">
        <f>($C$59*$C$61)*'AG Jul 2018'!AH47/100</f>
        <v>216</v>
      </c>
      <c r="G70" s="181">
        <f>($C$59*$C$62)*'AG Jul 2018'!W47/100</f>
        <v>97.2</v>
      </c>
      <c r="H70" s="183">
        <f t="shared" si="7"/>
        <v>560.83220000000006</v>
      </c>
      <c r="I70" s="202">
        <f t="shared" si="6"/>
        <v>2467.6616800000006</v>
      </c>
    </row>
    <row r="71" spans="1:9" x14ac:dyDescent="0.3">
      <c r="A71" s="179" t="str">
        <f>'AG Jul 2018'!K48</f>
        <v>Diamond Energy</v>
      </c>
      <c r="B71" s="180">
        <f>'AG Jul 2018'!G48</f>
        <v>41820</v>
      </c>
      <c r="C71" s="181">
        <f>91*'AG Jul 2018'!M48/100</f>
        <v>90.545000000000002</v>
      </c>
      <c r="D71" s="181">
        <f>IF($C$59*$C$60&gt;='AG Jul 2018'!P48,('AG Jul 2018'!P48*'AG Jul 2018'!N48/100),(($C$59*$C$60)*'AG Jul 2018'!N48/100))</f>
        <v>178.2</v>
      </c>
      <c r="E71" s="181">
        <f>IF(($C$59*$C$60&lt;'AG Jul 2018'!P48),(0),($C$59*$C$60-'AG Jul 2018'!P48)*'AG Jul 2018'!Q48/100)</f>
        <v>0</v>
      </c>
      <c r="F71" s="181">
        <f>($C$59*$C$61)*'AG Jul 2018'!AH48/100</f>
        <v>211.32</v>
      </c>
      <c r="G71" s="181">
        <f>($C$59*$C$62)*'AG Jul 2018'!W48/100</f>
        <v>96.93</v>
      </c>
      <c r="H71" s="183">
        <f t="shared" si="7"/>
        <v>576.995</v>
      </c>
      <c r="I71" s="202">
        <f t="shared" si="6"/>
        <v>2538.7780000000002</v>
      </c>
    </row>
    <row r="72" spans="1:9" x14ac:dyDescent="0.3">
      <c r="A72" s="179" t="str">
        <f>'AG Jul 2018'!K49</f>
        <v>Dodo Power &amp; Gas</v>
      </c>
      <c r="B72" s="180">
        <f>'AG Jul 2018'!G49</f>
        <v>41639</v>
      </c>
      <c r="C72" s="181">
        <f>91*'AG Jul 2018'!M49/100</f>
        <v>101.15559999999999</v>
      </c>
      <c r="D72" s="181">
        <f>($C$59*$C$60)*'AG Jul 2018'!N49/100</f>
        <v>241.23600000000002</v>
      </c>
      <c r="E72" s="181">
        <v>0</v>
      </c>
      <c r="F72" s="181">
        <f>($C$59*$C$61)*'AG Jul 2018'!AH49/100</f>
        <v>255.24</v>
      </c>
      <c r="G72" s="181">
        <f>($C$59*$C$62)*'AG Jul 2018'!W49/100</f>
        <v>94.445999999999984</v>
      </c>
      <c r="H72" s="183">
        <f t="shared" si="7"/>
        <v>692.07760000000007</v>
      </c>
      <c r="I72" s="202">
        <f t="shared" si="6"/>
        <v>3045.1414400000008</v>
      </c>
    </row>
    <row r="73" spans="1:9" x14ac:dyDescent="0.3">
      <c r="A73" s="179" t="str">
        <f>'AG Jul 2018'!K50</f>
        <v>EnergyAustralia</v>
      </c>
      <c r="B73" s="180">
        <f>'AG Jul 2018'!G50</f>
        <v>41640</v>
      </c>
      <c r="C73" s="181">
        <f>91*'AG Jul 2018'!M50/100</f>
        <v>87.72399999999999</v>
      </c>
      <c r="D73" s="181">
        <f>($C$59*$C$60)*'AG Jul 2018'!N50/100</f>
        <v>194.04</v>
      </c>
      <c r="E73" s="181">
        <v>0</v>
      </c>
      <c r="F73" s="181">
        <f>($C$59*$C$61)*'AG Jul 2018'!AH50/100</f>
        <v>253.8</v>
      </c>
      <c r="G73" s="181">
        <f>($C$59*$C$62)*'AG Jul 2018'!W50/100</f>
        <v>92.88</v>
      </c>
      <c r="H73" s="183">
        <f t="shared" si="7"/>
        <v>628.44400000000007</v>
      </c>
      <c r="I73" s="202">
        <f t="shared" si="6"/>
        <v>2765.1536000000006</v>
      </c>
    </row>
    <row r="74" spans="1:9" x14ac:dyDescent="0.3">
      <c r="A74" s="179" t="str">
        <f>'AG Jul 2018'!K51</f>
        <v>Mojo Power</v>
      </c>
      <c r="B74" s="180">
        <f>'AG Jul 2018'!G51</f>
        <v>41468</v>
      </c>
      <c r="C74" s="181">
        <f>91*'AG Jul 2018'!M51/100</f>
        <v>188.57929999999999</v>
      </c>
      <c r="D74" s="181">
        <f>($C$59*$C$60)*'AG Jul 2018'!N51/100</f>
        <v>161.42400000000001</v>
      </c>
      <c r="E74" s="181">
        <v>0</v>
      </c>
      <c r="F74" s="181">
        <f>($C$59*$C$61)*'AG Jul 2018'!AH51/100</f>
        <v>185.49</v>
      </c>
      <c r="G74" s="181">
        <f>($C$59*$C$62)*'AG Jul 2018'!W51/100</f>
        <v>74.358000000000004</v>
      </c>
      <c r="H74" s="183">
        <f t="shared" si="7"/>
        <v>609.85130000000004</v>
      </c>
      <c r="I74" s="202">
        <f t="shared" si="6"/>
        <v>2683.3457200000003</v>
      </c>
    </row>
    <row r="75" spans="1:9" x14ac:dyDescent="0.3">
      <c r="A75" s="179" t="str">
        <f>'AG Jul 2018'!K52</f>
        <v>Momentum Energy</v>
      </c>
      <c r="B75" s="180">
        <f>'AG Jul 2018'!G52</f>
        <v>41820</v>
      </c>
      <c r="C75" s="181">
        <f>91*'AG Jul 2018'!M52/100</f>
        <v>89.953500000000005</v>
      </c>
      <c r="D75" s="181">
        <f>IF($C$59*$C$60&gt;='AG Jul 2018'!P52,('AG Jul 2018'!P52*'AG Jul 2018'!N52/100),(($C$59*$C$60)*'AG Jul 2018'!N52/100))</f>
        <v>109.944</v>
      </c>
      <c r="E75" s="181">
        <f>IF(($C$59*$C$60&lt;'AG Jul 2018'!P52),(0),($C$59*$C$60-'AG Jul 2018'!P52)*'AG Jul 2018'!Q52/100)</f>
        <v>0</v>
      </c>
      <c r="F75" s="181">
        <f>($C$59*$C$61)*'AG Jul 2018'!AH52/100</f>
        <v>274.86</v>
      </c>
      <c r="G75" s="181">
        <f>($C$59*$C$62)*'AG Jul 2018'!W52/100</f>
        <v>132.51599999999999</v>
      </c>
      <c r="H75" s="183">
        <f t="shared" si="7"/>
        <v>607.27350000000001</v>
      </c>
      <c r="I75" s="202">
        <f t="shared" si="6"/>
        <v>2672.0034000000001</v>
      </c>
    </row>
    <row r="76" spans="1:9" x14ac:dyDescent="0.3">
      <c r="A76" s="179" t="str">
        <f>'AG Jul 2018'!K53</f>
        <v>Origin Energy</v>
      </c>
      <c r="B76" s="180">
        <f>'AG Jul 2018'!G53</f>
        <v>41820</v>
      </c>
      <c r="C76" s="181">
        <f>91*'AG Jul 2018'!M53/100</f>
        <v>88.133499999999998</v>
      </c>
      <c r="D76" s="181">
        <f>($C$59*$C$60)*'AG Jul 2018'!N53/100</f>
        <v>190.83599999999998</v>
      </c>
      <c r="E76" s="181">
        <v>0</v>
      </c>
      <c r="F76" s="181">
        <f>($C$59*$C$61)*'AG Jul 2018'!AH53/100</f>
        <v>214.11</v>
      </c>
      <c r="G76" s="181">
        <f>($C$59*$C$62)*'AG Jul 2018'!W53/100</f>
        <v>77.867999999999995</v>
      </c>
      <c r="H76" s="183">
        <f t="shared" si="7"/>
        <v>570.94749999999999</v>
      </c>
      <c r="I76" s="202">
        <f t="shared" si="6"/>
        <v>2512.1690000000003</v>
      </c>
    </row>
    <row r="77" spans="1:9" x14ac:dyDescent="0.3">
      <c r="A77" s="179" t="str">
        <f>'AG Jul 2018'!K54</f>
        <v>Powerdirect</v>
      </c>
      <c r="B77" s="180">
        <f>'AG Jul 2018'!G54</f>
        <v>41823</v>
      </c>
      <c r="C77" s="181">
        <f>91*'AG Jul 2018'!M54/100</f>
        <v>87.36</v>
      </c>
      <c r="D77" s="181">
        <f>($C$59*$C$60)*'AG Jul 2018'!N54/100</f>
        <v>194.04</v>
      </c>
      <c r="E77" s="181">
        <v>0</v>
      </c>
      <c r="F77" s="181">
        <f>($C$59*$C$61)*'AG Jul 2018'!AH54/100</f>
        <v>206.55</v>
      </c>
      <c r="G77" s="181">
        <f>($C$59*$C$62)*'AG Jul 2018'!W54/100</f>
        <v>80.73</v>
      </c>
      <c r="H77" s="183">
        <f t="shared" si="7"/>
        <v>568.67999999999995</v>
      </c>
      <c r="I77" s="202">
        <f t="shared" si="6"/>
        <v>2502.192</v>
      </c>
    </row>
    <row r="78" spans="1:9" x14ac:dyDescent="0.3">
      <c r="A78" s="179" t="str">
        <f>'AG Jul 2018'!K55</f>
        <v>Powershop</v>
      </c>
      <c r="B78" s="180">
        <f>'AG Jul 2018'!G55</f>
        <v>41820</v>
      </c>
      <c r="C78" s="181">
        <f>91*'AG Jul 2018'!M55/100</f>
        <v>95.886700000000005</v>
      </c>
      <c r="D78" s="181">
        <f>($C$59*$C$60)*'AG Jul 2018'!N55/100</f>
        <v>152.60399999999998</v>
      </c>
      <c r="E78" s="181">
        <v>0</v>
      </c>
      <c r="F78" s="181">
        <f>($C$59*$C$61)*'AG Jul 2018'!AH55/100</f>
        <v>192.78</v>
      </c>
      <c r="G78" s="181">
        <f>($C$59*$C$62)*'AG Jul 2018'!W55/100</f>
        <v>94.23</v>
      </c>
      <c r="H78" s="183">
        <f t="shared" si="7"/>
        <v>535.50070000000005</v>
      </c>
      <c r="I78" s="202">
        <f t="shared" si="6"/>
        <v>2356.2030800000002</v>
      </c>
    </row>
    <row r="79" spans="1:9" x14ac:dyDescent="0.3">
      <c r="A79" s="179" t="str">
        <f>'AG Jul 2018'!K56</f>
        <v>Red Energy</v>
      </c>
      <c r="B79" s="180">
        <f>'AG Jul 2018'!G56</f>
        <v>41879</v>
      </c>
      <c r="C79" s="181">
        <f>91*'AG Jul 2018'!M56/100</f>
        <v>83.537999999999997</v>
      </c>
      <c r="D79" s="181">
        <f>($C$59*$C$60)*'AG Jul 2018'!N56/100</f>
        <v>196.452</v>
      </c>
      <c r="E79" s="181">
        <v>0</v>
      </c>
      <c r="F79" s="181">
        <f>($C$59*$C$61)*'AG Jul 2018'!AH56/100</f>
        <v>222.21</v>
      </c>
      <c r="G79" s="181">
        <f>($C$59*$C$62)*'AG Jul 2018'!W56/100</f>
        <v>88.722000000000008</v>
      </c>
      <c r="H79" s="183">
        <f t="shared" si="7"/>
        <v>590.92200000000003</v>
      </c>
      <c r="I79" s="202">
        <f t="shared" si="6"/>
        <v>2600.0568000000003</v>
      </c>
    </row>
    <row r="80" spans="1:9" x14ac:dyDescent="0.3">
      <c r="A80" s="179" t="str">
        <f>'AG Jul 2018'!K57</f>
        <v>Simply Energy</v>
      </c>
      <c r="B80" s="180">
        <f>'AG Jul 2018'!G57</f>
        <v>41822</v>
      </c>
      <c r="C80" s="181">
        <f>91*'AG Jul 2018'!M57/100</f>
        <v>79.779700000000005</v>
      </c>
      <c r="D80" s="181">
        <f>($C$59*$C$60)*'AG Jul 2018'!N57/100</f>
        <v>191.232</v>
      </c>
      <c r="E80" s="181">
        <v>0</v>
      </c>
      <c r="F80" s="181">
        <f>($C$59*$C$61)*'AG Jul 2018'!AH57/100</f>
        <v>181.44</v>
      </c>
      <c r="G80" s="181">
        <f>($C$59*$C$62)*'AG Jul 2018'!W57/100</f>
        <v>73.656000000000006</v>
      </c>
      <c r="H80" s="183">
        <f t="shared" si="7"/>
        <v>526.10770000000002</v>
      </c>
      <c r="I80" s="202">
        <f t="shared" si="6"/>
        <v>2314.8738800000001</v>
      </c>
    </row>
    <row r="81" spans="1:9" x14ac:dyDescent="0.3">
      <c r="A81" s="179" t="str">
        <f>'AG Jul 2018'!K58</f>
        <v>Sumo Power</v>
      </c>
      <c r="B81" s="180">
        <f>'AG Jul 2018'!G58</f>
        <v>41894</v>
      </c>
      <c r="C81" s="181">
        <f>91*'AG Jul 2018'!M58/100</f>
        <v>100.29109999999999</v>
      </c>
      <c r="D81" s="181">
        <f>($C$59*$C$60)*'AG Jul 2018'!N58/100</f>
        <v>226.22400000000002</v>
      </c>
      <c r="E81" s="181">
        <v>0</v>
      </c>
      <c r="F81" s="181">
        <f>($C$59*$C$61)*'AG Jul 2018'!AH58/100</f>
        <v>271.70999999999998</v>
      </c>
      <c r="G81" s="181">
        <f>($C$59*$C$62)*'AG Jul 2018'!W58/100</f>
        <v>106.866</v>
      </c>
      <c r="H81" s="183">
        <f t="shared" si="7"/>
        <v>705.09109999999998</v>
      </c>
      <c r="I81" s="202">
        <f t="shared" si="6"/>
        <v>3102.4008400000002</v>
      </c>
    </row>
    <row r="82" spans="1:9" s="233" customFormat="1" x14ac:dyDescent="0.3">
      <c r="A82" s="179" t="str">
        <f>'AG Jul 2018'!K59</f>
        <v>1st Energy</v>
      </c>
      <c r="B82" s="180">
        <f>'AG Jul 2018'!G59</f>
        <v>41820</v>
      </c>
      <c r="C82" s="181">
        <f>91*'AG Jul 2018'!M59/100</f>
        <v>94.621800000000007</v>
      </c>
      <c r="D82" s="181">
        <f>($C$59*$C$60)*'AG Jul 2018'!N59/100</f>
        <v>245.55599999999998</v>
      </c>
      <c r="E82" s="181">
        <v>0</v>
      </c>
      <c r="F82" s="181">
        <f>($C$59*$C$61)*'AG Jul 2018'!AH59/100</f>
        <v>260.19</v>
      </c>
      <c r="G82" s="181">
        <f>($C$59*$C$62)*'AG Jul 2018'!W59/100</f>
        <v>102.492</v>
      </c>
      <c r="H82" s="183">
        <f t="shared" ref="H82:H84" si="8">SUM(C82:G82)</f>
        <v>702.85979999999995</v>
      </c>
      <c r="I82" s="202">
        <f t="shared" ref="I82:I84" si="9">(H82*4)*1.1</f>
        <v>3092.5831200000002</v>
      </c>
    </row>
    <row r="83" spans="1:9" x14ac:dyDescent="0.3">
      <c r="A83" s="179" t="str">
        <f>'AG Jul 2018'!K60</f>
        <v>Amaysim</v>
      </c>
      <c r="B83" s="180">
        <f>'AG Jul 2018'!G60</f>
        <v>41880</v>
      </c>
      <c r="C83" s="181">
        <f>91*'AG Jul 2018'!M60/100</f>
        <v>91.91</v>
      </c>
      <c r="D83" s="181">
        <f>($C$59*$C$60)*'AG Jul 2018'!N60/100</f>
        <v>211.32</v>
      </c>
      <c r="E83" s="181">
        <v>0</v>
      </c>
      <c r="F83" s="181">
        <f>($C$59*$C$61)*'AG Jul 2018'!AH60/100</f>
        <v>281.7</v>
      </c>
      <c r="G83" s="181">
        <f>($C$59*$C$62)*'AG Jul 2018'!W60/100</f>
        <v>150.11999999999998</v>
      </c>
      <c r="H83" s="183">
        <f t="shared" si="8"/>
        <v>735.05000000000007</v>
      </c>
      <c r="I83" s="202">
        <f t="shared" si="9"/>
        <v>3234.2200000000007</v>
      </c>
    </row>
    <row r="84" spans="1:9" ht="14" thickBot="1" x14ac:dyDescent="0.35">
      <c r="A84" s="184" t="str">
        <f>'AG Jul 2018'!K61</f>
        <v>Q Energy</v>
      </c>
      <c r="B84" s="185">
        <f>'AG Jul 2018'!G61</f>
        <v>41820</v>
      </c>
      <c r="C84" s="186">
        <f>91*'AG Jul 2018'!M61/100</f>
        <v>80.08</v>
      </c>
      <c r="D84" s="186">
        <f>($C$59*$C$60)*'AG Jul 2018'!N61/100</f>
        <v>216.16919999999999</v>
      </c>
      <c r="E84" s="186">
        <v>0</v>
      </c>
      <c r="F84" s="186">
        <f>($C$59*$C$61)*'AG Jul 2018'!AH61/100</f>
        <v>279.92700000000002</v>
      </c>
      <c r="G84" s="186">
        <f>($C$59*$C$62)*'AG Jul 2018'!W61/100</f>
        <v>151.9074</v>
      </c>
      <c r="H84" s="188">
        <f t="shared" si="8"/>
        <v>728.08359999999993</v>
      </c>
      <c r="I84" s="203">
        <f t="shared" si="9"/>
        <v>3203.5678400000002</v>
      </c>
    </row>
  </sheetData>
  <sheetProtection algorithmName="SHA-512" hashValue="8fHq70h5luutlEJ3ilh05/+hfFLWSBpQMkLUy4AZrKdIMdiuhOQYEf+GSk1NlO/Ow0IaBzOUTM/xpxAZovbUlg==" saltValue="PzqPQXNglyx9mKVRU0GpYA==" spinCount="100000" sheet="1" objects="1" scenarios="1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0468-3253-F449-A08F-45A4F859F872}">
  <sheetPr codeName="Sheet10"/>
  <dimension ref="A1:I84"/>
  <sheetViews>
    <sheetView topLeftCell="A16" workbookViewId="0">
      <selection activeCell="C59" activeCellId="2" sqref="C5 C31:C33 C59:C62"/>
    </sheetView>
  </sheetViews>
  <sheetFormatPr defaultColWidth="10.84375" defaultRowHeight="13.5" x14ac:dyDescent="0.3"/>
  <cols>
    <col min="1" max="1" width="19.3046875" style="214" customWidth="1"/>
    <col min="2" max="2" width="11.4609375" style="214" customWidth="1"/>
    <col min="3" max="9" width="12.15234375" style="214" customWidth="1"/>
    <col min="10" max="16384" width="10.84375" style="214"/>
  </cols>
  <sheetData>
    <row r="1" spans="1:9" ht="14" x14ac:dyDescent="0.3">
      <c r="A1" s="213" t="s">
        <v>76</v>
      </c>
      <c r="B1" s="213"/>
      <c r="C1" s="213"/>
      <c r="D1" s="213"/>
      <c r="E1" s="213"/>
      <c r="F1" s="213"/>
      <c r="G1" s="213"/>
      <c r="H1" s="213"/>
      <c r="I1" s="213"/>
    </row>
    <row r="2" spans="1:9" ht="14" x14ac:dyDescent="0.3">
      <c r="A2" s="215" t="s">
        <v>101</v>
      </c>
      <c r="B2" s="213"/>
      <c r="C2" s="213"/>
      <c r="D2" s="213"/>
      <c r="E2" s="213"/>
      <c r="F2" s="213"/>
      <c r="G2" s="213"/>
      <c r="H2" s="213"/>
      <c r="I2" s="213"/>
    </row>
    <row r="3" spans="1:9" ht="14.5" thickBot="1" x14ac:dyDescent="0.35">
      <c r="A3" s="213"/>
      <c r="B3" s="213"/>
      <c r="C3" s="213"/>
      <c r="D3" s="213"/>
      <c r="E3" s="213"/>
      <c r="F3" s="216"/>
      <c r="G3" s="213"/>
      <c r="H3" s="213"/>
      <c r="I3" s="213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'END Jul 2018'!K2</f>
        <v>Energy Locals</v>
      </c>
      <c r="B8" s="180">
        <f>'END Jul 2018'!G2</f>
        <v>41829</v>
      </c>
      <c r="C8" s="181">
        <f>91*'END Jul 2018'!M2/100</f>
        <v>90.09</v>
      </c>
      <c r="D8" s="181">
        <f>$C$5*'END Jul 2018'!N2/100</f>
        <v>413.82</v>
      </c>
      <c r="E8" s="182">
        <v>0</v>
      </c>
      <c r="F8" s="181">
        <v>0</v>
      </c>
      <c r="G8" s="181">
        <f>IF(($C$5&lt;'END Jul 2018'!R2),(0),($C$5-'END Jul 2018'!R2)*'END Jul 2018'!S2/100)</f>
        <v>0</v>
      </c>
      <c r="H8" s="183">
        <f>SUM(C8:G8)</f>
        <v>503.90999999999997</v>
      </c>
      <c r="I8" s="202">
        <f>(H8*4)*1.1</f>
        <v>2217.2040000000002</v>
      </c>
    </row>
    <row r="9" spans="1:9" x14ac:dyDescent="0.3">
      <c r="A9" s="179" t="str">
        <f>'END Jul 2018'!K3</f>
        <v>AGL</v>
      </c>
      <c r="B9" s="180">
        <f>'END Jul 2018'!G3</f>
        <v>41820</v>
      </c>
      <c r="C9" s="181">
        <f>91*'END Jul 2018'!M3/100</f>
        <v>76.44</v>
      </c>
      <c r="D9" s="181">
        <f>$C$5*'END Jul 2018'!N3/100</f>
        <v>520.20000000000005</v>
      </c>
      <c r="E9" s="182">
        <v>0</v>
      </c>
      <c r="F9" s="181">
        <v>0</v>
      </c>
      <c r="G9" s="181">
        <f>IF(($C$5&lt;'END Jul 2018'!R3),(0),($C$5-'END Jul 2018'!R3)*'END Jul 2018'!S3/100)</f>
        <v>0</v>
      </c>
      <c r="H9" s="183">
        <f t="shared" ref="H9:H24" si="0">SUM(C9:G9)</f>
        <v>596.6400000000001</v>
      </c>
      <c r="I9" s="202">
        <f t="shared" ref="I9:I24" si="1">(H9*4)*1.1</f>
        <v>2625.2160000000008</v>
      </c>
    </row>
    <row r="10" spans="1:9" x14ac:dyDescent="0.3">
      <c r="A10" s="179" t="str">
        <f>'END Jul 2018'!K4</f>
        <v>Alinta Energy</v>
      </c>
      <c r="B10" s="180">
        <f>'END Jul 2018'!G4</f>
        <v>41852</v>
      </c>
      <c r="C10" s="181">
        <f>91*'END Jul 2018'!M4/100</f>
        <v>75.53</v>
      </c>
      <c r="D10" s="181">
        <f>IF($C$5&gt;='END Jul 2018'!P4,('END Jul 2018'!P4*'END Jul 2018'!N4/100),($C$5*'END Jul 2018'!N4/100))</f>
        <v>280.39999999999998</v>
      </c>
      <c r="E10" s="182">
        <f>IF($C$5&lt;'END Jul 2018'!P4,0,IF(($C$5)&lt;='END Jul 2018'!R4,(($C$5-'END Jul 2018'!P4)*'END Jul 2018'!Q4/100),(('END Jul 2018'!R4-'END Jul 2018'!P4)*'END Jul 2018'!Q4/100)))</f>
        <v>210.3</v>
      </c>
      <c r="F10" s="181">
        <v>0</v>
      </c>
      <c r="G10" s="181">
        <f>IF(($C$5&lt;'END Jul 2018'!R4),(0),($C$5-'END Jul 2018'!R4)*'END Jul 2018'!S4/100)</f>
        <v>14.02</v>
      </c>
      <c r="H10" s="183">
        <f t="shared" si="0"/>
        <v>580.25</v>
      </c>
      <c r="I10" s="202">
        <f t="shared" si="1"/>
        <v>2553.1000000000004</v>
      </c>
    </row>
    <row r="11" spans="1:9" x14ac:dyDescent="0.3">
      <c r="A11" s="179" t="str">
        <f>'END Jul 2018'!K5</f>
        <v>Click Energy</v>
      </c>
      <c r="B11" s="180">
        <f>'END Jul 2018'!G5</f>
        <v>41880</v>
      </c>
      <c r="C11" s="181">
        <f>91*'END Jul 2018'!M5/100</f>
        <v>78.260000000000005</v>
      </c>
      <c r="D11" s="181">
        <f>$C$5*'END Jul 2018'!N5/100</f>
        <v>678.6</v>
      </c>
      <c r="E11" s="182">
        <v>0</v>
      </c>
      <c r="F11" s="181">
        <v>0</v>
      </c>
      <c r="G11" s="181">
        <f>IF(($C$5&lt;'END Jul 2018'!R5),(0),($C$5-'END Jul 2018'!R5)*'END Jul 2018'!S5/100)</f>
        <v>0</v>
      </c>
      <c r="H11" s="183">
        <f t="shared" si="0"/>
        <v>756.86</v>
      </c>
      <c r="I11" s="202">
        <f t="shared" si="1"/>
        <v>3330.1840000000002</v>
      </c>
    </row>
    <row r="12" spans="1:9" x14ac:dyDescent="0.3">
      <c r="A12" s="179" t="str">
        <f>'END Jul 2018'!K6</f>
        <v>Commander</v>
      </c>
      <c r="B12" s="180">
        <f>'END Jul 2018'!G6</f>
        <v>41639</v>
      </c>
      <c r="C12" s="181">
        <f>91*'END Jul 2018'!M6/100</f>
        <v>94.166800000000009</v>
      </c>
      <c r="D12" s="181">
        <f>IF($C$5&gt;='END Jul 2018'!P6,('END Jul 2018'!P6*'END Jul 2018'!N6/100),($C$5*'END Jul 2018'!N6/100))</f>
        <v>611.97500000000002</v>
      </c>
      <c r="E12" s="182">
        <f>IF($C$5&lt;'END Jul 2018'!P6,0,IF(($C$5)&lt;='END Jul 2018'!R6,(($C$5-'END Jul 2018'!P6)*'END Jul 2018'!Q6/100),(('END Jul 2018'!R6-'END Jul 2018'!P6)*'END Jul 2018'!Q6/100)))</f>
        <v>0</v>
      </c>
      <c r="F12" s="181">
        <v>0</v>
      </c>
      <c r="G12" s="181">
        <f>IF(($C$5&lt;'END Jul 2018'!R6),(0),($C$5-'END Jul 2018'!R6)*'END Jul 2018'!S6/100)</f>
        <v>17.434999999999999</v>
      </c>
      <c r="H12" s="183">
        <f t="shared" si="0"/>
        <v>723.57679999999993</v>
      </c>
      <c r="I12" s="202">
        <f t="shared" si="1"/>
        <v>3183.73792</v>
      </c>
    </row>
    <row r="13" spans="1:9" x14ac:dyDescent="0.3">
      <c r="A13" s="179" t="str">
        <f>'END Jul 2018'!K7</f>
        <v>CovaU</v>
      </c>
      <c r="B13" s="180">
        <f>'END Jul 2018'!G7</f>
        <v>41820</v>
      </c>
      <c r="C13" s="181">
        <f>91*'END Jul 2018'!M7/100</f>
        <v>91</v>
      </c>
      <c r="D13" s="181">
        <f>$C$5*'END Jul 2018'!N7/100</f>
        <v>498.6</v>
      </c>
      <c r="E13" s="182">
        <v>0</v>
      </c>
      <c r="F13" s="181">
        <v>0</v>
      </c>
      <c r="G13" s="181">
        <f>IF(($C$5&lt;'END Jul 2018'!R7),(0),($C$5-'END Jul 2018'!R7)*'END Jul 2018'!S7/100)</f>
        <v>0</v>
      </c>
      <c r="H13" s="183">
        <f t="shared" si="0"/>
        <v>589.6</v>
      </c>
      <c r="I13" s="202">
        <f t="shared" si="1"/>
        <v>2594.2400000000002</v>
      </c>
    </row>
    <row r="14" spans="1:9" x14ac:dyDescent="0.3">
      <c r="A14" s="179" t="str">
        <f>'END Jul 2018'!K8</f>
        <v>Diamond Energy</v>
      </c>
      <c r="B14" s="180">
        <f>'END Jul 2018'!G8</f>
        <v>41820</v>
      </c>
      <c r="C14" s="181">
        <f>91*'END Jul 2018'!M8/100</f>
        <v>81.444999999999993</v>
      </c>
      <c r="D14" s="181">
        <f>IF($C$5&gt;='END Jul 2018'!P8,('END Jul 2018'!P8*'END Jul 2018'!N8/100),($C$5*'END Jul 2018'!N8/100))</f>
        <v>76.98</v>
      </c>
      <c r="E14" s="182">
        <f>IF($C$5&lt;'END Jul 2018'!P8,0,IF(($C$5)&lt;='END Jul 2018'!R8,(($C$5-'END Jul 2018'!P8)*'END Jul 2018'!Q8/100),(('END Jul 2018'!R8-'END Jul 2018'!P8)*'END Jul 2018'!Q8/100)))</f>
        <v>194.25599999999997</v>
      </c>
      <c r="F14" s="181">
        <v>0</v>
      </c>
      <c r="G14" s="181">
        <f>IF(($C$5&lt;'END Jul 2018'!R8),(0),($C$5-'END Jul 2018'!R8)*'END Jul 2018'!S8/100)</f>
        <v>222.22199999999998</v>
      </c>
      <c r="H14" s="183">
        <f t="shared" si="0"/>
        <v>574.90300000000002</v>
      </c>
      <c r="I14" s="202">
        <f t="shared" si="1"/>
        <v>2529.5732000000003</v>
      </c>
    </row>
    <row r="15" spans="1:9" x14ac:dyDescent="0.3">
      <c r="A15" s="179" t="str">
        <f>'END Jul 2018'!K9</f>
        <v>Dodo Power &amp; Gas</v>
      </c>
      <c r="B15" s="180">
        <f>'END Jul 2018'!G9</f>
        <v>41639</v>
      </c>
      <c r="C15" s="181">
        <f>91*'END Jul 2018'!M9/100</f>
        <v>90.545000000000002</v>
      </c>
      <c r="D15" s="181">
        <f>IF($C$5&gt;='END Jul 2018'!P9,('END Jul 2018'!P9*'END Jul 2018'!N9/100),($C$5*'END Jul 2018'!N9/100))</f>
        <v>586.77499999999998</v>
      </c>
      <c r="E15" s="182">
        <f>IF($C$5&lt;'END Jul 2018'!P9,0,IF(($C$5)&lt;='END Jul 2018'!R9,(($C$5-'END Jul 2018'!P9)*'END Jul 2018'!Q9/100),(('END Jul 2018'!R9-'END Jul 2018'!P9)*'END Jul 2018'!Q9/100)))</f>
        <v>0</v>
      </c>
      <c r="F15" s="181">
        <v>0</v>
      </c>
      <c r="G15" s="181">
        <f>IF(($C$5&lt;'END Jul 2018'!R9),(0),($C$5-'END Jul 2018'!R9)*'END Jul 2018'!S9/100)</f>
        <v>16.765000000000001</v>
      </c>
      <c r="H15" s="183">
        <f t="shared" si="0"/>
        <v>694.08499999999992</v>
      </c>
      <c r="I15" s="202">
        <f t="shared" si="1"/>
        <v>3053.9739999999997</v>
      </c>
    </row>
    <row r="16" spans="1:9" x14ac:dyDescent="0.3">
      <c r="A16" s="179" t="str">
        <f>'END Jul 2018'!K10</f>
        <v>EnergyAustralia</v>
      </c>
      <c r="B16" s="180">
        <f>'END Jul 2018'!G10</f>
        <v>41640</v>
      </c>
      <c r="C16" s="181">
        <f>91*'END Jul 2018'!M10/100</f>
        <v>79.442999999999998</v>
      </c>
      <c r="D16" s="181">
        <f>$C$5*'END Jul 2018'!N10/100</f>
        <v>536.04</v>
      </c>
      <c r="E16" s="182">
        <v>0</v>
      </c>
      <c r="F16" s="181">
        <v>0</v>
      </c>
      <c r="G16" s="181">
        <f>IF(($C$5&lt;'END Jul 2018'!R10),(0),($C$5-'END Jul 2018'!R10)*'END Jul 2018'!S10/100)</f>
        <v>0</v>
      </c>
      <c r="H16" s="183">
        <f t="shared" si="0"/>
        <v>615.48299999999995</v>
      </c>
      <c r="I16" s="202">
        <f t="shared" si="1"/>
        <v>2708.1251999999999</v>
      </c>
    </row>
    <row r="17" spans="1:9" x14ac:dyDescent="0.3">
      <c r="A17" s="179" t="str">
        <f>'END Jul 2018'!K11</f>
        <v>Mojo Power</v>
      </c>
      <c r="B17" s="180">
        <f>'END Jul 2018'!G11</f>
        <v>41468</v>
      </c>
      <c r="C17" s="181">
        <f>91*'END Jul 2018'!M11/100</f>
        <v>171.0436</v>
      </c>
      <c r="D17" s="181">
        <f>$C$5*'END Jul 2018'!N11/100</f>
        <v>436.32</v>
      </c>
      <c r="E17" s="182">
        <v>0</v>
      </c>
      <c r="F17" s="181">
        <v>0</v>
      </c>
      <c r="G17" s="181">
        <f>IF(($C$5&lt;'END Jul 2018'!R11),(0),($C$5-'END Jul 2018'!R11)*'END Jul 2018'!S11/100)</f>
        <v>0</v>
      </c>
      <c r="H17" s="183">
        <f t="shared" si="0"/>
        <v>607.36360000000002</v>
      </c>
      <c r="I17" s="202">
        <f t="shared" si="1"/>
        <v>2672.3998400000005</v>
      </c>
    </row>
    <row r="18" spans="1:9" x14ac:dyDescent="0.3">
      <c r="A18" s="179" t="str">
        <f>'END Jul 2018'!K12</f>
        <v>Momentum Energy</v>
      </c>
      <c r="B18" s="180">
        <f>'END Jul 2018'!G12</f>
        <v>41820</v>
      </c>
      <c r="C18" s="181">
        <f>91*'END Jul 2018'!M12/100</f>
        <v>76.066900000000004</v>
      </c>
      <c r="D18" s="181">
        <f>IF($C$5&gt;='END Jul 2018'!P12,('END Jul 2018'!P12*'END Jul 2018'!N12/100),($C$5*'END Jul 2018'!N12/100))</f>
        <v>173.16</v>
      </c>
      <c r="E18" s="182">
        <f>IF($C$5&lt;'END Jul 2018'!P12,0,IF(($C$5)&lt;='END Jul 2018'!R12,(($C$5-'END Jul 2018'!P12)*'END Jul 2018'!Q12/100),(('END Jul 2018'!R12-'END Jul 2018'!P12)*'END Jul 2018'!Q12/100)))</f>
        <v>0</v>
      </c>
      <c r="F18" s="181">
        <v>0</v>
      </c>
      <c r="G18" s="181">
        <f>IF(($C$5&lt;'END Jul 2018'!R12),(0),($C$5-'END Jul 2018'!R12)*'END Jul 2018'!S12/100)</f>
        <v>339.36</v>
      </c>
      <c r="H18" s="183">
        <f t="shared" si="0"/>
        <v>588.58690000000001</v>
      </c>
      <c r="I18" s="202">
        <f t="shared" si="1"/>
        <v>2589.7823600000002</v>
      </c>
    </row>
    <row r="19" spans="1:9" x14ac:dyDescent="0.3">
      <c r="A19" s="179" t="str">
        <f>'END Jul 2018'!K13</f>
        <v>Origin Energy</v>
      </c>
      <c r="B19" s="180">
        <f>'END Jul 2018'!G13</f>
        <v>41820</v>
      </c>
      <c r="C19" s="181">
        <f>91*'END Jul 2018'!M13/100</f>
        <v>75.429900000000004</v>
      </c>
      <c r="D19" s="181">
        <f>$C$5*'END Jul 2018'!N13/100</f>
        <v>487.62</v>
      </c>
      <c r="E19" s="182">
        <v>0</v>
      </c>
      <c r="F19" s="181">
        <v>0</v>
      </c>
      <c r="G19" s="181">
        <v>0</v>
      </c>
      <c r="H19" s="183">
        <f t="shared" si="0"/>
        <v>563.04989999999998</v>
      </c>
      <c r="I19" s="202">
        <f t="shared" si="1"/>
        <v>2477.4195600000003</v>
      </c>
    </row>
    <row r="20" spans="1:9" x14ac:dyDescent="0.3">
      <c r="A20" s="179" t="str">
        <f>'END Jul 2018'!K14</f>
        <v>Powerdirect</v>
      </c>
      <c r="B20" s="180">
        <f>'END Jul 2018'!G14</f>
        <v>41823</v>
      </c>
      <c r="C20" s="181">
        <f>91*'END Jul 2018'!M14/100</f>
        <v>76.44</v>
      </c>
      <c r="D20" s="181">
        <f>$C$5*'END Jul 2018'!N14/100</f>
        <v>520.20000000000005</v>
      </c>
      <c r="E20" s="182">
        <v>0</v>
      </c>
      <c r="F20" s="181">
        <v>0</v>
      </c>
      <c r="G20" s="181">
        <f>IF(($C$5&lt;'END Jul 2018'!R14),(0),($C$5-'END Jul 2018'!R14)*'END Jul 2018'!S14/100)</f>
        <v>0</v>
      </c>
      <c r="H20" s="183">
        <f t="shared" si="0"/>
        <v>596.6400000000001</v>
      </c>
      <c r="I20" s="202">
        <f t="shared" si="1"/>
        <v>2625.2160000000008</v>
      </c>
    </row>
    <row r="21" spans="1:9" x14ac:dyDescent="0.3">
      <c r="A21" s="179" t="str">
        <f>'END Jul 2018'!K15</f>
        <v>Powershop</v>
      </c>
      <c r="B21" s="180">
        <f>'END Jul 2018'!G15</f>
        <v>41820</v>
      </c>
      <c r="C21" s="181">
        <f>91*'END Jul 2018'!M15/100</f>
        <v>84.912100000000009</v>
      </c>
      <c r="D21" s="181">
        <f>C5*'END Jul 2018'!N15/100</f>
        <v>450.36</v>
      </c>
      <c r="E21" s="182">
        <v>0</v>
      </c>
      <c r="F21" s="181">
        <v>0</v>
      </c>
      <c r="G21" s="181">
        <v>0</v>
      </c>
      <c r="H21" s="183">
        <f t="shared" si="0"/>
        <v>535.27210000000002</v>
      </c>
      <c r="I21" s="202">
        <f t="shared" si="1"/>
        <v>2355.1972400000004</v>
      </c>
    </row>
    <row r="22" spans="1:9" x14ac:dyDescent="0.3">
      <c r="A22" s="179" t="str">
        <f>'END Jul 2018'!K16</f>
        <v>Red Energy</v>
      </c>
      <c r="B22" s="180">
        <f>'END Jul 2018'!G16</f>
        <v>41879</v>
      </c>
      <c r="C22" s="181">
        <f>91*'END Jul 2018'!M16/100</f>
        <v>73.327799999999996</v>
      </c>
      <c r="D22" s="181">
        <f>IF($C$5&gt;='END Jul 2018'!P16,('END Jul 2018'!P16*'END Jul 2018'!N16/100),($C$5*'END Jul 2018'!N16/100))</f>
        <v>280.5</v>
      </c>
      <c r="E22" s="182">
        <f>IF($C$5&lt;'END Jul 2018'!P16,0,IF(($C$5)&lt;='END Jul 2018'!R16,(($C$5-'END Jul 2018'!P16)*'END Jul 2018'!Q16/100),(('END Jul 2018'!R16-'END Jul 2018'!P16)*'END Jul 2018'!Q16/100)))</f>
        <v>205.05</v>
      </c>
      <c r="F22" s="181">
        <v>0</v>
      </c>
      <c r="G22" s="181">
        <f>IF(($C$5&lt;'END Jul 2018'!R16),(0),($C$5-'END Jul 2018'!R16)*'END Jul 2018'!S16/100)</f>
        <v>13.62</v>
      </c>
      <c r="H22" s="183">
        <f t="shared" si="0"/>
        <v>572.49779999999998</v>
      </c>
      <c r="I22" s="202">
        <f t="shared" si="1"/>
        <v>2518.9903200000003</v>
      </c>
    </row>
    <row r="23" spans="1:9" x14ac:dyDescent="0.3">
      <c r="A23" s="179" t="str">
        <f>'END Jul 2018'!K17</f>
        <v>Simply Energy</v>
      </c>
      <c r="B23" s="180">
        <f>'END Jul 2018'!G17</f>
        <v>41822</v>
      </c>
      <c r="C23" s="181">
        <f>91*'END Jul 2018'!M17/100</f>
        <v>71.525999999999996</v>
      </c>
      <c r="D23" s="181">
        <f>IF($C$5&gt;='END Jul 2018'!P17,('END Jul 2018'!P17*'END Jul 2018'!N17/100),($C$5*'END Jul 2018'!N17/100))</f>
        <v>279.60000000000002</v>
      </c>
      <c r="E23" s="182">
        <f>IF($C$5&lt;'END Jul 2018'!P17,0,IF(($C$5)&lt;='END Jul 2018'!R17,(($C$5-'END Jul 2018'!P17)*'END Jul 2018'!Q17/100),(('END Jul 2018'!R17-'END Jul 2018'!P17)*'END Jul 2018'!Q17/100)))</f>
        <v>189.35</v>
      </c>
      <c r="F23" s="181">
        <v>0</v>
      </c>
      <c r="G23" s="181">
        <f>IF(($C$5&lt;'END Jul 2018'!R17),(0),($C$5-'END Jul 2018'!R17)*'END Jul 2018'!S17/100)</f>
        <v>25.35</v>
      </c>
      <c r="H23" s="183">
        <f t="shared" si="0"/>
        <v>565.82600000000002</v>
      </c>
      <c r="I23" s="202">
        <f t="shared" si="1"/>
        <v>2489.6344000000004</v>
      </c>
    </row>
    <row r="24" spans="1:9" x14ac:dyDescent="0.3">
      <c r="A24" s="179" t="str">
        <f>'END Jul 2018'!K18</f>
        <v>Sumo Power</v>
      </c>
      <c r="B24" s="180">
        <f>'END Jul 2018'!G18</f>
        <v>41884</v>
      </c>
      <c r="C24" s="181">
        <f>91*'END Jul 2018'!M18/100</f>
        <v>93.183999999999997</v>
      </c>
      <c r="D24" s="181">
        <f>IF($C$5&gt;='END Jul 2018'!P18,('END Jul 2018'!P18*'END Jul 2018'!N18/100),($C$5*'END Jul 2018'!N18/100))</f>
        <v>325</v>
      </c>
      <c r="E24" s="182">
        <f>IF($C$5&lt;'END Jul 2018'!P18,0,IF(($C$5)&lt;='END Jul 2018'!R18,(($C$5-'END Jul 2018'!P18)*'END Jul 2018'!Q18/100),(('END Jul 2018'!R18-'END Jul 2018'!P18)*'END Jul 2018'!Q18/100)))</f>
        <v>235.05</v>
      </c>
      <c r="F24" s="181">
        <v>0</v>
      </c>
      <c r="G24" s="181">
        <f>IF(($C$5&lt;'END Jul 2018'!R18),(0),($C$5-'END Jul 2018'!R18)*'END Jul 2018'!S18/100)</f>
        <v>15.145</v>
      </c>
      <c r="H24" s="183">
        <f t="shared" si="0"/>
        <v>668.37899999999991</v>
      </c>
      <c r="I24" s="202">
        <f t="shared" si="1"/>
        <v>2940.8676</v>
      </c>
    </row>
    <row r="25" spans="1:9" x14ac:dyDescent="0.3">
      <c r="A25" s="179" t="str">
        <f>'END Jul 2018'!K19</f>
        <v>1st Energy</v>
      </c>
      <c r="B25" s="180">
        <f>'END Jul 2018'!G19</f>
        <v>41820</v>
      </c>
      <c r="C25" s="181">
        <f>91*'END Jul 2018'!M19/100</f>
        <v>79.188199999999995</v>
      </c>
      <c r="D25" s="181">
        <f>$C$5*'END Jul 2018'!N19/100</f>
        <v>631.79999999999995</v>
      </c>
      <c r="E25" s="182">
        <v>0</v>
      </c>
      <c r="F25" s="181">
        <v>0</v>
      </c>
      <c r="G25" s="181">
        <f>IF(($C$5&lt;'END Jul 2018'!R19),(0),($C$5-'END Jul 2018'!R19)*'END Jul 2018'!S19/100)</f>
        <v>0</v>
      </c>
      <c r="H25" s="183">
        <f t="shared" ref="H25:H27" si="2">SUM(C25:G25)</f>
        <v>710.98820000000001</v>
      </c>
      <c r="I25" s="202">
        <f t="shared" ref="I25:I27" si="3">(H25*4)*1.1</f>
        <v>3128.3480800000002</v>
      </c>
    </row>
    <row r="26" spans="1:9" x14ac:dyDescent="0.3">
      <c r="A26" s="179" t="str">
        <f>'END Jul 2018'!K20</f>
        <v>Amaysim</v>
      </c>
      <c r="B26" s="180">
        <f>'END Jul 2018'!G20</f>
        <v>41880</v>
      </c>
      <c r="C26" s="181">
        <f>91*'END Jul 2018'!M20/100</f>
        <v>78.260000000000005</v>
      </c>
      <c r="D26" s="181">
        <f>$C$5*'END Jul 2018'!N20/100</f>
        <v>678.6</v>
      </c>
      <c r="E26" s="182">
        <v>0</v>
      </c>
      <c r="F26" s="181">
        <v>0</v>
      </c>
      <c r="G26" s="181">
        <f>IF(($C$5&lt;'END Jul 2018'!R20),(0),($C$5-'END Jul 2018'!R20)*'END Jul 2018'!S20/100)</f>
        <v>0</v>
      </c>
      <c r="H26" s="183">
        <f t="shared" si="2"/>
        <v>756.86</v>
      </c>
      <c r="I26" s="202">
        <f t="shared" si="3"/>
        <v>3330.1840000000002</v>
      </c>
    </row>
    <row r="27" spans="1:9" ht="14" thickBot="1" x14ac:dyDescent="0.35">
      <c r="A27" s="184" t="str">
        <f>'END Jul 2018'!K21</f>
        <v>Q Energy</v>
      </c>
      <c r="B27" s="185">
        <f>'END Jul 2018'!G21</f>
        <v>41820</v>
      </c>
      <c r="C27" s="186">
        <f>91*'END Jul 2018'!M21/100</f>
        <v>80.08</v>
      </c>
      <c r="D27" s="186">
        <f>$C$5*'END Jul 2018'!N21/100</f>
        <v>669.92400000000009</v>
      </c>
      <c r="E27" s="187">
        <v>0</v>
      </c>
      <c r="F27" s="186">
        <v>0</v>
      </c>
      <c r="G27" s="186">
        <f>IF(($C$5&lt;'END Jul 2018'!R21),(0),($C$5-'END Jul 2018'!R21)*'END Jul 2018'!S21/100)</f>
        <v>0</v>
      </c>
      <c r="H27" s="188">
        <f t="shared" si="2"/>
        <v>750.00400000000013</v>
      </c>
      <c r="I27" s="203">
        <f t="shared" si="3"/>
        <v>3300.017600000001</v>
      </c>
    </row>
    <row r="28" spans="1:9" s="233" customFormat="1" x14ac:dyDescent="0.3"/>
    <row r="29" spans="1:9" ht="14" thickBot="1" x14ac:dyDescent="0.35"/>
    <row r="30" spans="1:9" ht="14" x14ac:dyDescent="0.3">
      <c r="A30" s="176" t="s">
        <v>89</v>
      </c>
      <c r="B30" s="91"/>
      <c r="C30" s="91"/>
      <c r="D30" s="91"/>
      <c r="E30" s="91"/>
      <c r="F30" s="91"/>
      <c r="G30" s="91"/>
      <c r="H30" s="91"/>
      <c r="I30" s="177"/>
    </row>
    <row r="31" spans="1:9" ht="14" x14ac:dyDescent="0.3">
      <c r="A31" s="92" t="s">
        <v>79</v>
      </c>
      <c r="B31" s="93"/>
      <c r="C31" s="168">
        <v>2000</v>
      </c>
      <c r="D31" s="93"/>
      <c r="E31" s="93"/>
      <c r="F31" s="93"/>
      <c r="G31" s="93"/>
      <c r="H31" s="93"/>
      <c r="I31" s="178"/>
    </row>
    <row r="32" spans="1:9" ht="14" x14ac:dyDescent="0.3">
      <c r="A32" s="92" t="s">
        <v>91</v>
      </c>
      <c r="B32" s="93"/>
      <c r="C32" s="169">
        <v>0.7</v>
      </c>
      <c r="D32" s="93"/>
      <c r="E32" s="93"/>
      <c r="F32" s="93"/>
      <c r="G32" s="93"/>
      <c r="H32" s="93"/>
      <c r="I32" s="178"/>
    </row>
    <row r="33" spans="1:9" ht="14" x14ac:dyDescent="0.3">
      <c r="A33" s="92" t="s">
        <v>92</v>
      </c>
      <c r="B33" s="93"/>
      <c r="C33" s="169">
        <v>0.3</v>
      </c>
      <c r="D33" s="93"/>
      <c r="E33" s="93"/>
      <c r="F33" s="93"/>
      <c r="G33" s="93"/>
      <c r="H33" s="93"/>
      <c r="I33" s="178"/>
    </row>
    <row r="34" spans="1:9" ht="14" x14ac:dyDescent="0.3">
      <c r="A34" s="92"/>
      <c r="B34" s="93"/>
      <c r="C34" s="93"/>
      <c r="D34" s="93"/>
      <c r="E34" s="93"/>
      <c r="F34" s="93"/>
      <c r="G34" s="93"/>
      <c r="H34" s="93"/>
      <c r="I34" s="178"/>
    </row>
    <row r="35" spans="1:9" ht="28" x14ac:dyDescent="0.3">
      <c r="A35" s="301" t="s">
        <v>80</v>
      </c>
      <c r="B35" s="298" t="s">
        <v>81</v>
      </c>
      <c r="C35" s="298" t="s">
        <v>82</v>
      </c>
      <c r="D35" s="298" t="s">
        <v>83</v>
      </c>
      <c r="E35" s="298" t="s">
        <v>84</v>
      </c>
      <c r="F35" s="298" t="s">
        <v>86</v>
      </c>
      <c r="G35" s="298" t="s">
        <v>93</v>
      </c>
      <c r="H35" s="298" t="s">
        <v>87</v>
      </c>
      <c r="I35" s="300" t="s">
        <v>88</v>
      </c>
    </row>
    <row r="36" spans="1:9" x14ac:dyDescent="0.3">
      <c r="A36" s="179" t="str">
        <f>'END Jul 2018'!K22</f>
        <v>Energy Locals</v>
      </c>
      <c r="B36" s="180">
        <f>'END Jul 2018'!G22</f>
        <v>41829</v>
      </c>
      <c r="C36" s="181">
        <f>91*'END Jul 2018'!M22/100</f>
        <v>91.91</v>
      </c>
      <c r="D36" s="181">
        <f>($C$31*$C$32)*'END Jul 2018'!N22/100</f>
        <v>321.85999999999996</v>
      </c>
      <c r="E36" s="182">
        <v>0</v>
      </c>
      <c r="F36" s="181">
        <v>0</v>
      </c>
      <c r="G36" s="181">
        <f>($C$31*$C$33)*'END Jul 2018'!AE22/100</f>
        <v>95.94</v>
      </c>
      <c r="H36" s="183">
        <f>SUM(C36:G36)</f>
        <v>509.71</v>
      </c>
      <c r="I36" s="202">
        <f>(H36*4)*1.1</f>
        <v>2242.7240000000002</v>
      </c>
    </row>
    <row r="37" spans="1:9" x14ac:dyDescent="0.3">
      <c r="A37" s="179" t="str">
        <f>'END Jul 2018'!K23</f>
        <v>AGL</v>
      </c>
      <c r="B37" s="180">
        <f>'END Jul 2018'!G23</f>
        <v>41820</v>
      </c>
      <c r="C37" s="181">
        <f>91*'END Jul 2018'!M23/100</f>
        <v>81.900000000000006</v>
      </c>
      <c r="D37" s="181">
        <f>($C$31*$C$32)*'END Jul 2018'!N23/100</f>
        <v>404.6</v>
      </c>
      <c r="E37" s="182">
        <v>0</v>
      </c>
      <c r="F37" s="181">
        <v>0</v>
      </c>
      <c r="G37" s="181">
        <f>($C$31*$C$33)*'END Jul 2018'!AE23/100</f>
        <v>71.819999999999993</v>
      </c>
      <c r="H37" s="183">
        <f t="shared" ref="H37:H52" si="4">SUM(C37:G37)</f>
        <v>558.31999999999994</v>
      </c>
      <c r="I37" s="202">
        <f t="shared" ref="I37:I52" si="5">(H37*4)*1.1</f>
        <v>2456.6079999999997</v>
      </c>
    </row>
    <row r="38" spans="1:9" x14ac:dyDescent="0.3">
      <c r="A38" s="179" t="str">
        <f>'END Jul 2018'!K24</f>
        <v>Alinta Energy</v>
      </c>
      <c r="B38" s="180">
        <f>'END Jul 2018'!G24</f>
        <v>41852</v>
      </c>
      <c r="C38" s="181">
        <f>91*'END Jul 2018'!M24/100</f>
        <v>81.117400000000004</v>
      </c>
      <c r="D38" s="181">
        <f>IF($C$31*$C$32&gt;='END Jul 2018'!P24,('END Jul 2018'!P24*'END Jul 2018'!N24/100),(($C$31*$C$32)*'END Jul 2018'!N24/100))</f>
        <v>280.39999999999998</v>
      </c>
      <c r="E38" s="182">
        <f>IF($C$31*$C$32&lt;'END Jul 2018'!P24,0,IF(($C$31*$C$32)&lt;='END Jul 2018'!R24,(($C$31*$C$32-'END Jul 2018'!P24)*'END Jul 2018'!Q24/100),(('END Jul 2018'!R24-'END Jul 2018'!P24)*'END Jul 2018'!Q24/100)))</f>
        <v>112.16</v>
      </c>
      <c r="F38" s="181">
        <f>IF(($C$31*$C$32&lt;'END Jul 2018'!R24),(0),($C$31*$C$32-'END Jul 2018'!R24)*'END Jul 2018'!S24/100)</f>
        <v>0</v>
      </c>
      <c r="G38" s="181">
        <f>($C$31*$C$33)*'END Jul 2018'!AE24/100</f>
        <v>57.66</v>
      </c>
      <c r="H38" s="183">
        <f t="shared" si="4"/>
        <v>531.33739999999989</v>
      </c>
      <c r="I38" s="202">
        <f t="shared" si="5"/>
        <v>2337.8845599999995</v>
      </c>
    </row>
    <row r="39" spans="1:9" x14ac:dyDescent="0.3">
      <c r="A39" s="179" t="str">
        <f>'END Jul 2018'!K25</f>
        <v>Click Energy</v>
      </c>
      <c r="B39" s="180">
        <f>'END Jul 2018'!G25</f>
        <v>41880</v>
      </c>
      <c r="C39" s="181">
        <f>91*'END Jul 2018'!M25/100</f>
        <v>83.72</v>
      </c>
      <c r="D39" s="181">
        <f>($C$31*$C$32)*'END Jul 2018'!N25/100</f>
        <v>527.80000000000007</v>
      </c>
      <c r="E39" s="182">
        <v>0</v>
      </c>
      <c r="F39" s="181">
        <v>0</v>
      </c>
      <c r="G39" s="181">
        <f>($C$31*$C$33)*'END Jul 2018'!AE25/100</f>
        <v>141.6</v>
      </c>
      <c r="H39" s="183">
        <f t="shared" si="4"/>
        <v>753.12000000000012</v>
      </c>
      <c r="I39" s="202">
        <f t="shared" si="5"/>
        <v>3313.728000000001</v>
      </c>
    </row>
    <row r="40" spans="1:9" x14ac:dyDescent="0.3">
      <c r="A40" s="179" t="str">
        <f>'END Jul 2018'!K26</f>
        <v>Commander</v>
      </c>
      <c r="B40" s="180">
        <f>'END Jul 2018'!G26</f>
        <v>41639</v>
      </c>
      <c r="C40" s="181">
        <f>91*'END Jul 2018'!M26/100</f>
        <v>99.372000000000014</v>
      </c>
      <c r="D40" s="181">
        <f>IF($C$31*$C$32&gt;='END Jul 2018'!P26,('END Jul 2018'!P26*'END Jul 2018'!N26/100),(($C$31*$C$32)*'END Jul 2018'!N26/100))</f>
        <v>488.18</v>
      </c>
      <c r="E40" s="182">
        <f>IF($C$31*$C$32&lt;'END Jul 2018'!P26,0,IF(($C$31*$C$32)&lt;='END Jul 2018'!R26,(($C$31*$C$32-'END Jul 2018'!P26)*'END Jul 2018'!Q26/100),(('END Jul 2018'!R26-'END Jul 2018'!P26)*'END Jul 2018'!Q26/100)))</f>
        <v>0</v>
      </c>
      <c r="F40" s="181">
        <f>IF(($C$31*$C$32&lt;'END Jul 2018'!R26),(0),($C$31*$C$32-'END Jul 2018'!R26)*'END Jul 2018'!S26/100)</f>
        <v>0</v>
      </c>
      <c r="G40" s="181">
        <f>($C$31*$C$33)*'END Jul 2018'!AE26/100</f>
        <v>91.98</v>
      </c>
      <c r="H40" s="183">
        <f t="shared" si="4"/>
        <v>679.53200000000004</v>
      </c>
      <c r="I40" s="202">
        <f t="shared" si="5"/>
        <v>2989.9408000000003</v>
      </c>
    </row>
    <row r="41" spans="1:9" x14ac:dyDescent="0.3">
      <c r="A41" s="179" t="str">
        <f>'END Jul 2018'!K27</f>
        <v>CovaU</v>
      </c>
      <c r="B41" s="180">
        <f>'END Jul 2018'!G27</f>
        <v>41820</v>
      </c>
      <c r="C41" s="181">
        <f>91*'END Jul 2018'!M27/100</f>
        <v>96.004999999999995</v>
      </c>
      <c r="D41" s="181">
        <f>($C$31*$C$32)*'END Jul 2018'!N27/100</f>
        <v>387.8</v>
      </c>
      <c r="E41" s="182">
        <v>0</v>
      </c>
      <c r="F41" s="181">
        <v>0</v>
      </c>
      <c r="G41" s="181">
        <f>($C$31*$C$33)*'END Jul 2018'!AE27/100</f>
        <v>104.4</v>
      </c>
      <c r="H41" s="183">
        <f t="shared" si="4"/>
        <v>588.20500000000004</v>
      </c>
      <c r="I41" s="202">
        <f t="shared" si="5"/>
        <v>2588.1020000000003</v>
      </c>
    </row>
    <row r="42" spans="1:9" x14ac:dyDescent="0.3">
      <c r="A42" s="179" t="str">
        <f>'END Jul 2018'!K28</f>
        <v>Diamond Energy</v>
      </c>
      <c r="B42" s="180">
        <f>'END Jul 2018'!G28</f>
        <v>41820</v>
      </c>
      <c r="C42" s="181">
        <f>91*'END Jul 2018'!M28/100</f>
        <v>89.635000000000005</v>
      </c>
      <c r="D42" s="181">
        <f>IF($C$31*$C$32&gt;='END Jul 2018'!P28,('END Jul 2018'!P28*'END Jul 2018'!N28/100),(($C$31*$C$32)*'END Jul 2018'!N28/100))</f>
        <v>76.98</v>
      </c>
      <c r="E42" s="182">
        <f>IF($C$31*$C$32&lt;'END Jul 2018'!P28,0,IF(($C$31*$C$32)&lt;='END Jul 2018'!R28,(($C$31*$C$32-'END Jul 2018'!P28)*'END Jul 2018'!Q28/100),(('END Jul 2018'!R28-'END Jul 2018'!P28)*'END Jul 2018'!Q28/100)))</f>
        <v>194.25599999999997</v>
      </c>
      <c r="F42" s="181">
        <f>IF(($C$31*$C$32&lt;'END Jul 2018'!R28),(0),($C$31*$C$32-'END Jul 2018'!R28)*'END Jul 2018'!S28/100)</f>
        <v>108.26199999999999</v>
      </c>
      <c r="G42" s="181">
        <f>($C$31*$C$33)*'END Jul 2018'!AE28/100</f>
        <v>76.5</v>
      </c>
      <c r="H42" s="183">
        <f t="shared" si="4"/>
        <v>545.63300000000004</v>
      </c>
      <c r="I42" s="202">
        <f t="shared" si="5"/>
        <v>2400.7852000000003</v>
      </c>
    </row>
    <row r="43" spans="1:9" x14ac:dyDescent="0.3">
      <c r="A43" s="179" t="str">
        <f>'END Jul 2018'!K29</f>
        <v>Dodo Power &amp; Gas</v>
      </c>
      <c r="B43" s="180">
        <f>'END Jul 2018'!G29</f>
        <v>41639</v>
      </c>
      <c r="C43" s="181">
        <f>91*'END Jul 2018'!M29/100</f>
        <v>95.55</v>
      </c>
      <c r="D43" s="181">
        <f>IF($C$31*$C$32&gt;='END Jul 2018'!P29,('END Jul 2018'!P29*'END Jul 2018'!N29/100),(($C$31*$C$32)*'END Jul 2018'!N29/100))</f>
        <v>469.42</v>
      </c>
      <c r="E43" s="182">
        <f>IF($C$31*$C$32&lt;'END Jul 2018'!P29,0,IF(($C$31*$C$32)&lt;='END Jul 2018'!R29,(($C$31*$C$32-'END Jul 2018'!P29)*'END Jul 2018'!Q29/100),(('END Jul 2018'!R29-'END Jul 2018'!P29)*'END Jul 2018'!Q29/100)))</f>
        <v>0</v>
      </c>
      <c r="F43" s="181">
        <f>IF(($C$31*$C$32&lt;'END Jul 2018'!R29),(0),($C$31*$C$32-'END Jul 2018'!R29)*'END Jul 2018'!S29/100)</f>
        <v>0</v>
      </c>
      <c r="G43" s="181">
        <f>($C$31*$C$33)*'END Jul 2018'!AE29/100</f>
        <v>88.44</v>
      </c>
      <c r="H43" s="183">
        <f t="shared" si="4"/>
        <v>653.41000000000008</v>
      </c>
      <c r="I43" s="202">
        <f t="shared" si="5"/>
        <v>2875.0040000000008</v>
      </c>
    </row>
    <row r="44" spans="1:9" x14ac:dyDescent="0.3">
      <c r="A44" s="179" t="str">
        <f>'END Jul 2018'!K30</f>
        <v>EnergyAustralia</v>
      </c>
      <c r="B44" s="180">
        <f>'END Jul 2018'!G30</f>
        <v>41640</v>
      </c>
      <c r="C44" s="181">
        <f>91*'END Jul 2018'!M30/100</f>
        <v>83.537999999999997</v>
      </c>
      <c r="D44" s="181">
        <f>($C$31*$C$32)*'END Jul 2018'!N30/100</f>
        <v>416.92</v>
      </c>
      <c r="E44" s="182">
        <v>0</v>
      </c>
      <c r="F44" s="181">
        <v>0</v>
      </c>
      <c r="G44" s="181">
        <f>($C$31*$C$33)*'END Jul 2018'!AE30/100</f>
        <v>71.88</v>
      </c>
      <c r="H44" s="183">
        <f t="shared" si="4"/>
        <v>572.33799999999997</v>
      </c>
      <c r="I44" s="202">
        <f t="shared" si="5"/>
        <v>2518.2872000000002</v>
      </c>
    </row>
    <row r="45" spans="1:9" x14ac:dyDescent="0.3">
      <c r="A45" s="179" t="str">
        <f>'END Jul 2018'!K31</f>
        <v>Mojo Power</v>
      </c>
      <c r="B45" s="180">
        <f>'END Jul 2018'!G31</f>
        <v>41468</v>
      </c>
      <c r="C45" s="181">
        <f>91*'END Jul 2018'!M31/100</f>
        <v>174.87469999999996</v>
      </c>
      <c r="D45" s="181">
        <f>($C$31*$C$32)*'END Jul 2018'!N31/100</f>
        <v>339.36</v>
      </c>
      <c r="E45" s="182">
        <v>0</v>
      </c>
      <c r="F45" s="181">
        <v>0</v>
      </c>
      <c r="G45" s="181">
        <f>($C$31*$C$33)*'END Jul 2018'!AE31/100</f>
        <v>69.599999999999994</v>
      </c>
      <c r="H45" s="183">
        <f t="shared" si="4"/>
        <v>583.8347</v>
      </c>
      <c r="I45" s="202">
        <f t="shared" si="5"/>
        <v>2568.8726800000004</v>
      </c>
    </row>
    <row r="46" spans="1:9" x14ac:dyDescent="0.3">
      <c r="A46" s="179" t="str">
        <f>'END Jul 2018'!K32</f>
        <v>Momentum Energy</v>
      </c>
      <c r="B46" s="180">
        <f>'END Jul 2018'!G32</f>
        <v>41820</v>
      </c>
      <c r="C46" s="181">
        <f>91*'END Jul 2018'!M32/100</f>
        <v>81.499600000000001</v>
      </c>
      <c r="D46" s="181">
        <f>IF($C$31*$C$32&gt;='END Jul 2018'!P32,('END Jul 2018'!P32*'END Jul 2018'!N32/100),(($C$31*$C$32)*'END Jul 2018'!N32/100))</f>
        <v>173.16</v>
      </c>
      <c r="E46" s="182">
        <f>IF($C$31*$C$32&lt;'END Jul 2018'!P32,0,IF(($C$31*$C$32)&lt;='END Jul 2018'!R32,(($C$31*$C$32-'END Jul 2018'!P32)*'END Jul 2018'!Q32/100),(('END Jul 2018'!R32-'END Jul 2018'!P32)*'END Jul 2018'!Q32/100)))</f>
        <v>0</v>
      </c>
      <c r="F46" s="181">
        <f>IF(($C$31*$C$32&lt;'END Jul 2018'!R32),(0),($C$31*$C$32-'END Jul 2018'!R32)*'END Jul 2018'!S32/100)</f>
        <v>226.24</v>
      </c>
      <c r="G46" s="181">
        <f>($C$31*$C$33)*'END Jul 2018'!AE32/100</f>
        <v>71.64</v>
      </c>
      <c r="H46" s="183">
        <f t="shared" si="4"/>
        <v>552.53960000000006</v>
      </c>
      <c r="I46" s="202">
        <f t="shared" si="5"/>
        <v>2431.1742400000003</v>
      </c>
    </row>
    <row r="47" spans="1:9" x14ac:dyDescent="0.3">
      <c r="A47" s="179" t="str">
        <f>'END Jul 2018'!K33</f>
        <v>Origin Energy</v>
      </c>
      <c r="B47" s="180">
        <f>'END Jul 2018'!G33</f>
        <v>41820</v>
      </c>
      <c r="C47" s="181">
        <f>91*'END Jul 2018'!M33/100</f>
        <v>81.099199999999996</v>
      </c>
      <c r="D47" s="181">
        <f>($C$31*$C$32)*'END Jul 2018'!N33/100</f>
        <v>379.26</v>
      </c>
      <c r="E47" s="182">
        <v>0</v>
      </c>
      <c r="F47" s="181">
        <v>0</v>
      </c>
      <c r="G47" s="181">
        <f>($C$31*$C$33)*'END Jul 2018'!AE33/100</f>
        <v>62.7</v>
      </c>
      <c r="H47" s="183">
        <f t="shared" si="4"/>
        <v>523.05920000000003</v>
      </c>
      <c r="I47" s="202">
        <f t="shared" si="5"/>
        <v>2301.4604800000002</v>
      </c>
    </row>
    <row r="48" spans="1:9" x14ac:dyDescent="0.3">
      <c r="A48" s="179" t="str">
        <f>'END Jul 2018'!K34</f>
        <v>Powerdirect</v>
      </c>
      <c r="B48" s="180">
        <f>'END Jul 2018'!G34</f>
        <v>41823</v>
      </c>
      <c r="C48" s="181">
        <f>91*'END Jul 2018'!M34/100</f>
        <v>81.900000000000006</v>
      </c>
      <c r="D48" s="181">
        <f>($C$31*$C$32)*'END Jul 2018'!N34/100</f>
        <v>404.6</v>
      </c>
      <c r="E48" s="182">
        <v>0</v>
      </c>
      <c r="F48" s="181">
        <v>0</v>
      </c>
      <c r="G48" s="181">
        <f>($C$31*$C$33)*'END Jul 2018'!AE34/100</f>
        <v>71.819999999999993</v>
      </c>
      <c r="H48" s="183">
        <f t="shared" si="4"/>
        <v>558.31999999999994</v>
      </c>
      <c r="I48" s="202">
        <f t="shared" si="5"/>
        <v>2456.6079999999997</v>
      </c>
    </row>
    <row r="49" spans="1:9" x14ac:dyDescent="0.3">
      <c r="A49" s="179" t="str">
        <f>'END Jul 2018'!K35</f>
        <v>Powershop</v>
      </c>
      <c r="B49" s="180">
        <f>'END Jul 2018'!G35</f>
        <v>41820</v>
      </c>
      <c r="C49" s="181">
        <f>91*'END Jul 2018'!M35/100</f>
        <v>87.72399999999999</v>
      </c>
      <c r="D49" s="181">
        <f>(C31*C32)*'END Jul 2018'!N35/100</f>
        <v>350.28</v>
      </c>
      <c r="E49" s="182">
        <v>0</v>
      </c>
      <c r="F49" s="181">
        <v>0</v>
      </c>
      <c r="G49" s="181">
        <f>($C$31*$C$33)*'END Jul 2018'!AE35/100</f>
        <v>87.84</v>
      </c>
      <c r="H49" s="183">
        <f t="shared" si="4"/>
        <v>525.84399999999994</v>
      </c>
      <c r="I49" s="202">
        <f t="shared" si="5"/>
        <v>2313.7136</v>
      </c>
    </row>
    <row r="50" spans="1:9" x14ac:dyDescent="0.3">
      <c r="A50" s="179" t="str">
        <f>'END Jul 2018'!K36</f>
        <v>Red Energy</v>
      </c>
      <c r="B50" s="180">
        <f>'END Jul 2018'!G36</f>
        <v>41879</v>
      </c>
      <c r="C50" s="181">
        <f>91*'END Jul 2018'!M36/100</f>
        <v>77.968800000000016</v>
      </c>
      <c r="D50" s="181">
        <f>IF($C$31*$C$32&gt;='END Jul 2018'!P36,('END Jul 2018'!P36*'END Jul 2018'!N36/100),(($C$31*$C$32)*'END Jul 2018'!N36/100))</f>
        <v>280.5</v>
      </c>
      <c r="E50" s="182">
        <f>IF($C$31*$C$32&lt;'END Jul 2018'!P36,0,IF(($C$31*$C$32)&lt;='END Jul 2018'!R36,(($C$31*$C$32-'END Jul 2018'!P36)*'END Jul 2018'!Q36/100),(('END Jul 2018'!R36-'END Jul 2018'!P36)*'END Jul 2018'!Q36/100)))</f>
        <v>109.36</v>
      </c>
      <c r="F50" s="181">
        <f>IF(($C$31*$C$32&lt;'END Jul 2018'!R36),(0),($C$31*$C$32-'END Jul 2018'!R36)*'END Jul 2018'!S36/100)</f>
        <v>0</v>
      </c>
      <c r="G50" s="181">
        <f>($C$31*$C$33)*'END Jul 2018'!AE36/100</f>
        <v>64.92</v>
      </c>
      <c r="H50" s="183">
        <f t="shared" si="4"/>
        <v>532.74879999999996</v>
      </c>
      <c r="I50" s="202">
        <f t="shared" si="5"/>
        <v>2344.0947200000001</v>
      </c>
    </row>
    <row r="51" spans="1:9" x14ac:dyDescent="0.3">
      <c r="A51" s="179" t="str">
        <f>'END Jul 2018'!K37</f>
        <v>Simply Energy</v>
      </c>
      <c r="B51" s="180">
        <f>'END Jul 2018'!G37</f>
        <v>41822</v>
      </c>
      <c r="C51" s="181">
        <f>91*'END Jul 2018'!M37/100</f>
        <v>75.675599999999989</v>
      </c>
      <c r="D51" s="181">
        <f>IF($C$31*$C$32&gt;='END Jul 2018'!P37,('END Jul 2018'!P37*'END Jul 2018'!N37/100),(($C$31*$C$32)*'END Jul 2018'!N37/100))</f>
        <v>279.60000000000002</v>
      </c>
      <c r="E51" s="182">
        <f>IF($C$31*$C$32&lt;'END Jul 2018'!P37,0,IF(($C$31*$C$32)&lt;='END Jul 2018'!R37,(($C$31*$C$32-'END Jul 2018'!P37)*'END Jul 2018'!Q37/100),(('END Jul 2018'!R37-'END Jul 2018'!P37)*'END Jul 2018'!Q37/100)))</f>
        <v>108.2</v>
      </c>
      <c r="F51" s="181">
        <f>IF(($C$31*$C$32&lt;'END Jul 2018'!R37),(0),($C$31*$C$32-'END Jul 2018'!R37)*'END Jul 2018'!S37/100)</f>
        <v>0</v>
      </c>
      <c r="G51" s="181">
        <f>($C$31*$C$33)*'END Jul 2018'!AE37/100</f>
        <v>78.12</v>
      </c>
      <c r="H51" s="183">
        <f t="shared" si="4"/>
        <v>541.59559999999999</v>
      </c>
      <c r="I51" s="202">
        <f t="shared" si="5"/>
        <v>2383.0206400000002</v>
      </c>
    </row>
    <row r="52" spans="1:9" x14ac:dyDescent="0.3">
      <c r="A52" s="179" t="str">
        <f>'END Jul 2018'!K38</f>
        <v>Sumo Power</v>
      </c>
      <c r="B52" s="180">
        <f>'END Jul 2018'!G38</f>
        <v>41884</v>
      </c>
      <c r="C52" s="181">
        <f>91*'END Jul 2018'!M38/100</f>
        <v>98.917000000000002</v>
      </c>
      <c r="D52" s="181">
        <f>IF($C$31*$C$32&gt;='END Jul 2018'!P38,('END Jul 2018'!P38*'END Jul 2018'!N38/100),(($C$31*$C$32)*'END Jul 2018'!N38/100))</f>
        <v>325</v>
      </c>
      <c r="E52" s="182">
        <f>IF($C$31*$C$32&lt;'END Jul 2018'!P38,0,IF(($C$31*$C$32)&lt;='END Jul 2018'!R38,(($C$31*$C$32-'END Jul 2018'!P38)*'END Jul 2018'!Q38/100),(('END Jul 2018'!R38-'END Jul 2018'!P38)*'END Jul 2018'!Q38/100)))</f>
        <v>125.36</v>
      </c>
      <c r="F52" s="181">
        <f>IF(($C$31*$C$32&lt;'END Jul 2018'!R38),(0),($C$31*$C$32-'END Jul 2018'!R38)*'END Jul 2018'!S38/100)</f>
        <v>0</v>
      </c>
      <c r="G52" s="181">
        <f>($C$31*$C$33)*'END Jul 2018'!AE38/100</f>
        <v>90.36</v>
      </c>
      <c r="H52" s="183">
        <f t="shared" si="4"/>
        <v>639.63700000000006</v>
      </c>
      <c r="I52" s="202">
        <f t="shared" si="5"/>
        <v>2814.4028000000003</v>
      </c>
    </row>
    <row r="53" spans="1:9" x14ac:dyDescent="0.3">
      <c r="A53" s="179" t="str">
        <f>'END Jul 2018'!K39</f>
        <v>1st Energy</v>
      </c>
      <c r="B53" s="180">
        <f>'END Jul 2018'!G39</f>
        <v>41820</v>
      </c>
      <c r="C53" s="181">
        <f>91*'END Jul 2018'!M39/100</f>
        <v>85.430800000000005</v>
      </c>
      <c r="D53" s="181">
        <f>($C$31*$C$32)*'END Jul 2018'!N39/100</f>
        <v>491.4</v>
      </c>
      <c r="E53" s="182">
        <v>0</v>
      </c>
      <c r="F53" s="181">
        <v>0</v>
      </c>
      <c r="G53" s="181">
        <f>($C$31*$C$33)*'END Jul 2018'!AE39/100</f>
        <v>91.38</v>
      </c>
      <c r="H53" s="183">
        <f t="shared" ref="H53:H55" si="6">SUM(C53:G53)</f>
        <v>668.21079999999995</v>
      </c>
      <c r="I53" s="202">
        <f t="shared" ref="I53:I55" si="7">(H53*4)*1.1</f>
        <v>2940.12752</v>
      </c>
    </row>
    <row r="54" spans="1:9" x14ac:dyDescent="0.3">
      <c r="A54" s="179" t="str">
        <f>'END Jul 2018'!K40</f>
        <v>Amaysim</v>
      </c>
      <c r="B54" s="180">
        <f>'END Jul 2018'!G40</f>
        <v>41880</v>
      </c>
      <c r="C54" s="181">
        <f>91*'END Jul 2018'!M40/100</f>
        <v>83.72</v>
      </c>
      <c r="D54" s="181">
        <f>($C$31*$C$32)*'END Jul 2018'!N40/100</f>
        <v>527.80000000000007</v>
      </c>
      <c r="E54" s="182">
        <v>0</v>
      </c>
      <c r="F54" s="181">
        <v>0</v>
      </c>
      <c r="G54" s="181">
        <f>($C$31*$C$33)*'END Jul 2018'!AE40/100</f>
        <v>141.6</v>
      </c>
      <c r="H54" s="183">
        <f t="shared" si="6"/>
        <v>753.12000000000012</v>
      </c>
      <c r="I54" s="202">
        <f t="shared" si="7"/>
        <v>3313.728000000001</v>
      </c>
    </row>
    <row r="55" spans="1:9" ht="14" thickBot="1" x14ac:dyDescent="0.35">
      <c r="A55" s="184" t="str">
        <f>'END Jul 2018'!K41</f>
        <v>Q Energy</v>
      </c>
      <c r="B55" s="185">
        <f>'END Jul 2018'!G41</f>
        <v>41820</v>
      </c>
      <c r="C55" s="186">
        <f>91*'END Jul 2018'!M41/100</f>
        <v>80.08</v>
      </c>
      <c r="D55" s="186">
        <f>($C$31*$C$32)*'END Jul 2018'!N41/100</f>
        <v>521.05200000000002</v>
      </c>
      <c r="E55" s="187">
        <v>0</v>
      </c>
      <c r="F55" s="186">
        <v>0</v>
      </c>
      <c r="G55" s="186">
        <f>($C$31*$C$33)*'END Jul 2018'!AE41/100</f>
        <v>0</v>
      </c>
      <c r="H55" s="188">
        <f t="shared" si="6"/>
        <v>601.13200000000006</v>
      </c>
      <c r="I55" s="203">
        <f t="shared" si="7"/>
        <v>2644.9808000000003</v>
      </c>
    </row>
    <row r="56" spans="1:9" s="233" customFormat="1" x14ac:dyDescent="0.3"/>
    <row r="57" spans="1:9" ht="14" thickBot="1" x14ac:dyDescent="0.35"/>
    <row r="58" spans="1:9" ht="14" x14ac:dyDescent="0.3">
      <c r="A58" s="176" t="s">
        <v>94</v>
      </c>
      <c r="B58" s="91"/>
      <c r="C58" s="91"/>
      <c r="D58" s="91"/>
      <c r="E58" s="91"/>
      <c r="F58" s="91"/>
      <c r="G58" s="91"/>
      <c r="H58" s="91"/>
      <c r="I58" s="177"/>
    </row>
    <row r="59" spans="1:9" ht="14" x14ac:dyDescent="0.3">
      <c r="A59" s="92" t="s">
        <v>79</v>
      </c>
      <c r="B59" s="93"/>
      <c r="C59" s="189">
        <v>2000</v>
      </c>
      <c r="D59" s="93"/>
      <c r="E59" s="93"/>
      <c r="F59" s="93"/>
      <c r="G59" s="93"/>
      <c r="H59" s="93"/>
      <c r="I59" s="178"/>
    </row>
    <row r="60" spans="1:9" ht="14" x14ac:dyDescent="0.3">
      <c r="A60" s="92" t="s">
        <v>91</v>
      </c>
      <c r="B60" s="93"/>
      <c r="C60" s="190">
        <v>0.2</v>
      </c>
      <c r="D60" s="93"/>
      <c r="E60" s="93"/>
      <c r="F60" s="93"/>
      <c r="G60" s="93"/>
      <c r="H60" s="93"/>
      <c r="I60" s="178"/>
    </row>
    <row r="61" spans="1:9" ht="14" x14ac:dyDescent="0.3">
      <c r="A61" s="92" t="s">
        <v>95</v>
      </c>
      <c r="B61" s="93"/>
      <c r="C61" s="190">
        <v>0.5</v>
      </c>
      <c r="D61" s="93"/>
      <c r="E61" s="93"/>
      <c r="F61" s="93"/>
      <c r="G61" s="93"/>
      <c r="H61" s="93"/>
      <c r="I61" s="178"/>
    </row>
    <row r="62" spans="1:9" ht="14" x14ac:dyDescent="0.3">
      <c r="A62" s="92" t="s">
        <v>92</v>
      </c>
      <c r="B62" s="93"/>
      <c r="C62" s="190">
        <v>0.3</v>
      </c>
      <c r="D62" s="93"/>
      <c r="E62" s="93"/>
      <c r="F62" s="93"/>
      <c r="G62" s="93"/>
      <c r="H62" s="93"/>
      <c r="I62" s="178"/>
    </row>
    <row r="63" spans="1:9" ht="14" x14ac:dyDescent="0.3">
      <c r="A63" s="92"/>
      <c r="B63" s="93"/>
      <c r="C63" s="93"/>
      <c r="D63" s="93"/>
      <c r="E63" s="93"/>
      <c r="F63" s="93"/>
      <c r="G63" s="93"/>
      <c r="H63" s="93"/>
      <c r="I63" s="178"/>
    </row>
    <row r="64" spans="1:9" ht="28" x14ac:dyDescent="0.3">
      <c r="A64" s="301" t="s">
        <v>80</v>
      </c>
      <c r="B64" s="298" t="s">
        <v>81</v>
      </c>
      <c r="C64" s="298" t="s">
        <v>82</v>
      </c>
      <c r="D64" s="298" t="s">
        <v>96</v>
      </c>
      <c r="E64" s="298" t="s">
        <v>86</v>
      </c>
      <c r="F64" s="298" t="s">
        <v>97</v>
      </c>
      <c r="G64" s="298" t="s">
        <v>98</v>
      </c>
      <c r="H64" s="298" t="s">
        <v>87</v>
      </c>
      <c r="I64" s="300" t="s">
        <v>88</v>
      </c>
    </row>
    <row r="65" spans="1:9" x14ac:dyDescent="0.3">
      <c r="A65" s="179" t="str">
        <f>'END Jul 2018'!K42</f>
        <v>Energy Locals</v>
      </c>
      <c r="B65" s="180">
        <f>'END Jul 2018'!G42</f>
        <v>41829</v>
      </c>
      <c r="C65" s="181">
        <f>91*'END Jul 2018'!M42/100</f>
        <v>125.58</v>
      </c>
      <c r="D65" s="181">
        <f>($C$59*$C$60)*'END Jul 2018'!N42/100</f>
        <v>95.96</v>
      </c>
      <c r="E65" s="181">
        <v>0</v>
      </c>
      <c r="F65" s="181">
        <f>($C$59*$C$61)*'END Jul 2018'!AH42/100</f>
        <v>229.9</v>
      </c>
      <c r="G65" s="181">
        <f>($C$59*$C$62)*'END Jul 2018'!W42/100</f>
        <v>125.93999999999998</v>
      </c>
      <c r="H65" s="183">
        <f>SUM(C65:G65)</f>
        <v>577.38</v>
      </c>
      <c r="I65" s="202">
        <f t="shared" ref="I65:I81" si="8">(H65*4)*1.1</f>
        <v>2540.4720000000002</v>
      </c>
    </row>
    <row r="66" spans="1:9" x14ac:dyDescent="0.3">
      <c r="A66" s="179" t="str">
        <f>'END Jul 2018'!K43</f>
        <v>AGL</v>
      </c>
      <c r="B66" s="180">
        <f>'END Jul 2018'!G43</f>
        <v>41820</v>
      </c>
      <c r="C66" s="181">
        <f>91*'END Jul 2018'!M43/100</f>
        <v>80.989999999999995</v>
      </c>
      <c r="D66" s="181">
        <f>($C$59*$C$60)*'END Jul 2018'!N43/100</f>
        <v>151.68</v>
      </c>
      <c r="E66" s="181">
        <v>0</v>
      </c>
      <c r="F66" s="181">
        <f>($C$59*$C$61)*'END Jul 2018'!AH43/100</f>
        <v>319.39999999999998</v>
      </c>
      <c r="G66" s="181">
        <f>($C$59*$C$62)*'END Jul 2018'!W43/100</f>
        <v>95.82</v>
      </c>
      <c r="H66" s="183">
        <f t="shared" ref="H66:H81" si="9">SUM(C66:G66)</f>
        <v>647.88999999999987</v>
      </c>
      <c r="I66" s="202">
        <f t="shared" si="8"/>
        <v>2850.7159999999999</v>
      </c>
    </row>
    <row r="67" spans="1:9" x14ac:dyDescent="0.3">
      <c r="A67" s="179" t="str">
        <f>'END Jul 2018'!K44</f>
        <v>Alinta Energy</v>
      </c>
      <c r="B67" s="180">
        <f>'END Jul 2018'!G44</f>
        <v>41852</v>
      </c>
      <c r="C67" s="181">
        <f>91*'END Jul 2018'!M44/100</f>
        <v>87.36</v>
      </c>
      <c r="D67" s="181">
        <f>($C$59*$C$60)*'END Jul 2018'!N44/100</f>
        <v>158</v>
      </c>
      <c r="E67" s="181">
        <v>0</v>
      </c>
      <c r="F67" s="181">
        <f>($C$59*$C$61)*'END Jul 2018'!AH44/100</f>
        <v>335</v>
      </c>
      <c r="G67" s="181">
        <f>($C$59*$C$62)*'END Jul 2018'!W44/100</f>
        <v>106.8</v>
      </c>
      <c r="H67" s="183">
        <f t="shared" si="9"/>
        <v>687.16</v>
      </c>
      <c r="I67" s="202">
        <f t="shared" si="8"/>
        <v>3023.5039999999999</v>
      </c>
    </row>
    <row r="68" spans="1:9" x14ac:dyDescent="0.3">
      <c r="A68" s="179" t="str">
        <f>'END Jul 2018'!K45</f>
        <v>Click Energy</v>
      </c>
      <c r="B68" s="180">
        <f>'END Jul 2018'!G45</f>
        <v>41880</v>
      </c>
      <c r="C68" s="181">
        <f>91*'END Jul 2018'!M45/100</f>
        <v>85.54</v>
      </c>
      <c r="D68" s="181">
        <f>($C$59*$C$60)*'END Jul 2018'!N45/100</f>
        <v>186</v>
      </c>
      <c r="E68" s="181">
        <v>0</v>
      </c>
      <c r="F68" s="181">
        <f>($C$59*$C$61)*'END Jul 2018'!AH45/100</f>
        <v>401</v>
      </c>
      <c r="G68" s="181">
        <f>($C$59*$C$62)*'END Jul 2018'!W45/100</f>
        <v>192</v>
      </c>
      <c r="H68" s="183">
        <f t="shared" si="9"/>
        <v>864.54</v>
      </c>
      <c r="I68" s="202">
        <f t="shared" si="8"/>
        <v>3803.9760000000001</v>
      </c>
    </row>
    <row r="69" spans="1:9" x14ac:dyDescent="0.3">
      <c r="A69" s="179" t="str">
        <f>'END Jul 2018'!K46</f>
        <v>Commander</v>
      </c>
      <c r="B69" s="180">
        <f>'END Jul 2018'!G46</f>
        <v>41639</v>
      </c>
      <c r="C69" s="181">
        <f>91*'END Jul 2018'!M46/100</f>
        <v>116.49820000000001</v>
      </c>
      <c r="D69" s="181">
        <f>($C$59*$C$60)*'END Jul 2018'!N46/100</f>
        <v>195.64</v>
      </c>
      <c r="E69" s="181">
        <v>0</v>
      </c>
      <c r="F69" s="181">
        <f>($C$59*$C$61)*'END Jul 2018'!AH46/100</f>
        <v>357</v>
      </c>
      <c r="G69" s="181">
        <f>($C$59*$C$62)*'END Jul 2018'!W46/100</f>
        <v>128.4</v>
      </c>
      <c r="H69" s="183">
        <f t="shared" si="9"/>
        <v>797.53819999999996</v>
      </c>
      <c r="I69" s="202">
        <f t="shared" si="8"/>
        <v>3509.1680799999999</v>
      </c>
    </row>
    <row r="70" spans="1:9" x14ac:dyDescent="0.3">
      <c r="A70" s="179" t="str">
        <f>'END Jul 2018'!K47</f>
        <v>CovaU</v>
      </c>
      <c r="B70" s="180">
        <f>'END Jul 2018'!G47</f>
        <v>41820</v>
      </c>
      <c r="C70" s="181">
        <f>91*'END Jul 2018'!M47/100</f>
        <v>113.75</v>
      </c>
      <c r="D70" s="181">
        <f>($C$59*$C$60)*'END Jul 2018'!N47/100</f>
        <v>144</v>
      </c>
      <c r="E70" s="181">
        <v>0</v>
      </c>
      <c r="F70" s="181">
        <f>($C$59*$C$61)*'END Jul 2018'!AH47/100</f>
        <v>290</v>
      </c>
      <c r="G70" s="181">
        <f>($C$59*$C$62)*'END Jul 2018'!W47/100</f>
        <v>147</v>
      </c>
      <c r="H70" s="183">
        <f t="shared" si="9"/>
        <v>694.75</v>
      </c>
      <c r="I70" s="202">
        <f t="shared" si="8"/>
        <v>3056.9</v>
      </c>
    </row>
    <row r="71" spans="1:9" x14ac:dyDescent="0.3">
      <c r="A71" s="179" t="str">
        <f>'END Jul 2018'!K48</f>
        <v>Diamond Energy</v>
      </c>
      <c r="B71" s="180">
        <f>'END Jul 2018'!G48</f>
        <v>41820</v>
      </c>
      <c r="C71" s="181">
        <f>91*'END Jul 2018'!M48/100</f>
        <v>95.504500000000007</v>
      </c>
      <c r="D71" s="181">
        <f>IF($C$59*$C$60&gt;='END Jul 2018'!P48,('END Jul 2018'!P48*'END Jul 2018'!N48/100),(($C$59*$C$60)*'END Jul 2018'!N48/100))</f>
        <v>139.6</v>
      </c>
      <c r="E71" s="181">
        <f>IF(($C$59*$C$60&lt;'END Jul 2018'!P48),(0),($C$59*$C$60-'END Jul 2018'!P48)*'END Jul 2018'!Q48/100)</f>
        <v>0</v>
      </c>
      <c r="F71" s="181">
        <f>($C$59*$C$61)*'END Jul 2018'!AH48/100</f>
        <v>279.7</v>
      </c>
      <c r="G71" s="181">
        <f>($C$59*$C$62)*'END Jul 2018'!W48/100</f>
        <v>107.4</v>
      </c>
      <c r="H71" s="183">
        <f t="shared" si="9"/>
        <v>622.20449999999994</v>
      </c>
      <c r="I71" s="202">
        <f t="shared" si="8"/>
        <v>2737.6997999999999</v>
      </c>
    </row>
    <row r="72" spans="1:9" x14ac:dyDescent="0.3">
      <c r="A72" s="179" t="str">
        <f>'END Jul 2018'!K49</f>
        <v>Dodo Power &amp; Gas</v>
      </c>
      <c r="B72" s="180">
        <f>'END Jul 2018'!G49</f>
        <v>41639</v>
      </c>
      <c r="C72" s="181">
        <f>91*'END Jul 2018'!M49/100</f>
        <v>112.01190000000001</v>
      </c>
      <c r="D72" s="181">
        <f>($C$59*$C$60)*'END Jul 2018'!N49/100</f>
        <v>188.12</v>
      </c>
      <c r="E72" s="181">
        <v>0</v>
      </c>
      <c r="F72" s="181">
        <f>($C$59*$C$61)*'END Jul 2018'!AH49/100</f>
        <v>343.2</v>
      </c>
      <c r="G72" s="181">
        <f>($C$59*$C$62)*'END Jul 2018'!W49/100</f>
        <v>123.42</v>
      </c>
      <c r="H72" s="183">
        <f t="shared" si="9"/>
        <v>766.75189999999998</v>
      </c>
      <c r="I72" s="202">
        <f t="shared" si="8"/>
        <v>3373.7083600000001</v>
      </c>
    </row>
    <row r="73" spans="1:9" x14ac:dyDescent="0.3">
      <c r="A73" s="179" t="str">
        <f>'END Jul 2018'!K50</f>
        <v>EnergyAustralia</v>
      </c>
      <c r="B73" s="180">
        <f>'END Jul 2018'!G50</f>
        <v>41640</v>
      </c>
      <c r="C73" s="181">
        <f>91*'END Jul 2018'!M50/100</f>
        <v>88.452000000000012</v>
      </c>
      <c r="D73" s="181">
        <f>($C$59*$C$60)*'END Jul 2018'!N50/100</f>
        <v>168.2</v>
      </c>
      <c r="E73" s="181">
        <v>0</v>
      </c>
      <c r="F73" s="181">
        <f>($C$59*$C$61)*'END Jul 2018'!AH50/100</f>
        <v>322.8</v>
      </c>
      <c r="G73" s="181">
        <f>($C$59*$C$62)*'END Jul 2018'!W50/100</f>
        <v>106.5</v>
      </c>
      <c r="H73" s="183">
        <f t="shared" si="9"/>
        <v>685.952</v>
      </c>
      <c r="I73" s="202">
        <f t="shared" si="8"/>
        <v>3018.1888000000004</v>
      </c>
    </row>
    <row r="74" spans="1:9" x14ac:dyDescent="0.3">
      <c r="A74" s="179" t="str">
        <f>'END Jul 2018'!K51</f>
        <v>Mojo Power</v>
      </c>
      <c r="B74" s="180">
        <f>'END Jul 2018'!G51</f>
        <v>41468</v>
      </c>
      <c r="C74" s="181">
        <f>91*'END Jul 2018'!M51/100</f>
        <v>179.85239999999999</v>
      </c>
      <c r="D74" s="181">
        <f>($C$59*$C$60)*'END Jul 2018'!N51/100</f>
        <v>136.32</v>
      </c>
      <c r="E74" s="181">
        <v>0</v>
      </c>
      <c r="F74" s="181">
        <f>($C$59*$C$61)*'END Jul 2018'!AH51/100</f>
        <v>255</v>
      </c>
      <c r="G74" s="181">
        <f>($C$59*$C$62)*'END Jul 2018'!W51/100</f>
        <v>99.78</v>
      </c>
      <c r="H74" s="183">
        <f t="shared" si="9"/>
        <v>670.9523999999999</v>
      </c>
      <c r="I74" s="202">
        <f t="shared" si="8"/>
        <v>2952.19056</v>
      </c>
    </row>
    <row r="75" spans="1:9" x14ac:dyDescent="0.3">
      <c r="A75" s="179" t="str">
        <f>'END Jul 2018'!K52</f>
        <v>Momentum Energy</v>
      </c>
      <c r="B75" s="180">
        <f>'END Jul 2018'!G52</f>
        <v>41820</v>
      </c>
      <c r="C75" s="181">
        <f>91*'END Jul 2018'!M52/100</f>
        <v>90.326599999999999</v>
      </c>
      <c r="D75" s="181">
        <f>IF($C$59*$C$60&gt;='END Jul 2018'!P52,('END Jul 2018'!P52*'END Jul 2018'!N52/100),(($C$59*$C$60)*'END Jul 2018'!N52/100))</f>
        <v>167.88</v>
      </c>
      <c r="E75" s="181">
        <f>IF(($C$59*$C$60&lt;'END Jul 2018'!P52),(0),($C$59*$C$60-'END Jul 2018'!P52)*'END Jul 2018'!Q52/100)</f>
        <v>0</v>
      </c>
      <c r="F75" s="181">
        <f>($C$59*$C$61)*'END Jul 2018'!AH52/100</f>
        <v>333.2</v>
      </c>
      <c r="G75" s="181">
        <f>($C$59*$C$62)*'END Jul 2018'!W52/100</f>
        <v>106.74</v>
      </c>
      <c r="H75" s="183">
        <f t="shared" si="9"/>
        <v>698.14660000000003</v>
      </c>
      <c r="I75" s="202">
        <f t="shared" si="8"/>
        <v>3071.8450400000006</v>
      </c>
    </row>
    <row r="76" spans="1:9" x14ac:dyDescent="0.3">
      <c r="A76" s="179" t="str">
        <f>'END Jul 2018'!K53</f>
        <v>Origin Energy</v>
      </c>
      <c r="B76" s="180">
        <f>'END Jul 2018'!G53</f>
        <v>41820</v>
      </c>
      <c r="C76" s="181">
        <f>91*'END Jul 2018'!M53/100</f>
        <v>90.772499999999994</v>
      </c>
      <c r="D76" s="181">
        <f>($C$59*$C$60)*'END Jul 2018'!N53/100</f>
        <v>163.92</v>
      </c>
      <c r="E76" s="181">
        <v>0</v>
      </c>
      <c r="F76" s="181">
        <f>($C$59*$C$61)*'END Jul 2018'!AH53/100</f>
        <v>334.9</v>
      </c>
      <c r="G76" s="181">
        <f>($C$59*$C$62)*'END Jul 2018'!W53/100</f>
        <v>107.28</v>
      </c>
      <c r="H76" s="183">
        <f t="shared" si="9"/>
        <v>696.87249999999995</v>
      </c>
      <c r="I76" s="202">
        <f t="shared" si="8"/>
        <v>3066.239</v>
      </c>
    </row>
    <row r="77" spans="1:9" x14ac:dyDescent="0.3">
      <c r="A77" s="179" t="str">
        <f>'END Jul 2018'!K54</f>
        <v>Powerdirect</v>
      </c>
      <c r="B77" s="180">
        <f>'END Jul 2018'!G54</f>
        <v>41823</v>
      </c>
      <c r="C77" s="181">
        <f>91*'END Jul 2018'!M54/100</f>
        <v>80.989999999999995</v>
      </c>
      <c r="D77" s="181">
        <f>($C$59*$C$60)*'END Jul 2018'!N54/100</f>
        <v>151.68</v>
      </c>
      <c r="E77" s="181">
        <v>0</v>
      </c>
      <c r="F77" s="181">
        <f>($C$59*$C$61)*'END Jul 2018'!AH54/100</f>
        <v>319.39999999999998</v>
      </c>
      <c r="G77" s="181">
        <f>($C$59*$C$62)*'END Jul 2018'!W54/100</f>
        <v>95.82</v>
      </c>
      <c r="H77" s="183">
        <f t="shared" si="9"/>
        <v>647.88999999999987</v>
      </c>
      <c r="I77" s="202">
        <f t="shared" si="8"/>
        <v>2850.7159999999999</v>
      </c>
    </row>
    <row r="78" spans="1:9" x14ac:dyDescent="0.3">
      <c r="A78" s="179" t="str">
        <f>'END Jul 2018'!K55</f>
        <v>Powershop</v>
      </c>
      <c r="B78" s="180">
        <f>'END Jul 2018'!G55</f>
        <v>41820</v>
      </c>
      <c r="C78" s="181">
        <f>91*'END Jul 2018'!M55/100</f>
        <v>95.686499999999995</v>
      </c>
      <c r="D78" s="181">
        <f>($C$59*$C$60)*'END Jul 2018'!N55/100</f>
        <v>119.44</v>
      </c>
      <c r="E78" s="181">
        <v>0</v>
      </c>
      <c r="F78" s="181">
        <f>($C$59*$C$61)*'END Jul 2018'!AH55/100</f>
        <v>256.10000000000002</v>
      </c>
      <c r="G78" s="181">
        <f>($C$59*$C$62)*'END Jul 2018'!W55/100</f>
        <v>134.4</v>
      </c>
      <c r="H78" s="183">
        <f t="shared" si="9"/>
        <v>605.62649999999996</v>
      </c>
      <c r="I78" s="202">
        <f t="shared" si="8"/>
        <v>2664.7566000000002</v>
      </c>
    </row>
    <row r="79" spans="1:9" x14ac:dyDescent="0.3">
      <c r="A79" s="179" t="str">
        <f>'END Jul 2018'!K56</f>
        <v>Red Energy</v>
      </c>
      <c r="B79" s="180">
        <f>'END Jul 2018'!G56</f>
        <v>41879</v>
      </c>
      <c r="C79" s="181">
        <f>91*'END Jul 2018'!M56/100</f>
        <v>85.394400000000005</v>
      </c>
      <c r="D79" s="181">
        <f>($C$59*$C$60)*'END Jul 2018'!N56/100</f>
        <v>146.88</v>
      </c>
      <c r="E79" s="181">
        <v>0</v>
      </c>
      <c r="F79" s="181">
        <f>($C$59*$C$61)*'END Jul 2018'!AH56/100</f>
        <v>307.10000000000002</v>
      </c>
      <c r="G79" s="181">
        <f>($C$59*$C$62)*'END Jul 2018'!W56/100</f>
        <v>105.9</v>
      </c>
      <c r="H79" s="183">
        <f t="shared" si="9"/>
        <v>645.27440000000001</v>
      </c>
      <c r="I79" s="202">
        <f t="shared" si="8"/>
        <v>2839.2073600000003</v>
      </c>
    </row>
    <row r="80" spans="1:9" x14ac:dyDescent="0.3">
      <c r="A80" s="179" t="str">
        <f>'END Jul 2018'!K57</f>
        <v>Simply Energy</v>
      </c>
      <c r="B80" s="180">
        <f>'END Jul 2018'!G57</f>
        <v>41822</v>
      </c>
      <c r="C80" s="181">
        <f>91*'END Jul 2018'!M57/100</f>
        <v>81.226600000000005</v>
      </c>
      <c r="D80" s="181">
        <f>($C$59*$C$60)*'END Jul 2018'!N57/100</f>
        <v>155.52000000000001</v>
      </c>
      <c r="E80" s="181">
        <v>0</v>
      </c>
      <c r="F80" s="181">
        <f>($C$59*$C$61)*'END Jul 2018'!AH57/100</f>
        <v>284</v>
      </c>
      <c r="G80" s="181">
        <f>($C$59*$C$62)*'END Jul 2018'!W57/100</f>
        <v>109.92</v>
      </c>
      <c r="H80" s="183">
        <f t="shared" si="9"/>
        <v>630.6665999999999</v>
      </c>
      <c r="I80" s="202">
        <f t="shared" si="8"/>
        <v>2774.9330399999999</v>
      </c>
    </row>
    <row r="81" spans="1:9" x14ac:dyDescent="0.3">
      <c r="A81" s="179" t="str">
        <f>'END Jul 2018'!K58</f>
        <v>Sumo Power</v>
      </c>
      <c r="B81" s="180">
        <f>'END Jul 2018'!G58</f>
        <v>41884</v>
      </c>
      <c r="C81" s="181">
        <f>91*'END Jul 2018'!M58/100</f>
        <v>121.30300000000001</v>
      </c>
      <c r="D81" s="181">
        <f>($C$59*$C$60)*'END Jul 2018'!N58/100</f>
        <v>163.6</v>
      </c>
      <c r="E81" s="181">
        <v>0</v>
      </c>
      <c r="F81" s="181">
        <f>($C$59*$C$61)*'END Jul 2018'!AH58/100</f>
        <v>355.4</v>
      </c>
      <c r="G81" s="181">
        <f>($C$59*$C$62)*'END Jul 2018'!W58/100</f>
        <v>116.58</v>
      </c>
      <c r="H81" s="183">
        <f t="shared" si="9"/>
        <v>756.88300000000004</v>
      </c>
      <c r="I81" s="202">
        <f t="shared" si="8"/>
        <v>3330.2852000000003</v>
      </c>
    </row>
    <row r="82" spans="1:9" s="233" customFormat="1" x14ac:dyDescent="0.3">
      <c r="A82" s="179" t="str">
        <f>'END Jul 2018'!K59</f>
        <v>1st Energy</v>
      </c>
      <c r="B82" s="180">
        <f>'END Jul 2018'!G59</f>
        <v>41820</v>
      </c>
      <c r="C82" s="181">
        <f>91*'END Jul 2018'!M59/100</f>
        <v>189.68040000000002</v>
      </c>
      <c r="D82" s="181">
        <f>($C$59*$C$60)*'END Jul 2018'!N59/100</f>
        <v>180.96</v>
      </c>
      <c r="E82" s="181">
        <v>0</v>
      </c>
      <c r="F82" s="181">
        <f>($C$59*$C$61)*'END Jul 2018'!AH59/100</f>
        <v>378</v>
      </c>
      <c r="G82" s="181">
        <f>($C$59*$C$62)*'END Jul 2018'!W59/100</f>
        <v>122.93999999999998</v>
      </c>
      <c r="H82" s="183">
        <f t="shared" ref="H82:H84" si="10">SUM(C82:G82)</f>
        <v>871.58039999999994</v>
      </c>
      <c r="I82" s="202">
        <f t="shared" ref="I82:I84" si="11">(H82*4)*1.1</f>
        <v>3834.9537599999999</v>
      </c>
    </row>
    <row r="83" spans="1:9" x14ac:dyDescent="0.3">
      <c r="A83" s="179" t="str">
        <f>'END Jul 2018'!K60</f>
        <v>Amaysim</v>
      </c>
      <c r="B83" s="180">
        <f>'END Jul 2018'!G60</f>
        <v>41880</v>
      </c>
      <c r="C83" s="181">
        <f>91*'END Jul 2018'!M60/100</f>
        <v>85.212400000000002</v>
      </c>
      <c r="D83" s="181">
        <f>($C$59*$C$60)*'END Jul 2018'!N60/100</f>
        <v>186</v>
      </c>
      <c r="E83" s="181">
        <v>0</v>
      </c>
      <c r="F83" s="181">
        <f>($C$59*$C$61)*'END Jul 2018'!AH60/100</f>
        <v>401</v>
      </c>
      <c r="G83" s="181">
        <f>($C$59*$C$62)*'END Jul 2018'!W60/100</f>
        <v>192</v>
      </c>
      <c r="H83" s="183">
        <f t="shared" si="10"/>
        <v>864.2124</v>
      </c>
      <c r="I83" s="202">
        <f t="shared" si="11"/>
        <v>3802.5345600000005</v>
      </c>
    </row>
    <row r="84" spans="1:9" ht="14" thickBot="1" x14ac:dyDescent="0.35">
      <c r="A84" s="184" t="str">
        <f>'END Jul 2018'!K61</f>
        <v>Q Energy</v>
      </c>
      <c r="B84" s="185">
        <f>'END Jul 2018'!G61</f>
        <v>41820</v>
      </c>
      <c r="C84" s="186">
        <f>91*'END Jul 2018'!M61/100</f>
        <v>100.1</v>
      </c>
      <c r="D84" s="186">
        <f>($C$59*$C$60)*'END Jul 2018'!N61/100</f>
        <v>178.22</v>
      </c>
      <c r="E84" s="186">
        <v>0</v>
      </c>
      <c r="F84" s="186">
        <f>($C$59*$C$61)*'END Jul 2018'!AH61/100</f>
        <v>377.61</v>
      </c>
      <c r="G84" s="186">
        <f>($C$59*$C$62)*'END Jul 2018'!W61/100</f>
        <v>194.45399999999998</v>
      </c>
      <c r="H84" s="188">
        <f t="shared" si="10"/>
        <v>850.38400000000001</v>
      </c>
      <c r="I84" s="203">
        <f t="shared" si="11"/>
        <v>3741.6896000000002</v>
      </c>
    </row>
  </sheetData>
  <sheetProtection algorithmName="SHA-512" hashValue="cPluMmkt2o1A26tPutRw5V9KjLZOR79RMdBa3nMiwr/NMR/zEJZMGPQpkdIjM5AZmblhxpgTS0Sd3kvxJQftQw==" saltValue="HebFrcgimmFCHKh345rQEw==" spinCount="100000" sheet="1" objects="1" scenarios="1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FH460"/>
  <sheetViews>
    <sheetView topLeftCell="A18" workbookViewId="0">
      <selection activeCell="C53" activeCellId="2" sqref="C5 C28:C30 C53:C56"/>
    </sheetView>
  </sheetViews>
  <sheetFormatPr defaultColWidth="10.84375" defaultRowHeight="13.5" x14ac:dyDescent="0.3"/>
  <cols>
    <col min="1" max="1" width="17.4609375" style="26" customWidth="1"/>
    <col min="2" max="2" width="12.4609375" style="26" customWidth="1"/>
    <col min="3" max="9" width="12.15234375" style="26" customWidth="1"/>
    <col min="10" max="164" width="10.84375" style="198"/>
    <col min="165" max="16384" width="10.84375" style="26"/>
  </cols>
  <sheetData>
    <row r="1" spans="1:9" s="198" customFormat="1" ht="14" x14ac:dyDescent="0.3">
      <c r="A1" s="197" t="s">
        <v>76</v>
      </c>
      <c r="B1" s="197"/>
      <c r="C1" s="197"/>
      <c r="D1" s="197"/>
      <c r="E1" s="197"/>
      <c r="F1" s="197"/>
      <c r="G1" s="197"/>
      <c r="H1" s="197"/>
      <c r="I1" s="197"/>
    </row>
    <row r="2" spans="1:9" s="198" customFormat="1" ht="14" x14ac:dyDescent="0.3">
      <c r="A2" s="199" t="s">
        <v>77</v>
      </c>
      <c r="B2" s="197"/>
      <c r="C2" s="197"/>
      <c r="D2" s="197"/>
      <c r="E2" s="197"/>
      <c r="F2" s="197"/>
      <c r="G2" s="197"/>
      <c r="H2" s="197"/>
      <c r="I2" s="197"/>
    </row>
    <row r="3" spans="1:9" s="198" customFormat="1" ht="14.5" thickBot="1" x14ac:dyDescent="0.35">
      <c r="A3" s="197"/>
      <c r="B3" s="197"/>
      <c r="C3" s="197"/>
      <c r="D3" s="197"/>
      <c r="E3" s="197"/>
      <c r="F3" s="200"/>
      <c r="G3" s="197"/>
      <c r="H3" s="197"/>
      <c r="I3" s="197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'ESS Jul 2017'!K2</f>
        <v>Energy Locals</v>
      </c>
      <c r="B8" s="180">
        <f>'ESS Jul 2017'!G2</f>
        <v>41374</v>
      </c>
      <c r="C8" s="181">
        <f>91*'ESS Jul 2017'!M2/100</f>
        <v>131.94999999999999</v>
      </c>
      <c r="D8" s="181">
        <f>$C$5*'ESS Jul 2017'!N2/100</f>
        <v>414</v>
      </c>
      <c r="E8" s="182">
        <f>IF($C$5&lt;'ESS Jul 2017'!P2,0,IF(($C$5)&lt;='ESS Jul 2017'!R2,(($C$5-'ESS Jul 2017'!P2)*'ESS Jul 2017'!Q2/100),(('ESS Jul 2017'!R2-'ESS Jul 2017'!P2)*'ESS Jul 2017'!Q2/100)))</f>
        <v>0</v>
      </c>
      <c r="F8" s="181">
        <v>0</v>
      </c>
      <c r="G8" s="181">
        <f>IF(($C$5&lt;'ESS Jul 2017'!R2),(0),($C$5-'ESS Jul 2017'!R2)*'ESS Jul 2017'!S2/100)</f>
        <v>0</v>
      </c>
      <c r="H8" s="183">
        <f>SUM(C8:G8)</f>
        <v>545.95000000000005</v>
      </c>
      <c r="I8" s="202">
        <f>(H8*4)*1.1</f>
        <v>2402.1800000000003</v>
      </c>
    </row>
    <row r="9" spans="1:9" x14ac:dyDescent="0.3">
      <c r="A9" s="179" t="str">
        <f>'ESS Jul 2017'!K3</f>
        <v>AGL</v>
      </c>
      <c r="B9" s="180">
        <f>'ESS Jul 2017'!G3</f>
        <v>41457</v>
      </c>
      <c r="C9" s="181">
        <f>91*'ESS Jul 2017'!M3/100</f>
        <v>129.22</v>
      </c>
      <c r="D9" s="181">
        <f>$C$5*'ESS Jul 2017'!N3/100</f>
        <v>522</v>
      </c>
      <c r="E9" s="182">
        <f>IF($C$5&lt;'ESS Jul 2017'!P3,0,IF(($C$5)&lt;='ESS Jul 2017'!R3,(($C$5-'ESS Jul 2017'!P3)*'ESS Jul 2017'!Q3/100),(('ESS Jul 2017'!R3-'ESS Jul 2017'!P3)*'ESS Jul 2017'!Q3/100)))</f>
        <v>0</v>
      </c>
      <c r="F9" s="181">
        <v>0</v>
      </c>
      <c r="G9" s="181">
        <f>IF(($C$5&lt;'ESS Jul 2017'!R3),(0),($C$5-'ESS Jul 2017'!R3)*'ESS Jul 2017'!S3/100)</f>
        <v>0</v>
      </c>
      <c r="H9" s="183">
        <f t="shared" ref="H9:H24" si="0">SUM(C9:G9)</f>
        <v>651.22</v>
      </c>
      <c r="I9" s="202">
        <f t="shared" ref="I9:I24" si="1">(H9*4)*1.1</f>
        <v>2865.3680000000004</v>
      </c>
    </row>
    <row r="10" spans="1:9" x14ac:dyDescent="0.3">
      <c r="A10" s="179" t="str">
        <f>'ESS Jul 2017'!K4</f>
        <v>Alinta Energy</v>
      </c>
      <c r="B10" s="180">
        <f>'ESS Jul 2017'!G4</f>
        <v>41477</v>
      </c>
      <c r="C10" s="181">
        <f>91*'ESS Jul 2017'!M4/100</f>
        <v>150.47760000000002</v>
      </c>
      <c r="D10" s="181">
        <f>IF($C$5&gt;='ESS Jul 2017'!P4,('ESS Jul 2017'!P4*'ESS Jul 2017'!N4/100),($C$5*'ESS Jul 2017'!N4/100))</f>
        <v>279.2</v>
      </c>
      <c r="E10" s="182">
        <f>IF($C$5&lt;'ESS Jul 2017'!P4,0,IF(($C$5)&lt;='ESS Jul 2017'!R4,(($C$5-'ESS Jul 2017'!P4)*'ESS Jul 2017'!Q4/100),(('ESS Jul 2017'!R4-'ESS Jul 2017'!P4)*'ESS Jul 2017'!Q4/100)))</f>
        <v>206.4</v>
      </c>
      <c r="F10" s="181">
        <v>0</v>
      </c>
      <c r="G10" s="181">
        <f>IF(($C$5&lt;'ESS Jul 2017'!R4),(0),($C$5-'ESS Jul 2017'!R4)*'ESS Jul 2017'!S4/100)</f>
        <v>13.56</v>
      </c>
      <c r="H10" s="183">
        <f t="shared" si="0"/>
        <v>649.63759999999991</v>
      </c>
      <c r="I10" s="202">
        <f t="shared" si="1"/>
        <v>2858.40544</v>
      </c>
    </row>
    <row r="11" spans="1:9" x14ac:dyDescent="0.3">
      <c r="A11" s="179" t="str">
        <f>'ESS Jul 2017'!K5</f>
        <v>Click Energy</v>
      </c>
      <c r="B11" s="180">
        <f>'ESS Jul 2017'!G5</f>
        <v>41455</v>
      </c>
      <c r="C11" s="181">
        <f>91*'ESS Jul 2017'!M5/100</f>
        <v>133.77000000000001</v>
      </c>
      <c r="D11" s="181">
        <f>$C$5*'ESS Jul 2017'!N5/100</f>
        <v>714.6</v>
      </c>
      <c r="E11" s="182">
        <f>IF($C$5&lt;'ESS Jul 2017'!P5,0,IF(($C$5)&lt;='ESS Jul 2017'!R5,(($C$5-'ESS Jul 2017'!P5)*'ESS Jul 2017'!Q5/100),(('ESS Jul 2017'!R5-'ESS Jul 2017'!P5)*'ESS Jul 2017'!Q5/100)))</f>
        <v>0</v>
      </c>
      <c r="F11" s="181">
        <v>0</v>
      </c>
      <c r="G11" s="181">
        <f>IF(($C$5&lt;'ESS Jul 2017'!R5),(0),($C$5-'ESS Jul 2017'!R5)*'ESS Jul 2017'!S5/100)</f>
        <v>0</v>
      </c>
      <c r="H11" s="183">
        <f t="shared" si="0"/>
        <v>848.37</v>
      </c>
      <c r="I11" s="202">
        <f t="shared" si="1"/>
        <v>3732.8280000000004</v>
      </c>
    </row>
    <row r="12" spans="1:9" x14ac:dyDescent="0.3">
      <c r="A12" s="179" t="str">
        <f>'ESS Jul 2017'!K6</f>
        <v>Commander</v>
      </c>
      <c r="B12" s="180">
        <f>'ESS Jul 2017'!G6</f>
        <v>41419</v>
      </c>
      <c r="C12" s="181">
        <f>91*'ESS Jul 2017'!M6/100</f>
        <v>142.87909999999999</v>
      </c>
      <c r="D12" s="181">
        <f>IF($C$5&gt;='ESS Jul 2017'!P6,('ESS Jul 2017'!P6*'ESS Jul 2017'!N6/100),($C$5*'ESS Jul 2017'!N6/100))</f>
        <v>583.45000000000005</v>
      </c>
      <c r="E12" s="182">
        <f>IF($C$5&lt;'ESS Jul 2017'!P6,0,IF(($C$5)&lt;='ESS Jul 2017'!R6,(($C$5-'ESS Jul 2017'!P6)*'ESS Jul 2017'!Q6/100),(('ESS Jul 2017'!R6-'ESS Jul 2017'!P6)*'ESS Jul 2017'!Q6/100)))</f>
        <v>0</v>
      </c>
      <c r="F12" s="181">
        <v>0</v>
      </c>
      <c r="G12" s="181">
        <f>IF(($C$5&lt;'ESS Jul 2017'!R6),(0),($C$5-'ESS Jul 2017'!R6)*'ESS Jul 2017'!S6/100)</f>
        <v>16.324999999999999</v>
      </c>
      <c r="H12" s="183">
        <f t="shared" si="0"/>
        <v>742.65410000000008</v>
      </c>
      <c r="I12" s="202">
        <f t="shared" si="1"/>
        <v>3267.6780400000007</v>
      </c>
    </row>
    <row r="13" spans="1:9" x14ac:dyDescent="0.3">
      <c r="A13" s="179" t="str">
        <f>'ESS Jul 2017'!K7</f>
        <v>CovaU</v>
      </c>
      <c r="B13" s="180">
        <f>'ESS Jul 2017'!G7</f>
        <v>41455</v>
      </c>
      <c r="C13" s="181">
        <f>91*'ESS Jul 2017'!M7/100</f>
        <v>125.58</v>
      </c>
      <c r="D13" s="181">
        <f>$C$5*'ESS Jul 2017'!N7/100</f>
        <v>531</v>
      </c>
      <c r="E13" s="182">
        <f>IF($C$5&lt;'ESS Jul 2017'!P7,0,IF(($C$5)&lt;='ESS Jul 2017'!R7,(($C$5-'ESS Jul 2017'!P7)*'ESS Jul 2017'!Q7/100),(('ESS Jul 2017'!R7-'ESS Jul 2017'!P7)*'ESS Jul 2017'!Q7/100)))</f>
        <v>0</v>
      </c>
      <c r="F13" s="181">
        <v>0</v>
      </c>
      <c r="G13" s="181">
        <f>IF(($C$5&lt;'ESS Jul 2017'!R7),(0),($C$5-'ESS Jul 2017'!R7)*'ESS Jul 2017'!S7/100)</f>
        <v>0</v>
      </c>
      <c r="H13" s="183">
        <f t="shared" si="0"/>
        <v>656.58</v>
      </c>
      <c r="I13" s="202">
        <f t="shared" si="1"/>
        <v>2888.9520000000002</v>
      </c>
    </row>
    <row r="14" spans="1:9" x14ac:dyDescent="0.3">
      <c r="A14" s="179" t="str">
        <f>'ESS Jul 2017'!K8</f>
        <v>Diamond Energy</v>
      </c>
      <c r="B14" s="180">
        <f>'ESS Jul 2017'!G8</f>
        <v>41455</v>
      </c>
      <c r="C14" s="181">
        <f>91*'ESS Jul 2017'!M8/100</f>
        <v>136.04499999999999</v>
      </c>
      <c r="D14" s="181">
        <f>IF($C$5&gt;='ESS Jul 2017'!P8,('ESS Jul 2017'!P8*'ESS Jul 2017'!N8/100),($C$5*'ESS Jul 2017'!N8/100))</f>
        <v>77.91</v>
      </c>
      <c r="E14" s="182">
        <f>IF($C$5&lt;'ESS Jul 2017'!P8,0,IF(($C$5)&lt;='ESS Jul 2017'!R8,(($C$5-'ESS Jul 2017'!P8)*'ESS Jul 2017'!Q8/100),(('ESS Jul 2017'!R8-'ESS Jul 2017'!P8)*'ESS Jul 2017'!Q8/100)))</f>
        <v>201.31200000000001</v>
      </c>
      <c r="F14" s="181">
        <v>0</v>
      </c>
      <c r="G14" s="181">
        <f>IF(($C$5&lt;'ESS Jul 2017'!R8),(0),($C$5-'ESS Jul 2017'!R8)*'ESS Jul 2017'!S8/100)</f>
        <v>240.94200000000001</v>
      </c>
      <c r="H14" s="183">
        <f t="shared" si="0"/>
        <v>656.20900000000006</v>
      </c>
      <c r="I14" s="202">
        <f t="shared" si="1"/>
        <v>2887.3196000000007</v>
      </c>
    </row>
    <row r="15" spans="1:9" x14ac:dyDescent="0.3">
      <c r="A15" s="179" t="str">
        <f>'ESS Jul 2017'!K9</f>
        <v>Dodo Power &amp; Gas</v>
      </c>
      <c r="B15" s="180">
        <f>'ESS Jul 2017'!G9</f>
        <v>41419</v>
      </c>
      <c r="C15" s="181">
        <f>91*'ESS Jul 2017'!M9/100</f>
        <v>140.595</v>
      </c>
      <c r="D15" s="181">
        <f>IF($C$5&gt;='ESS Jul 2017'!P9,('ESS Jul 2017'!P9*'ESS Jul 2017'!N9/100),($C$5*'ESS Jul 2017'!N9/100))</f>
        <v>545.47500000000002</v>
      </c>
      <c r="E15" s="182">
        <f>IF($C$5&lt;'ESS Jul 2017'!P9,0,IF(($C$5)&lt;='ESS Jul 2017'!R9,(($C$5-'ESS Jul 2017'!P9)*'ESS Jul 2017'!Q9/100),(('ESS Jul 2017'!R9-'ESS Jul 2017'!P9)*'ESS Jul 2017'!Q9/100)))</f>
        <v>0</v>
      </c>
      <c r="F15" s="181">
        <v>0</v>
      </c>
      <c r="G15" s="181">
        <f>IF(($C$5&lt;'ESS Jul 2017'!R9),(0),($C$5-'ESS Jul 2017'!R9)*'ESS Jul 2017'!S9/100)</f>
        <v>15.18</v>
      </c>
      <c r="H15" s="183">
        <f t="shared" si="0"/>
        <v>701.25</v>
      </c>
      <c r="I15" s="202">
        <f t="shared" si="1"/>
        <v>3085.5000000000005</v>
      </c>
    </row>
    <row r="16" spans="1:9" x14ac:dyDescent="0.3">
      <c r="A16" s="179" t="str">
        <f>'ESS Jul 2017'!K10</f>
        <v>EnergyAustralia</v>
      </c>
      <c r="B16" s="180">
        <f>'ESS Jul 2017'!G10</f>
        <v>41467</v>
      </c>
      <c r="C16" s="181">
        <f>91*'ESS Jul 2017'!M10/100</f>
        <v>131.31300000000002</v>
      </c>
      <c r="D16" s="181">
        <f>$C$5*'ESS Jul 2017'!N10/100</f>
        <v>570.78</v>
      </c>
      <c r="E16" s="182">
        <f>IF($C$5&lt;'ESS Jul 2017'!P10,0,IF(($C$5)&lt;='ESS Jul 2017'!R10,(($C$5-'ESS Jul 2017'!P10)*'ESS Jul 2017'!Q10/100),(('ESS Jul 2017'!R10-'ESS Jul 2017'!P10)*'ESS Jul 2017'!Q10/100)))</f>
        <v>0</v>
      </c>
      <c r="F16" s="181">
        <v>0</v>
      </c>
      <c r="G16" s="181">
        <f>IF(($C$5&lt;'ESS Jul 2017'!R10),(0),($C$5-'ESS Jul 2017'!R10)*'ESS Jul 2017'!S10/100)</f>
        <v>0</v>
      </c>
      <c r="H16" s="183">
        <f t="shared" si="0"/>
        <v>702.09299999999996</v>
      </c>
      <c r="I16" s="202">
        <f t="shared" si="1"/>
        <v>3089.2092000000002</v>
      </c>
    </row>
    <row r="17" spans="1:9" x14ac:dyDescent="0.3">
      <c r="A17" s="179" t="str">
        <f>'ESS Jul 2017'!K11</f>
        <v>Mojo Power</v>
      </c>
      <c r="B17" s="180">
        <f>'ESS Jul 2017'!G11</f>
        <v>41468</v>
      </c>
      <c r="C17" s="181">
        <f>91*'ESS Jul 2017'!M11/100</f>
        <v>215.71549999999999</v>
      </c>
      <c r="D17" s="181">
        <f>$C$5*'ESS Jul 2017'!N11/100</f>
        <v>457.38</v>
      </c>
      <c r="E17" s="182">
        <f>IF($C$5&lt;'ESS Jul 2017'!P11,0,IF(($C$5)&lt;='ESS Jul 2017'!R11,(($C$5-'ESS Jul 2017'!P11)*'ESS Jul 2017'!Q11/100),(('ESS Jul 2017'!R11-'ESS Jul 2017'!P11)*'ESS Jul 2017'!Q11/100)))</f>
        <v>0</v>
      </c>
      <c r="F17" s="181">
        <v>0</v>
      </c>
      <c r="G17" s="181">
        <f>IF(($C$5&lt;'ESS Jul 2017'!R11),(0),($C$5-'ESS Jul 2017'!R11)*'ESS Jul 2017'!S11/100)</f>
        <v>0</v>
      </c>
      <c r="H17" s="183">
        <f t="shared" si="0"/>
        <v>673.09550000000002</v>
      </c>
      <c r="I17" s="202">
        <f t="shared" si="1"/>
        <v>2961.6202000000003</v>
      </c>
    </row>
    <row r="18" spans="1:9" x14ac:dyDescent="0.3">
      <c r="A18" s="179" t="str">
        <f>'ESS Jul 2017'!K12</f>
        <v>Momentum Energy</v>
      </c>
      <c r="B18" s="180">
        <f>'ESS Jul 2017'!G12</f>
        <v>41469</v>
      </c>
      <c r="C18" s="181">
        <f>91*'ESS Jul 2017'!M12/100</f>
        <v>128.583</v>
      </c>
      <c r="D18" s="181">
        <f>IF($C$5&gt;='ESS Jul 2017'!P12,('ESS Jul 2017'!P12*'ESS Jul 2017'!N12/100),($C$5*'ESS Jul 2017'!N12/100))</f>
        <v>170.16</v>
      </c>
      <c r="E18" s="182">
        <f>IF($C$5&lt;'ESS Jul 2017'!P12,0,IF(($C$5)&lt;='ESS Jul 2017'!R12,(($C$5-'ESS Jul 2017'!P12)*'ESS Jul 2017'!Q12/100),(('ESS Jul 2017'!R12-'ESS Jul 2017'!P12)*'ESS Jul 2017'!Q12/100)))</f>
        <v>0</v>
      </c>
      <c r="F18" s="181">
        <v>0</v>
      </c>
      <c r="G18" s="181">
        <f>IF(($C$5&lt;'ESS Jul 2017'!R12),(0),($C$5-'ESS Jul 2017'!R12)*'ESS Jul 2017'!S12/100)</f>
        <v>405.96</v>
      </c>
      <c r="H18" s="183">
        <f t="shared" si="0"/>
        <v>704.70299999999997</v>
      </c>
      <c r="I18" s="202">
        <f t="shared" si="1"/>
        <v>3100.6932000000002</v>
      </c>
    </row>
    <row r="19" spans="1:9" x14ac:dyDescent="0.3">
      <c r="A19" s="179" t="str">
        <f>'ESS Jul 2017'!K13</f>
        <v>Origin Energy</v>
      </c>
      <c r="B19" s="180">
        <f>'ESS Jul 2017'!G13</f>
        <v>41455</v>
      </c>
      <c r="C19" s="181">
        <f>91*'ESS Jul 2017'!M13/100</f>
        <v>128.31909999999999</v>
      </c>
      <c r="D19" s="181">
        <f>$C$5*'ESS Jul 2017'!N13/100</f>
        <v>512.46</v>
      </c>
      <c r="E19" s="182">
        <v>0</v>
      </c>
      <c r="F19" s="181">
        <v>0</v>
      </c>
      <c r="G19" s="181">
        <v>0</v>
      </c>
      <c r="H19" s="183">
        <f t="shared" si="0"/>
        <v>640.77909999999997</v>
      </c>
      <c r="I19" s="202">
        <f t="shared" si="1"/>
        <v>2819.4280400000002</v>
      </c>
    </row>
    <row r="20" spans="1:9" x14ac:dyDescent="0.3">
      <c r="A20" s="179" t="str">
        <f>'ESS Jul 2017'!K14</f>
        <v>Powerdirect</v>
      </c>
      <c r="B20" s="180">
        <f>'ESS Jul 2017'!G14</f>
        <v>41455</v>
      </c>
      <c r="C20" s="181">
        <f>91*'ESS Jul 2017'!M14/100</f>
        <v>129.22</v>
      </c>
      <c r="D20" s="181">
        <f>$C$5*'ESS Jul 2017'!N14/100</f>
        <v>522</v>
      </c>
      <c r="E20" s="182">
        <f>IF($C$5&lt;'ESS Jul 2017'!P14,0,IF(($C$5)&lt;='ESS Jul 2017'!R14,(($C$5-'ESS Jul 2017'!P14)*'ESS Jul 2017'!Q14/100),(('ESS Jul 2017'!R14-'ESS Jul 2017'!P14)*'ESS Jul 2017'!Q14/100)))</f>
        <v>0</v>
      </c>
      <c r="F20" s="181">
        <v>0</v>
      </c>
      <c r="G20" s="181">
        <f>IF(($C$5&lt;'ESS Jul 2017'!R14),(0),($C$5-'ESS Jul 2017'!R14)*'ESS Jul 2017'!S14/100)</f>
        <v>0</v>
      </c>
      <c r="H20" s="183">
        <f t="shared" si="0"/>
        <v>651.22</v>
      </c>
      <c r="I20" s="202">
        <f t="shared" si="1"/>
        <v>2865.3680000000004</v>
      </c>
    </row>
    <row r="21" spans="1:9" x14ac:dyDescent="0.3">
      <c r="A21" s="179" t="str">
        <f>'ESS Jul 2017'!K15</f>
        <v>Powershop</v>
      </c>
      <c r="B21" s="180">
        <f>'ESS Jul 2017'!G15</f>
        <v>41455</v>
      </c>
      <c r="C21" s="181">
        <f>91*'ESS Jul 2017'!M15/100</f>
        <v>141.232</v>
      </c>
      <c r="D21" s="181">
        <f>C5*'ESS Jul 2017'!N15/100</f>
        <v>523.08000000000004</v>
      </c>
      <c r="E21" s="182">
        <v>0</v>
      </c>
      <c r="F21" s="181">
        <v>0</v>
      </c>
      <c r="G21" s="181">
        <v>0</v>
      </c>
      <c r="H21" s="183">
        <f t="shared" si="0"/>
        <v>664.31200000000001</v>
      </c>
      <c r="I21" s="202">
        <f t="shared" si="1"/>
        <v>2922.9728000000005</v>
      </c>
    </row>
    <row r="22" spans="1:9" x14ac:dyDescent="0.3">
      <c r="A22" s="179" t="str">
        <f>'ESS Jul 2017'!K16</f>
        <v>Red Energy</v>
      </c>
      <c r="B22" s="180">
        <f>'ESS Jul 2017'!G16</f>
        <v>41479</v>
      </c>
      <c r="C22" s="181">
        <f>91*'ESS Jul 2017'!M16/100</f>
        <v>121.5942</v>
      </c>
      <c r="D22" s="181">
        <f>IF($C$5&gt;='ESS Jul 2017'!P16,('ESS Jul 2017'!P16*'ESS Jul 2017'!N16/100),($C$5*'ESS Jul 2017'!N16/100))</f>
        <v>295.8</v>
      </c>
      <c r="E22" s="182">
        <f>IF($C$5&lt;'ESS Jul 2017'!P16,0,IF(($C$5)&lt;='ESS Jul 2017'!R16,(($C$5-'ESS Jul 2017'!P16)*'ESS Jul 2017'!Q16/100),(('ESS Jul 2017'!R16-'ESS Jul 2017'!P16)*'ESS Jul 2017'!Q16/100)))</f>
        <v>218.02500000000001</v>
      </c>
      <c r="F22" s="181">
        <v>0</v>
      </c>
      <c r="G22" s="181">
        <f>IF(($C$5&lt;'ESS Jul 2017'!R16),(0),($C$5-'ESS Jul 2017'!R16)*'ESS Jul 2017'!S16/100)</f>
        <v>14.484999999999999</v>
      </c>
      <c r="H22" s="183">
        <f t="shared" si="0"/>
        <v>649.90420000000006</v>
      </c>
      <c r="I22" s="202">
        <f t="shared" si="1"/>
        <v>2859.5784800000006</v>
      </c>
    </row>
    <row r="23" spans="1:9" x14ac:dyDescent="0.3">
      <c r="A23" s="179" t="str">
        <f>'ESS Jul 2017'!K17</f>
        <v>Simply Energy</v>
      </c>
      <c r="B23" s="180">
        <f>'ESS Jul 2017'!G17</f>
        <v>41459</v>
      </c>
      <c r="C23" s="181">
        <f>91*'ESS Jul 2017'!M17/100</f>
        <v>104.92299999999999</v>
      </c>
      <c r="D23" s="181">
        <f>C5*'ESS Jul 2017'!N17/100</f>
        <v>462.6</v>
      </c>
      <c r="E23" s="182">
        <v>0</v>
      </c>
      <c r="F23" s="181">
        <v>0</v>
      </c>
      <c r="G23" s="181">
        <v>0</v>
      </c>
      <c r="H23" s="183">
        <f t="shared" si="0"/>
        <v>567.52300000000002</v>
      </c>
      <c r="I23" s="202">
        <f t="shared" si="1"/>
        <v>2497.1012000000005</v>
      </c>
    </row>
    <row r="24" spans="1:9" ht="14" thickBot="1" x14ac:dyDescent="0.35">
      <c r="A24" s="184" t="str">
        <f>'ESS Jul 2017'!K18</f>
        <v>Sanctuary Energy</v>
      </c>
      <c r="B24" s="185">
        <f>'ESS Jul 2017'!G18</f>
        <v>41455</v>
      </c>
      <c r="C24" s="186">
        <f>91*'ESS Jul 2017'!M18/100</f>
        <v>130.592735</v>
      </c>
      <c r="D24" s="186">
        <f>$C$5*'ESS Jul 2017'!N18/100</f>
        <v>643.77</v>
      </c>
      <c r="E24" s="187">
        <f>IF($C$5&lt;'ESS Jul 2017'!P18,0,IF(($C$5)&lt;='ESS Jul 2017'!R18,(($C$5-'ESS Jul 2017'!P18)*'ESS Jul 2017'!Q18/100),(('ESS Jul 2017'!R18-'ESS Jul 2017'!P18)*'ESS Jul 2017'!Q18/100)))</f>
        <v>0</v>
      </c>
      <c r="F24" s="186">
        <v>0</v>
      </c>
      <c r="G24" s="186">
        <f>IF(($C$5&lt;'ESS Jul 2017'!R18),(0),($C$5-'ESS Jul 2017'!R18)*'ESS Jul 2017'!S18/100)</f>
        <v>0</v>
      </c>
      <c r="H24" s="188">
        <f t="shared" si="0"/>
        <v>774.36273499999993</v>
      </c>
      <c r="I24" s="203">
        <f t="shared" si="1"/>
        <v>3407.1960340000001</v>
      </c>
    </row>
    <row r="25" spans="1:9" s="198" customFormat="1" x14ac:dyDescent="0.3"/>
    <row r="26" spans="1:9" s="198" customFormat="1" ht="14" thickBot="1" x14ac:dyDescent="0.35"/>
    <row r="27" spans="1:9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</row>
    <row r="28" spans="1:9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</row>
    <row r="29" spans="1:9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</row>
    <row r="30" spans="1:9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</row>
    <row r="31" spans="1:9" ht="14" x14ac:dyDescent="0.3">
      <c r="A31" s="92"/>
      <c r="B31" s="93"/>
      <c r="C31" s="93"/>
      <c r="D31" s="93"/>
      <c r="E31" s="93"/>
      <c r="F31" s="93"/>
      <c r="G31" s="93"/>
      <c r="H31" s="93"/>
      <c r="I31" s="178"/>
    </row>
    <row r="32" spans="1:9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</row>
    <row r="33" spans="1:9" x14ac:dyDescent="0.3">
      <c r="A33" s="179" t="str">
        <f>'ESS Jul 2017'!K19</f>
        <v>Energy Locals</v>
      </c>
      <c r="B33" s="180">
        <f>'ESS Jul 2017'!G19</f>
        <v>41374</v>
      </c>
      <c r="C33" s="181">
        <f>91*'ESS Jul 2017'!M19/100</f>
        <v>141.96</v>
      </c>
      <c r="D33" s="181">
        <f>($C$28*$C$29)*'ESS Jul 2017'!N19/100</f>
        <v>322</v>
      </c>
      <c r="E33" s="182">
        <v>0</v>
      </c>
      <c r="F33" s="181">
        <v>0</v>
      </c>
      <c r="G33" s="181">
        <f>($C$28*$C$30)*'ESS Jul 2017'!AE19/100</f>
        <v>90</v>
      </c>
      <c r="H33" s="183">
        <f>SUM(C33:G33)</f>
        <v>553.96</v>
      </c>
      <c r="I33" s="202">
        <f>(H33*4)*1.1</f>
        <v>2437.4240000000004</v>
      </c>
    </row>
    <row r="34" spans="1:9" x14ac:dyDescent="0.3">
      <c r="A34" s="179" t="str">
        <f>'ESS Jul 2017'!K20</f>
        <v>AGL</v>
      </c>
      <c r="B34" s="180">
        <f>'ESS Jul 2017'!G20</f>
        <v>41457</v>
      </c>
      <c r="C34" s="181">
        <f>91*'ESS Jul 2017'!M20/100</f>
        <v>141.05000000000001</v>
      </c>
      <c r="D34" s="181">
        <f>($C$28*$C$29)*'ESS Jul 2017'!N20/100</f>
        <v>406</v>
      </c>
      <c r="E34" s="182">
        <v>0</v>
      </c>
      <c r="F34" s="181">
        <v>0</v>
      </c>
      <c r="G34" s="181">
        <f>($C$28*$C$30)*'ESS Jul 2017'!AE20/100</f>
        <v>96</v>
      </c>
      <c r="H34" s="183">
        <f t="shared" ref="H34:H49" si="2">SUM(C34:G34)</f>
        <v>643.04999999999995</v>
      </c>
      <c r="I34" s="202">
        <f t="shared" ref="I34:I49" si="3">(H34*4)*1.1</f>
        <v>2829.42</v>
      </c>
    </row>
    <row r="35" spans="1:9" x14ac:dyDescent="0.3">
      <c r="A35" s="179" t="str">
        <f>'ESS Jul 2017'!K21</f>
        <v>Alinta Energy</v>
      </c>
      <c r="B35" s="180">
        <f>'ESS Jul 2017'!G21</f>
        <v>41477</v>
      </c>
      <c r="C35" s="181">
        <f>91*'ESS Jul 2017'!M21/100</f>
        <v>165.00119999999998</v>
      </c>
      <c r="D35" s="181">
        <f>IF($C$28*$C$29&gt;='ESS Jul 2017'!P21,('ESS Jul 2017'!P21*'ESS Jul 2017'!N21/100),(($C$28*$C$29)*'ESS Jul 2017'!N21/100))</f>
        <v>279.2</v>
      </c>
      <c r="E35" s="182">
        <f>IF($C$28*$C$29&lt;'ESS Jul 2017'!P21,0,IF(($C$28*$C$29)&lt;='ESS Jul 2017'!R21,(($C$28*$C$29-'ESS Jul 2017'!P21)*'ESS Jul 2017'!Q21/100),(('ESS Jul 2017'!R21-'ESS Jul 2017'!P21)*'ESS Jul 2017'!Q21/100)))</f>
        <v>110.08</v>
      </c>
      <c r="F35" s="181">
        <f>IF(($C$28*$C$29&lt;'ESS Jul 2017'!R21),(0),($C$28*$C$29-'ESS Jul 2017'!R21)*'ESS Jul 2017'!S21/100)</f>
        <v>0</v>
      </c>
      <c r="G35" s="181">
        <f>($C$28*$C$30)*'ESS Jul 2017'!AE21/100</f>
        <v>80.88</v>
      </c>
      <c r="H35" s="183">
        <f t="shared" si="2"/>
        <v>635.16120000000001</v>
      </c>
      <c r="I35" s="202">
        <f t="shared" si="3"/>
        <v>2794.70928</v>
      </c>
    </row>
    <row r="36" spans="1:9" x14ac:dyDescent="0.3">
      <c r="A36" s="179" t="str">
        <f>'ESS Jul 2017'!K22</f>
        <v>Click Energy</v>
      </c>
      <c r="B36" s="180">
        <f>'ESS Jul 2017'!G22</f>
        <v>41455</v>
      </c>
      <c r="C36" s="181">
        <f>91*'ESS Jul 2017'!M22/100</f>
        <v>147.41999999999999</v>
      </c>
      <c r="D36" s="181">
        <f>($C$28*$C$29)*'ESS Jul 2017'!N22/100</f>
        <v>555.80000000000007</v>
      </c>
      <c r="E36" s="182">
        <v>0</v>
      </c>
      <c r="F36" s="181">
        <v>0</v>
      </c>
      <c r="G36" s="181">
        <f>($C$28*$C$30)*'ESS Jul 2017'!AE22/100</f>
        <v>157.80000000000001</v>
      </c>
      <c r="H36" s="183">
        <f t="shared" si="2"/>
        <v>861.02</v>
      </c>
      <c r="I36" s="202">
        <f t="shared" si="3"/>
        <v>3788.4880000000003</v>
      </c>
    </row>
    <row r="37" spans="1:9" x14ac:dyDescent="0.3">
      <c r="A37" s="179" t="str">
        <f>'ESS Jul 2017'!K23</f>
        <v>Commander</v>
      </c>
      <c r="B37" s="180">
        <f>'ESS Jul 2017'!G23</f>
        <v>41419</v>
      </c>
      <c r="C37" s="181">
        <f>91*'ESS Jul 2017'!M23/100</f>
        <v>156.8931</v>
      </c>
      <c r="D37" s="181">
        <f>IF($C$28*$C$29&gt;='ESS Jul 2017'!P23,('ESS Jul 2017'!P23*'ESS Jul 2017'!N23/100),(($C$28*$C$29)*'ESS Jul 2017'!N23/100))</f>
        <v>466.76000000000005</v>
      </c>
      <c r="E37" s="182">
        <f>IF($C$28*$C$29&lt;'ESS Jul 2017'!P23,0,IF(($C$28*$C$29)&lt;='ESS Jul 2017'!R23,(($C$28*$C$29-'ESS Jul 2017'!P23)*'ESS Jul 2017'!Q23/100),(('ESS Jul 2017'!R23-'ESS Jul 2017'!P23)*'ESS Jul 2017'!Q23/100)))</f>
        <v>0</v>
      </c>
      <c r="F37" s="181">
        <f>IF(($C$28*$C$29&lt;'ESS Jul 2017'!R23),(0),($C$28*$C$29-'ESS Jul 2017'!R23)*'ESS Jul 2017'!S23/100)</f>
        <v>0</v>
      </c>
      <c r="G37" s="181">
        <f>($C$28*$C$30)*'ESS Jul 2017'!AE23/100</f>
        <v>94.08</v>
      </c>
      <c r="H37" s="183">
        <f t="shared" si="2"/>
        <v>717.73310000000004</v>
      </c>
      <c r="I37" s="202">
        <f t="shared" si="3"/>
        <v>3158.0256400000003</v>
      </c>
    </row>
    <row r="38" spans="1:9" x14ac:dyDescent="0.3">
      <c r="A38" s="179" t="str">
        <f>'ESS Jul 2017'!K24</f>
        <v>CovaU</v>
      </c>
      <c r="B38" s="180">
        <f>'ESS Jul 2017'!G24</f>
        <v>41455</v>
      </c>
      <c r="C38" s="181">
        <f>91*'ESS Jul 2017'!M24/100</f>
        <v>138.32</v>
      </c>
      <c r="D38" s="181">
        <f>($C$28*$C$29)*'ESS Jul 2017'!N24/100</f>
        <v>413</v>
      </c>
      <c r="E38" s="182">
        <v>0</v>
      </c>
      <c r="F38" s="181">
        <v>0</v>
      </c>
      <c r="G38" s="181">
        <f>($C$28*$C$30)*'ESS Jul 2017'!AE24/100</f>
        <v>116.1</v>
      </c>
      <c r="H38" s="183">
        <f t="shared" si="2"/>
        <v>667.42</v>
      </c>
      <c r="I38" s="202">
        <f t="shared" si="3"/>
        <v>2936.6480000000001</v>
      </c>
    </row>
    <row r="39" spans="1:9" x14ac:dyDescent="0.3">
      <c r="A39" s="179" t="str">
        <f>'ESS Jul 2017'!K25</f>
        <v>Diamond Energy</v>
      </c>
      <c r="B39" s="180">
        <f>'ESS Jul 2017'!G25</f>
        <v>41455</v>
      </c>
      <c r="C39" s="181">
        <f>91*'ESS Jul 2017'!M25/100</f>
        <v>149.60399999999998</v>
      </c>
      <c r="D39" s="181">
        <f>IF($C$28*$C$29&gt;='ESS Jul 2017'!P25,('ESS Jul 2017'!P25*'ESS Jul 2017'!N25/100),(($C$28*$C$29)*'ESS Jul 2017'!N25/100))</f>
        <v>77.91</v>
      </c>
      <c r="E39" s="182">
        <f>IF($C$28*$C$29&lt;'ESS Jul 2017'!P25,0,IF(($C$28*$C$29)&lt;='ESS Jul 2017'!R25,(($C$28*$C$29-'ESS Jul 2017'!P25)*'ESS Jul 2017'!Q25/100),(('ESS Jul 2017'!R25-'ESS Jul 2017'!P25)*'ESS Jul 2017'!Q25/100)))</f>
        <v>201.31200000000001</v>
      </c>
      <c r="F39" s="181">
        <f>IF(($C$28*$C$29&lt;'ESS Jul 2017'!R25),(0),($C$28*$C$29-'ESS Jul 2017'!R25)*'ESS Jul 2017'!S25/100)</f>
        <v>117.38200000000001</v>
      </c>
      <c r="G39" s="181">
        <f>($C$28*$C$30)*'ESS Jul 2017'!AE25/100</f>
        <v>93.6</v>
      </c>
      <c r="H39" s="183">
        <f t="shared" si="2"/>
        <v>639.80800000000011</v>
      </c>
      <c r="I39" s="202">
        <f t="shared" si="3"/>
        <v>2815.1552000000006</v>
      </c>
    </row>
    <row r="40" spans="1:9" x14ac:dyDescent="0.3">
      <c r="A40" s="179" t="str">
        <f>'ESS Jul 2017'!K26</f>
        <v>Dodo Power &amp; Gas</v>
      </c>
      <c r="B40" s="180">
        <f>'ESS Jul 2017'!G26</f>
        <v>41419</v>
      </c>
      <c r="C40" s="181">
        <f>91*'ESS Jul 2017'!M26/100</f>
        <v>154.33600000000001</v>
      </c>
      <c r="D40" s="181">
        <f>IF($C$28*$C$29&gt;='ESS Jul 2017'!P26,('ESS Jul 2017'!P26*'ESS Jul 2017'!N26/100),(($C$28*$C$29)*'ESS Jul 2017'!N26/100))</f>
        <v>436.38</v>
      </c>
      <c r="E40" s="182">
        <f>IF($C$28*$C$29&lt;'ESS Jul 2017'!P26,0,IF(($C$28*$C$29)&lt;='ESS Jul 2017'!R26,(($C$28*$C$29-'ESS Jul 2017'!P26)*'ESS Jul 2017'!Q26/100),(('ESS Jul 2017'!R26-'ESS Jul 2017'!P26)*'ESS Jul 2017'!Q26/100)))</f>
        <v>0</v>
      </c>
      <c r="F40" s="181">
        <f>IF(($C$28*$C$29&lt;'ESS Jul 2017'!R26),(0),($C$28*$C$29-'ESS Jul 2017'!R26)*'ESS Jul 2017'!S26/100)</f>
        <v>0</v>
      </c>
      <c r="G40" s="181">
        <f>($C$28*$C$30)*'ESS Jul 2017'!AE26/100</f>
        <v>92.1</v>
      </c>
      <c r="H40" s="183">
        <f t="shared" si="2"/>
        <v>682.81600000000003</v>
      </c>
      <c r="I40" s="202">
        <f t="shared" si="3"/>
        <v>3004.3904000000002</v>
      </c>
    </row>
    <row r="41" spans="1:9" x14ac:dyDescent="0.3">
      <c r="A41" s="179" t="str">
        <f>'ESS Jul 2017'!K27</f>
        <v>EnergyAustralia</v>
      </c>
      <c r="B41" s="180">
        <f>'ESS Jul 2017'!G27</f>
        <v>41467</v>
      </c>
      <c r="C41" s="181">
        <f>91*'ESS Jul 2017'!M27/100</f>
        <v>142.87</v>
      </c>
      <c r="D41" s="181">
        <f>($C$28*$C$29)*'ESS Jul 2017'!N27/100</f>
        <v>443.94</v>
      </c>
      <c r="E41" s="182">
        <v>0</v>
      </c>
      <c r="F41" s="181">
        <v>0</v>
      </c>
      <c r="G41" s="181">
        <f>($C$28*$C$30)*'ESS Jul 2017'!AE27/100</f>
        <v>75.719999999999985</v>
      </c>
      <c r="H41" s="183">
        <f t="shared" si="2"/>
        <v>662.53</v>
      </c>
      <c r="I41" s="202">
        <f t="shared" si="3"/>
        <v>2915.1320000000001</v>
      </c>
    </row>
    <row r="42" spans="1:9" x14ac:dyDescent="0.3">
      <c r="A42" s="179" t="str">
        <f>'ESS Jul 2017'!K28</f>
        <v>Mojo Power</v>
      </c>
      <c r="B42" s="180">
        <f>'ESS Jul 2017'!G28</f>
        <v>41468</v>
      </c>
      <c r="C42" s="181">
        <f>91*'ESS Jul 2017'!M28/100</f>
        <v>226.53540000000001</v>
      </c>
      <c r="D42" s="181">
        <f>($C$28*$C$29)*'ESS Jul 2017'!N28/100</f>
        <v>355.74</v>
      </c>
      <c r="E42" s="182">
        <v>0</v>
      </c>
      <c r="F42" s="181">
        <v>0</v>
      </c>
      <c r="G42" s="181">
        <f>($C$28*$C$30)*'ESS Jul 2017'!AE28/100</f>
        <v>88.38</v>
      </c>
      <c r="H42" s="183">
        <f t="shared" si="2"/>
        <v>670.65539999999999</v>
      </c>
      <c r="I42" s="202">
        <f t="shared" si="3"/>
        <v>2950.8837600000002</v>
      </c>
    </row>
    <row r="43" spans="1:9" x14ac:dyDescent="0.3">
      <c r="A43" s="179" t="str">
        <f>'ESS Jul 2017'!K29</f>
        <v>Momentum Energy</v>
      </c>
      <c r="B43" s="180">
        <f>'ESS Jul 2017'!G29</f>
        <v>41469</v>
      </c>
      <c r="C43" s="181">
        <f>91*'ESS Jul 2017'!M29/100</f>
        <v>140.34929999999997</v>
      </c>
      <c r="D43" s="181">
        <f>IF($C$28*$C$29&gt;='ESS Jul 2017'!P29,('ESS Jul 2017'!P29*'ESS Jul 2017'!N29/100),(($C$28*$C$29)*'ESS Jul 2017'!N29/100))</f>
        <v>170.16</v>
      </c>
      <c r="E43" s="182">
        <f>IF($C$28*$C$29&lt;'ESS Jul 2017'!P29,0,IF(($C$28*$C$29)&lt;='ESS Jul 2017'!R29,(($C$28*$C$29-'ESS Jul 2017'!P29)*'ESS Jul 2017'!Q29/100),(('ESS Jul 2017'!R29-'ESS Jul 2017'!P29)*'ESS Jul 2017'!Q29/100)))</f>
        <v>0</v>
      </c>
      <c r="F43" s="181">
        <f>IF(($C$28*$C$29&lt;'ESS Jul 2017'!R29),(0),($C$28*$C$29-'ESS Jul 2017'!R29)*'ESS Jul 2017'!S29/100)</f>
        <v>270.64</v>
      </c>
      <c r="G43" s="181">
        <f>($C$28*$C$30)*'ESS Jul 2017'!AE29/100</f>
        <v>95.52</v>
      </c>
      <c r="H43" s="183">
        <f t="shared" si="2"/>
        <v>676.66929999999991</v>
      </c>
      <c r="I43" s="202">
        <f t="shared" si="3"/>
        <v>2977.34492</v>
      </c>
    </row>
    <row r="44" spans="1:9" x14ac:dyDescent="0.3">
      <c r="A44" s="179" t="str">
        <f>'ESS Jul 2017'!K30</f>
        <v>Origin Energy</v>
      </c>
      <c r="B44" s="180">
        <f>'ESS Jul 2017'!G30</f>
        <v>41455</v>
      </c>
      <c r="C44" s="181">
        <f>91*'ESS Jul 2017'!M30/100</f>
        <v>140.60409999999999</v>
      </c>
      <c r="D44" s="181">
        <f>($C$28*$C$29)*'ESS Jul 2017'!N30/100</f>
        <v>398.58</v>
      </c>
      <c r="E44" s="182">
        <v>0</v>
      </c>
      <c r="F44" s="181">
        <v>0</v>
      </c>
      <c r="G44" s="181">
        <f>($C$28*$C$30)*'ESS Jul 2017'!AE30/100</f>
        <v>90.6</v>
      </c>
      <c r="H44" s="183">
        <f t="shared" si="2"/>
        <v>629.78409999999997</v>
      </c>
      <c r="I44" s="202">
        <f t="shared" si="3"/>
        <v>2771.0500400000001</v>
      </c>
    </row>
    <row r="45" spans="1:9" x14ac:dyDescent="0.3">
      <c r="A45" s="179" t="str">
        <f>'ESS Jul 2017'!K31</f>
        <v>Powerdirect</v>
      </c>
      <c r="B45" s="180">
        <f>'ESS Jul 2017'!G31</f>
        <v>41455</v>
      </c>
      <c r="C45" s="181">
        <f>91*'ESS Jul 2017'!M31/100</f>
        <v>141.05000000000001</v>
      </c>
      <c r="D45" s="181">
        <f>($C$28*$C$29)*'ESS Jul 2017'!N31/100</f>
        <v>406</v>
      </c>
      <c r="E45" s="182">
        <v>0</v>
      </c>
      <c r="F45" s="181">
        <v>0</v>
      </c>
      <c r="G45" s="181">
        <f>($C$28*$C$30)*'ESS Jul 2017'!AE31/100</f>
        <v>96</v>
      </c>
      <c r="H45" s="183">
        <f t="shared" si="2"/>
        <v>643.04999999999995</v>
      </c>
      <c r="I45" s="202">
        <f t="shared" si="3"/>
        <v>2829.42</v>
      </c>
    </row>
    <row r="46" spans="1:9" x14ac:dyDescent="0.3">
      <c r="A46" s="179" t="str">
        <f>'ESS Jul 2017'!K32</f>
        <v>Powershop</v>
      </c>
      <c r="B46" s="180">
        <f>'ESS Jul 2017'!G32</f>
        <v>41455</v>
      </c>
      <c r="C46" s="181">
        <f>91*'ESS Jul 2017'!M32/100</f>
        <v>154.245</v>
      </c>
      <c r="D46" s="181">
        <f>($C$28*$C$29)*'ESS Jul 2017'!N32/100</f>
        <v>406.84</v>
      </c>
      <c r="E46" s="182">
        <v>0</v>
      </c>
      <c r="F46" s="181">
        <v>0</v>
      </c>
      <c r="G46" s="181">
        <f>($C$28*$C$30)*'ESS Jul 2017'!AE32/100</f>
        <v>108.78</v>
      </c>
      <c r="H46" s="183">
        <f t="shared" si="2"/>
        <v>669.86500000000001</v>
      </c>
      <c r="I46" s="202">
        <f t="shared" si="3"/>
        <v>2947.4060000000004</v>
      </c>
    </row>
    <row r="47" spans="1:9" x14ac:dyDescent="0.3">
      <c r="A47" s="179" t="str">
        <f>'ESS Jul 2017'!K33</f>
        <v>Red Energy</v>
      </c>
      <c r="B47" s="180">
        <f>'ESS Jul 2017'!G33</f>
        <v>41479</v>
      </c>
      <c r="C47" s="181">
        <f>91*'ESS Jul 2017'!M33/100</f>
        <v>132.73260000000002</v>
      </c>
      <c r="D47" s="181">
        <f>IF($C$28*$C$29&gt;='ESS Jul 2017'!P33,('ESS Jul 2017'!P33*'ESS Jul 2017'!N33/100),(($C$28*$C$29)*'ESS Jul 2017'!N33/100))</f>
        <v>295.8</v>
      </c>
      <c r="E47" s="182">
        <f>IF($C$28*$C$29&lt;'ESS Jul 2017'!P33,0,IF(($C$28*$C$29)&lt;='ESS Jul 2017'!R33,(($C$28*$C$29-'ESS Jul 2017'!P33)*'ESS Jul 2017'!Q33/100),(('ESS Jul 2017'!R33-'ESS Jul 2017'!P33)*'ESS Jul 2017'!Q33/100)))</f>
        <v>116.28</v>
      </c>
      <c r="F47" s="181">
        <f>IF(($C$28*$C$29&lt;'ESS Jul 2017'!R33),(0),($C$28*$C$29-'ESS Jul 2017'!R33)*'ESS Jul 2017'!S33/100)</f>
        <v>0</v>
      </c>
      <c r="G47" s="181">
        <f>($C$28*$C$30)*'ESS Jul 2017'!AE33/100</f>
        <v>80.219999999999985</v>
      </c>
      <c r="H47" s="183">
        <f t="shared" si="2"/>
        <v>625.0326</v>
      </c>
      <c r="I47" s="202">
        <f t="shared" si="3"/>
        <v>2750.1434400000003</v>
      </c>
    </row>
    <row r="48" spans="1:9" x14ac:dyDescent="0.3">
      <c r="A48" s="179" t="str">
        <f>'ESS Jul 2017'!K34</f>
        <v>Simply Energy</v>
      </c>
      <c r="B48" s="180">
        <f>'ESS Jul 2017'!G34</f>
        <v>41459</v>
      </c>
      <c r="C48" s="181">
        <f>91*'ESS Jul 2017'!M34/100</f>
        <v>116.3708</v>
      </c>
      <c r="D48" s="181">
        <f>($C$28*$C$29)*'ESS Jul 2017'!N34/100</f>
        <v>359.8</v>
      </c>
      <c r="E48" s="182">
        <v>0</v>
      </c>
      <c r="F48" s="181">
        <v>0</v>
      </c>
      <c r="G48" s="181">
        <f>($C$28*$C$30)*'ESS Jul 2017'!AE34/100</f>
        <v>63.6</v>
      </c>
      <c r="H48" s="183">
        <f t="shared" si="2"/>
        <v>539.77080000000001</v>
      </c>
      <c r="I48" s="202">
        <f t="shared" si="3"/>
        <v>2374.99152</v>
      </c>
    </row>
    <row r="49" spans="1:9" ht="14" thickBot="1" x14ac:dyDescent="0.35">
      <c r="A49" s="184" t="str">
        <f>'ESS Jul 2017'!K35</f>
        <v>Sanctuary Energy</v>
      </c>
      <c r="B49" s="185">
        <f>'ESS Jul 2017'!G35</f>
        <v>41455</v>
      </c>
      <c r="C49" s="186">
        <f>91*'ESS Jul 2017'!M35/100</f>
        <v>142.46050000000002</v>
      </c>
      <c r="D49" s="186">
        <f>($C$28*$C$29)*'ESS Jul 2017'!N35/100</f>
        <v>500.71</v>
      </c>
      <c r="E49" s="187">
        <v>0</v>
      </c>
      <c r="F49" s="186">
        <v>0</v>
      </c>
      <c r="G49" s="186">
        <f>($C$28*$C$30)*'ESS Jul 2017'!AE35/100</f>
        <v>84.318000000000012</v>
      </c>
      <c r="H49" s="188">
        <f t="shared" si="2"/>
        <v>727.48849999999993</v>
      </c>
      <c r="I49" s="203">
        <f t="shared" si="3"/>
        <v>3200.9494</v>
      </c>
    </row>
    <row r="50" spans="1:9" s="198" customFormat="1" x14ac:dyDescent="0.3"/>
    <row r="51" spans="1:9" s="198" customFormat="1" ht="14" thickBot="1" x14ac:dyDescent="0.35"/>
    <row r="52" spans="1:9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</row>
    <row r="53" spans="1:9" ht="14" x14ac:dyDescent="0.3">
      <c r="A53" s="92" t="s">
        <v>79</v>
      </c>
      <c r="B53" s="93"/>
      <c r="C53" s="189">
        <v>1800</v>
      </c>
      <c r="D53" s="93"/>
      <c r="E53" s="93"/>
      <c r="F53" s="93"/>
      <c r="G53" s="93"/>
      <c r="H53" s="93"/>
      <c r="I53" s="178"/>
    </row>
    <row r="54" spans="1:9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</row>
    <row r="55" spans="1:9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</row>
    <row r="56" spans="1:9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</row>
    <row r="57" spans="1:9" ht="14" x14ac:dyDescent="0.3">
      <c r="A57" s="166"/>
      <c r="B57" s="93"/>
      <c r="C57" s="167"/>
      <c r="D57" s="93"/>
      <c r="E57" s="93"/>
      <c r="F57" s="93"/>
      <c r="G57" s="93"/>
      <c r="H57" s="93"/>
      <c r="I57" s="178"/>
    </row>
    <row r="58" spans="1:9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</row>
    <row r="59" spans="1:9" x14ac:dyDescent="0.3">
      <c r="A59" s="179" t="str">
        <f>'ESS Jul 2017'!K36</f>
        <v>Energy Locals</v>
      </c>
      <c r="B59" s="180">
        <f>'ESS Jul 2017'!G36</f>
        <v>41374</v>
      </c>
      <c r="C59" s="181">
        <f>91*'ESS Jul 2017'!M36/100</f>
        <v>121.03</v>
      </c>
      <c r="D59" s="181">
        <f>($C$53*$C$54)*'ESS Jul 2017'!N36/100</f>
        <v>93.6</v>
      </c>
      <c r="E59" s="181">
        <v>0</v>
      </c>
      <c r="F59" s="181">
        <f>($C$53*$C$55)*'ESS Jul 2017'!AH36/100</f>
        <v>162</v>
      </c>
      <c r="G59" s="181">
        <f>($C$53*$C$56)*'ESS Jul 2017'!W36/100</f>
        <v>97.2</v>
      </c>
      <c r="H59" s="183">
        <f>SUM(C59:G59)</f>
        <v>473.83</v>
      </c>
      <c r="I59" s="202">
        <f>(H59*4)*1.1</f>
        <v>2084.8520000000003</v>
      </c>
    </row>
    <row r="60" spans="1:9" x14ac:dyDescent="0.3">
      <c r="A60" s="179" t="str">
        <f>'ESS Jul 2017'!K37</f>
        <v>AGL</v>
      </c>
      <c r="B60" s="180">
        <f>'ESS Jul 2017'!G37</f>
        <v>41457</v>
      </c>
      <c r="C60" s="181">
        <f>91*'ESS Jul 2017'!M37/100</f>
        <v>129.22</v>
      </c>
      <c r="D60" s="181">
        <f>($C$53*$C$54)*'ESS Jul 2017'!N37/100</f>
        <v>129.6</v>
      </c>
      <c r="E60" s="181">
        <v>0</v>
      </c>
      <c r="F60" s="181">
        <f>($C$53*$C$55)*'ESS Jul 2017'!AH37/100</f>
        <v>315</v>
      </c>
      <c r="G60" s="181">
        <f>($C$53*$C$56)*'ESS Jul 2017'!W37/100</f>
        <v>102.6</v>
      </c>
      <c r="H60" s="183">
        <f t="shared" ref="H60:H75" si="4">SUM(C60:G60)</f>
        <v>676.42</v>
      </c>
      <c r="I60" s="202">
        <f t="shared" ref="I60:I75" si="5">(H60*4)*1.1</f>
        <v>2976.248</v>
      </c>
    </row>
    <row r="61" spans="1:9" x14ac:dyDescent="0.3">
      <c r="A61" s="179" t="str">
        <f>'ESS Jul 2017'!K38</f>
        <v>Alinta Energy</v>
      </c>
      <c r="B61" s="180">
        <f>'ESS Jul 2017'!G38</f>
        <v>41477</v>
      </c>
      <c r="C61" s="181">
        <f>91*'ESS Jul 2017'!M38/100</f>
        <v>148.45739999999998</v>
      </c>
      <c r="D61" s="181">
        <f>($C$53*$C$54)*'ESS Jul 2017'!N38/100</f>
        <v>120.49199999999999</v>
      </c>
      <c r="E61" s="181">
        <v>0</v>
      </c>
      <c r="F61" s="181">
        <f>($C$53*$C$55)*'ESS Jul 2017'!AH38/100</f>
        <v>301.23</v>
      </c>
      <c r="G61" s="181">
        <f>($C$53*$C$56)*'ESS Jul 2017'!W38/100</f>
        <v>97.686000000000007</v>
      </c>
      <c r="H61" s="183">
        <f t="shared" si="4"/>
        <v>667.86540000000002</v>
      </c>
      <c r="I61" s="202">
        <f t="shared" si="5"/>
        <v>2938.6077600000003</v>
      </c>
    </row>
    <row r="62" spans="1:9" x14ac:dyDescent="0.3">
      <c r="A62" s="179" t="str">
        <f>'ESS Jul 2017'!K39</f>
        <v>Click Energy</v>
      </c>
      <c r="B62" s="180">
        <f>'ESS Jul 2017'!G39</f>
        <v>41455</v>
      </c>
      <c r="C62" s="181">
        <f>91*'ESS Jul 2017'!M39/100</f>
        <v>133.77000000000001</v>
      </c>
      <c r="D62" s="181">
        <f>($C$53*$C$54)*'ESS Jul 2017'!N39/100</f>
        <v>155.16</v>
      </c>
      <c r="E62" s="181">
        <v>0</v>
      </c>
      <c r="F62" s="181">
        <f>($C$53*$C$55)*'ESS Jul 2017'!AH39/100</f>
        <v>373.5</v>
      </c>
      <c r="G62" s="181">
        <f>($C$53*$C$56)*'ESS Jul 2017'!W39/100</f>
        <v>162</v>
      </c>
      <c r="H62" s="183">
        <f t="shared" si="4"/>
        <v>824.43000000000006</v>
      </c>
      <c r="I62" s="202">
        <f t="shared" si="5"/>
        <v>3627.4920000000006</v>
      </c>
    </row>
    <row r="63" spans="1:9" x14ac:dyDescent="0.3">
      <c r="A63" s="179" t="str">
        <f>'ESS Jul 2017'!K40</f>
        <v>Commander</v>
      </c>
      <c r="B63" s="180">
        <f>'ESS Jul 2017'!G40</f>
        <v>41419</v>
      </c>
      <c r="C63" s="181">
        <f>91*'ESS Jul 2017'!M40/100</f>
        <v>142.87909999999999</v>
      </c>
      <c r="D63" s="181">
        <f>($C$53*$C$54)*'ESS Jul 2017'!N40/100</f>
        <v>143.892</v>
      </c>
      <c r="E63" s="181">
        <v>0</v>
      </c>
      <c r="F63" s="181">
        <f>($C$53*$C$55)*'ESS Jul 2017'!AH40/100</f>
        <v>359.73</v>
      </c>
      <c r="G63" s="181">
        <f>($C$53*$C$56)*'ESS Jul 2017'!W40/100</f>
        <v>115.83</v>
      </c>
      <c r="H63" s="183">
        <f t="shared" si="4"/>
        <v>762.33109999999999</v>
      </c>
      <c r="I63" s="202">
        <f t="shared" si="5"/>
        <v>3354.25684</v>
      </c>
    </row>
    <row r="64" spans="1:9" x14ac:dyDescent="0.3">
      <c r="A64" s="179" t="str">
        <f>'ESS Jul 2017'!K41</f>
        <v>CovaU</v>
      </c>
      <c r="B64" s="180">
        <f>'ESS Jul 2017'!G41</f>
        <v>41455</v>
      </c>
      <c r="C64" s="181">
        <f>91*'ESS Jul 2017'!M41/100</f>
        <v>125.58</v>
      </c>
      <c r="D64" s="181">
        <f>($C$53*$C$54)*'ESS Jul 2017'!N41/100</f>
        <v>106.2</v>
      </c>
      <c r="E64" s="181">
        <v>0</v>
      </c>
      <c r="F64" s="181">
        <f>($C$53*$C$55)*'ESS Jul 2017'!AH41/100</f>
        <v>265.5</v>
      </c>
      <c r="G64" s="181">
        <f>($C$53*$C$56)*'ESS Jul 2017'!W41/100</f>
        <v>159.30000000000001</v>
      </c>
      <c r="H64" s="183">
        <f t="shared" si="4"/>
        <v>656.57999999999993</v>
      </c>
      <c r="I64" s="202">
        <f t="shared" si="5"/>
        <v>2888.9519999999998</v>
      </c>
    </row>
    <row r="65" spans="1:9" x14ac:dyDescent="0.3">
      <c r="A65" s="179" t="str">
        <f>'ESS Jul 2017'!K42</f>
        <v>Diamond Energy</v>
      </c>
      <c r="B65" s="180">
        <f>'ESS Jul 2017'!G42</f>
        <v>41455</v>
      </c>
      <c r="C65" s="181">
        <f>91*'ESS Jul 2017'!M42/100</f>
        <v>136.40899999999999</v>
      </c>
      <c r="D65" s="181">
        <f>IF($C$53*$C$54&gt;='ESS Jul 2017'!P42,('ESS Jul 2017'!P42*'ESS Jul 2017'!N42/100),(($C$53*$C$54)*'ESS Jul 2017'!N42/100))</f>
        <v>116.06400000000002</v>
      </c>
      <c r="E65" s="181">
        <f>IF(($C$53*$C$54&lt;'ESS Jul 2017'!P42),(0),($C$53*$C$54-'ESS Jul 2017'!P42)*'ESS Jul 2017'!Q42/100)</f>
        <v>0</v>
      </c>
      <c r="F65" s="181">
        <f>($C$53*$C$55)*'ESS Jul 2017'!AH42/100</f>
        <v>285.48</v>
      </c>
      <c r="G65" s="181">
        <f>($C$53*$C$56)*'ESS Jul 2017'!W42/100</f>
        <v>104.706</v>
      </c>
      <c r="H65" s="183">
        <f t="shared" si="4"/>
        <v>642.65899999999999</v>
      </c>
      <c r="I65" s="202">
        <f t="shared" si="5"/>
        <v>2827.6996000000004</v>
      </c>
    </row>
    <row r="66" spans="1:9" x14ac:dyDescent="0.3">
      <c r="A66" s="179" t="str">
        <f>'ESS Jul 2017'!K43</f>
        <v>Dodo Power &amp; Gas</v>
      </c>
      <c r="B66" s="180">
        <f>'ESS Jul 2017'!G43</f>
        <v>41419</v>
      </c>
      <c r="C66" s="181">
        <f>91*'ESS Jul 2017'!M43/100</f>
        <v>140.595</v>
      </c>
      <c r="D66" s="181">
        <f>($C$53*$C$54)*'ESS Jul 2017'!N43/100</f>
        <v>136.33199999999999</v>
      </c>
      <c r="E66" s="181">
        <v>0</v>
      </c>
      <c r="F66" s="181">
        <f>($C$53*$C$55)*'ESS Jul 2017'!AH43/100</f>
        <v>340.83</v>
      </c>
      <c r="G66" s="181">
        <f>($C$53*$C$56)*'ESS Jul 2017'!W43/100</f>
        <v>106.65</v>
      </c>
      <c r="H66" s="183">
        <f t="shared" si="4"/>
        <v>724.40700000000004</v>
      </c>
      <c r="I66" s="202">
        <f t="shared" si="5"/>
        <v>3187.3908000000006</v>
      </c>
    </row>
    <row r="67" spans="1:9" x14ac:dyDescent="0.3">
      <c r="A67" s="179" t="str">
        <f>'ESS Jul 2017'!K44</f>
        <v>EnergyAustralia</v>
      </c>
      <c r="B67" s="180">
        <f>'ESS Jul 2017'!G44</f>
        <v>41467</v>
      </c>
      <c r="C67" s="181">
        <f>91*'ESS Jul 2017'!M44/100</f>
        <v>131.768</v>
      </c>
      <c r="D67" s="181">
        <f>($C$53*$C$54)*'ESS Jul 2017'!N44/100</f>
        <v>129.852</v>
      </c>
      <c r="E67" s="181">
        <v>0</v>
      </c>
      <c r="F67" s="181">
        <f>($C$53*$C$55)*'ESS Jul 2017'!AH44/100</f>
        <v>304.56000000000006</v>
      </c>
      <c r="G67" s="181">
        <f>($C$53*$C$56)*'ESS Jul 2017'!W44/100</f>
        <v>100.54800000000002</v>
      </c>
      <c r="H67" s="183">
        <f t="shared" si="4"/>
        <v>666.72800000000007</v>
      </c>
      <c r="I67" s="202">
        <f t="shared" si="5"/>
        <v>2933.6032000000005</v>
      </c>
    </row>
    <row r="68" spans="1:9" x14ac:dyDescent="0.3">
      <c r="A68" s="179" t="str">
        <f>'ESS Jul 2017'!K45</f>
        <v>Mojo Power</v>
      </c>
      <c r="B68" s="180">
        <f>'ESS Jul 2017'!G45</f>
        <v>41468</v>
      </c>
      <c r="C68" s="181">
        <f>91*'ESS Jul 2017'!M45/100</f>
        <v>217.9177</v>
      </c>
      <c r="D68" s="181">
        <f>($C$53*$C$54)*'ESS Jul 2017'!N45/100</f>
        <v>114.91200000000001</v>
      </c>
      <c r="E68" s="181">
        <v>0</v>
      </c>
      <c r="F68" s="181">
        <f>($C$53*$C$55)*'ESS Jul 2017'!AH45/100</f>
        <v>263.07</v>
      </c>
      <c r="G68" s="181">
        <f>($C$53*$C$56)*'ESS Jul 2017'!W45/100</f>
        <v>91.151999999999987</v>
      </c>
      <c r="H68" s="183">
        <f t="shared" si="4"/>
        <v>687.05169999999998</v>
      </c>
      <c r="I68" s="202">
        <f t="shared" si="5"/>
        <v>3023.0274800000002</v>
      </c>
    </row>
    <row r="69" spans="1:9" x14ac:dyDescent="0.3">
      <c r="A69" s="179" t="str">
        <f>'ESS Jul 2017'!K46</f>
        <v>Momentum Energy</v>
      </c>
      <c r="B69" s="180">
        <f>'ESS Jul 2017'!G46</f>
        <v>41469</v>
      </c>
      <c r="C69" s="181">
        <f>91*'ESS Jul 2017'!M46/100</f>
        <v>128.583</v>
      </c>
      <c r="D69" s="181">
        <f>IF($C$53*$C$54&gt;='ESS Jul 2017'!P46,('ESS Jul 2017'!P46*'ESS Jul 2017'!N46/100),(($C$53*$C$54)*'ESS Jul 2017'!N46/100))</f>
        <v>128.952</v>
      </c>
      <c r="E69" s="181">
        <f>IF(($C$53*$C$54&lt;'ESS Jul 2017'!P46),(0),($C$53*$C$54-'ESS Jul 2017'!P46)*'ESS Jul 2017'!Q46/100)</f>
        <v>0</v>
      </c>
      <c r="F69" s="181">
        <f>($C$53*$C$55)*'ESS Jul 2017'!AH46/100</f>
        <v>313.47000000000003</v>
      </c>
      <c r="G69" s="181">
        <f>($C$53*$C$56)*'ESS Jul 2017'!W46/100</f>
        <v>104.22</v>
      </c>
      <c r="H69" s="183">
        <f t="shared" si="4"/>
        <v>675.22500000000002</v>
      </c>
      <c r="I69" s="202">
        <f t="shared" si="5"/>
        <v>2970.9900000000002</v>
      </c>
    </row>
    <row r="70" spans="1:9" x14ac:dyDescent="0.3">
      <c r="A70" s="179" t="str">
        <f>'ESS Jul 2017'!K47</f>
        <v>Origin Energy</v>
      </c>
      <c r="B70" s="180">
        <f>'ESS Jul 2017'!G47</f>
        <v>41455</v>
      </c>
      <c r="C70" s="181">
        <f>91*'ESS Jul 2017'!M47/100</f>
        <v>128.31909999999999</v>
      </c>
      <c r="D70" s="181">
        <f>($C$53*$C$54)*'ESS Jul 2017'!N47/100</f>
        <v>126.288</v>
      </c>
      <c r="E70" s="181">
        <v>0</v>
      </c>
      <c r="F70" s="181">
        <f>($C$53*$C$55)*'ESS Jul 2017'!AH47/100</f>
        <v>303.93000000000006</v>
      </c>
      <c r="G70" s="181">
        <f>($C$53*$C$56)*'ESS Jul 2017'!W47/100</f>
        <v>104.76</v>
      </c>
      <c r="H70" s="183">
        <f t="shared" si="4"/>
        <v>663.2971</v>
      </c>
      <c r="I70" s="202">
        <f t="shared" si="5"/>
        <v>2918.5072400000004</v>
      </c>
    </row>
    <row r="71" spans="1:9" x14ac:dyDescent="0.3">
      <c r="A71" s="179" t="str">
        <f>'ESS Jul 2017'!K48</f>
        <v>Powerdirect</v>
      </c>
      <c r="B71" s="180">
        <f>'ESS Jul 2017'!G48</f>
        <v>41455</v>
      </c>
      <c r="C71" s="181">
        <f>91*'ESS Jul 2017'!M48/100</f>
        <v>129.22</v>
      </c>
      <c r="D71" s="181">
        <f>($C$53*$C$54)*'ESS Jul 2017'!N48/100</f>
        <v>129.6</v>
      </c>
      <c r="E71" s="181">
        <v>0</v>
      </c>
      <c r="F71" s="181">
        <f>($C$53*$C$55)*'ESS Jul 2017'!AH48/100</f>
        <v>315</v>
      </c>
      <c r="G71" s="181">
        <f>($C$53*$C$56)*'ESS Jul 2017'!W48/100</f>
        <v>102.6</v>
      </c>
      <c r="H71" s="183">
        <f t="shared" si="4"/>
        <v>676.42</v>
      </c>
      <c r="I71" s="202">
        <f t="shared" si="5"/>
        <v>2976.248</v>
      </c>
    </row>
    <row r="72" spans="1:9" x14ac:dyDescent="0.3">
      <c r="A72" s="179" t="str">
        <f>'ESS Jul 2017'!K49</f>
        <v>Powershop</v>
      </c>
      <c r="B72" s="180">
        <f>'ESS Jul 2017'!G49</f>
        <v>41455</v>
      </c>
      <c r="C72" s="181">
        <f>91*'ESS Jul 2017'!M49/100</f>
        <v>143.55250000000001</v>
      </c>
      <c r="D72" s="181">
        <f>($C$53*$C$54)*'ESS Jul 2017'!N49/100</f>
        <v>116.46</v>
      </c>
      <c r="E72" s="181">
        <v>0</v>
      </c>
      <c r="F72" s="181">
        <f>($C$53*$C$55)*'ESS Jul 2017'!AH49/100</f>
        <v>279.08999999999997</v>
      </c>
      <c r="G72" s="181">
        <f>($C$53*$C$56)*'ESS Jul 2017'!W49/100</f>
        <v>125.01</v>
      </c>
      <c r="H72" s="183">
        <f t="shared" si="4"/>
        <v>664.11249999999995</v>
      </c>
      <c r="I72" s="202">
        <f t="shared" si="5"/>
        <v>2922.0950000000003</v>
      </c>
    </row>
    <row r="73" spans="1:9" x14ac:dyDescent="0.3">
      <c r="A73" s="179" t="str">
        <f>'ESS Jul 2017'!K50</f>
        <v>Red Energy</v>
      </c>
      <c r="B73" s="180">
        <f>'ESS Jul 2017'!G50</f>
        <v>41479</v>
      </c>
      <c r="C73" s="181">
        <f>91*'ESS Jul 2017'!M50/100</f>
        <v>121.5942</v>
      </c>
      <c r="D73" s="181">
        <f>($C$53*$C$54)*'ESS Jul 2017'!N50/100</f>
        <v>124.12799999999999</v>
      </c>
      <c r="E73" s="181">
        <v>0</v>
      </c>
      <c r="F73" s="181">
        <f>($C$53*$C$55)*'ESS Jul 2017'!AH50/100</f>
        <v>293.76</v>
      </c>
      <c r="G73" s="181">
        <f>($C$53*$C$56)*'ESS Jul 2017'!W50/100</f>
        <v>104.11200000000001</v>
      </c>
      <c r="H73" s="183">
        <f t="shared" si="4"/>
        <v>643.59419999999989</v>
      </c>
      <c r="I73" s="202">
        <f t="shared" si="5"/>
        <v>2831.8144799999995</v>
      </c>
    </row>
    <row r="74" spans="1:9" x14ac:dyDescent="0.3">
      <c r="A74" s="179" t="str">
        <f>'ESS Jul 2017'!K51</f>
        <v>Simply Energy</v>
      </c>
      <c r="B74" s="180">
        <f>'ESS Jul 2017'!G51</f>
        <v>41459</v>
      </c>
      <c r="C74" s="181">
        <f>91*'ESS Jul 2017'!M51/100</f>
        <v>104.9776</v>
      </c>
      <c r="D74" s="181">
        <f>($C$53*$C$54)*'ESS Jul 2017'!N51/100</f>
        <v>111.024</v>
      </c>
      <c r="E74" s="181">
        <v>0</v>
      </c>
      <c r="F74" s="181">
        <f>($C$53*$C$55)*'ESS Jul 2017'!AH51/100</f>
        <v>260.73</v>
      </c>
      <c r="G74" s="181">
        <f>($C$53*$C$56)*'ESS Jul 2017'!W51/100</f>
        <v>89.154000000000011</v>
      </c>
      <c r="H74" s="183">
        <f t="shared" si="4"/>
        <v>565.88560000000007</v>
      </c>
      <c r="I74" s="202">
        <f t="shared" si="5"/>
        <v>2489.8966400000004</v>
      </c>
    </row>
    <row r="75" spans="1:9" ht="14" thickBot="1" x14ac:dyDescent="0.35">
      <c r="A75" s="184" t="str">
        <f>'ESS Jul 2017'!K52</f>
        <v>Sanctuary Energy</v>
      </c>
      <c r="B75" s="185">
        <f>'ESS Jul 2017'!G52</f>
        <v>41455</v>
      </c>
      <c r="C75" s="186">
        <f>91*'ESS Jul 2017'!M52/100</f>
        <v>130.592735</v>
      </c>
      <c r="D75" s="186">
        <f>($C$53*$C$54)*'ESS Jul 2017'!N52/100</f>
        <v>143.61660000000001</v>
      </c>
      <c r="E75" s="186">
        <v>0</v>
      </c>
      <c r="F75" s="186">
        <f>($C$53*$C$55)*'ESS Jul 2017'!AH52/100</f>
        <v>359.04150000000004</v>
      </c>
      <c r="G75" s="186">
        <f>($C$53*$C$56)*'ESS Jul 2017'!W52/100</f>
        <v>107.24669999999998</v>
      </c>
      <c r="H75" s="188">
        <f t="shared" si="4"/>
        <v>740.49753499999997</v>
      </c>
      <c r="I75" s="203">
        <f t="shared" si="5"/>
        <v>3258.1891540000001</v>
      </c>
    </row>
    <row r="76" spans="1:9" s="198" customFormat="1" x14ac:dyDescent="0.3"/>
    <row r="77" spans="1:9" s="198" customFormat="1" x14ac:dyDescent="0.3"/>
    <row r="78" spans="1:9" s="198" customFormat="1" x14ac:dyDescent="0.3"/>
    <row r="79" spans="1:9" s="198" customFormat="1" x14ac:dyDescent="0.3"/>
    <row r="80" spans="1:9" s="198" customFormat="1" x14ac:dyDescent="0.3"/>
    <row r="81" s="198" customFormat="1" x14ac:dyDescent="0.3"/>
    <row r="82" s="198" customFormat="1" x14ac:dyDescent="0.3"/>
    <row r="83" s="198" customFormat="1" x14ac:dyDescent="0.3"/>
    <row r="84" s="198" customFormat="1" x14ac:dyDescent="0.3"/>
    <row r="85" s="198" customFormat="1" x14ac:dyDescent="0.3"/>
    <row r="86" s="198" customFormat="1" x14ac:dyDescent="0.3"/>
    <row r="87" s="198" customFormat="1" x14ac:dyDescent="0.3"/>
    <row r="88" s="198" customFormat="1" x14ac:dyDescent="0.3"/>
    <row r="89" s="198" customFormat="1" x14ac:dyDescent="0.3"/>
    <row r="90" s="198" customFormat="1" x14ac:dyDescent="0.3"/>
    <row r="91" s="198" customFormat="1" x14ac:dyDescent="0.3"/>
    <row r="92" s="198" customFormat="1" x14ac:dyDescent="0.3"/>
    <row r="93" s="198" customFormat="1" x14ac:dyDescent="0.3"/>
    <row r="94" s="198" customFormat="1" x14ac:dyDescent="0.3"/>
    <row r="95" s="198" customFormat="1" x14ac:dyDescent="0.3"/>
    <row r="96" s="198" customFormat="1" x14ac:dyDescent="0.3"/>
    <row r="97" s="198" customFormat="1" x14ac:dyDescent="0.3"/>
    <row r="98" s="198" customFormat="1" x14ac:dyDescent="0.3"/>
    <row r="99" s="198" customFormat="1" x14ac:dyDescent="0.3"/>
    <row r="100" s="198" customFormat="1" x14ac:dyDescent="0.3"/>
    <row r="101" s="198" customFormat="1" x14ac:dyDescent="0.3"/>
    <row r="102" s="198" customFormat="1" x14ac:dyDescent="0.3"/>
    <row r="103" s="198" customFormat="1" x14ac:dyDescent="0.3"/>
    <row r="104" s="198" customFormat="1" x14ac:dyDescent="0.3"/>
    <row r="105" s="198" customFormat="1" x14ac:dyDescent="0.3"/>
    <row r="106" s="198" customFormat="1" x14ac:dyDescent="0.3"/>
    <row r="107" s="198" customFormat="1" x14ac:dyDescent="0.3"/>
    <row r="108" s="198" customFormat="1" x14ac:dyDescent="0.3"/>
    <row r="109" s="198" customFormat="1" x14ac:dyDescent="0.3"/>
    <row r="110" s="198" customFormat="1" x14ac:dyDescent="0.3"/>
    <row r="111" s="198" customFormat="1" x14ac:dyDescent="0.3"/>
    <row r="112" s="198" customFormat="1" x14ac:dyDescent="0.3"/>
    <row r="113" s="198" customFormat="1" x14ac:dyDescent="0.3"/>
    <row r="114" s="198" customFormat="1" x14ac:dyDescent="0.3"/>
    <row r="115" s="198" customFormat="1" x14ac:dyDescent="0.3"/>
    <row r="116" s="198" customFormat="1" x14ac:dyDescent="0.3"/>
    <row r="117" s="198" customFormat="1" x14ac:dyDescent="0.3"/>
    <row r="118" s="198" customFormat="1" x14ac:dyDescent="0.3"/>
    <row r="119" s="198" customFormat="1" x14ac:dyDescent="0.3"/>
    <row r="120" s="198" customFormat="1" x14ac:dyDescent="0.3"/>
    <row r="121" s="198" customFormat="1" x14ac:dyDescent="0.3"/>
    <row r="122" s="198" customFormat="1" x14ac:dyDescent="0.3"/>
    <row r="123" s="198" customFormat="1" x14ac:dyDescent="0.3"/>
    <row r="124" s="198" customFormat="1" x14ac:dyDescent="0.3"/>
    <row r="125" s="198" customFormat="1" x14ac:dyDescent="0.3"/>
    <row r="126" s="198" customFormat="1" x14ac:dyDescent="0.3"/>
    <row r="127" s="198" customFormat="1" x14ac:dyDescent="0.3"/>
    <row r="128" s="198" customFormat="1" x14ac:dyDescent="0.3"/>
    <row r="129" s="198" customFormat="1" x14ac:dyDescent="0.3"/>
    <row r="130" s="198" customFormat="1" x14ac:dyDescent="0.3"/>
    <row r="131" s="198" customFormat="1" x14ac:dyDescent="0.3"/>
    <row r="132" s="198" customFormat="1" x14ac:dyDescent="0.3"/>
    <row r="133" s="198" customFormat="1" x14ac:dyDescent="0.3"/>
    <row r="134" s="198" customFormat="1" x14ac:dyDescent="0.3"/>
    <row r="135" s="198" customFormat="1" x14ac:dyDescent="0.3"/>
    <row r="136" s="198" customFormat="1" x14ac:dyDescent="0.3"/>
    <row r="137" s="198" customFormat="1" x14ac:dyDescent="0.3"/>
    <row r="138" s="198" customFormat="1" x14ac:dyDescent="0.3"/>
    <row r="139" s="198" customFormat="1" x14ac:dyDescent="0.3"/>
    <row r="140" s="198" customFormat="1" x14ac:dyDescent="0.3"/>
    <row r="141" s="198" customFormat="1" x14ac:dyDescent="0.3"/>
    <row r="142" s="198" customFormat="1" x14ac:dyDescent="0.3"/>
    <row r="143" s="198" customFormat="1" x14ac:dyDescent="0.3"/>
    <row r="144" s="198" customFormat="1" x14ac:dyDescent="0.3"/>
    <row r="145" s="198" customFormat="1" x14ac:dyDescent="0.3"/>
    <row r="146" s="198" customFormat="1" x14ac:dyDescent="0.3"/>
    <row r="147" s="198" customFormat="1" x14ac:dyDescent="0.3"/>
    <row r="148" s="198" customFormat="1" x14ac:dyDescent="0.3"/>
    <row r="149" s="198" customFormat="1" x14ac:dyDescent="0.3"/>
    <row r="150" s="198" customFormat="1" x14ac:dyDescent="0.3"/>
    <row r="151" s="198" customFormat="1" x14ac:dyDescent="0.3"/>
    <row r="152" s="198" customFormat="1" x14ac:dyDescent="0.3"/>
    <row r="153" s="198" customFormat="1" x14ac:dyDescent="0.3"/>
    <row r="154" s="198" customFormat="1" x14ac:dyDescent="0.3"/>
    <row r="155" s="198" customFormat="1" x14ac:dyDescent="0.3"/>
    <row r="156" s="198" customFormat="1" x14ac:dyDescent="0.3"/>
    <row r="157" s="198" customFormat="1" x14ac:dyDescent="0.3"/>
    <row r="158" s="198" customFormat="1" x14ac:dyDescent="0.3"/>
    <row r="159" s="198" customFormat="1" x14ac:dyDescent="0.3"/>
    <row r="160" s="198" customFormat="1" x14ac:dyDescent="0.3"/>
    <row r="161" s="198" customFormat="1" x14ac:dyDescent="0.3"/>
    <row r="162" s="198" customFormat="1" x14ac:dyDescent="0.3"/>
    <row r="163" s="198" customFormat="1" x14ac:dyDescent="0.3"/>
    <row r="164" s="198" customFormat="1" x14ac:dyDescent="0.3"/>
    <row r="165" s="198" customFormat="1" x14ac:dyDescent="0.3"/>
    <row r="166" s="198" customFormat="1" x14ac:dyDescent="0.3"/>
    <row r="167" s="198" customFormat="1" x14ac:dyDescent="0.3"/>
    <row r="168" s="198" customFormat="1" x14ac:dyDescent="0.3"/>
    <row r="169" s="198" customFormat="1" x14ac:dyDescent="0.3"/>
    <row r="170" s="198" customFormat="1" x14ac:dyDescent="0.3"/>
    <row r="171" s="198" customFormat="1" x14ac:dyDescent="0.3"/>
    <row r="172" s="198" customFormat="1" x14ac:dyDescent="0.3"/>
    <row r="173" s="198" customFormat="1" x14ac:dyDescent="0.3"/>
    <row r="174" s="198" customFormat="1" x14ac:dyDescent="0.3"/>
    <row r="175" s="198" customFormat="1" x14ac:dyDescent="0.3"/>
    <row r="176" s="198" customFormat="1" x14ac:dyDescent="0.3"/>
    <row r="177" s="198" customFormat="1" x14ac:dyDescent="0.3"/>
    <row r="178" s="198" customFormat="1" x14ac:dyDescent="0.3"/>
    <row r="179" s="198" customFormat="1" x14ac:dyDescent="0.3"/>
    <row r="180" s="198" customFormat="1" x14ac:dyDescent="0.3"/>
    <row r="181" s="198" customFormat="1" x14ac:dyDescent="0.3"/>
    <row r="182" s="198" customFormat="1" x14ac:dyDescent="0.3"/>
    <row r="183" s="198" customFormat="1" x14ac:dyDescent="0.3"/>
    <row r="184" s="198" customFormat="1" x14ac:dyDescent="0.3"/>
    <row r="185" s="198" customFormat="1" x14ac:dyDescent="0.3"/>
    <row r="186" s="198" customFormat="1" x14ac:dyDescent="0.3"/>
    <row r="187" s="198" customFormat="1" x14ac:dyDescent="0.3"/>
    <row r="188" s="198" customFormat="1" x14ac:dyDescent="0.3"/>
    <row r="189" s="198" customFormat="1" x14ac:dyDescent="0.3"/>
    <row r="190" s="198" customFormat="1" x14ac:dyDescent="0.3"/>
    <row r="191" s="198" customFormat="1" x14ac:dyDescent="0.3"/>
    <row r="192" s="198" customFormat="1" x14ac:dyDescent="0.3"/>
    <row r="193" s="198" customFormat="1" x14ac:dyDescent="0.3"/>
    <row r="194" s="198" customFormat="1" x14ac:dyDescent="0.3"/>
    <row r="195" s="198" customFormat="1" x14ac:dyDescent="0.3"/>
    <row r="196" s="198" customFormat="1" x14ac:dyDescent="0.3"/>
    <row r="197" s="198" customFormat="1" x14ac:dyDescent="0.3"/>
    <row r="198" s="198" customFormat="1" x14ac:dyDescent="0.3"/>
    <row r="199" s="198" customFormat="1" x14ac:dyDescent="0.3"/>
    <row r="200" s="198" customFormat="1" x14ac:dyDescent="0.3"/>
    <row r="201" s="198" customFormat="1" x14ac:dyDescent="0.3"/>
    <row r="202" s="198" customFormat="1" x14ac:dyDescent="0.3"/>
    <row r="203" s="198" customFormat="1" x14ac:dyDescent="0.3"/>
    <row r="204" s="198" customFormat="1" x14ac:dyDescent="0.3"/>
    <row r="205" s="198" customFormat="1" x14ac:dyDescent="0.3"/>
    <row r="206" s="198" customFormat="1" x14ac:dyDescent="0.3"/>
    <row r="207" s="198" customFormat="1" x14ac:dyDescent="0.3"/>
    <row r="208" s="198" customFormat="1" x14ac:dyDescent="0.3"/>
    <row r="209" s="198" customFormat="1" x14ac:dyDescent="0.3"/>
    <row r="210" s="198" customFormat="1" x14ac:dyDescent="0.3"/>
    <row r="211" s="198" customFormat="1" x14ac:dyDescent="0.3"/>
    <row r="212" s="198" customFormat="1" x14ac:dyDescent="0.3"/>
    <row r="213" s="198" customFormat="1" x14ac:dyDescent="0.3"/>
    <row r="214" s="198" customFormat="1" x14ac:dyDescent="0.3"/>
    <row r="215" s="198" customFormat="1" x14ac:dyDescent="0.3"/>
    <row r="216" s="198" customFormat="1" x14ac:dyDescent="0.3"/>
    <row r="217" s="198" customFormat="1" x14ac:dyDescent="0.3"/>
    <row r="218" s="198" customFormat="1" x14ac:dyDescent="0.3"/>
    <row r="219" s="198" customFormat="1" x14ac:dyDescent="0.3"/>
    <row r="220" s="198" customFormat="1" x14ac:dyDescent="0.3"/>
    <row r="221" s="198" customFormat="1" x14ac:dyDescent="0.3"/>
    <row r="222" s="198" customFormat="1" x14ac:dyDescent="0.3"/>
    <row r="223" s="198" customFormat="1" x14ac:dyDescent="0.3"/>
    <row r="224" s="198" customFormat="1" x14ac:dyDescent="0.3"/>
    <row r="225" s="198" customFormat="1" x14ac:dyDescent="0.3"/>
    <row r="226" s="198" customFormat="1" x14ac:dyDescent="0.3"/>
    <row r="227" s="198" customFormat="1" x14ac:dyDescent="0.3"/>
    <row r="228" s="198" customFormat="1" x14ac:dyDescent="0.3"/>
    <row r="229" s="198" customFormat="1" x14ac:dyDescent="0.3"/>
    <row r="230" s="198" customFormat="1" x14ac:dyDescent="0.3"/>
    <row r="231" s="198" customFormat="1" x14ac:dyDescent="0.3"/>
    <row r="232" s="198" customFormat="1" x14ac:dyDescent="0.3"/>
    <row r="233" s="198" customFormat="1" x14ac:dyDescent="0.3"/>
    <row r="234" s="198" customFormat="1" x14ac:dyDescent="0.3"/>
    <row r="235" s="198" customFormat="1" x14ac:dyDescent="0.3"/>
    <row r="236" s="198" customFormat="1" x14ac:dyDescent="0.3"/>
    <row r="237" s="198" customFormat="1" x14ac:dyDescent="0.3"/>
    <row r="238" s="198" customFormat="1" x14ac:dyDescent="0.3"/>
    <row r="239" s="198" customFormat="1" x14ac:dyDescent="0.3"/>
    <row r="240" s="198" customFormat="1" x14ac:dyDescent="0.3"/>
    <row r="241" s="198" customFormat="1" x14ac:dyDescent="0.3"/>
    <row r="242" s="198" customFormat="1" x14ac:dyDescent="0.3"/>
    <row r="243" s="198" customFormat="1" x14ac:dyDescent="0.3"/>
    <row r="244" s="198" customFormat="1" x14ac:dyDescent="0.3"/>
    <row r="245" s="198" customFormat="1" x14ac:dyDescent="0.3"/>
    <row r="246" s="198" customFormat="1" x14ac:dyDescent="0.3"/>
    <row r="247" s="198" customFormat="1" x14ac:dyDescent="0.3"/>
    <row r="248" s="198" customFormat="1" x14ac:dyDescent="0.3"/>
    <row r="249" s="198" customFormat="1" x14ac:dyDescent="0.3"/>
    <row r="250" s="198" customFormat="1" x14ac:dyDescent="0.3"/>
    <row r="251" s="198" customFormat="1" x14ac:dyDescent="0.3"/>
    <row r="252" s="198" customFormat="1" x14ac:dyDescent="0.3"/>
    <row r="253" s="198" customFormat="1" x14ac:dyDescent="0.3"/>
    <row r="254" s="198" customFormat="1" x14ac:dyDescent="0.3"/>
    <row r="255" s="198" customFormat="1" x14ac:dyDescent="0.3"/>
    <row r="256" s="198" customFormat="1" x14ac:dyDescent="0.3"/>
    <row r="257" s="198" customFormat="1" x14ac:dyDescent="0.3"/>
    <row r="258" s="198" customFormat="1" x14ac:dyDescent="0.3"/>
    <row r="259" s="198" customFormat="1" x14ac:dyDescent="0.3"/>
    <row r="260" s="198" customFormat="1" x14ac:dyDescent="0.3"/>
    <row r="261" s="198" customFormat="1" x14ac:dyDescent="0.3"/>
    <row r="262" s="198" customFormat="1" x14ac:dyDescent="0.3"/>
    <row r="263" s="198" customFormat="1" x14ac:dyDescent="0.3"/>
    <row r="264" s="198" customFormat="1" x14ac:dyDescent="0.3"/>
    <row r="265" s="198" customFormat="1" x14ac:dyDescent="0.3"/>
    <row r="266" s="198" customFormat="1" x14ac:dyDescent="0.3"/>
    <row r="267" s="198" customFormat="1" x14ac:dyDescent="0.3"/>
    <row r="268" s="198" customFormat="1" x14ac:dyDescent="0.3"/>
    <row r="269" s="198" customFormat="1" x14ac:dyDescent="0.3"/>
    <row r="270" s="198" customFormat="1" x14ac:dyDescent="0.3"/>
    <row r="271" s="198" customFormat="1" x14ac:dyDescent="0.3"/>
    <row r="272" s="198" customFormat="1" x14ac:dyDescent="0.3"/>
    <row r="273" s="198" customFormat="1" x14ac:dyDescent="0.3"/>
    <row r="274" s="198" customFormat="1" x14ac:dyDescent="0.3"/>
    <row r="275" s="198" customFormat="1" x14ac:dyDescent="0.3"/>
    <row r="276" s="198" customFormat="1" x14ac:dyDescent="0.3"/>
    <row r="277" s="198" customFormat="1" x14ac:dyDescent="0.3"/>
    <row r="278" s="198" customFormat="1" x14ac:dyDescent="0.3"/>
    <row r="279" s="198" customFormat="1" x14ac:dyDescent="0.3"/>
    <row r="280" s="198" customFormat="1" x14ac:dyDescent="0.3"/>
    <row r="281" s="198" customFormat="1" x14ac:dyDescent="0.3"/>
    <row r="282" s="198" customFormat="1" x14ac:dyDescent="0.3"/>
    <row r="283" s="198" customFormat="1" x14ac:dyDescent="0.3"/>
    <row r="284" s="198" customFormat="1" x14ac:dyDescent="0.3"/>
    <row r="285" s="198" customFormat="1" x14ac:dyDescent="0.3"/>
    <row r="286" s="198" customFormat="1" x14ac:dyDescent="0.3"/>
    <row r="287" s="198" customFormat="1" x14ac:dyDescent="0.3"/>
    <row r="288" s="198" customFormat="1" x14ac:dyDescent="0.3"/>
    <row r="289" s="198" customFormat="1" x14ac:dyDescent="0.3"/>
    <row r="290" s="198" customFormat="1" x14ac:dyDescent="0.3"/>
    <row r="291" s="198" customFormat="1" x14ac:dyDescent="0.3"/>
    <row r="292" s="198" customFormat="1" x14ac:dyDescent="0.3"/>
    <row r="293" s="198" customFormat="1" x14ac:dyDescent="0.3"/>
    <row r="294" s="198" customFormat="1" x14ac:dyDescent="0.3"/>
    <row r="295" s="198" customFormat="1" x14ac:dyDescent="0.3"/>
    <row r="296" s="198" customFormat="1" x14ac:dyDescent="0.3"/>
    <row r="297" s="198" customFormat="1" x14ac:dyDescent="0.3"/>
    <row r="298" s="198" customFormat="1" x14ac:dyDescent="0.3"/>
    <row r="299" s="198" customFormat="1" x14ac:dyDescent="0.3"/>
    <row r="300" s="198" customFormat="1" x14ac:dyDescent="0.3"/>
    <row r="301" s="198" customFormat="1" x14ac:dyDescent="0.3"/>
    <row r="302" s="198" customFormat="1" x14ac:dyDescent="0.3"/>
    <row r="303" s="198" customFormat="1" x14ac:dyDescent="0.3"/>
    <row r="304" s="198" customFormat="1" x14ac:dyDescent="0.3"/>
    <row r="305" s="198" customFormat="1" x14ac:dyDescent="0.3"/>
    <row r="306" s="198" customFormat="1" x14ac:dyDescent="0.3"/>
    <row r="307" s="198" customFormat="1" x14ac:dyDescent="0.3"/>
    <row r="308" s="198" customFormat="1" x14ac:dyDescent="0.3"/>
    <row r="309" s="198" customFormat="1" x14ac:dyDescent="0.3"/>
    <row r="310" s="198" customFormat="1" x14ac:dyDescent="0.3"/>
    <row r="311" s="198" customFormat="1" x14ac:dyDescent="0.3"/>
    <row r="312" s="198" customFormat="1" x14ac:dyDescent="0.3"/>
    <row r="313" s="198" customFormat="1" x14ac:dyDescent="0.3"/>
    <row r="314" s="198" customFormat="1" x14ac:dyDescent="0.3"/>
    <row r="315" s="198" customFormat="1" x14ac:dyDescent="0.3"/>
    <row r="316" s="198" customFormat="1" x14ac:dyDescent="0.3"/>
    <row r="317" s="198" customFormat="1" x14ac:dyDescent="0.3"/>
    <row r="318" s="198" customFormat="1" x14ac:dyDescent="0.3"/>
    <row r="319" s="198" customFormat="1" x14ac:dyDescent="0.3"/>
    <row r="320" s="198" customFormat="1" x14ac:dyDescent="0.3"/>
    <row r="321" s="198" customFormat="1" x14ac:dyDescent="0.3"/>
    <row r="322" s="198" customFormat="1" x14ac:dyDescent="0.3"/>
    <row r="323" s="198" customFormat="1" x14ac:dyDescent="0.3"/>
    <row r="324" s="198" customFormat="1" x14ac:dyDescent="0.3"/>
    <row r="325" s="198" customFormat="1" x14ac:dyDescent="0.3"/>
    <row r="326" s="198" customFormat="1" x14ac:dyDescent="0.3"/>
    <row r="327" s="198" customFormat="1" x14ac:dyDescent="0.3"/>
    <row r="328" s="198" customFormat="1" x14ac:dyDescent="0.3"/>
    <row r="329" s="198" customFormat="1" x14ac:dyDescent="0.3"/>
    <row r="330" s="198" customFormat="1" x14ac:dyDescent="0.3"/>
    <row r="331" s="198" customFormat="1" x14ac:dyDescent="0.3"/>
    <row r="332" s="198" customFormat="1" x14ac:dyDescent="0.3"/>
    <row r="333" s="198" customFormat="1" x14ac:dyDescent="0.3"/>
    <row r="334" s="198" customFormat="1" x14ac:dyDescent="0.3"/>
    <row r="335" s="198" customFormat="1" x14ac:dyDescent="0.3"/>
    <row r="336" s="198" customFormat="1" x14ac:dyDescent="0.3"/>
    <row r="337" s="198" customFormat="1" x14ac:dyDescent="0.3"/>
    <row r="338" s="198" customFormat="1" x14ac:dyDescent="0.3"/>
    <row r="339" s="198" customFormat="1" x14ac:dyDescent="0.3"/>
    <row r="340" s="198" customFormat="1" x14ac:dyDescent="0.3"/>
    <row r="341" s="198" customFormat="1" x14ac:dyDescent="0.3"/>
    <row r="342" s="198" customFormat="1" x14ac:dyDescent="0.3"/>
    <row r="343" s="198" customFormat="1" x14ac:dyDescent="0.3"/>
    <row r="344" s="198" customFormat="1" x14ac:dyDescent="0.3"/>
    <row r="345" s="198" customFormat="1" x14ac:dyDescent="0.3"/>
    <row r="346" s="198" customFormat="1" x14ac:dyDescent="0.3"/>
    <row r="347" s="198" customFormat="1" x14ac:dyDescent="0.3"/>
    <row r="348" s="198" customFormat="1" x14ac:dyDescent="0.3"/>
    <row r="349" s="198" customFormat="1" x14ac:dyDescent="0.3"/>
    <row r="350" s="198" customFormat="1" x14ac:dyDescent="0.3"/>
    <row r="351" s="198" customFormat="1" x14ac:dyDescent="0.3"/>
    <row r="352" s="198" customFormat="1" x14ac:dyDescent="0.3"/>
    <row r="353" spans="10:164" s="198" customFormat="1" x14ac:dyDescent="0.3"/>
    <row r="354" spans="10:164" s="173" customFormat="1" x14ac:dyDescent="0.3">
      <c r="J354" s="198"/>
      <c r="K354" s="198"/>
      <c r="L354" s="198"/>
      <c r="M354" s="198"/>
      <c r="N354" s="198"/>
      <c r="O354" s="198"/>
      <c r="P354" s="198"/>
      <c r="Q354" s="198"/>
      <c r="R354" s="198"/>
      <c r="S354" s="198"/>
      <c r="T354" s="198"/>
      <c r="U354" s="198"/>
      <c r="V354" s="198"/>
      <c r="W354" s="198"/>
      <c r="X354" s="198"/>
      <c r="Y354" s="198"/>
      <c r="Z354" s="198"/>
      <c r="AA354" s="198"/>
      <c r="AB354" s="198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198"/>
      <c r="AQ354" s="198"/>
      <c r="AR354" s="198"/>
      <c r="AS354" s="198"/>
      <c r="AT354" s="198"/>
      <c r="AU354" s="198"/>
      <c r="AV354" s="198"/>
      <c r="AW354" s="198"/>
      <c r="AX354" s="198"/>
      <c r="AY354" s="198"/>
      <c r="AZ354" s="198"/>
      <c r="BA354" s="198"/>
      <c r="BB354" s="198"/>
      <c r="BC354" s="198"/>
      <c r="BD354" s="198"/>
      <c r="BE354" s="198"/>
      <c r="BF354" s="198"/>
      <c r="BG354" s="198"/>
      <c r="BH354" s="198"/>
      <c r="BI354" s="198"/>
      <c r="BJ354" s="198"/>
      <c r="BK354" s="198"/>
      <c r="BL354" s="198"/>
      <c r="BM354" s="198"/>
      <c r="BN354" s="198"/>
      <c r="BO354" s="198"/>
      <c r="BP354" s="198"/>
      <c r="BQ354" s="198"/>
      <c r="BR354" s="198"/>
      <c r="BS354" s="198"/>
      <c r="BT354" s="198"/>
      <c r="BU354" s="198"/>
      <c r="BV354" s="198"/>
      <c r="BW354" s="198"/>
      <c r="BX354" s="198"/>
      <c r="BY354" s="198"/>
      <c r="BZ354" s="198"/>
      <c r="CA354" s="198"/>
      <c r="CB354" s="198"/>
      <c r="CC354" s="198"/>
      <c r="CD354" s="198"/>
      <c r="CE354" s="198"/>
      <c r="CF354" s="198"/>
      <c r="CG354" s="198"/>
      <c r="CH354" s="198"/>
      <c r="CI354" s="198"/>
      <c r="CJ354" s="198"/>
      <c r="CK354" s="198"/>
      <c r="CL354" s="198"/>
      <c r="CM354" s="198"/>
      <c r="CN354" s="198"/>
      <c r="CO354" s="198"/>
      <c r="CP354" s="198"/>
      <c r="CQ354" s="198"/>
      <c r="CR354" s="198"/>
      <c r="CS354" s="198"/>
      <c r="CT354" s="198"/>
      <c r="CU354" s="198"/>
      <c r="CV354" s="198"/>
      <c r="CW354" s="198"/>
      <c r="CX354" s="198"/>
      <c r="CY354" s="198"/>
      <c r="CZ354" s="198"/>
      <c r="DA354" s="198"/>
      <c r="DB354" s="198"/>
      <c r="DC354" s="198"/>
      <c r="DD354" s="198"/>
      <c r="DE354" s="198"/>
      <c r="DF354" s="198"/>
      <c r="DG354" s="198"/>
      <c r="DH354" s="198"/>
      <c r="DI354" s="198"/>
      <c r="DJ354" s="198"/>
      <c r="DK354" s="198"/>
      <c r="DL354" s="198"/>
      <c r="DM354" s="198"/>
      <c r="DN354" s="198"/>
      <c r="DO354" s="198"/>
      <c r="DP354" s="198"/>
      <c r="DQ354" s="198"/>
      <c r="DR354" s="198"/>
      <c r="DS354" s="198"/>
      <c r="DT354" s="198"/>
      <c r="DU354" s="198"/>
      <c r="DV354" s="198"/>
      <c r="DW354" s="198"/>
      <c r="DX354" s="198"/>
      <c r="DY354" s="198"/>
      <c r="DZ354" s="198"/>
      <c r="EA354" s="198"/>
      <c r="EB354" s="198"/>
      <c r="EC354" s="198"/>
      <c r="ED354" s="198"/>
      <c r="EE354" s="198"/>
      <c r="EF354" s="198"/>
      <c r="EG354" s="198"/>
      <c r="EH354" s="198"/>
      <c r="EI354" s="198"/>
      <c r="EJ354" s="198"/>
      <c r="EK354" s="198"/>
      <c r="EL354" s="198"/>
      <c r="EM354" s="198"/>
      <c r="EN354" s="198"/>
      <c r="EO354" s="198"/>
      <c r="EP354" s="198"/>
      <c r="EQ354" s="198"/>
      <c r="ER354" s="198"/>
      <c r="ES354" s="198"/>
      <c r="ET354" s="198"/>
      <c r="EU354" s="198"/>
      <c r="EV354" s="198"/>
      <c r="EW354" s="198"/>
      <c r="EX354" s="198"/>
      <c r="EY354" s="198"/>
      <c r="EZ354" s="198"/>
      <c r="FA354" s="198"/>
      <c r="FB354" s="198"/>
      <c r="FC354" s="198"/>
      <c r="FD354" s="198"/>
      <c r="FE354" s="198"/>
      <c r="FF354" s="198"/>
      <c r="FG354" s="198"/>
      <c r="FH354" s="198"/>
    </row>
    <row r="355" spans="10:164" s="173" customFormat="1" x14ac:dyDescent="0.3">
      <c r="J355" s="198"/>
      <c r="K355" s="198"/>
      <c r="L355" s="198"/>
      <c r="M355" s="198"/>
      <c r="N355" s="198"/>
      <c r="O355" s="198"/>
      <c r="P355" s="198"/>
      <c r="Q355" s="198"/>
      <c r="R355" s="198"/>
      <c r="S355" s="198"/>
      <c r="T355" s="198"/>
      <c r="U355" s="198"/>
      <c r="V355" s="198"/>
      <c r="W355" s="198"/>
      <c r="X355" s="198"/>
      <c r="Y355" s="198"/>
      <c r="Z355" s="198"/>
      <c r="AA355" s="198"/>
      <c r="AB355" s="198"/>
      <c r="AC355" s="198"/>
      <c r="AD355" s="198"/>
      <c r="AE355" s="198"/>
      <c r="AF355" s="198"/>
      <c r="AG355" s="198"/>
      <c r="AH355" s="198"/>
      <c r="AI355" s="198"/>
      <c r="AJ355" s="198"/>
      <c r="AK355" s="198"/>
      <c r="AL355" s="198"/>
      <c r="AM355" s="198"/>
      <c r="AN355" s="198"/>
      <c r="AO355" s="198"/>
      <c r="AP355" s="198"/>
      <c r="AQ355" s="198"/>
      <c r="AR355" s="198"/>
      <c r="AS355" s="198"/>
      <c r="AT355" s="198"/>
      <c r="AU355" s="198"/>
      <c r="AV355" s="198"/>
      <c r="AW355" s="198"/>
      <c r="AX355" s="198"/>
      <c r="AY355" s="198"/>
      <c r="AZ355" s="198"/>
      <c r="BA355" s="198"/>
      <c r="BB355" s="198"/>
      <c r="BC355" s="198"/>
      <c r="BD355" s="198"/>
      <c r="BE355" s="198"/>
      <c r="BF355" s="198"/>
      <c r="BG355" s="198"/>
      <c r="BH355" s="198"/>
      <c r="BI355" s="198"/>
      <c r="BJ355" s="198"/>
      <c r="BK355" s="198"/>
      <c r="BL355" s="198"/>
      <c r="BM355" s="198"/>
      <c r="BN355" s="198"/>
      <c r="BO355" s="198"/>
      <c r="BP355" s="198"/>
      <c r="BQ355" s="198"/>
      <c r="BR355" s="198"/>
      <c r="BS355" s="198"/>
      <c r="BT355" s="198"/>
      <c r="BU355" s="198"/>
      <c r="BV355" s="198"/>
      <c r="BW355" s="198"/>
      <c r="BX355" s="198"/>
      <c r="BY355" s="198"/>
      <c r="BZ355" s="198"/>
      <c r="CA355" s="198"/>
      <c r="CB355" s="198"/>
      <c r="CC355" s="198"/>
      <c r="CD355" s="198"/>
      <c r="CE355" s="198"/>
      <c r="CF355" s="198"/>
      <c r="CG355" s="198"/>
      <c r="CH355" s="198"/>
      <c r="CI355" s="198"/>
      <c r="CJ355" s="198"/>
      <c r="CK355" s="198"/>
      <c r="CL355" s="198"/>
      <c r="CM355" s="198"/>
      <c r="CN355" s="198"/>
      <c r="CO355" s="198"/>
      <c r="CP355" s="198"/>
      <c r="CQ355" s="198"/>
      <c r="CR355" s="198"/>
      <c r="CS355" s="198"/>
      <c r="CT355" s="198"/>
      <c r="CU355" s="198"/>
      <c r="CV355" s="198"/>
      <c r="CW355" s="198"/>
      <c r="CX355" s="198"/>
      <c r="CY355" s="198"/>
      <c r="CZ355" s="198"/>
      <c r="DA355" s="198"/>
      <c r="DB355" s="198"/>
      <c r="DC355" s="198"/>
      <c r="DD355" s="198"/>
      <c r="DE355" s="198"/>
      <c r="DF355" s="198"/>
      <c r="DG355" s="198"/>
      <c r="DH355" s="198"/>
      <c r="DI355" s="198"/>
      <c r="DJ355" s="198"/>
      <c r="DK355" s="198"/>
      <c r="DL355" s="198"/>
      <c r="DM355" s="198"/>
      <c r="DN355" s="198"/>
      <c r="DO355" s="198"/>
      <c r="DP355" s="198"/>
      <c r="DQ355" s="198"/>
      <c r="DR355" s="198"/>
      <c r="DS355" s="198"/>
      <c r="DT355" s="198"/>
      <c r="DU355" s="198"/>
      <c r="DV355" s="198"/>
      <c r="DW355" s="198"/>
      <c r="DX355" s="198"/>
      <c r="DY355" s="198"/>
      <c r="DZ355" s="198"/>
      <c r="EA355" s="198"/>
      <c r="EB355" s="198"/>
      <c r="EC355" s="198"/>
      <c r="ED355" s="198"/>
      <c r="EE355" s="198"/>
      <c r="EF355" s="198"/>
      <c r="EG355" s="198"/>
      <c r="EH355" s="198"/>
      <c r="EI355" s="198"/>
      <c r="EJ355" s="198"/>
      <c r="EK355" s="198"/>
      <c r="EL355" s="198"/>
      <c r="EM355" s="198"/>
      <c r="EN355" s="198"/>
      <c r="EO355" s="198"/>
      <c r="EP355" s="198"/>
      <c r="EQ355" s="198"/>
      <c r="ER355" s="198"/>
      <c r="ES355" s="198"/>
      <c r="ET355" s="198"/>
      <c r="EU355" s="198"/>
      <c r="EV355" s="198"/>
      <c r="EW355" s="198"/>
      <c r="EX355" s="198"/>
      <c r="EY355" s="198"/>
      <c r="EZ355" s="198"/>
      <c r="FA355" s="198"/>
      <c r="FB355" s="198"/>
      <c r="FC355" s="198"/>
      <c r="FD355" s="198"/>
      <c r="FE355" s="198"/>
      <c r="FF355" s="198"/>
      <c r="FG355" s="198"/>
      <c r="FH355" s="198"/>
    </row>
    <row r="356" spans="10:164" s="173" customFormat="1" x14ac:dyDescent="0.3">
      <c r="J356" s="198"/>
      <c r="K356" s="198"/>
      <c r="L356" s="198"/>
      <c r="M356" s="198"/>
      <c r="N356" s="198"/>
      <c r="O356" s="198"/>
      <c r="P356" s="198"/>
      <c r="Q356" s="198"/>
      <c r="R356" s="198"/>
      <c r="S356" s="198"/>
      <c r="T356" s="198"/>
      <c r="U356" s="198"/>
      <c r="V356" s="198"/>
      <c r="W356" s="198"/>
      <c r="X356" s="198"/>
      <c r="Y356" s="198"/>
      <c r="Z356" s="198"/>
      <c r="AA356" s="198"/>
      <c r="AB356" s="198"/>
      <c r="AC356" s="198"/>
      <c r="AD356" s="198"/>
      <c r="AE356" s="198"/>
      <c r="AF356" s="198"/>
      <c r="AG356" s="198"/>
      <c r="AH356" s="198"/>
      <c r="AI356" s="198"/>
      <c r="AJ356" s="198"/>
      <c r="AK356" s="198"/>
      <c r="AL356" s="198"/>
      <c r="AM356" s="198"/>
      <c r="AN356" s="198"/>
      <c r="AO356" s="198"/>
      <c r="AP356" s="198"/>
      <c r="AQ356" s="198"/>
      <c r="AR356" s="198"/>
      <c r="AS356" s="198"/>
      <c r="AT356" s="198"/>
      <c r="AU356" s="198"/>
      <c r="AV356" s="198"/>
      <c r="AW356" s="198"/>
      <c r="AX356" s="198"/>
      <c r="AY356" s="198"/>
      <c r="AZ356" s="198"/>
      <c r="BA356" s="198"/>
      <c r="BB356" s="198"/>
      <c r="BC356" s="198"/>
      <c r="BD356" s="198"/>
      <c r="BE356" s="198"/>
      <c r="BF356" s="198"/>
      <c r="BG356" s="198"/>
      <c r="BH356" s="198"/>
      <c r="BI356" s="198"/>
      <c r="BJ356" s="198"/>
      <c r="BK356" s="198"/>
      <c r="BL356" s="198"/>
      <c r="BM356" s="198"/>
      <c r="BN356" s="198"/>
      <c r="BO356" s="198"/>
      <c r="BP356" s="198"/>
      <c r="BQ356" s="198"/>
      <c r="BR356" s="198"/>
      <c r="BS356" s="198"/>
      <c r="BT356" s="198"/>
      <c r="BU356" s="198"/>
      <c r="BV356" s="198"/>
      <c r="BW356" s="198"/>
      <c r="BX356" s="198"/>
      <c r="BY356" s="198"/>
      <c r="BZ356" s="198"/>
      <c r="CA356" s="198"/>
      <c r="CB356" s="198"/>
      <c r="CC356" s="198"/>
      <c r="CD356" s="198"/>
      <c r="CE356" s="198"/>
      <c r="CF356" s="198"/>
      <c r="CG356" s="198"/>
      <c r="CH356" s="198"/>
      <c r="CI356" s="198"/>
      <c r="CJ356" s="198"/>
      <c r="CK356" s="198"/>
      <c r="CL356" s="198"/>
      <c r="CM356" s="198"/>
      <c r="CN356" s="198"/>
      <c r="CO356" s="198"/>
      <c r="CP356" s="198"/>
      <c r="CQ356" s="198"/>
      <c r="CR356" s="198"/>
      <c r="CS356" s="198"/>
      <c r="CT356" s="198"/>
      <c r="CU356" s="198"/>
      <c r="CV356" s="198"/>
      <c r="CW356" s="198"/>
      <c r="CX356" s="198"/>
      <c r="CY356" s="198"/>
      <c r="CZ356" s="198"/>
      <c r="DA356" s="198"/>
      <c r="DB356" s="198"/>
      <c r="DC356" s="198"/>
      <c r="DD356" s="198"/>
      <c r="DE356" s="198"/>
      <c r="DF356" s="198"/>
      <c r="DG356" s="198"/>
      <c r="DH356" s="198"/>
      <c r="DI356" s="198"/>
      <c r="DJ356" s="198"/>
      <c r="DK356" s="198"/>
      <c r="DL356" s="198"/>
      <c r="DM356" s="198"/>
      <c r="DN356" s="198"/>
      <c r="DO356" s="198"/>
      <c r="DP356" s="198"/>
      <c r="DQ356" s="198"/>
      <c r="DR356" s="198"/>
      <c r="DS356" s="198"/>
      <c r="DT356" s="198"/>
      <c r="DU356" s="198"/>
      <c r="DV356" s="198"/>
      <c r="DW356" s="198"/>
      <c r="DX356" s="198"/>
      <c r="DY356" s="198"/>
      <c r="DZ356" s="198"/>
      <c r="EA356" s="198"/>
      <c r="EB356" s="198"/>
      <c r="EC356" s="198"/>
      <c r="ED356" s="198"/>
      <c r="EE356" s="198"/>
      <c r="EF356" s="198"/>
      <c r="EG356" s="198"/>
      <c r="EH356" s="198"/>
      <c r="EI356" s="198"/>
      <c r="EJ356" s="198"/>
      <c r="EK356" s="198"/>
      <c r="EL356" s="198"/>
      <c r="EM356" s="198"/>
      <c r="EN356" s="198"/>
      <c r="EO356" s="198"/>
      <c r="EP356" s="198"/>
      <c r="EQ356" s="198"/>
      <c r="ER356" s="198"/>
      <c r="ES356" s="198"/>
      <c r="ET356" s="198"/>
      <c r="EU356" s="198"/>
      <c r="EV356" s="198"/>
      <c r="EW356" s="198"/>
      <c r="EX356" s="198"/>
      <c r="EY356" s="198"/>
      <c r="EZ356" s="198"/>
      <c r="FA356" s="198"/>
      <c r="FB356" s="198"/>
      <c r="FC356" s="198"/>
      <c r="FD356" s="198"/>
      <c r="FE356" s="198"/>
      <c r="FF356" s="198"/>
      <c r="FG356" s="198"/>
      <c r="FH356" s="198"/>
    </row>
    <row r="357" spans="10:164" s="173" customFormat="1" x14ac:dyDescent="0.3">
      <c r="J357" s="198"/>
      <c r="K357" s="198"/>
      <c r="L357" s="198"/>
      <c r="M357" s="198"/>
      <c r="N357" s="198"/>
      <c r="O357" s="198"/>
      <c r="P357" s="198"/>
      <c r="Q357" s="198"/>
      <c r="R357" s="198"/>
      <c r="S357" s="198"/>
      <c r="T357" s="198"/>
      <c r="U357" s="198"/>
      <c r="V357" s="198"/>
      <c r="W357" s="198"/>
      <c r="X357" s="198"/>
      <c r="Y357" s="198"/>
      <c r="Z357" s="198"/>
      <c r="AA357" s="198"/>
      <c r="AB357" s="198"/>
      <c r="AC357" s="198"/>
      <c r="AD357" s="198"/>
      <c r="AE357" s="198"/>
      <c r="AF357" s="198"/>
      <c r="AG357" s="198"/>
      <c r="AH357" s="198"/>
      <c r="AI357" s="198"/>
      <c r="AJ357" s="198"/>
      <c r="AK357" s="198"/>
      <c r="AL357" s="198"/>
      <c r="AM357" s="198"/>
      <c r="AN357" s="198"/>
      <c r="AO357" s="198"/>
      <c r="AP357" s="198"/>
      <c r="AQ357" s="198"/>
      <c r="AR357" s="198"/>
      <c r="AS357" s="198"/>
      <c r="AT357" s="198"/>
      <c r="AU357" s="198"/>
      <c r="AV357" s="198"/>
      <c r="AW357" s="198"/>
      <c r="AX357" s="198"/>
      <c r="AY357" s="198"/>
      <c r="AZ357" s="198"/>
      <c r="BA357" s="198"/>
      <c r="BB357" s="198"/>
      <c r="BC357" s="198"/>
      <c r="BD357" s="198"/>
      <c r="BE357" s="198"/>
      <c r="BF357" s="198"/>
      <c r="BG357" s="198"/>
      <c r="BH357" s="198"/>
      <c r="BI357" s="198"/>
      <c r="BJ357" s="198"/>
      <c r="BK357" s="198"/>
      <c r="BL357" s="198"/>
      <c r="BM357" s="198"/>
      <c r="BN357" s="198"/>
      <c r="BO357" s="198"/>
      <c r="BP357" s="198"/>
      <c r="BQ357" s="198"/>
      <c r="BR357" s="198"/>
      <c r="BS357" s="198"/>
      <c r="BT357" s="198"/>
      <c r="BU357" s="198"/>
      <c r="BV357" s="198"/>
      <c r="BW357" s="198"/>
      <c r="BX357" s="198"/>
      <c r="BY357" s="198"/>
      <c r="BZ357" s="198"/>
      <c r="CA357" s="198"/>
      <c r="CB357" s="198"/>
      <c r="CC357" s="198"/>
      <c r="CD357" s="198"/>
      <c r="CE357" s="198"/>
      <c r="CF357" s="198"/>
      <c r="CG357" s="198"/>
      <c r="CH357" s="198"/>
      <c r="CI357" s="198"/>
      <c r="CJ357" s="198"/>
      <c r="CK357" s="198"/>
      <c r="CL357" s="198"/>
      <c r="CM357" s="198"/>
      <c r="CN357" s="198"/>
      <c r="CO357" s="198"/>
      <c r="CP357" s="198"/>
      <c r="CQ357" s="198"/>
      <c r="CR357" s="198"/>
      <c r="CS357" s="198"/>
      <c r="CT357" s="198"/>
      <c r="CU357" s="198"/>
      <c r="CV357" s="198"/>
      <c r="CW357" s="198"/>
      <c r="CX357" s="198"/>
      <c r="CY357" s="198"/>
      <c r="CZ357" s="198"/>
      <c r="DA357" s="198"/>
      <c r="DB357" s="198"/>
      <c r="DC357" s="198"/>
      <c r="DD357" s="198"/>
      <c r="DE357" s="198"/>
      <c r="DF357" s="198"/>
      <c r="DG357" s="198"/>
      <c r="DH357" s="198"/>
      <c r="DI357" s="198"/>
      <c r="DJ357" s="198"/>
      <c r="DK357" s="198"/>
      <c r="DL357" s="198"/>
      <c r="DM357" s="198"/>
      <c r="DN357" s="198"/>
      <c r="DO357" s="198"/>
      <c r="DP357" s="198"/>
      <c r="DQ357" s="198"/>
      <c r="DR357" s="198"/>
      <c r="DS357" s="198"/>
      <c r="DT357" s="198"/>
      <c r="DU357" s="198"/>
      <c r="DV357" s="198"/>
      <c r="DW357" s="198"/>
      <c r="DX357" s="198"/>
      <c r="DY357" s="198"/>
      <c r="DZ357" s="198"/>
      <c r="EA357" s="198"/>
      <c r="EB357" s="198"/>
      <c r="EC357" s="198"/>
      <c r="ED357" s="198"/>
      <c r="EE357" s="198"/>
      <c r="EF357" s="198"/>
      <c r="EG357" s="198"/>
      <c r="EH357" s="198"/>
      <c r="EI357" s="198"/>
      <c r="EJ357" s="198"/>
      <c r="EK357" s="198"/>
      <c r="EL357" s="198"/>
      <c r="EM357" s="198"/>
      <c r="EN357" s="198"/>
      <c r="EO357" s="198"/>
      <c r="EP357" s="198"/>
      <c r="EQ357" s="198"/>
      <c r="ER357" s="198"/>
      <c r="ES357" s="198"/>
      <c r="ET357" s="198"/>
      <c r="EU357" s="198"/>
      <c r="EV357" s="198"/>
      <c r="EW357" s="198"/>
      <c r="EX357" s="198"/>
      <c r="EY357" s="198"/>
      <c r="EZ357" s="198"/>
      <c r="FA357" s="198"/>
      <c r="FB357" s="198"/>
      <c r="FC357" s="198"/>
      <c r="FD357" s="198"/>
      <c r="FE357" s="198"/>
      <c r="FF357" s="198"/>
      <c r="FG357" s="198"/>
      <c r="FH357" s="198"/>
    </row>
    <row r="358" spans="10:164" s="173" customFormat="1" x14ac:dyDescent="0.3">
      <c r="J358" s="198"/>
      <c r="K358" s="198"/>
      <c r="L358" s="198"/>
      <c r="M358" s="198"/>
      <c r="N358" s="198"/>
      <c r="O358" s="198"/>
      <c r="P358" s="198"/>
      <c r="Q358" s="198"/>
      <c r="R358" s="198"/>
      <c r="S358" s="198"/>
      <c r="T358" s="198"/>
      <c r="U358" s="198"/>
      <c r="V358" s="198"/>
      <c r="W358" s="198"/>
      <c r="X358" s="198"/>
      <c r="Y358" s="198"/>
      <c r="Z358" s="198"/>
      <c r="AA358" s="198"/>
      <c r="AB358" s="198"/>
      <c r="AC358" s="198"/>
      <c r="AD358" s="198"/>
      <c r="AE358" s="198"/>
      <c r="AF358" s="198"/>
      <c r="AG358" s="198"/>
      <c r="AH358" s="198"/>
      <c r="AI358" s="198"/>
      <c r="AJ358" s="198"/>
      <c r="AK358" s="198"/>
      <c r="AL358" s="198"/>
      <c r="AM358" s="198"/>
      <c r="AN358" s="198"/>
      <c r="AO358" s="198"/>
      <c r="AP358" s="198"/>
      <c r="AQ358" s="198"/>
      <c r="AR358" s="198"/>
      <c r="AS358" s="198"/>
      <c r="AT358" s="198"/>
      <c r="AU358" s="198"/>
      <c r="AV358" s="198"/>
      <c r="AW358" s="198"/>
      <c r="AX358" s="198"/>
      <c r="AY358" s="198"/>
      <c r="AZ358" s="198"/>
      <c r="BA358" s="198"/>
      <c r="BB358" s="198"/>
      <c r="BC358" s="198"/>
      <c r="BD358" s="198"/>
      <c r="BE358" s="198"/>
      <c r="BF358" s="198"/>
      <c r="BG358" s="198"/>
      <c r="BH358" s="198"/>
      <c r="BI358" s="198"/>
      <c r="BJ358" s="198"/>
      <c r="BK358" s="198"/>
      <c r="BL358" s="198"/>
      <c r="BM358" s="198"/>
      <c r="BN358" s="198"/>
      <c r="BO358" s="198"/>
      <c r="BP358" s="198"/>
      <c r="BQ358" s="198"/>
      <c r="BR358" s="198"/>
      <c r="BS358" s="198"/>
      <c r="BT358" s="198"/>
      <c r="BU358" s="198"/>
      <c r="BV358" s="198"/>
      <c r="BW358" s="198"/>
      <c r="BX358" s="198"/>
      <c r="BY358" s="198"/>
      <c r="BZ358" s="198"/>
      <c r="CA358" s="198"/>
      <c r="CB358" s="198"/>
      <c r="CC358" s="198"/>
      <c r="CD358" s="198"/>
      <c r="CE358" s="198"/>
      <c r="CF358" s="198"/>
      <c r="CG358" s="198"/>
      <c r="CH358" s="198"/>
      <c r="CI358" s="198"/>
      <c r="CJ358" s="198"/>
      <c r="CK358" s="198"/>
      <c r="CL358" s="198"/>
      <c r="CM358" s="198"/>
      <c r="CN358" s="198"/>
      <c r="CO358" s="198"/>
      <c r="CP358" s="198"/>
      <c r="CQ358" s="198"/>
      <c r="CR358" s="198"/>
      <c r="CS358" s="198"/>
      <c r="CT358" s="198"/>
      <c r="CU358" s="198"/>
      <c r="CV358" s="198"/>
      <c r="CW358" s="198"/>
      <c r="CX358" s="198"/>
      <c r="CY358" s="198"/>
      <c r="CZ358" s="198"/>
      <c r="DA358" s="198"/>
      <c r="DB358" s="198"/>
      <c r="DC358" s="198"/>
      <c r="DD358" s="198"/>
      <c r="DE358" s="198"/>
      <c r="DF358" s="198"/>
      <c r="DG358" s="198"/>
      <c r="DH358" s="198"/>
      <c r="DI358" s="198"/>
      <c r="DJ358" s="198"/>
      <c r="DK358" s="198"/>
      <c r="DL358" s="198"/>
      <c r="DM358" s="198"/>
      <c r="DN358" s="198"/>
      <c r="DO358" s="198"/>
      <c r="DP358" s="198"/>
      <c r="DQ358" s="198"/>
      <c r="DR358" s="198"/>
      <c r="DS358" s="198"/>
      <c r="DT358" s="198"/>
      <c r="DU358" s="198"/>
      <c r="DV358" s="198"/>
      <c r="DW358" s="198"/>
      <c r="DX358" s="198"/>
      <c r="DY358" s="198"/>
      <c r="DZ358" s="198"/>
      <c r="EA358" s="198"/>
      <c r="EB358" s="198"/>
      <c r="EC358" s="198"/>
      <c r="ED358" s="198"/>
      <c r="EE358" s="198"/>
      <c r="EF358" s="198"/>
      <c r="EG358" s="198"/>
      <c r="EH358" s="198"/>
      <c r="EI358" s="198"/>
      <c r="EJ358" s="198"/>
      <c r="EK358" s="198"/>
      <c r="EL358" s="198"/>
      <c r="EM358" s="198"/>
      <c r="EN358" s="198"/>
      <c r="EO358" s="198"/>
      <c r="EP358" s="198"/>
      <c r="EQ358" s="198"/>
      <c r="ER358" s="198"/>
      <c r="ES358" s="198"/>
      <c r="ET358" s="198"/>
      <c r="EU358" s="198"/>
      <c r="EV358" s="198"/>
      <c r="EW358" s="198"/>
      <c r="EX358" s="198"/>
      <c r="EY358" s="198"/>
      <c r="EZ358" s="198"/>
      <c r="FA358" s="198"/>
      <c r="FB358" s="198"/>
      <c r="FC358" s="198"/>
      <c r="FD358" s="198"/>
      <c r="FE358" s="198"/>
      <c r="FF358" s="198"/>
      <c r="FG358" s="198"/>
      <c r="FH358" s="198"/>
    </row>
    <row r="359" spans="10:164" s="173" customFormat="1" x14ac:dyDescent="0.3">
      <c r="J359" s="198"/>
      <c r="K359" s="198"/>
      <c r="L359" s="198"/>
      <c r="M359" s="198"/>
      <c r="N359" s="198"/>
      <c r="O359" s="198"/>
      <c r="P359" s="198"/>
      <c r="Q359" s="198"/>
      <c r="R359" s="198"/>
      <c r="S359" s="198"/>
      <c r="T359" s="198"/>
      <c r="U359" s="198"/>
      <c r="V359" s="198"/>
      <c r="W359" s="198"/>
      <c r="X359" s="198"/>
      <c r="Y359" s="198"/>
      <c r="Z359" s="198"/>
      <c r="AA359" s="198"/>
      <c r="AB359" s="198"/>
      <c r="AC359" s="198"/>
      <c r="AD359" s="198"/>
      <c r="AE359" s="198"/>
      <c r="AF359" s="198"/>
      <c r="AG359" s="198"/>
      <c r="AH359" s="198"/>
      <c r="AI359" s="198"/>
      <c r="AJ359" s="198"/>
      <c r="AK359" s="198"/>
      <c r="AL359" s="198"/>
      <c r="AM359" s="198"/>
      <c r="AN359" s="198"/>
      <c r="AO359" s="198"/>
      <c r="AP359" s="198"/>
      <c r="AQ359" s="198"/>
      <c r="AR359" s="198"/>
      <c r="AS359" s="198"/>
      <c r="AT359" s="198"/>
      <c r="AU359" s="198"/>
      <c r="AV359" s="198"/>
      <c r="AW359" s="198"/>
      <c r="AX359" s="198"/>
      <c r="AY359" s="198"/>
      <c r="AZ359" s="198"/>
      <c r="BA359" s="198"/>
      <c r="BB359" s="198"/>
      <c r="BC359" s="198"/>
      <c r="BD359" s="198"/>
      <c r="BE359" s="198"/>
      <c r="BF359" s="198"/>
      <c r="BG359" s="198"/>
      <c r="BH359" s="198"/>
      <c r="BI359" s="198"/>
      <c r="BJ359" s="198"/>
      <c r="BK359" s="198"/>
      <c r="BL359" s="198"/>
      <c r="BM359" s="198"/>
      <c r="BN359" s="198"/>
      <c r="BO359" s="198"/>
      <c r="BP359" s="198"/>
      <c r="BQ359" s="198"/>
      <c r="BR359" s="198"/>
      <c r="BS359" s="198"/>
      <c r="BT359" s="198"/>
      <c r="BU359" s="198"/>
      <c r="BV359" s="198"/>
      <c r="BW359" s="198"/>
      <c r="BX359" s="198"/>
      <c r="BY359" s="198"/>
      <c r="BZ359" s="198"/>
      <c r="CA359" s="198"/>
      <c r="CB359" s="198"/>
      <c r="CC359" s="198"/>
      <c r="CD359" s="198"/>
      <c r="CE359" s="198"/>
      <c r="CF359" s="198"/>
      <c r="CG359" s="198"/>
      <c r="CH359" s="198"/>
      <c r="CI359" s="198"/>
      <c r="CJ359" s="198"/>
      <c r="CK359" s="198"/>
      <c r="CL359" s="198"/>
      <c r="CM359" s="198"/>
      <c r="CN359" s="198"/>
      <c r="CO359" s="198"/>
      <c r="CP359" s="198"/>
      <c r="CQ359" s="198"/>
      <c r="CR359" s="198"/>
      <c r="CS359" s="198"/>
      <c r="CT359" s="198"/>
      <c r="CU359" s="198"/>
      <c r="CV359" s="198"/>
      <c r="CW359" s="198"/>
      <c r="CX359" s="198"/>
      <c r="CY359" s="198"/>
      <c r="CZ359" s="198"/>
      <c r="DA359" s="198"/>
      <c r="DB359" s="198"/>
      <c r="DC359" s="198"/>
      <c r="DD359" s="198"/>
      <c r="DE359" s="198"/>
      <c r="DF359" s="198"/>
      <c r="DG359" s="198"/>
      <c r="DH359" s="198"/>
      <c r="DI359" s="198"/>
      <c r="DJ359" s="198"/>
      <c r="DK359" s="198"/>
      <c r="DL359" s="198"/>
      <c r="DM359" s="198"/>
      <c r="DN359" s="198"/>
      <c r="DO359" s="198"/>
      <c r="DP359" s="198"/>
      <c r="DQ359" s="198"/>
      <c r="DR359" s="198"/>
      <c r="DS359" s="198"/>
      <c r="DT359" s="198"/>
      <c r="DU359" s="198"/>
      <c r="DV359" s="198"/>
      <c r="DW359" s="198"/>
      <c r="DX359" s="198"/>
      <c r="DY359" s="198"/>
      <c r="DZ359" s="198"/>
      <c r="EA359" s="198"/>
      <c r="EB359" s="198"/>
      <c r="EC359" s="198"/>
      <c r="ED359" s="198"/>
      <c r="EE359" s="198"/>
      <c r="EF359" s="198"/>
      <c r="EG359" s="198"/>
      <c r="EH359" s="198"/>
      <c r="EI359" s="198"/>
      <c r="EJ359" s="198"/>
      <c r="EK359" s="198"/>
      <c r="EL359" s="198"/>
      <c r="EM359" s="198"/>
      <c r="EN359" s="198"/>
      <c r="EO359" s="198"/>
      <c r="EP359" s="198"/>
      <c r="EQ359" s="198"/>
      <c r="ER359" s="198"/>
      <c r="ES359" s="198"/>
      <c r="ET359" s="198"/>
      <c r="EU359" s="198"/>
      <c r="EV359" s="198"/>
      <c r="EW359" s="198"/>
      <c r="EX359" s="198"/>
      <c r="EY359" s="198"/>
      <c r="EZ359" s="198"/>
      <c r="FA359" s="198"/>
      <c r="FB359" s="198"/>
      <c r="FC359" s="198"/>
      <c r="FD359" s="198"/>
      <c r="FE359" s="198"/>
      <c r="FF359" s="198"/>
      <c r="FG359" s="198"/>
      <c r="FH359" s="198"/>
    </row>
    <row r="360" spans="10:164" s="173" customFormat="1" x14ac:dyDescent="0.3">
      <c r="J360" s="198"/>
      <c r="K360" s="198"/>
      <c r="L360" s="198"/>
      <c r="M360" s="198"/>
      <c r="N360" s="198"/>
      <c r="O360" s="198"/>
      <c r="P360" s="198"/>
      <c r="Q360" s="198"/>
      <c r="R360" s="198"/>
      <c r="S360" s="198"/>
      <c r="T360" s="198"/>
      <c r="U360" s="198"/>
      <c r="V360" s="198"/>
      <c r="W360" s="198"/>
      <c r="X360" s="198"/>
      <c r="Y360" s="198"/>
      <c r="Z360" s="198"/>
      <c r="AA360" s="198"/>
      <c r="AB360" s="198"/>
      <c r="AC360" s="198"/>
      <c r="AD360" s="198"/>
      <c r="AE360" s="198"/>
      <c r="AF360" s="198"/>
      <c r="AG360" s="198"/>
      <c r="AH360" s="198"/>
      <c r="AI360" s="198"/>
      <c r="AJ360" s="198"/>
      <c r="AK360" s="198"/>
      <c r="AL360" s="198"/>
      <c r="AM360" s="198"/>
      <c r="AN360" s="198"/>
      <c r="AO360" s="198"/>
      <c r="AP360" s="198"/>
      <c r="AQ360" s="198"/>
      <c r="AR360" s="198"/>
      <c r="AS360" s="198"/>
      <c r="AT360" s="198"/>
      <c r="AU360" s="198"/>
      <c r="AV360" s="198"/>
      <c r="AW360" s="198"/>
      <c r="AX360" s="198"/>
      <c r="AY360" s="198"/>
      <c r="AZ360" s="198"/>
      <c r="BA360" s="198"/>
      <c r="BB360" s="198"/>
      <c r="BC360" s="198"/>
      <c r="BD360" s="198"/>
      <c r="BE360" s="198"/>
      <c r="BF360" s="198"/>
      <c r="BG360" s="198"/>
      <c r="BH360" s="198"/>
      <c r="BI360" s="198"/>
      <c r="BJ360" s="198"/>
      <c r="BK360" s="198"/>
      <c r="BL360" s="198"/>
      <c r="BM360" s="198"/>
      <c r="BN360" s="198"/>
      <c r="BO360" s="198"/>
      <c r="BP360" s="198"/>
      <c r="BQ360" s="198"/>
      <c r="BR360" s="198"/>
      <c r="BS360" s="198"/>
      <c r="BT360" s="198"/>
      <c r="BU360" s="198"/>
      <c r="BV360" s="198"/>
      <c r="BW360" s="198"/>
      <c r="BX360" s="198"/>
      <c r="BY360" s="198"/>
      <c r="BZ360" s="198"/>
      <c r="CA360" s="198"/>
      <c r="CB360" s="198"/>
      <c r="CC360" s="198"/>
      <c r="CD360" s="198"/>
      <c r="CE360" s="198"/>
      <c r="CF360" s="198"/>
      <c r="CG360" s="198"/>
      <c r="CH360" s="198"/>
      <c r="CI360" s="198"/>
      <c r="CJ360" s="198"/>
      <c r="CK360" s="198"/>
      <c r="CL360" s="198"/>
      <c r="CM360" s="198"/>
      <c r="CN360" s="198"/>
      <c r="CO360" s="198"/>
      <c r="CP360" s="198"/>
      <c r="CQ360" s="198"/>
      <c r="CR360" s="198"/>
      <c r="CS360" s="198"/>
      <c r="CT360" s="198"/>
      <c r="CU360" s="198"/>
      <c r="CV360" s="198"/>
      <c r="CW360" s="198"/>
      <c r="CX360" s="198"/>
      <c r="CY360" s="198"/>
      <c r="CZ360" s="198"/>
      <c r="DA360" s="198"/>
      <c r="DB360" s="198"/>
      <c r="DC360" s="198"/>
      <c r="DD360" s="198"/>
      <c r="DE360" s="198"/>
      <c r="DF360" s="198"/>
      <c r="DG360" s="198"/>
      <c r="DH360" s="198"/>
      <c r="DI360" s="198"/>
      <c r="DJ360" s="198"/>
      <c r="DK360" s="198"/>
      <c r="DL360" s="198"/>
      <c r="DM360" s="198"/>
      <c r="DN360" s="198"/>
      <c r="DO360" s="198"/>
      <c r="DP360" s="198"/>
      <c r="DQ360" s="198"/>
      <c r="DR360" s="198"/>
      <c r="DS360" s="198"/>
      <c r="DT360" s="198"/>
      <c r="DU360" s="198"/>
      <c r="DV360" s="198"/>
      <c r="DW360" s="198"/>
      <c r="DX360" s="198"/>
      <c r="DY360" s="198"/>
      <c r="DZ360" s="198"/>
      <c r="EA360" s="198"/>
      <c r="EB360" s="198"/>
      <c r="EC360" s="198"/>
      <c r="ED360" s="198"/>
      <c r="EE360" s="198"/>
      <c r="EF360" s="198"/>
      <c r="EG360" s="198"/>
      <c r="EH360" s="198"/>
      <c r="EI360" s="198"/>
      <c r="EJ360" s="198"/>
      <c r="EK360" s="198"/>
      <c r="EL360" s="198"/>
      <c r="EM360" s="198"/>
      <c r="EN360" s="198"/>
      <c r="EO360" s="198"/>
      <c r="EP360" s="198"/>
      <c r="EQ360" s="198"/>
      <c r="ER360" s="198"/>
      <c r="ES360" s="198"/>
      <c r="ET360" s="198"/>
      <c r="EU360" s="198"/>
      <c r="EV360" s="198"/>
      <c r="EW360" s="198"/>
      <c r="EX360" s="198"/>
      <c r="EY360" s="198"/>
      <c r="EZ360" s="198"/>
      <c r="FA360" s="198"/>
      <c r="FB360" s="198"/>
      <c r="FC360" s="198"/>
      <c r="FD360" s="198"/>
      <c r="FE360" s="198"/>
      <c r="FF360" s="198"/>
      <c r="FG360" s="198"/>
      <c r="FH360" s="198"/>
    </row>
    <row r="361" spans="10:164" s="173" customFormat="1" x14ac:dyDescent="0.3">
      <c r="J361" s="198"/>
      <c r="K361" s="198"/>
      <c r="L361" s="198"/>
      <c r="M361" s="198"/>
      <c r="N361" s="198"/>
      <c r="O361" s="198"/>
      <c r="P361" s="198"/>
      <c r="Q361" s="198"/>
      <c r="R361" s="198"/>
      <c r="S361" s="198"/>
      <c r="T361" s="198"/>
      <c r="U361" s="198"/>
      <c r="V361" s="198"/>
      <c r="W361" s="198"/>
      <c r="X361" s="198"/>
      <c r="Y361" s="198"/>
      <c r="Z361" s="198"/>
      <c r="AA361" s="198"/>
      <c r="AB361" s="198"/>
      <c r="AC361" s="198"/>
      <c r="AD361" s="198"/>
      <c r="AE361" s="198"/>
      <c r="AF361" s="198"/>
      <c r="AG361" s="198"/>
      <c r="AH361" s="198"/>
      <c r="AI361" s="198"/>
      <c r="AJ361" s="198"/>
      <c r="AK361" s="198"/>
      <c r="AL361" s="198"/>
      <c r="AM361" s="198"/>
      <c r="AN361" s="198"/>
      <c r="AO361" s="198"/>
      <c r="AP361" s="198"/>
      <c r="AQ361" s="198"/>
      <c r="AR361" s="198"/>
      <c r="AS361" s="198"/>
      <c r="AT361" s="198"/>
      <c r="AU361" s="198"/>
      <c r="AV361" s="198"/>
      <c r="AW361" s="198"/>
      <c r="AX361" s="198"/>
      <c r="AY361" s="198"/>
      <c r="AZ361" s="198"/>
      <c r="BA361" s="198"/>
      <c r="BB361" s="198"/>
      <c r="BC361" s="198"/>
      <c r="BD361" s="198"/>
      <c r="BE361" s="198"/>
      <c r="BF361" s="198"/>
      <c r="BG361" s="198"/>
      <c r="BH361" s="198"/>
      <c r="BI361" s="198"/>
      <c r="BJ361" s="198"/>
      <c r="BK361" s="198"/>
      <c r="BL361" s="198"/>
      <c r="BM361" s="198"/>
      <c r="BN361" s="198"/>
      <c r="BO361" s="198"/>
      <c r="BP361" s="198"/>
      <c r="BQ361" s="198"/>
      <c r="BR361" s="198"/>
      <c r="BS361" s="198"/>
      <c r="BT361" s="198"/>
      <c r="BU361" s="198"/>
      <c r="BV361" s="198"/>
      <c r="BW361" s="198"/>
      <c r="BX361" s="198"/>
      <c r="BY361" s="198"/>
      <c r="BZ361" s="198"/>
      <c r="CA361" s="198"/>
      <c r="CB361" s="198"/>
      <c r="CC361" s="198"/>
      <c r="CD361" s="198"/>
      <c r="CE361" s="198"/>
      <c r="CF361" s="198"/>
      <c r="CG361" s="198"/>
      <c r="CH361" s="198"/>
      <c r="CI361" s="198"/>
      <c r="CJ361" s="198"/>
      <c r="CK361" s="198"/>
      <c r="CL361" s="198"/>
      <c r="CM361" s="198"/>
      <c r="CN361" s="198"/>
      <c r="CO361" s="198"/>
      <c r="CP361" s="198"/>
      <c r="CQ361" s="198"/>
      <c r="CR361" s="198"/>
      <c r="CS361" s="198"/>
      <c r="CT361" s="198"/>
      <c r="CU361" s="198"/>
      <c r="CV361" s="198"/>
      <c r="CW361" s="198"/>
      <c r="CX361" s="198"/>
      <c r="CY361" s="198"/>
      <c r="CZ361" s="198"/>
      <c r="DA361" s="198"/>
      <c r="DB361" s="198"/>
      <c r="DC361" s="198"/>
      <c r="DD361" s="198"/>
      <c r="DE361" s="198"/>
      <c r="DF361" s="198"/>
      <c r="DG361" s="198"/>
      <c r="DH361" s="198"/>
      <c r="DI361" s="198"/>
      <c r="DJ361" s="198"/>
      <c r="DK361" s="198"/>
      <c r="DL361" s="198"/>
      <c r="DM361" s="198"/>
      <c r="DN361" s="198"/>
      <c r="DO361" s="198"/>
      <c r="DP361" s="198"/>
      <c r="DQ361" s="198"/>
      <c r="DR361" s="198"/>
      <c r="DS361" s="198"/>
      <c r="DT361" s="198"/>
      <c r="DU361" s="198"/>
      <c r="DV361" s="198"/>
      <c r="DW361" s="198"/>
      <c r="DX361" s="198"/>
      <c r="DY361" s="198"/>
      <c r="DZ361" s="198"/>
      <c r="EA361" s="198"/>
      <c r="EB361" s="198"/>
      <c r="EC361" s="198"/>
      <c r="ED361" s="198"/>
      <c r="EE361" s="198"/>
      <c r="EF361" s="198"/>
      <c r="EG361" s="198"/>
      <c r="EH361" s="198"/>
      <c r="EI361" s="198"/>
      <c r="EJ361" s="198"/>
      <c r="EK361" s="198"/>
      <c r="EL361" s="198"/>
      <c r="EM361" s="198"/>
      <c r="EN361" s="198"/>
      <c r="EO361" s="198"/>
      <c r="EP361" s="198"/>
      <c r="EQ361" s="198"/>
      <c r="ER361" s="198"/>
      <c r="ES361" s="198"/>
      <c r="ET361" s="198"/>
      <c r="EU361" s="198"/>
      <c r="EV361" s="198"/>
      <c r="EW361" s="198"/>
      <c r="EX361" s="198"/>
      <c r="EY361" s="198"/>
      <c r="EZ361" s="198"/>
      <c r="FA361" s="198"/>
      <c r="FB361" s="198"/>
      <c r="FC361" s="198"/>
      <c r="FD361" s="198"/>
      <c r="FE361" s="198"/>
      <c r="FF361" s="198"/>
      <c r="FG361" s="198"/>
      <c r="FH361" s="198"/>
    </row>
    <row r="362" spans="10:164" s="173" customFormat="1" x14ac:dyDescent="0.3">
      <c r="J362" s="198"/>
      <c r="K362" s="198"/>
      <c r="L362" s="198"/>
      <c r="M362" s="198"/>
      <c r="N362" s="198"/>
      <c r="O362" s="198"/>
      <c r="P362" s="198"/>
      <c r="Q362" s="198"/>
      <c r="R362" s="198"/>
      <c r="S362" s="198"/>
      <c r="T362" s="198"/>
      <c r="U362" s="198"/>
      <c r="V362" s="198"/>
      <c r="W362" s="198"/>
      <c r="X362" s="198"/>
      <c r="Y362" s="198"/>
      <c r="Z362" s="198"/>
      <c r="AA362" s="198"/>
      <c r="AB362" s="198"/>
      <c r="AC362" s="198"/>
      <c r="AD362" s="198"/>
      <c r="AE362" s="198"/>
      <c r="AF362" s="198"/>
      <c r="AG362" s="198"/>
      <c r="AH362" s="198"/>
      <c r="AI362" s="198"/>
      <c r="AJ362" s="198"/>
      <c r="AK362" s="198"/>
      <c r="AL362" s="198"/>
      <c r="AM362" s="198"/>
      <c r="AN362" s="198"/>
      <c r="AO362" s="198"/>
      <c r="AP362" s="198"/>
      <c r="AQ362" s="198"/>
      <c r="AR362" s="198"/>
      <c r="AS362" s="198"/>
      <c r="AT362" s="198"/>
      <c r="AU362" s="198"/>
      <c r="AV362" s="198"/>
      <c r="AW362" s="198"/>
      <c r="AX362" s="198"/>
      <c r="AY362" s="198"/>
      <c r="AZ362" s="198"/>
      <c r="BA362" s="198"/>
      <c r="BB362" s="198"/>
      <c r="BC362" s="198"/>
      <c r="BD362" s="198"/>
      <c r="BE362" s="198"/>
      <c r="BF362" s="198"/>
      <c r="BG362" s="198"/>
      <c r="BH362" s="198"/>
      <c r="BI362" s="198"/>
      <c r="BJ362" s="198"/>
      <c r="BK362" s="198"/>
      <c r="BL362" s="198"/>
      <c r="BM362" s="198"/>
      <c r="BN362" s="198"/>
      <c r="BO362" s="198"/>
      <c r="BP362" s="198"/>
      <c r="BQ362" s="198"/>
      <c r="BR362" s="198"/>
      <c r="BS362" s="198"/>
      <c r="BT362" s="198"/>
      <c r="BU362" s="198"/>
      <c r="BV362" s="198"/>
      <c r="BW362" s="198"/>
      <c r="BX362" s="198"/>
      <c r="BY362" s="198"/>
      <c r="BZ362" s="198"/>
      <c r="CA362" s="198"/>
      <c r="CB362" s="198"/>
      <c r="CC362" s="198"/>
      <c r="CD362" s="198"/>
      <c r="CE362" s="198"/>
      <c r="CF362" s="198"/>
      <c r="CG362" s="198"/>
      <c r="CH362" s="198"/>
      <c r="CI362" s="198"/>
      <c r="CJ362" s="198"/>
      <c r="CK362" s="198"/>
      <c r="CL362" s="198"/>
      <c r="CM362" s="198"/>
      <c r="CN362" s="198"/>
      <c r="CO362" s="198"/>
      <c r="CP362" s="198"/>
      <c r="CQ362" s="198"/>
      <c r="CR362" s="198"/>
      <c r="CS362" s="198"/>
      <c r="CT362" s="198"/>
      <c r="CU362" s="198"/>
      <c r="CV362" s="198"/>
      <c r="CW362" s="198"/>
      <c r="CX362" s="198"/>
      <c r="CY362" s="198"/>
      <c r="CZ362" s="198"/>
      <c r="DA362" s="198"/>
      <c r="DB362" s="198"/>
      <c r="DC362" s="198"/>
      <c r="DD362" s="198"/>
      <c r="DE362" s="198"/>
      <c r="DF362" s="198"/>
      <c r="DG362" s="198"/>
      <c r="DH362" s="198"/>
      <c r="DI362" s="198"/>
      <c r="DJ362" s="198"/>
      <c r="DK362" s="198"/>
      <c r="DL362" s="198"/>
      <c r="DM362" s="198"/>
      <c r="DN362" s="198"/>
      <c r="DO362" s="198"/>
      <c r="DP362" s="198"/>
      <c r="DQ362" s="198"/>
      <c r="DR362" s="198"/>
      <c r="DS362" s="198"/>
      <c r="DT362" s="198"/>
      <c r="DU362" s="198"/>
      <c r="DV362" s="198"/>
      <c r="DW362" s="198"/>
      <c r="DX362" s="198"/>
      <c r="DY362" s="198"/>
      <c r="DZ362" s="198"/>
      <c r="EA362" s="198"/>
      <c r="EB362" s="198"/>
      <c r="EC362" s="198"/>
      <c r="ED362" s="198"/>
      <c r="EE362" s="198"/>
      <c r="EF362" s="198"/>
      <c r="EG362" s="198"/>
      <c r="EH362" s="198"/>
      <c r="EI362" s="198"/>
      <c r="EJ362" s="198"/>
      <c r="EK362" s="198"/>
      <c r="EL362" s="198"/>
      <c r="EM362" s="198"/>
      <c r="EN362" s="198"/>
      <c r="EO362" s="198"/>
      <c r="EP362" s="198"/>
      <c r="EQ362" s="198"/>
      <c r="ER362" s="198"/>
      <c r="ES362" s="198"/>
      <c r="ET362" s="198"/>
      <c r="EU362" s="198"/>
      <c r="EV362" s="198"/>
      <c r="EW362" s="198"/>
      <c r="EX362" s="198"/>
      <c r="EY362" s="198"/>
      <c r="EZ362" s="198"/>
      <c r="FA362" s="198"/>
      <c r="FB362" s="198"/>
      <c r="FC362" s="198"/>
      <c r="FD362" s="198"/>
      <c r="FE362" s="198"/>
      <c r="FF362" s="198"/>
      <c r="FG362" s="198"/>
      <c r="FH362" s="198"/>
    </row>
    <row r="363" spans="10:164" s="173" customFormat="1" x14ac:dyDescent="0.3">
      <c r="J363" s="198"/>
      <c r="K363" s="198"/>
      <c r="L363" s="198"/>
      <c r="M363" s="198"/>
      <c r="N363" s="198"/>
      <c r="O363" s="198"/>
      <c r="P363" s="198"/>
      <c r="Q363" s="198"/>
      <c r="R363" s="198"/>
      <c r="S363" s="198"/>
      <c r="T363" s="198"/>
      <c r="U363" s="198"/>
      <c r="V363" s="198"/>
      <c r="W363" s="198"/>
      <c r="X363" s="198"/>
      <c r="Y363" s="198"/>
      <c r="Z363" s="198"/>
      <c r="AA363" s="198"/>
      <c r="AB363" s="198"/>
      <c r="AC363" s="198"/>
      <c r="AD363" s="198"/>
      <c r="AE363" s="198"/>
      <c r="AF363" s="198"/>
      <c r="AG363" s="198"/>
      <c r="AH363" s="198"/>
      <c r="AI363" s="198"/>
      <c r="AJ363" s="198"/>
      <c r="AK363" s="198"/>
      <c r="AL363" s="198"/>
      <c r="AM363" s="198"/>
      <c r="AN363" s="198"/>
      <c r="AO363" s="198"/>
      <c r="AP363" s="198"/>
      <c r="AQ363" s="198"/>
      <c r="AR363" s="198"/>
      <c r="AS363" s="198"/>
      <c r="AT363" s="198"/>
      <c r="AU363" s="198"/>
      <c r="AV363" s="198"/>
      <c r="AW363" s="198"/>
      <c r="AX363" s="198"/>
      <c r="AY363" s="198"/>
      <c r="AZ363" s="198"/>
      <c r="BA363" s="198"/>
      <c r="BB363" s="198"/>
      <c r="BC363" s="198"/>
      <c r="BD363" s="198"/>
      <c r="BE363" s="198"/>
      <c r="BF363" s="198"/>
      <c r="BG363" s="198"/>
      <c r="BH363" s="198"/>
      <c r="BI363" s="198"/>
      <c r="BJ363" s="198"/>
      <c r="BK363" s="198"/>
      <c r="BL363" s="198"/>
      <c r="BM363" s="198"/>
      <c r="BN363" s="198"/>
      <c r="BO363" s="198"/>
      <c r="BP363" s="198"/>
      <c r="BQ363" s="198"/>
      <c r="BR363" s="198"/>
      <c r="BS363" s="198"/>
      <c r="BT363" s="198"/>
      <c r="BU363" s="198"/>
      <c r="BV363" s="198"/>
      <c r="BW363" s="198"/>
      <c r="BX363" s="198"/>
      <c r="BY363" s="198"/>
      <c r="BZ363" s="198"/>
      <c r="CA363" s="198"/>
      <c r="CB363" s="198"/>
      <c r="CC363" s="198"/>
      <c r="CD363" s="198"/>
      <c r="CE363" s="198"/>
      <c r="CF363" s="198"/>
      <c r="CG363" s="198"/>
      <c r="CH363" s="198"/>
      <c r="CI363" s="198"/>
      <c r="CJ363" s="198"/>
      <c r="CK363" s="198"/>
      <c r="CL363" s="198"/>
      <c r="CM363" s="198"/>
      <c r="CN363" s="198"/>
      <c r="CO363" s="198"/>
      <c r="CP363" s="198"/>
      <c r="CQ363" s="198"/>
      <c r="CR363" s="198"/>
      <c r="CS363" s="198"/>
      <c r="CT363" s="198"/>
      <c r="CU363" s="198"/>
      <c r="CV363" s="198"/>
      <c r="CW363" s="198"/>
      <c r="CX363" s="198"/>
      <c r="CY363" s="198"/>
      <c r="CZ363" s="198"/>
      <c r="DA363" s="198"/>
      <c r="DB363" s="198"/>
      <c r="DC363" s="198"/>
      <c r="DD363" s="198"/>
      <c r="DE363" s="198"/>
      <c r="DF363" s="198"/>
      <c r="DG363" s="198"/>
      <c r="DH363" s="198"/>
      <c r="DI363" s="198"/>
      <c r="DJ363" s="198"/>
      <c r="DK363" s="198"/>
      <c r="DL363" s="198"/>
      <c r="DM363" s="198"/>
      <c r="DN363" s="198"/>
      <c r="DO363" s="198"/>
      <c r="DP363" s="198"/>
      <c r="DQ363" s="198"/>
      <c r="DR363" s="198"/>
      <c r="DS363" s="198"/>
      <c r="DT363" s="198"/>
      <c r="DU363" s="198"/>
      <c r="DV363" s="198"/>
      <c r="DW363" s="198"/>
      <c r="DX363" s="198"/>
      <c r="DY363" s="198"/>
      <c r="DZ363" s="198"/>
      <c r="EA363" s="198"/>
      <c r="EB363" s="198"/>
      <c r="EC363" s="198"/>
      <c r="ED363" s="198"/>
      <c r="EE363" s="198"/>
      <c r="EF363" s="198"/>
      <c r="EG363" s="198"/>
      <c r="EH363" s="198"/>
      <c r="EI363" s="198"/>
      <c r="EJ363" s="198"/>
      <c r="EK363" s="198"/>
      <c r="EL363" s="198"/>
      <c r="EM363" s="198"/>
      <c r="EN363" s="198"/>
      <c r="EO363" s="198"/>
      <c r="EP363" s="198"/>
      <c r="EQ363" s="198"/>
      <c r="ER363" s="198"/>
      <c r="ES363" s="198"/>
      <c r="ET363" s="198"/>
      <c r="EU363" s="198"/>
      <c r="EV363" s="198"/>
      <c r="EW363" s="198"/>
      <c r="EX363" s="198"/>
      <c r="EY363" s="198"/>
      <c r="EZ363" s="198"/>
      <c r="FA363" s="198"/>
      <c r="FB363" s="198"/>
      <c r="FC363" s="198"/>
      <c r="FD363" s="198"/>
      <c r="FE363" s="198"/>
      <c r="FF363" s="198"/>
      <c r="FG363" s="198"/>
      <c r="FH363" s="198"/>
    </row>
    <row r="364" spans="10:164" s="173" customFormat="1" x14ac:dyDescent="0.3">
      <c r="J364" s="198"/>
      <c r="K364" s="198"/>
      <c r="L364" s="198"/>
      <c r="M364" s="198"/>
      <c r="N364" s="198"/>
      <c r="O364" s="198"/>
      <c r="P364" s="198"/>
      <c r="Q364" s="198"/>
      <c r="R364" s="198"/>
      <c r="S364" s="198"/>
      <c r="T364" s="198"/>
      <c r="U364" s="198"/>
      <c r="V364" s="198"/>
      <c r="W364" s="198"/>
      <c r="X364" s="198"/>
      <c r="Y364" s="198"/>
      <c r="Z364" s="198"/>
      <c r="AA364" s="198"/>
      <c r="AB364" s="198"/>
      <c r="AC364" s="198"/>
      <c r="AD364" s="198"/>
      <c r="AE364" s="198"/>
      <c r="AF364" s="198"/>
      <c r="AG364" s="198"/>
      <c r="AH364" s="198"/>
      <c r="AI364" s="198"/>
      <c r="AJ364" s="198"/>
      <c r="AK364" s="198"/>
      <c r="AL364" s="198"/>
      <c r="AM364" s="198"/>
      <c r="AN364" s="198"/>
      <c r="AO364" s="198"/>
      <c r="AP364" s="198"/>
      <c r="AQ364" s="198"/>
      <c r="AR364" s="198"/>
      <c r="AS364" s="198"/>
      <c r="AT364" s="198"/>
      <c r="AU364" s="198"/>
      <c r="AV364" s="198"/>
      <c r="AW364" s="198"/>
      <c r="AX364" s="198"/>
      <c r="AY364" s="198"/>
      <c r="AZ364" s="198"/>
      <c r="BA364" s="198"/>
      <c r="BB364" s="198"/>
      <c r="BC364" s="198"/>
      <c r="BD364" s="198"/>
      <c r="BE364" s="198"/>
      <c r="BF364" s="198"/>
      <c r="BG364" s="198"/>
      <c r="BH364" s="198"/>
      <c r="BI364" s="198"/>
      <c r="BJ364" s="198"/>
      <c r="BK364" s="198"/>
      <c r="BL364" s="198"/>
      <c r="BM364" s="198"/>
      <c r="BN364" s="198"/>
      <c r="BO364" s="198"/>
      <c r="BP364" s="198"/>
      <c r="BQ364" s="198"/>
      <c r="BR364" s="198"/>
      <c r="BS364" s="198"/>
      <c r="BT364" s="198"/>
      <c r="BU364" s="198"/>
      <c r="BV364" s="198"/>
      <c r="BW364" s="198"/>
      <c r="BX364" s="198"/>
      <c r="BY364" s="198"/>
      <c r="BZ364" s="198"/>
      <c r="CA364" s="198"/>
      <c r="CB364" s="198"/>
      <c r="CC364" s="198"/>
      <c r="CD364" s="198"/>
      <c r="CE364" s="198"/>
      <c r="CF364" s="198"/>
      <c r="CG364" s="198"/>
      <c r="CH364" s="198"/>
      <c r="CI364" s="198"/>
      <c r="CJ364" s="198"/>
      <c r="CK364" s="198"/>
      <c r="CL364" s="198"/>
      <c r="CM364" s="198"/>
      <c r="CN364" s="198"/>
      <c r="CO364" s="198"/>
      <c r="CP364" s="198"/>
      <c r="CQ364" s="198"/>
      <c r="CR364" s="198"/>
      <c r="CS364" s="198"/>
      <c r="CT364" s="198"/>
      <c r="CU364" s="198"/>
      <c r="CV364" s="198"/>
      <c r="CW364" s="198"/>
      <c r="CX364" s="198"/>
      <c r="CY364" s="198"/>
      <c r="CZ364" s="198"/>
      <c r="DA364" s="198"/>
      <c r="DB364" s="198"/>
      <c r="DC364" s="198"/>
      <c r="DD364" s="198"/>
      <c r="DE364" s="198"/>
      <c r="DF364" s="198"/>
      <c r="DG364" s="198"/>
      <c r="DH364" s="198"/>
      <c r="DI364" s="198"/>
      <c r="DJ364" s="198"/>
      <c r="DK364" s="198"/>
      <c r="DL364" s="198"/>
      <c r="DM364" s="198"/>
      <c r="DN364" s="198"/>
      <c r="DO364" s="198"/>
      <c r="DP364" s="198"/>
      <c r="DQ364" s="198"/>
      <c r="DR364" s="198"/>
      <c r="DS364" s="198"/>
      <c r="DT364" s="198"/>
      <c r="DU364" s="198"/>
      <c r="DV364" s="198"/>
      <c r="DW364" s="198"/>
      <c r="DX364" s="198"/>
      <c r="DY364" s="198"/>
      <c r="DZ364" s="198"/>
      <c r="EA364" s="198"/>
      <c r="EB364" s="198"/>
      <c r="EC364" s="198"/>
      <c r="ED364" s="198"/>
      <c r="EE364" s="198"/>
      <c r="EF364" s="198"/>
      <c r="EG364" s="198"/>
      <c r="EH364" s="198"/>
      <c r="EI364" s="198"/>
      <c r="EJ364" s="198"/>
      <c r="EK364" s="198"/>
      <c r="EL364" s="198"/>
      <c r="EM364" s="198"/>
      <c r="EN364" s="198"/>
      <c r="EO364" s="198"/>
      <c r="EP364" s="198"/>
      <c r="EQ364" s="198"/>
      <c r="ER364" s="198"/>
      <c r="ES364" s="198"/>
      <c r="ET364" s="198"/>
      <c r="EU364" s="198"/>
      <c r="EV364" s="198"/>
      <c r="EW364" s="198"/>
      <c r="EX364" s="198"/>
      <c r="EY364" s="198"/>
      <c r="EZ364" s="198"/>
      <c r="FA364" s="198"/>
      <c r="FB364" s="198"/>
      <c r="FC364" s="198"/>
      <c r="FD364" s="198"/>
      <c r="FE364" s="198"/>
      <c r="FF364" s="198"/>
      <c r="FG364" s="198"/>
      <c r="FH364" s="198"/>
    </row>
    <row r="365" spans="10:164" s="173" customFormat="1" x14ac:dyDescent="0.3">
      <c r="J365" s="198"/>
      <c r="K365" s="198"/>
      <c r="L365" s="198"/>
      <c r="M365" s="198"/>
      <c r="N365" s="198"/>
      <c r="O365" s="198"/>
      <c r="P365" s="198"/>
      <c r="Q365" s="198"/>
      <c r="R365" s="198"/>
      <c r="S365" s="198"/>
      <c r="T365" s="198"/>
      <c r="U365" s="198"/>
      <c r="V365" s="198"/>
      <c r="W365" s="198"/>
      <c r="X365" s="198"/>
      <c r="Y365" s="198"/>
      <c r="Z365" s="198"/>
      <c r="AA365" s="198"/>
      <c r="AB365" s="198"/>
      <c r="AC365" s="198"/>
      <c r="AD365" s="198"/>
      <c r="AE365" s="198"/>
      <c r="AF365" s="198"/>
      <c r="AG365" s="198"/>
      <c r="AH365" s="198"/>
      <c r="AI365" s="198"/>
      <c r="AJ365" s="198"/>
      <c r="AK365" s="198"/>
      <c r="AL365" s="198"/>
      <c r="AM365" s="198"/>
      <c r="AN365" s="198"/>
      <c r="AO365" s="198"/>
      <c r="AP365" s="198"/>
      <c r="AQ365" s="198"/>
      <c r="AR365" s="198"/>
      <c r="AS365" s="198"/>
      <c r="AT365" s="198"/>
      <c r="AU365" s="198"/>
      <c r="AV365" s="198"/>
      <c r="AW365" s="198"/>
      <c r="AX365" s="198"/>
      <c r="AY365" s="198"/>
      <c r="AZ365" s="198"/>
      <c r="BA365" s="198"/>
      <c r="BB365" s="198"/>
      <c r="BC365" s="198"/>
      <c r="BD365" s="198"/>
      <c r="BE365" s="198"/>
      <c r="BF365" s="198"/>
      <c r="BG365" s="198"/>
      <c r="BH365" s="198"/>
      <c r="BI365" s="198"/>
      <c r="BJ365" s="198"/>
      <c r="BK365" s="198"/>
      <c r="BL365" s="198"/>
      <c r="BM365" s="198"/>
      <c r="BN365" s="198"/>
      <c r="BO365" s="198"/>
      <c r="BP365" s="198"/>
      <c r="BQ365" s="198"/>
      <c r="BR365" s="198"/>
      <c r="BS365" s="198"/>
      <c r="BT365" s="198"/>
      <c r="BU365" s="198"/>
      <c r="BV365" s="198"/>
      <c r="BW365" s="198"/>
      <c r="BX365" s="198"/>
      <c r="BY365" s="198"/>
      <c r="BZ365" s="198"/>
      <c r="CA365" s="198"/>
      <c r="CB365" s="198"/>
      <c r="CC365" s="198"/>
      <c r="CD365" s="198"/>
      <c r="CE365" s="198"/>
      <c r="CF365" s="198"/>
      <c r="CG365" s="198"/>
      <c r="CH365" s="198"/>
      <c r="CI365" s="198"/>
      <c r="CJ365" s="198"/>
      <c r="CK365" s="198"/>
      <c r="CL365" s="198"/>
      <c r="CM365" s="198"/>
      <c r="CN365" s="198"/>
      <c r="CO365" s="198"/>
      <c r="CP365" s="198"/>
      <c r="CQ365" s="198"/>
      <c r="CR365" s="198"/>
      <c r="CS365" s="198"/>
      <c r="CT365" s="198"/>
      <c r="CU365" s="198"/>
      <c r="CV365" s="198"/>
      <c r="CW365" s="198"/>
      <c r="CX365" s="198"/>
      <c r="CY365" s="198"/>
      <c r="CZ365" s="198"/>
      <c r="DA365" s="198"/>
      <c r="DB365" s="198"/>
      <c r="DC365" s="198"/>
      <c r="DD365" s="198"/>
      <c r="DE365" s="198"/>
      <c r="DF365" s="198"/>
      <c r="DG365" s="198"/>
      <c r="DH365" s="198"/>
      <c r="DI365" s="198"/>
      <c r="DJ365" s="198"/>
      <c r="DK365" s="198"/>
      <c r="DL365" s="198"/>
      <c r="DM365" s="198"/>
      <c r="DN365" s="198"/>
      <c r="DO365" s="198"/>
      <c r="DP365" s="198"/>
      <c r="DQ365" s="198"/>
      <c r="DR365" s="198"/>
      <c r="DS365" s="198"/>
      <c r="DT365" s="198"/>
      <c r="DU365" s="198"/>
      <c r="DV365" s="198"/>
      <c r="DW365" s="198"/>
      <c r="DX365" s="198"/>
      <c r="DY365" s="198"/>
      <c r="DZ365" s="198"/>
      <c r="EA365" s="198"/>
      <c r="EB365" s="198"/>
      <c r="EC365" s="198"/>
      <c r="ED365" s="198"/>
      <c r="EE365" s="198"/>
      <c r="EF365" s="198"/>
      <c r="EG365" s="198"/>
      <c r="EH365" s="198"/>
      <c r="EI365" s="198"/>
      <c r="EJ365" s="198"/>
      <c r="EK365" s="198"/>
      <c r="EL365" s="198"/>
      <c r="EM365" s="198"/>
      <c r="EN365" s="198"/>
      <c r="EO365" s="198"/>
      <c r="EP365" s="198"/>
      <c r="EQ365" s="198"/>
      <c r="ER365" s="198"/>
      <c r="ES365" s="198"/>
      <c r="ET365" s="198"/>
      <c r="EU365" s="198"/>
      <c r="EV365" s="198"/>
      <c r="EW365" s="198"/>
      <c r="EX365" s="198"/>
      <c r="EY365" s="198"/>
      <c r="EZ365" s="198"/>
      <c r="FA365" s="198"/>
      <c r="FB365" s="198"/>
      <c r="FC365" s="198"/>
      <c r="FD365" s="198"/>
      <c r="FE365" s="198"/>
      <c r="FF365" s="198"/>
      <c r="FG365" s="198"/>
      <c r="FH365" s="198"/>
    </row>
    <row r="366" spans="10:164" s="173" customFormat="1" x14ac:dyDescent="0.3">
      <c r="J366" s="198"/>
      <c r="K366" s="198"/>
      <c r="L366" s="198"/>
      <c r="M366" s="198"/>
      <c r="N366" s="198"/>
      <c r="O366" s="198"/>
      <c r="P366" s="198"/>
      <c r="Q366" s="198"/>
      <c r="R366" s="198"/>
      <c r="S366" s="198"/>
      <c r="T366" s="198"/>
      <c r="U366" s="198"/>
      <c r="V366" s="198"/>
      <c r="W366" s="198"/>
      <c r="X366" s="198"/>
      <c r="Y366" s="198"/>
      <c r="Z366" s="198"/>
      <c r="AA366" s="198"/>
      <c r="AB366" s="198"/>
      <c r="AC366" s="198"/>
      <c r="AD366" s="198"/>
      <c r="AE366" s="198"/>
      <c r="AF366" s="198"/>
      <c r="AG366" s="198"/>
      <c r="AH366" s="198"/>
      <c r="AI366" s="198"/>
      <c r="AJ366" s="198"/>
      <c r="AK366" s="198"/>
      <c r="AL366" s="198"/>
      <c r="AM366" s="198"/>
      <c r="AN366" s="198"/>
      <c r="AO366" s="198"/>
      <c r="AP366" s="198"/>
      <c r="AQ366" s="198"/>
      <c r="AR366" s="198"/>
      <c r="AS366" s="198"/>
      <c r="AT366" s="198"/>
      <c r="AU366" s="198"/>
      <c r="AV366" s="198"/>
      <c r="AW366" s="198"/>
      <c r="AX366" s="198"/>
      <c r="AY366" s="198"/>
      <c r="AZ366" s="198"/>
      <c r="BA366" s="198"/>
      <c r="BB366" s="198"/>
      <c r="BC366" s="198"/>
      <c r="BD366" s="198"/>
      <c r="BE366" s="198"/>
      <c r="BF366" s="198"/>
      <c r="BG366" s="198"/>
      <c r="BH366" s="198"/>
      <c r="BI366" s="198"/>
      <c r="BJ366" s="198"/>
      <c r="BK366" s="198"/>
      <c r="BL366" s="198"/>
      <c r="BM366" s="198"/>
      <c r="BN366" s="198"/>
      <c r="BO366" s="198"/>
      <c r="BP366" s="198"/>
      <c r="BQ366" s="198"/>
      <c r="BR366" s="198"/>
      <c r="BS366" s="198"/>
      <c r="BT366" s="198"/>
      <c r="BU366" s="198"/>
      <c r="BV366" s="198"/>
      <c r="BW366" s="198"/>
      <c r="BX366" s="198"/>
      <c r="BY366" s="198"/>
      <c r="BZ366" s="198"/>
      <c r="CA366" s="198"/>
      <c r="CB366" s="198"/>
      <c r="CC366" s="198"/>
      <c r="CD366" s="198"/>
      <c r="CE366" s="198"/>
      <c r="CF366" s="198"/>
      <c r="CG366" s="198"/>
      <c r="CH366" s="198"/>
      <c r="CI366" s="198"/>
      <c r="CJ366" s="198"/>
      <c r="CK366" s="198"/>
      <c r="CL366" s="198"/>
      <c r="CM366" s="198"/>
      <c r="CN366" s="198"/>
      <c r="CO366" s="198"/>
      <c r="CP366" s="198"/>
      <c r="CQ366" s="198"/>
      <c r="CR366" s="198"/>
      <c r="CS366" s="198"/>
      <c r="CT366" s="198"/>
      <c r="CU366" s="198"/>
      <c r="CV366" s="198"/>
      <c r="CW366" s="198"/>
      <c r="CX366" s="198"/>
      <c r="CY366" s="198"/>
      <c r="CZ366" s="198"/>
      <c r="DA366" s="198"/>
      <c r="DB366" s="198"/>
      <c r="DC366" s="198"/>
      <c r="DD366" s="198"/>
      <c r="DE366" s="198"/>
      <c r="DF366" s="198"/>
      <c r="DG366" s="198"/>
      <c r="DH366" s="198"/>
      <c r="DI366" s="198"/>
      <c r="DJ366" s="198"/>
      <c r="DK366" s="198"/>
      <c r="DL366" s="198"/>
      <c r="DM366" s="198"/>
      <c r="DN366" s="198"/>
      <c r="DO366" s="198"/>
      <c r="DP366" s="198"/>
      <c r="DQ366" s="198"/>
      <c r="DR366" s="198"/>
      <c r="DS366" s="198"/>
      <c r="DT366" s="198"/>
      <c r="DU366" s="198"/>
      <c r="DV366" s="198"/>
      <c r="DW366" s="198"/>
      <c r="DX366" s="198"/>
      <c r="DY366" s="198"/>
      <c r="DZ366" s="198"/>
      <c r="EA366" s="198"/>
      <c r="EB366" s="198"/>
      <c r="EC366" s="198"/>
      <c r="ED366" s="198"/>
      <c r="EE366" s="198"/>
      <c r="EF366" s="198"/>
      <c r="EG366" s="198"/>
      <c r="EH366" s="198"/>
      <c r="EI366" s="198"/>
      <c r="EJ366" s="198"/>
      <c r="EK366" s="198"/>
      <c r="EL366" s="198"/>
      <c r="EM366" s="198"/>
      <c r="EN366" s="198"/>
      <c r="EO366" s="198"/>
      <c r="EP366" s="198"/>
      <c r="EQ366" s="198"/>
      <c r="ER366" s="198"/>
      <c r="ES366" s="198"/>
      <c r="ET366" s="198"/>
      <c r="EU366" s="198"/>
      <c r="EV366" s="198"/>
      <c r="EW366" s="198"/>
      <c r="EX366" s="198"/>
      <c r="EY366" s="198"/>
      <c r="EZ366" s="198"/>
      <c r="FA366" s="198"/>
      <c r="FB366" s="198"/>
      <c r="FC366" s="198"/>
      <c r="FD366" s="198"/>
      <c r="FE366" s="198"/>
      <c r="FF366" s="198"/>
      <c r="FG366" s="198"/>
      <c r="FH366" s="198"/>
    </row>
    <row r="367" spans="10:164" s="173" customFormat="1" x14ac:dyDescent="0.3">
      <c r="J367" s="198"/>
      <c r="K367" s="198"/>
      <c r="L367" s="198"/>
      <c r="M367" s="198"/>
      <c r="N367" s="198"/>
      <c r="O367" s="198"/>
      <c r="P367" s="198"/>
      <c r="Q367" s="198"/>
      <c r="R367" s="198"/>
      <c r="S367" s="198"/>
      <c r="T367" s="198"/>
      <c r="U367" s="198"/>
      <c r="V367" s="198"/>
      <c r="W367" s="198"/>
      <c r="X367" s="198"/>
      <c r="Y367" s="198"/>
      <c r="Z367" s="198"/>
      <c r="AA367" s="198"/>
      <c r="AB367" s="198"/>
      <c r="AC367" s="198"/>
      <c r="AD367" s="198"/>
      <c r="AE367" s="198"/>
      <c r="AF367" s="198"/>
      <c r="AG367" s="198"/>
      <c r="AH367" s="198"/>
      <c r="AI367" s="198"/>
      <c r="AJ367" s="198"/>
      <c r="AK367" s="198"/>
      <c r="AL367" s="198"/>
      <c r="AM367" s="198"/>
      <c r="AN367" s="198"/>
      <c r="AO367" s="198"/>
      <c r="AP367" s="198"/>
      <c r="AQ367" s="198"/>
      <c r="AR367" s="198"/>
      <c r="AS367" s="198"/>
      <c r="AT367" s="198"/>
      <c r="AU367" s="198"/>
      <c r="AV367" s="198"/>
      <c r="AW367" s="198"/>
      <c r="AX367" s="198"/>
      <c r="AY367" s="198"/>
      <c r="AZ367" s="198"/>
      <c r="BA367" s="198"/>
      <c r="BB367" s="198"/>
      <c r="BC367" s="198"/>
      <c r="BD367" s="198"/>
      <c r="BE367" s="198"/>
      <c r="BF367" s="198"/>
      <c r="BG367" s="198"/>
      <c r="BH367" s="198"/>
      <c r="BI367" s="198"/>
      <c r="BJ367" s="198"/>
      <c r="BK367" s="198"/>
      <c r="BL367" s="198"/>
      <c r="BM367" s="198"/>
      <c r="BN367" s="198"/>
      <c r="BO367" s="198"/>
      <c r="BP367" s="198"/>
      <c r="BQ367" s="198"/>
      <c r="BR367" s="198"/>
      <c r="BS367" s="198"/>
      <c r="BT367" s="198"/>
      <c r="BU367" s="198"/>
      <c r="BV367" s="198"/>
      <c r="BW367" s="198"/>
      <c r="BX367" s="198"/>
      <c r="BY367" s="198"/>
      <c r="BZ367" s="198"/>
      <c r="CA367" s="198"/>
      <c r="CB367" s="198"/>
      <c r="CC367" s="198"/>
      <c r="CD367" s="198"/>
      <c r="CE367" s="198"/>
      <c r="CF367" s="198"/>
      <c r="CG367" s="198"/>
      <c r="CH367" s="198"/>
      <c r="CI367" s="198"/>
      <c r="CJ367" s="198"/>
      <c r="CK367" s="198"/>
      <c r="CL367" s="198"/>
      <c r="CM367" s="198"/>
      <c r="CN367" s="198"/>
      <c r="CO367" s="198"/>
      <c r="CP367" s="198"/>
      <c r="CQ367" s="198"/>
      <c r="CR367" s="198"/>
      <c r="CS367" s="198"/>
      <c r="CT367" s="198"/>
      <c r="CU367" s="198"/>
      <c r="CV367" s="198"/>
      <c r="CW367" s="198"/>
      <c r="CX367" s="198"/>
      <c r="CY367" s="198"/>
      <c r="CZ367" s="198"/>
      <c r="DA367" s="198"/>
      <c r="DB367" s="198"/>
      <c r="DC367" s="198"/>
      <c r="DD367" s="198"/>
      <c r="DE367" s="198"/>
      <c r="DF367" s="198"/>
      <c r="DG367" s="198"/>
      <c r="DH367" s="198"/>
      <c r="DI367" s="198"/>
      <c r="DJ367" s="198"/>
      <c r="DK367" s="198"/>
      <c r="DL367" s="198"/>
      <c r="DM367" s="198"/>
      <c r="DN367" s="198"/>
      <c r="DO367" s="198"/>
      <c r="DP367" s="198"/>
      <c r="DQ367" s="198"/>
      <c r="DR367" s="198"/>
      <c r="DS367" s="198"/>
      <c r="DT367" s="198"/>
      <c r="DU367" s="198"/>
      <c r="DV367" s="198"/>
      <c r="DW367" s="198"/>
      <c r="DX367" s="198"/>
      <c r="DY367" s="198"/>
      <c r="DZ367" s="198"/>
      <c r="EA367" s="198"/>
      <c r="EB367" s="198"/>
      <c r="EC367" s="198"/>
      <c r="ED367" s="198"/>
      <c r="EE367" s="198"/>
      <c r="EF367" s="198"/>
      <c r="EG367" s="198"/>
      <c r="EH367" s="198"/>
      <c r="EI367" s="198"/>
      <c r="EJ367" s="198"/>
      <c r="EK367" s="198"/>
      <c r="EL367" s="198"/>
      <c r="EM367" s="198"/>
      <c r="EN367" s="198"/>
      <c r="EO367" s="198"/>
      <c r="EP367" s="198"/>
      <c r="EQ367" s="198"/>
      <c r="ER367" s="198"/>
      <c r="ES367" s="198"/>
      <c r="ET367" s="198"/>
      <c r="EU367" s="198"/>
      <c r="EV367" s="198"/>
      <c r="EW367" s="198"/>
      <c r="EX367" s="198"/>
      <c r="EY367" s="198"/>
      <c r="EZ367" s="198"/>
      <c r="FA367" s="198"/>
      <c r="FB367" s="198"/>
      <c r="FC367" s="198"/>
      <c r="FD367" s="198"/>
      <c r="FE367" s="198"/>
      <c r="FF367" s="198"/>
      <c r="FG367" s="198"/>
      <c r="FH367" s="198"/>
    </row>
    <row r="368" spans="10:164" s="173" customFormat="1" x14ac:dyDescent="0.3">
      <c r="J368" s="198"/>
      <c r="K368" s="198"/>
      <c r="L368" s="198"/>
      <c r="M368" s="198"/>
      <c r="N368" s="198"/>
      <c r="O368" s="198"/>
      <c r="P368" s="198"/>
      <c r="Q368" s="198"/>
      <c r="R368" s="198"/>
      <c r="S368" s="198"/>
      <c r="T368" s="198"/>
      <c r="U368" s="198"/>
      <c r="V368" s="198"/>
      <c r="W368" s="198"/>
      <c r="X368" s="198"/>
      <c r="Y368" s="198"/>
      <c r="Z368" s="198"/>
      <c r="AA368" s="198"/>
      <c r="AB368" s="198"/>
      <c r="AC368" s="198"/>
      <c r="AD368" s="198"/>
      <c r="AE368" s="198"/>
      <c r="AF368" s="198"/>
      <c r="AG368" s="198"/>
      <c r="AH368" s="198"/>
      <c r="AI368" s="198"/>
      <c r="AJ368" s="198"/>
      <c r="AK368" s="198"/>
      <c r="AL368" s="198"/>
      <c r="AM368" s="198"/>
      <c r="AN368" s="198"/>
      <c r="AO368" s="198"/>
      <c r="AP368" s="198"/>
      <c r="AQ368" s="198"/>
      <c r="AR368" s="198"/>
      <c r="AS368" s="198"/>
      <c r="AT368" s="198"/>
      <c r="AU368" s="198"/>
      <c r="AV368" s="198"/>
      <c r="AW368" s="198"/>
      <c r="AX368" s="198"/>
      <c r="AY368" s="198"/>
      <c r="AZ368" s="198"/>
      <c r="BA368" s="198"/>
      <c r="BB368" s="198"/>
      <c r="BC368" s="198"/>
      <c r="BD368" s="198"/>
      <c r="BE368" s="198"/>
      <c r="BF368" s="198"/>
      <c r="BG368" s="198"/>
      <c r="BH368" s="198"/>
      <c r="BI368" s="198"/>
      <c r="BJ368" s="198"/>
      <c r="BK368" s="198"/>
      <c r="BL368" s="198"/>
      <c r="BM368" s="198"/>
      <c r="BN368" s="198"/>
      <c r="BO368" s="198"/>
      <c r="BP368" s="198"/>
      <c r="BQ368" s="198"/>
      <c r="BR368" s="198"/>
      <c r="BS368" s="198"/>
      <c r="BT368" s="198"/>
      <c r="BU368" s="198"/>
      <c r="BV368" s="198"/>
      <c r="BW368" s="198"/>
      <c r="BX368" s="198"/>
      <c r="BY368" s="198"/>
      <c r="BZ368" s="198"/>
      <c r="CA368" s="198"/>
      <c r="CB368" s="198"/>
      <c r="CC368" s="198"/>
      <c r="CD368" s="198"/>
      <c r="CE368" s="198"/>
      <c r="CF368" s="198"/>
      <c r="CG368" s="198"/>
      <c r="CH368" s="198"/>
      <c r="CI368" s="198"/>
      <c r="CJ368" s="198"/>
      <c r="CK368" s="198"/>
      <c r="CL368" s="198"/>
      <c r="CM368" s="198"/>
      <c r="CN368" s="198"/>
      <c r="CO368" s="198"/>
      <c r="CP368" s="198"/>
      <c r="CQ368" s="198"/>
      <c r="CR368" s="198"/>
      <c r="CS368" s="198"/>
      <c r="CT368" s="198"/>
      <c r="CU368" s="198"/>
      <c r="CV368" s="198"/>
      <c r="CW368" s="198"/>
      <c r="CX368" s="198"/>
      <c r="CY368" s="198"/>
      <c r="CZ368" s="198"/>
      <c r="DA368" s="198"/>
      <c r="DB368" s="198"/>
      <c r="DC368" s="198"/>
      <c r="DD368" s="198"/>
      <c r="DE368" s="198"/>
      <c r="DF368" s="198"/>
      <c r="DG368" s="198"/>
      <c r="DH368" s="198"/>
      <c r="DI368" s="198"/>
      <c r="DJ368" s="198"/>
      <c r="DK368" s="198"/>
      <c r="DL368" s="198"/>
      <c r="DM368" s="198"/>
      <c r="DN368" s="198"/>
      <c r="DO368" s="198"/>
      <c r="DP368" s="198"/>
      <c r="DQ368" s="198"/>
      <c r="DR368" s="198"/>
      <c r="DS368" s="198"/>
      <c r="DT368" s="198"/>
      <c r="DU368" s="198"/>
      <c r="DV368" s="198"/>
      <c r="DW368" s="198"/>
      <c r="DX368" s="198"/>
      <c r="DY368" s="198"/>
      <c r="DZ368" s="198"/>
      <c r="EA368" s="198"/>
      <c r="EB368" s="198"/>
      <c r="EC368" s="198"/>
      <c r="ED368" s="198"/>
      <c r="EE368" s="198"/>
      <c r="EF368" s="198"/>
      <c r="EG368" s="198"/>
      <c r="EH368" s="198"/>
      <c r="EI368" s="198"/>
      <c r="EJ368" s="198"/>
      <c r="EK368" s="198"/>
      <c r="EL368" s="198"/>
      <c r="EM368" s="198"/>
      <c r="EN368" s="198"/>
      <c r="EO368" s="198"/>
      <c r="EP368" s="198"/>
      <c r="EQ368" s="198"/>
      <c r="ER368" s="198"/>
      <c r="ES368" s="198"/>
      <c r="ET368" s="198"/>
      <c r="EU368" s="198"/>
      <c r="EV368" s="198"/>
      <c r="EW368" s="198"/>
      <c r="EX368" s="198"/>
      <c r="EY368" s="198"/>
      <c r="EZ368" s="198"/>
      <c r="FA368" s="198"/>
      <c r="FB368" s="198"/>
      <c r="FC368" s="198"/>
      <c r="FD368" s="198"/>
      <c r="FE368" s="198"/>
      <c r="FF368" s="198"/>
      <c r="FG368" s="198"/>
      <c r="FH368" s="198"/>
    </row>
    <row r="369" spans="10:164" s="173" customFormat="1" x14ac:dyDescent="0.3">
      <c r="J369" s="198"/>
      <c r="K369" s="198"/>
      <c r="L369" s="198"/>
      <c r="M369" s="198"/>
      <c r="N369" s="198"/>
      <c r="O369" s="198"/>
      <c r="P369" s="198"/>
      <c r="Q369" s="198"/>
      <c r="R369" s="198"/>
      <c r="S369" s="198"/>
      <c r="T369" s="198"/>
      <c r="U369" s="198"/>
      <c r="V369" s="198"/>
      <c r="W369" s="198"/>
      <c r="X369" s="198"/>
      <c r="Y369" s="198"/>
      <c r="Z369" s="198"/>
      <c r="AA369" s="198"/>
      <c r="AB369" s="198"/>
      <c r="AC369" s="198"/>
      <c r="AD369" s="198"/>
      <c r="AE369" s="198"/>
      <c r="AF369" s="198"/>
      <c r="AG369" s="198"/>
      <c r="AH369" s="198"/>
      <c r="AI369" s="198"/>
      <c r="AJ369" s="198"/>
      <c r="AK369" s="198"/>
      <c r="AL369" s="198"/>
      <c r="AM369" s="198"/>
      <c r="AN369" s="198"/>
      <c r="AO369" s="198"/>
      <c r="AP369" s="198"/>
      <c r="AQ369" s="198"/>
      <c r="AR369" s="198"/>
      <c r="AS369" s="198"/>
      <c r="AT369" s="198"/>
      <c r="AU369" s="198"/>
      <c r="AV369" s="198"/>
      <c r="AW369" s="198"/>
      <c r="AX369" s="198"/>
      <c r="AY369" s="198"/>
      <c r="AZ369" s="198"/>
      <c r="BA369" s="198"/>
      <c r="BB369" s="198"/>
      <c r="BC369" s="198"/>
      <c r="BD369" s="198"/>
      <c r="BE369" s="198"/>
      <c r="BF369" s="198"/>
      <c r="BG369" s="198"/>
      <c r="BH369" s="198"/>
      <c r="BI369" s="198"/>
      <c r="BJ369" s="198"/>
      <c r="BK369" s="198"/>
      <c r="BL369" s="198"/>
      <c r="BM369" s="198"/>
      <c r="BN369" s="198"/>
      <c r="BO369" s="198"/>
      <c r="BP369" s="198"/>
      <c r="BQ369" s="198"/>
      <c r="BR369" s="198"/>
      <c r="BS369" s="198"/>
      <c r="BT369" s="198"/>
      <c r="BU369" s="198"/>
      <c r="BV369" s="198"/>
      <c r="BW369" s="198"/>
      <c r="BX369" s="198"/>
      <c r="BY369" s="198"/>
      <c r="BZ369" s="198"/>
      <c r="CA369" s="198"/>
      <c r="CB369" s="198"/>
      <c r="CC369" s="198"/>
      <c r="CD369" s="198"/>
      <c r="CE369" s="198"/>
      <c r="CF369" s="198"/>
      <c r="CG369" s="198"/>
      <c r="CH369" s="198"/>
      <c r="CI369" s="198"/>
      <c r="CJ369" s="198"/>
      <c r="CK369" s="198"/>
      <c r="CL369" s="198"/>
      <c r="CM369" s="198"/>
      <c r="CN369" s="198"/>
      <c r="CO369" s="198"/>
      <c r="CP369" s="198"/>
      <c r="CQ369" s="198"/>
      <c r="CR369" s="198"/>
      <c r="CS369" s="198"/>
      <c r="CT369" s="198"/>
      <c r="CU369" s="198"/>
      <c r="CV369" s="198"/>
      <c r="CW369" s="198"/>
      <c r="CX369" s="198"/>
      <c r="CY369" s="198"/>
      <c r="CZ369" s="198"/>
      <c r="DA369" s="198"/>
      <c r="DB369" s="198"/>
      <c r="DC369" s="198"/>
      <c r="DD369" s="198"/>
      <c r="DE369" s="198"/>
      <c r="DF369" s="198"/>
      <c r="DG369" s="198"/>
      <c r="DH369" s="198"/>
      <c r="DI369" s="198"/>
      <c r="DJ369" s="198"/>
      <c r="DK369" s="198"/>
      <c r="DL369" s="198"/>
      <c r="DM369" s="198"/>
      <c r="DN369" s="198"/>
      <c r="DO369" s="198"/>
      <c r="DP369" s="198"/>
      <c r="DQ369" s="198"/>
      <c r="DR369" s="198"/>
      <c r="DS369" s="198"/>
      <c r="DT369" s="198"/>
      <c r="DU369" s="198"/>
      <c r="DV369" s="198"/>
      <c r="DW369" s="198"/>
      <c r="DX369" s="198"/>
      <c r="DY369" s="198"/>
      <c r="DZ369" s="198"/>
      <c r="EA369" s="198"/>
      <c r="EB369" s="198"/>
      <c r="EC369" s="198"/>
      <c r="ED369" s="198"/>
      <c r="EE369" s="198"/>
      <c r="EF369" s="198"/>
      <c r="EG369" s="198"/>
      <c r="EH369" s="198"/>
      <c r="EI369" s="198"/>
      <c r="EJ369" s="198"/>
      <c r="EK369" s="198"/>
      <c r="EL369" s="198"/>
      <c r="EM369" s="198"/>
      <c r="EN369" s="198"/>
      <c r="EO369" s="198"/>
      <c r="EP369" s="198"/>
      <c r="EQ369" s="198"/>
      <c r="ER369" s="198"/>
      <c r="ES369" s="198"/>
      <c r="ET369" s="198"/>
      <c r="EU369" s="198"/>
      <c r="EV369" s="198"/>
      <c r="EW369" s="198"/>
      <c r="EX369" s="198"/>
      <c r="EY369" s="198"/>
      <c r="EZ369" s="198"/>
      <c r="FA369" s="198"/>
      <c r="FB369" s="198"/>
      <c r="FC369" s="198"/>
      <c r="FD369" s="198"/>
      <c r="FE369" s="198"/>
      <c r="FF369" s="198"/>
      <c r="FG369" s="198"/>
      <c r="FH369" s="198"/>
    </row>
    <row r="370" spans="10:164" s="173" customFormat="1" x14ac:dyDescent="0.3">
      <c r="J370" s="198"/>
      <c r="K370" s="198"/>
      <c r="L370" s="198"/>
      <c r="M370" s="198"/>
      <c r="N370" s="198"/>
      <c r="O370" s="198"/>
      <c r="P370" s="198"/>
      <c r="Q370" s="198"/>
      <c r="R370" s="198"/>
      <c r="S370" s="198"/>
      <c r="T370" s="198"/>
      <c r="U370" s="198"/>
      <c r="V370" s="198"/>
      <c r="W370" s="198"/>
      <c r="X370" s="198"/>
      <c r="Y370" s="198"/>
      <c r="Z370" s="198"/>
      <c r="AA370" s="198"/>
      <c r="AB370" s="198"/>
      <c r="AC370" s="198"/>
      <c r="AD370" s="198"/>
      <c r="AE370" s="198"/>
      <c r="AF370" s="198"/>
      <c r="AG370" s="198"/>
      <c r="AH370" s="198"/>
      <c r="AI370" s="198"/>
      <c r="AJ370" s="198"/>
      <c r="AK370" s="198"/>
      <c r="AL370" s="198"/>
      <c r="AM370" s="198"/>
      <c r="AN370" s="198"/>
      <c r="AO370" s="198"/>
      <c r="AP370" s="198"/>
      <c r="AQ370" s="198"/>
      <c r="AR370" s="198"/>
      <c r="AS370" s="198"/>
      <c r="AT370" s="198"/>
      <c r="AU370" s="198"/>
      <c r="AV370" s="198"/>
      <c r="AW370" s="198"/>
      <c r="AX370" s="198"/>
      <c r="AY370" s="198"/>
      <c r="AZ370" s="198"/>
      <c r="BA370" s="198"/>
      <c r="BB370" s="198"/>
      <c r="BC370" s="198"/>
      <c r="BD370" s="198"/>
      <c r="BE370" s="198"/>
      <c r="BF370" s="198"/>
      <c r="BG370" s="198"/>
      <c r="BH370" s="198"/>
      <c r="BI370" s="198"/>
      <c r="BJ370" s="198"/>
      <c r="BK370" s="198"/>
      <c r="BL370" s="198"/>
      <c r="BM370" s="198"/>
      <c r="BN370" s="198"/>
      <c r="BO370" s="198"/>
      <c r="BP370" s="198"/>
      <c r="BQ370" s="198"/>
      <c r="BR370" s="198"/>
      <c r="BS370" s="198"/>
      <c r="BT370" s="198"/>
      <c r="BU370" s="198"/>
      <c r="BV370" s="198"/>
      <c r="BW370" s="198"/>
      <c r="BX370" s="198"/>
      <c r="BY370" s="198"/>
      <c r="BZ370" s="198"/>
      <c r="CA370" s="198"/>
      <c r="CB370" s="198"/>
      <c r="CC370" s="198"/>
      <c r="CD370" s="198"/>
      <c r="CE370" s="198"/>
      <c r="CF370" s="198"/>
      <c r="CG370" s="198"/>
      <c r="CH370" s="198"/>
      <c r="CI370" s="198"/>
      <c r="CJ370" s="198"/>
      <c r="CK370" s="198"/>
      <c r="CL370" s="198"/>
      <c r="CM370" s="198"/>
      <c r="CN370" s="198"/>
      <c r="CO370" s="198"/>
      <c r="CP370" s="198"/>
      <c r="CQ370" s="198"/>
      <c r="CR370" s="198"/>
      <c r="CS370" s="198"/>
      <c r="CT370" s="198"/>
      <c r="CU370" s="198"/>
      <c r="CV370" s="198"/>
      <c r="CW370" s="198"/>
      <c r="CX370" s="198"/>
      <c r="CY370" s="198"/>
      <c r="CZ370" s="198"/>
      <c r="DA370" s="198"/>
      <c r="DB370" s="198"/>
      <c r="DC370" s="198"/>
      <c r="DD370" s="198"/>
      <c r="DE370" s="198"/>
      <c r="DF370" s="198"/>
      <c r="DG370" s="198"/>
      <c r="DH370" s="198"/>
      <c r="DI370" s="198"/>
      <c r="DJ370" s="198"/>
      <c r="DK370" s="198"/>
      <c r="DL370" s="198"/>
      <c r="DM370" s="198"/>
      <c r="DN370" s="198"/>
      <c r="DO370" s="198"/>
      <c r="DP370" s="198"/>
      <c r="DQ370" s="198"/>
      <c r="DR370" s="198"/>
      <c r="DS370" s="198"/>
      <c r="DT370" s="198"/>
      <c r="DU370" s="198"/>
      <c r="DV370" s="198"/>
      <c r="DW370" s="198"/>
      <c r="DX370" s="198"/>
      <c r="DY370" s="198"/>
      <c r="DZ370" s="198"/>
      <c r="EA370" s="198"/>
      <c r="EB370" s="198"/>
      <c r="EC370" s="198"/>
      <c r="ED370" s="198"/>
      <c r="EE370" s="198"/>
      <c r="EF370" s="198"/>
      <c r="EG370" s="198"/>
      <c r="EH370" s="198"/>
      <c r="EI370" s="198"/>
      <c r="EJ370" s="198"/>
      <c r="EK370" s="198"/>
      <c r="EL370" s="198"/>
      <c r="EM370" s="198"/>
      <c r="EN370" s="198"/>
      <c r="EO370" s="198"/>
      <c r="EP370" s="198"/>
      <c r="EQ370" s="198"/>
      <c r="ER370" s="198"/>
      <c r="ES370" s="198"/>
      <c r="ET370" s="198"/>
      <c r="EU370" s="198"/>
      <c r="EV370" s="198"/>
      <c r="EW370" s="198"/>
      <c r="EX370" s="198"/>
      <c r="EY370" s="198"/>
      <c r="EZ370" s="198"/>
      <c r="FA370" s="198"/>
      <c r="FB370" s="198"/>
      <c r="FC370" s="198"/>
      <c r="FD370" s="198"/>
      <c r="FE370" s="198"/>
      <c r="FF370" s="198"/>
      <c r="FG370" s="198"/>
      <c r="FH370" s="198"/>
    </row>
    <row r="371" spans="10:164" s="173" customFormat="1" x14ac:dyDescent="0.3">
      <c r="J371" s="198"/>
      <c r="K371" s="198"/>
      <c r="L371" s="198"/>
      <c r="M371" s="198"/>
      <c r="N371" s="198"/>
      <c r="O371" s="198"/>
      <c r="P371" s="198"/>
      <c r="Q371" s="198"/>
      <c r="R371" s="198"/>
      <c r="S371" s="198"/>
      <c r="T371" s="198"/>
      <c r="U371" s="198"/>
      <c r="V371" s="198"/>
      <c r="W371" s="198"/>
      <c r="X371" s="198"/>
      <c r="Y371" s="198"/>
      <c r="Z371" s="198"/>
      <c r="AA371" s="198"/>
      <c r="AB371" s="198"/>
      <c r="AC371" s="198"/>
      <c r="AD371" s="198"/>
      <c r="AE371" s="198"/>
      <c r="AF371" s="198"/>
      <c r="AG371" s="198"/>
      <c r="AH371" s="198"/>
      <c r="AI371" s="198"/>
      <c r="AJ371" s="198"/>
      <c r="AK371" s="198"/>
      <c r="AL371" s="198"/>
      <c r="AM371" s="198"/>
      <c r="AN371" s="198"/>
      <c r="AO371" s="198"/>
      <c r="AP371" s="198"/>
      <c r="AQ371" s="198"/>
      <c r="AR371" s="198"/>
      <c r="AS371" s="198"/>
      <c r="AT371" s="198"/>
      <c r="AU371" s="198"/>
      <c r="AV371" s="198"/>
      <c r="AW371" s="198"/>
      <c r="AX371" s="198"/>
      <c r="AY371" s="198"/>
      <c r="AZ371" s="198"/>
      <c r="BA371" s="198"/>
      <c r="BB371" s="198"/>
      <c r="BC371" s="198"/>
      <c r="BD371" s="198"/>
      <c r="BE371" s="198"/>
      <c r="BF371" s="198"/>
      <c r="BG371" s="198"/>
      <c r="BH371" s="198"/>
      <c r="BI371" s="198"/>
      <c r="BJ371" s="198"/>
      <c r="BK371" s="198"/>
      <c r="BL371" s="198"/>
      <c r="BM371" s="198"/>
      <c r="BN371" s="198"/>
      <c r="BO371" s="198"/>
      <c r="BP371" s="198"/>
      <c r="BQ371" s="198"/>
      <c r="BR371" s="198"/>
      <c r="BS371" s="198"/>
      <c r="BT371" s="198"/>
      <c r="BU371" s="198"/>
      <c r="BV371" s="198"/>
      <c r="BW371" s="198"/>
      <c r="BX371" s="198"/>
      <c r="BY371" s="198"/>
      <c r="BZ371" s="198"/>
      <c r="CA371" s="198"/>
      <c r="CB371" s="198"/>
      <c r="CC371" s="198"/>
      <c r="CD371" s="198"/>
      <c r="CE371" s="198"/>
      <c r="CF371" s="198"/>
      <c r="CG371" s="198"/>
      <c r="CH371" s="198"/>
      <c r="CI371" s="198"/>
      <c r="CJ371" s="198"/>
      <c r="CK371" s="198"/>
      <c r="CL371" s="198"/>
      <c r="CM371" s="198"/>
      <c r="CN371" s="198"/>
      <c r="CO371" s="198"/>
      <c r="CP371" s="198"/>
      <c r="CQ371" s="198"/>
      <c r="CR371" s="198"/>
      <c r="CS371" s="198"/>
      <c r="CT371" s="198"/>
      <c r="CU371" s="198"/>
      <c r="CV371" s="198"/>
      <c r="CW371" s="198"/>
      <c r="CX371" s="198"/>
      <c r="CY371" s="198"/>
      <c r="CZ371" s="198"/>
      <c r="DA371" s="198"/>
      <c r="DB371" s="198"/>
      <c r="DC371" s="198"/>
      <c r="DD371" s="198"/>
      <c r="DE371" s="198"/>
      <c r="DF371" s="198"/>
      <c r="DG371" s="198"/>
      <c r="DH371" s="198"/>
      <c r="DI371" s="198"/>
      <c r="DJ371" s="198"/>
      <c r="DK371" s="198"/>
      <c r="DL371" s="198"/>
      <c r="DM371" s="198"/>
      <c r="DN371" s="198"/>
      <c r="DO371" s="198"/>
      <c r="DP371" s="198"/>
      <c r="DQ371" s="198"/>
      <c r="DR371" s="198"/>
      <c r="DS371" s="198"/>
      <c r="DT371" s="198"/>
      <c r="DU371" s="198"/>
      <c r="DV371" s="198"/>
      <c r="DW371" s="198"/>
      <c r="DX371" s="198"/>
      <c r="DY371" s="198"/>
      <c r="DZ371" s="198"/>
      <c r="EA371" s="198"/>
      <c r="EB371" s="198"/>
      <c r="EC371" s="198"/>
      <c r="ED371" s="198"/>
      <c r="EE371" s="198"/>
      <c r="EF371" s="198"/>
      <c r="EG371" s="198"/>
      <c r="EH371" s="198"/>
      <c r="EI371" s="198"/>
      <c r="EJ371" s="198"/>
      <c r="EK371" s="198"/>
      <c r="EL371" s="198"/>
      <c r="EM371" s="198"/>
      <c r="EN371" s="198"/>
      <c r="EO371" s="198"/>
      <c r="EP371" s="198"/>
      <c r="EQ371" s="198"/>
      <c r="ER371" s="198"/>
      <c r="ES371" s="198"/>
      <c r="ET371" s="198"/>
      <c r="EU371" s="198"/>
      <c r="EV371" s="198"/>
      <c r="EW371" s="198"/>
      <c r="EX371" s="198"/>
      <c r="EY371" s="198"/>
      <c r="EZ371" s="198"/>
      <c r="FA371" s="198"/>
      <c r="FB371" s="198"/>
      <c r="FC371" s="198"/>
      <c r="FD371" s="198"/>
      <c r="FE371" s="198"/>
      <c r="FF371" s="198"/>
      <c r="FG371" s="198"/>
      <c r="FH371" s="198"/>
    </row>
    <row r="372" spans="10:164" s="173" customFormat="1" x14ac:dyDescent="0.3">
      <c r="J372" s="198"/>
      <c r="K372" s="198"/>
      <c r="L372" s="198"/>
      <c r="M372" s="198"/>
      <c r="N372" s="198"/>
      <c r="O372" s="198"/>
      <c r="P372" s="198"/>
      <c r="Q372" s="198"/>
      <c r="R372" s="198"/>
      <c r="S372" s="198"/>
      <c r="T372" s="198"/>
      <c r="U372" s="198"/>
      <c r="V372" s="198"/>
      <c r="W372" s="198"/>
      <c r="X372" s="198"/>
      <c r="Y372" s="198"/>
      <c r="Z372" s="198"/>
      <c r="AA372" s="198"/>
      <c r="AB372" s="198"/>
      <c r="AC372" s="198"/>
      <c r="AD372" s="198"/>
      <c r="AE372" s="198"/>
      <c r="AF372" s="198"/>
      <c r="AG372" s="198"/>
      <c r="AH372" s="198"/>
      <c r="AI372" s="198"/>
      <c r="AJ372" s="198"/>
      <c r="AK372" s="198"/>
      <c r="AL372" s="198"/>
      <c r="AM372" s="198"/>
      <c r="AN372" s="198"/>
      <c r="AO372" s="198"/>
      <c r="AP372" s="198"/>
      <c r="AQ372" s="198"/>
      <c r="AR372" s="198"/>
      <c r="AS372" s="198"/>
      <c r="AT372" s="198"/>
      <c r="AU372" s="198"/>
      <c r="AV372" s="198"/>
      <c r="AW372" s="198"/>
      <c r="AX372" s="198"/>
      <c r="AY372" s="198"/>
      <c r="AZ372" s="198"/>
      <c r="BA372" s="198"/>
      <c r="BB372" s="198"/>
      <c r="BC372" s="198"/>
      <c r="BD372" s="198"/>
      <c r="BE372" s="198"/>
      <c r="BF372" s="198"/>
      <c r="BG372" s="198"/>
      <c r="BH372" s="198"/>
      <c r="BI372" s="198"/>
      <c r="BJ372" s="198"/>
      <c r="BK372" s="198"/>
      <c r="BL372" s="198"/>
      <c r="BM372" s="198"/>
      <c r="BN372" s="198"/>
      <c r="BO372" s="198"/>
      <c r="BP372" s="198"/>
      <c r="BQ372" s="198"/>
      <c r="BR372" s="198"/>
      <c r="BS372" s="198"/>
      <c r="BT372" s="198"/>
      <c r="BU372" s="198"/>
      <c r="BV372" s="198"/>
      <c r="BW372" s="198"/>
      <c r="BX372" s="198"/>
      <c r="BY372" s="198"/>
      <c r="BZ372" s="198"/>
      <c r="CA372" s="198"/>
      <c r="CB372" s="198"/>
      <c r="CC372" s="198"/>
      <c r="CD372" s="198"/>
      <c r="CE372" s="198"/>
      <c r="CF372" s="198"/>
      <c r="CG372" s="198"/>
      <c r="CH372" s="198"/>
      <c r="CI372" s="198"/>
      <c r="CJ372" s="198"/>
      <c r="CK372" s="198"/>
      <c r="CL372" s="198"/>
      <c r="CM372" s="198"/>
      <c r="CN372" s="198"/>
      <c r="CO372" s="198"/>
      <c r="CP372" s="198"/>
      <c r="CQ372" s="198"/>
      <c r="CR372" s="198"/>
      <c r="CS372" s="198"/>
      <c r="CT372" s="198"/>
      <c r="CU372" s="198"/>
      <c r="CV372" s="198"/>
      <c r="CW372" s="198"/>
      <c r="CX372" s="198"/>
      <c r="CY372" s="198"/>
      <c r="CZ372" s="198"/>
      <c r="DA372" s="198"/>
      <c r="DB372" s="198"/>
      <c r="DC372" s="198"/>
      <c r="DD372" s="198"/>
      <c r="DE372" s="198"/>
      <c r="DF372" s="198"/>
      <c r="DG372" s="198"/>
      <c r="DH372" s="198"/>
      <c r="DI372" s="198"/>
      <c r="DJ372" s="198"/>
      <c r="DK372" s="198"/>
      <c r="DL372" s="198"/>
      <c r="DM372" s="198"/>
      <c r="DN372" s="198"/>
      <c r="DO372" s="198"/>
      <c r="DP372" s="198"/>
      <c r="DQ372" s="198"/>
      <c r="DR372" s="198"/>
      <c r="DS372" s="198"/>
      <c r="DT372" s="198"/>
      <c r="DU372" s="198"/>
      <c r="DV372" s="198"/>
      <c r="DW372" s="198"/>
      <c r="DX372" s="198"/>
      <c r="DY372" s="198"/>
      <c r="DZ372" s="198"/>
      <c r="EA372" s="198"/>
      <c r="EB372" s="198"/>
      <c r="EC372" s="198"/>
      <c r="ED372" s="198"/>
      <c r="EE372" s="198"/>
      <c r="EF372" s="198"/>
      <c r="EG372" s="198"/>
      <c r="EH372" s="198"/>
      <c r="EI372" s="198"/>
      <c r="EJ372" s="198"/>
      <c r="EK372" s="198"/>
      <c r="EL372" s="198"/>
      <c r="EM372" s="198"/>
      <c r="EN372" s="198"/>
      <c r="EO372" s="198"/>
      <c r="EP372" s="198"/>
      <c r="EQ372" s="198"/>
      <c r="ER372" s="198"/>
      <c r="ES372" s="198"/>
      <c r="ET372" s="198"/>
      <c r="EU372" s="198"/>
      <c r="EV372" s="198"/>
      <c r="EW372" s="198"/>
      <c r="EX372" s="198"/>
      <c r="EY372" s="198"/>
      <c r="EZ372" s="198"/>
      <c r="FA372" s="198"/>
      <c r="FB372" s="198"/>
      <c r="FC372" s="198"/>
      <c r="FD372" s="198"/>
      <c r="FE372" s="198"/>
      <c r="FF372" s="198"/>
      <c r="FG372" s="198"/>
      <c r="FH372" s="198"/>
    </row>
    <row r="373" spans="10:164" s="173" customFormat="1" x14ac:dyDescent="0.3">
      <c r="J373" s="198"/>
      <c r="K373" s="198"/>
      <c r="L373" s="198"/>
      <c r="M373" s="198"/>
      <c r="N373" s="198"/>
      <c r="O373" s="198"/>
      <c r="P373" s="198"/>
      <c r="Q373" s="198"/>
      <c r="R373" s="198"/>
      <c r="S373" s="198"/>
      <c r="T373" s="198"/>
      <c r="U373" s="198"/>
      <c r="V373" s="198"/>
      <c r="W373" s="198"/>
      <c r="X373" s="198"/>
      <c r="Y373" s="198"/>
      <c r="Z373" s="198"/>
      <c r="AA373" s="198"/>
      <c r="AB373" s="198"/>
      <c r="AC373" s="198"/>
      <c r="AD373" s="198"/>
      <c r="AE373" s="198"/>
      <c r="AF373" s="198"/>
      <c r="AG373" s="198"/>
      <c r="AH373" s="198"/>
      <c r="AI373" s="198"/>
      <c r="AJ373" s="198"/>
      <c r="AK373" s="198"/>
      <c r="AL373" s="198"/>
      <c r="AM373" s="198"/>
      <c r="AN373" s="198"/>
      <c r="AO373" s="198"/>
      <c r="AP373" s="198"/>
      <c r="AQ373" s="198"/>
      <c r="AR373" s="198"/>
      <c r="AS373" s="198"/>
      <c r="AT373" s="198"/>
      <c r="AU373" s="198"/>
      <c r="AV373" s="198"/>
      <c r="AW373" s="198"/>
      <c r="AX373" s="198"/>
      <c r="AY373" s="198"/>
      <c r="AZ373" s="198"/>
      <c r="BA373" s="198"/>
      <c r="BB373" s="198"/>
      <c r="BC373" s="198"/>
      <c r="BD373" s="198"/>
      <c r="BE373" s="198"/>
      <c r="BF373" s="198"/>
      <c r="BG373" s="198"/>
      <c r="BH373" s="198"/>
      <c r="BI373" s="198"/>
      <c r="BJ373" s="198"/>
      <c r="BK373" s="198"/>
      <c r="BL373" s="198"/>
      <c r="BM373" s="198"/>
      <c r="BN373" s="198"/>
      <c r="BO373" s="198"/>
      <c r="BP373" s="198"/>
      <c r="BQ373" s="198"/>
      <c r="BR373" s="198"/>
      <c r="BS373" s="198"/>
      <c r="BT373" s="198"/>
      <c r="BU373" s="198"/>
      <c r="BV373" s="198"/>
      <c r="BW373" s="198"/>
      <c r="BX373" s="198"/>
      <c r="BY373" s="198"/>
      <c r="BZ373" s="198"/>
      <c r="CA373" s="198"/>
      <c r="CB373" s="198"/>
      <c r="CC373" s="198"/>
      <c r="CD373" s="198"/>
      <c r="CE373" s="198"/>
      <c r="CF373" s="198"/>
      <c r="CG373" s="198"/>
      <c r="CH373" s="198"/>
      <c r="CI373" s="198"/>
      <c r="CJ373" s="198"/>
      <c r="CK373" s="198"/>
      <c r="CL373" s="198"/>
      <c r="CM373" s="198"/>
      <c r="CN373" s="198"/>
      <c r="CO373" s="198"/>
      <c r="CP373" s="198"/>
      <c r="CQ373" s="198"/>
      <c r="CR373" s="198"/>
      <c r="CS373" s="198"/>
      <c r="CT373" s="198"/>
      <c r="CU373" s="198"/>
      <c r="CV373" s="198"/>
      <c r="CW373" s="198"/>
      <c r="CX373" s="198"/>
      <c r="CY373" s="198"/>
      <c r="CZ373" s="198"/>
      <c r="DA373" s="198"/>
      <c r="DB373" s="198"/>
      <c r="DC373" s="198"/>
      <c r="DD373" s="198"/>
      <c r="DE373" s="198"/>
      <c r="DF373" s="198"/>
      <c r="DG373" s="198"/>
      <c r="DH373" s="198"/>
      <c r="DI373" s="198"/>
      <c r="DJ373" s="198"/>
      <c r="DK373" s="198"/>
      <c r="DL373" s="198"/>
      <c r="DM373" s="198"/>
      <c r="DN373" s="198"/>
      <c r="DO373" s="198"/>
      <c r="DP373" s="198"/>
      <c r="DQ373" s="198"/>
      <c r="DR373" s="198"/>
      <c r="DS373" s="198"/>
      <c r="DT373" s="198"/>
      <c r="DU373" s="198"/>
      <c r="DV373" s="198"/>
      <c r="DW373" s="198"/>
      <c r="DX373" s="198"/>
      <c r="DY373" s="198"/>
      <c r="DZ373" s="198"/>
      <c r="EA373" s="198"/>
      <c r="EB373" s="198"/>
      <c r="EC373" s="198"/>
      <c r="ED373" s="198"/>
      <c r="EE373" s="198"/>
      <c r="EF373" s="198"/>
      <c r="EG373" s="198"/>
      <c r="EH373" s="198"/>
      <c r="EI373" s="198"/>
      <c r="EJ373" s="198"/>
      <c r="EK373" s="198"/>
      <c r="EL373" s="198"/>
      <c r="EM373" s="198"/>
      <c r="EN373" s="198"/>
      <c r="EO373" s="198"/>
      <c r="EP373" s="198"/>
      <c r="EQ373" s="198"/>
      <c r="ER373" s="198"/>
      <c r="ES373" s="198"/>
      <c r="ET373" s="198"/>
      <c r="EU373" s="198"/>
      <c r="EV373" s="198"/>
      <c r="EW373" s="198"/>
      <c r="EX373" s="198"/>
      <c r="EY373" s="198"/>
      <c r="EZ373" s="198"/>
      <c r="FA373" s="198"/>
      <c r="FB373" s="198"/>
      <c r="FC373" s="198"/>
      <c r="FD373" s="198"/>
      <c r="FE373" s="198"/>
      <c r="FF373" s="198"/>
      <c r="FG373" s="198"/>
      <c r="FH373" s="198"/>
    </row>
    <row r="374" spans="10:164" s="173" customFormat="1" x14ac:dyDescent="0.3">
      <c r="J374" s="198"/>
      <c r="K374" s="198"/>
      <c r="L374" s="198"/>
      <c r="M374" s="198"/>
      <c r="N374" s="198"/>
      <c r="O374" s="198"/>
      <c r="P374" s="198"/>
      <c r="Q374" s="198"/>
      <c r="R374" s="198"/>
      <c r="S374" s="198"/>
      <c r="T374" s="198"/>
      <c r="U374" s="198"/>
      <c r="V374" s="198"/>
      <c r="W374" s="198"/>
      <c r="X374" s="198"/>
      <c r="Y374" s="198"/>
      <c r="Z374" s="198"/>
      <c r="AA374" s="198"/>
      <c r="AB374" s="198"/>
      <c r="AC374" s="198"/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198"/>
      <c r="AQ374" s="198"/>
      <c r="AR374" s="198"/>
      <c r="AS374" s="198"/>
      <c r="AT374" s="198"/>
      <c r="AU374" s="198"/>
      <c r="AV374" s="198"/>
      <c r="AW374" s="198"/>
      <c r="AX374" s="198"/>
      <c r="AY374" s="198"/>
      <c r="AZ374" s="198"/>
      <c r="BA374" s="198"/>
      <c r="BB374" s="198"/>
      <c r="BC374" s="198"/>
      <c r="BD374" s="198"/>
      <c r="BE374" s="198"/>
      <c r="BF374" s="198"/>
      <c r="BG374" s="198"/>
      <c r="BH374" s="198"/>
      <c r="BI374" s="198"/>
      <c r="BJ374" s="198"/>
      <c r="BK374" s="198"/>
      <c r="BL374" s="198"/>
      <c r="BM374" s="198"/>
      <c r="BN374" s="198"/>
      <c r="BO374" s="198"/>
      <c r="BP374" s="198"/>
      <c r="BQ374" s="198"/>
      <c r="BR374" s="198"/>
      <c r="BS374" s="198"/>
      <c r="BT374" s="198"/>
      <c r="BU374" s="198"/>
      <c r="BV374" s="198"/>
      <c r="BW374" s="198"/>
      <c r="BX374" s="198"/>
      <c r="BY374" s="198"/>
      <c r="BZ374" s="198"/>
      <c r="CA374" s="198"/>
      <c r="CB374" s="198"/>
      <c r="CC374" s="198"/>
      <c r="CD374" s="198"/>
      <c r="CE374" s="198"/>
      <c r="CF374" s="198"/>
      <c r="CG374" s="198"/>
      <c r="CH374" s="198"/>
      <c r="CI374" s="198"/>
      <c r="CJ374" s="198"/>
      <c r="CK374" s="198"/>
      <c r="CL374" s="198"/>
      <c r="CM374" s="198"/>
      <c r="CN374" s="198"/>
      <c r="CO374" s="198"/>
      <c r="CP374" s="198"/>
      <c r="CQ374" s="198"/>
      <c r="CR374" s="198"/>
      <c r="CS374" s="198"/>
      <c r="CT374" s="198"/>
      <c r="CU374" s="198"/>
      <c r="CV374" s="198"/>
      <c r="CW374" s="198"/>
      <c r="CX374" s="198"/>
      <c r="CY374" s="198"/>
      <c r="CZ374" s="198"/>
      <c r="DA374" s="198"/>
      <c r="DB374" s="198"/>
      <c r="DC374" s="198"/>
      <c r="DD374" s="198"/>
      <c r="DE374" s="198"/>
      <c r="DF374" s="198"/>
      <c r="DG374" s="198"/>
      <c r="DH374" s="198"/>
      <c r="DI374" s="198"/>
      <c r="DJ374" s="198"/>
      <c r="DK374" s="198"/>
      <c r="DL374" s="198"/>
      <c r="DM374" s="198"/>
      <c r="DN374" s="198"/>
      <c r="DO374" s="198"/>
      <c r="DP374" s="198"/>
      <c r="DQ374" s="198"/>
      <c r="DR374" s="198"/>
      <c r="DS374" s="198"/>
      <c r="DT374" s="198"/>
      <c r="DU374" s="198"/>
      <c r="DV374" s="198"/>
      <c r="DW374" s="198"/>
      <c r="DX374" s="198"/>
      <c r="DY374" s="198"/>
      <c r="DZ374" s="198"/>
      <c r="EA374" s="198"/>
      <c r="EB374" s="198"/>
      <c r="EC374" s="198"/>
      <c r="ED374" s="198"/>
      <c r="EE374" s="198"/>
      <c r="EF374" s="198"/>
      <c r="EG374" s="198"/>
      <c r="EH374" s="198"/>
      <c r="EI374" s="198"/>
      <c r="EJ374" s="198"/>
      <c r="EK374" s="198"/>
      <c r="EL374" s="198"/>
      <c r="EM374" s="198"/>
      <c r="EN374" s="198"/>
      <c r="EO374" s="198"/>
      <c r="EP374" s="198"/>
      <c r="EQ374" s="198"/>
      <c r="ER374" s="198"/>
      <c r="ES374" s="198"/>
      <c r="ET374" s="198"/>
      <c r="EU374" s="198"/>
      <c r="EV374" s="198"/>
      <c r="EW374" s="198"/>
      <c r="EX374" s="198"/>
      <c r="EY374" s="198"/>
      <c r="EZ374" s="198"/>
      <c r="FA374" s="198"/>
      <c r="FB374" s="198"/>
      <c r="FC374" s="198"/>
      <c r="FD374" s="198"/>
      <c r="FE374" s="198"/>
      <c r="FF374" s="198"/>
      <c r="FG374" s="198"/>
      <c r="FH374" s="198"/>
    </row>
    <row r="375" spans="10:164" s="173" customFormat="1" x14ac:dyDescent="0.3">
      <c r="J375" s="198"/>
      <c r="K375" s="198"/>
      <c r="L375" s="198"/>
      <c r="M375" s="198"/>
      <c r="N375" s="198"/>
      <c r="O375" s="198"/>
      <c r="P375" s="198"/>
      <c r="Q375" s="198"/>
      <c r="R375" s="198"/>
      <c r="S375" s="198"/>
      <c r="T375" s="198"/>
      <c r="U375" s="198"/>
      <c r="V375" s="198"/>
      <c r="W375" s="198"/>
      <c r="X375" s="198"/>
      <c r="Y375" s="198"/>
      <c r="Z375" s="198"/>
      <c r="AA375" s="198"/>
      <c r="AB375" s="198"/>
      <c r="AC375" s="198"/>
      <c r="AD375" s="198"/>
      <c r="AE375" s="198"/>
      <c r="AF375" s="198"/>
      <c r="AG375" s="198"/>
      <c r="AH375" s="198"/>
      <c r="AI375" s="198"/>
      <c r="AJ375" s="198"/>
      <c r="AK375" s="198"/>
      <c r="AL375" s="198"/>
      <c r="AM375" s="198"/>
      <c r="AN375" s="198"/>
      <c r="AO375" s="198"/>
      <c r="AP375" s="198"/>
      <c r="AQ375" s="198"/>
      <c r="AR375" s="198"/>
      <c r="AS375" s="198"/>
      <c r="AT375" s="198"/>
      <c r="AU375" s="198"/>
      <c r="AV375" s="198"/>
      <c r="AW375" s="198"/>
      <c r="AX375" s="198"/>
      <c r="AY375" s="198"/>
      <c r="AZ375" s="198"/>
      <c r="BA375" s="198"/>
      <c r="BB375" s="198"/>
      <c r="BC375" s="198"/>
      <c r="BD375" s="198"/>
      <c r="BE375" s="198"/>
      <c r="BF375" s="198"/>
      <c r="BG375" s="198"/>
      <c r="BH375" s="198"/>
      <c r="BI375" s="198"/>
      <c r="BJ375" s="198"/>
      <c r="BK375" s="198"/>
      <c r="BL375" s="198"/>
      <c r="BM375" s="198"/>
      <c r="BN375" s="198"/>
      <c r="BO375" s="198"/>
      <c r="BP375" s="198"/>
      <c r="BQ375" s="198"/>
      <c r="BR375" s="198"/>
      <c r="BS375" s="198"/>
      <c r="BT375" s="198"/>
      <c r="BU375" s="198"/>
      <c r="BV375" s="198"/>
      <c r="BW375" s="198"/>
      <c r="BX375" s="198"/>
      <c r="BY375" s="198"/>
      <c r="BZ375" s="198"/>
      <c r="CA375" s="198"/>
      <c r="CB375" s="198"/>
      <c r="CC375" s="198"/>
      <c r="CD375" s="198"/>
      <c r="CE375" s="198"/>
      <c r="CF375" s="198"/>
      <c r="CG375" s="198"/>
      <c r="CH375" s="198"/>
      <c r="CI375" s="198"/>
      <c r="CJ375" s="198"/>
      <c r="CK375" s="198"/>
      <c r="CL375" s="198"/>
      <c r="CM375" s="198"/>
      <c r="CN375" s="198"/>
      <c r="CO375" s="198"/>
      <c r="CP375" s="198"/>
      <c r="CQ375" s="198"/>
      <c r="CR375" s="198"/>
      <c r="CS375" s="198"/>
      <c r="CT375" s="198"/>
      <c r="CU375" s="198"/>
      <c r="CV375" s="198"/>
      <c r="CW375" s="198"/>
      <c r="CX375" s="198"/>
      <c r="CY375" s="198"/>
      <c r="CZ375" s="198"/>
      <c r="DA375" s="198"/>
      <c r="DB375" s="198"/>
      <c r="DC375" s="198"/>
      <c r="DD375" s="198"/>
      <c r="DE375" s="198"/>
      <c r="DF375" s="198"/>
      <c r="DG375" s="198"/>
      <c r="DH375" s="198"/>
      <c r="DI375" s="198"/>
      <c r="DJ375" s="198"/>
      <c r="DK375" s="198"/>
      <c r="DL375" s="198"/>
      <c r="DM375" s="198"/>
      <c r="DN375" s="198"/>
      <c r="DO375" s="198"/>
      <c r="DP375" s="198"/>
      <c r="DQ375" s="198"/>
      <c r="DR375" s="198"/>
      <c r="DS375" s="198"/>
      <c r="DT375" s="198"/>
      <c r="DU375" s="198"/>
      <c r="DV375" s="198"/>
      <c r="DW375" s="198"/>
      <c r="DX375" s="198"/>
      <c r="DY375" s="198"/>
      <c r="DZ375" s="198"/>
      <c r="EA375" s="198"/>
      <c r="EB375" s="198"/>
      <c r="EC375" s="198"/>
      <c r="ED375" s="198"/>
      <c r="EE375" s="198"/>
      <c r="EF375" s="198"/>
      <c r="EG375" s="198"/>
      <c r="EH375" s="198"/>
      <c r="EI375" s="198"/>
      <c r="EJ375" s="198"/>
      <c r="EK375" s="198"/>
      <c r="EL375" s="198"/>
      <c r="EM375" s="198"/>
      <c r="EN375" s="198"/>
      <c r="EO375" s="198"/>
      <c r="EP375" s="198"/>
      <c r="EQ375" s="198"/>
      <c r="ER375" s="198"/>
      <c r="ES375" s="198"/>
      <c r="ET375" s="198"/>
      <c r="EU375" s="198"/>
      <c r="EV375" s="198"/>
      <c r="EW375" s="198"/>
      <c r="EX375" s="198"/>
      <c r="EY375" s="198"/>
      <c r="EZ375" s="198"/>
      <c r="FA375" s="198"/>
      <c r="FB375" s="198"/>
      <c r="FC375" s="198"/>
      <c r="FD375" s="198"/>
      <c r="FE375" s="198"/>
      <c r="FF375" s="198"/>
      <c r="FG375" s="198"/>
      <c r="FH375" s="198"/>
    </row>
    <row r="376" spans="10:164" s="173" customFormat="1" x14ac:dyDescent="0.3">
      <c r="J376" s="198"/>
      <c r="K376" s="198"/>
      <c r="L376" s="198"/>
      <c r="M376" s="198"/>
      <c r="N376" s="198"/>
      <c r="O376" s="198"/>
      <c r="P376" s="198"/>
      <c r="Q376" s="198"/>
      <c r="R376" s="198"/>
      <c r="S376" s="198"/>
      <c r="T376" s="198"/>
      <c r="U376" s="198"/>
      <c r="V376" s="198"/>
      <c r="W376" s="198"/>
      <c r="X376" s="198"/>
      <c r="Y376" s="198"/>
      <c r="Z376" s="198"/>
      <c r="AA376" s="198"/>
      <c r="AB376" s="198"/>
      <c r="AC376" s="198"/>
      <c r="AD376" s="198"/>
      <c r="AE376" s="198"/>
      <c r="AF376" s="198"/>
      <c r="AG376" s="198"/>
      <c r="AH376" s="198"/>
      <c r="AI376" s="198"/>
      <c r="AJ376" s="198"/>
      <c r="AK376" s="198"/>
      <c r="AL376" s="198"/>
      <c r="AM376" s="198"/>
      <c r="AN376" s="198"/>
      <c r="AO376" s="198"/>
      <c r="AP376" s="198"/>
      <c r="AQ376" s="198"/>
      <c r="AR376" s="198"/>
      <c r="AS376" s="198"/>
      <c r="AT376" s="198"/>
      <c r="AU376" s="198"/>
      <c r="AV376" s="198"/>
      <c r="AW376" s="198"/>
      <c r="AX376" s="198"/>
      <c r="AY376" s="198"/>
      <c r="AZ376" s="198"/>
      <c r="BA376" s="198"/>
      <c r="BB376" s="198"/>
      <c r="BC376" s="198"/>
      <c r="BD376" s="198"/>
      <c r="BE376" s="198"/>
      <c r="BF376" s="198"/>
      <c r="BG376" s="198"/>
      <c r="BH376" s="198"/>
      <c r="BI376" s="198"/>
      <c r="BJ376" s="198"/>
      <c r="BK376" s="198"/>
      <c r="BL376" s="198"/>
      <c r="BM376" s="198"/>
      <c r="BN376" s="198"/>
      <c r="BO376" s="198"/>
      <c r="BP376" s="198"/>
      <c r="BQ376" s="198"/>
      <c r="BR376" s="198"/>
      <c r="BS376" s="198"/>
      <c r="BT376" s="198"/>
      <c r="BU376" s="198"/>
      <c r="BV376" s="198"/>
      <c r="BW376" s="198"/>
      <c r="BX376" s="198"/>
      <c r="BY376" s="198"/>
      <c r="BZ376" s="198"/>
      <c r="CA376" s="198"/>
      <c r="CB376" s="198"/>
      <c r="CC376" s="198"/>
      <c r="CD376" s="198"/>
      <c r="CE376" s="198"/>
      <c r="CF376" s="198"/>
      <c r="CG376" s="198"/>
      <c r="CH376" s="198"/>
      <c r="CI376" s="198"/>
      <c r="CJ376" s="198"/>
      <c r="CK376" s="198"/>
      <c r="CL376" s="198"/>
      <c r="CM376" s="198"/>
      <c r="CN376" s="198"/>
      <c r="CO376" s="198"/>
      <c r="CP376" s="198"/>
      <c r="CQ376" s="198"/>
      <c r="CR376" s="198"/>
      <c r="CS376" s="198"/>
      <c r="CT376" s="198"/>
      <c r="CU376" s="198"/>
      <c r="CV376" s="198"/>
      <c r="CW376" s="198"/>
      <c r="CX376" s="198"/>
      <c r="CY376" s="198"/>
      <c r="CZ376" s="198"/>
      <c r="DA376" s="198"/>
      <c r="DB376" s="198"/>
      <c r="DC376" s="198"/>
      <c r="DD376" s="198"/>
      <c r="DE376" s="198"/>
      <c r="DF376" s="198"/>
      <c r="DG376" s="198"/>
      <c r="DH376" s="198"/>
      <c r="DI376" s="198"/>
      <c r="DJ376" s="198"/>
      <c r="DK376" s="198"/>
      <c r="DL376" s="198"/>
      <c r="DM376" s="198"/>
      <c r="DN376" s="198"/>
      <c r="DO376" s="198"/>
      <c r="DP376" s="198"/>
      <c r="DQ376" s="198"/>
      <c r="DR376" s="198"/>
      <c r="DS376" s="198"/>
      <c r="DT376" s="198"/>
      <c r="DU376" s="198"/>
      <c r="DV376" s="198"/>
      <c r="DW376" s="198"/>
      <c r="DX376" s="198"/>
      <c r="DY376" s="198"/>
      <c r="DZ376" s="198"/>
      <c r="EA376" s="198"/>
      <c r="EB376" s="198"/>
      <c r="EC376" s="198"/>
      <c r="ED376" s="198"/>
      <c r="EE376" s="198"/>
      <c r="EF376" s="198"/>
      <c r="EG376" s="198"/>
      <c r="EH376" s="198"/>
      <c r="EI376" s="198"/>
      <c r="EJ376" s="198"/>
      <c r="EK376" s="198"/>
      <c r="EL376" s="198"/>
      <c r="EM376" s="198"/>
      <c r="EN376" s="198"/>
      <c r="EO376" s="198"/>
      <c r="EP376" s="198"/>
      <c r="EQ376" s="198"/>
      <c r="ER376" s="198"/>
      <c r="ES376" s="198"/>
      <c r="ET376" s="198"/>
      <c r="EU376" s="198"/>
      <c r="EV376" s="198"/>
      <c r="EW376" s="198"/>
      <c r="EX376" s="198"/>
      <c r="EY376" s="198"/>
      <c r="EZ376" s="198"/>
      <c r="FA376" s="198"/>
      <c r="FB376" s="198"/>
      <c r="FC376" s="198"/>
      <c r="FD376" s="198"/>
      <c r="FE376" s="198"/>
      <c r="FF376" s="198"/>
      <c r="FG376" s="198"/>
      <c r="FH376" s="198"/>
    </row>
    <row r="377" spans="10:164" s="173" customFormat="1" x14ac:dyDescent="0.3">
      <c r="J377" s="198"/>
      <c r="K377" s="198"/>
      <c r="L377" s="198"/>
      <c r="M377" s="198"/>
      <c r="N377" s="198"/>
      <c r="O377" s="198"/>
      <c r="P377" s="198"/>
      <c r="Q377" s="198"/>
      <c r="R377" s="198"/>
      <c r="S377" s="198"/>
      <c r="T377" s="198"/>
      <c r="U377" s="198"/>
      <c r="V377" s="198"/>
      <c r="W377" s="198"/>
      <c r="X377" s="198"/>
      <c r="Y377" s="198"/>
      <c r="Z377" s="198"/>
      <c r="AA377" s="198"/>
      <c r="AB377" s="198"/>
      <c r="AC377" s="198"/>
      <c r="AD377" s="198"/>
      <c r="AE377" s="198"/>
      <c r="AF377" s="198"/>
      <c r="AG377" s="198"/>
      <c r="AH377" s="198"/>
      <c r="AI377" s="198"/>
      <c r="AJ377" s="198"/>
      <c r="AK377" s="198"/>
      <c r="AL377" s="198"/>
      <c r="AM377" s="198"/>
      <c r="AN377" s="198"/>
      <c r="AO377" s="198"/>
      <c r="AP377" s="198"/>
      <c r="AQ377" s="198"/>
      <c r="AR377" s="198"/>
      <c r="AS377" s="198"/>
      <c r="AT377" s="198"/>
      <c r="AU377" s="198"/>
      <c r="AV377" s="198"/>
      <c r="AW377" s="198"/>
      <c r="AX377" s="198"/>
      <c r="AY377" s="198"/>
      <c r="AZ377" s="198"/>
      <c r="BA377" s="198"/>
      <c r="BB377" s="198"/>
      <c r="BC377" s="198"/>
      <c r="BD377" s="198"/>
      <c r="BE377" s="198"/>
      <c r="BF377" s="198"/>
      <c r="BG377" s="198"/>
      <c r="BH377" s="198"/>
      <c r="BI377" s="198"/>
      <c r="BJ377" s="198"/>
      <c r="BK377" s="198"/>
      <c r="BL377" s="198"/>
      <c r="BM377" s="198"/>
      <c r="BN377" s="198"/>
      <c r="BO377" s="198"/>
      <c r="BP377" s="198"/>
      <c r="BQ377" s="198"/>
      <c r="BR377" s="198"/>
      <c r="BS377" s="198"/>
      <c r="BT377" s="198"/>
      <c r="BU377" s="198"/>
      <c r="BV377" s="198"/>
      <c r="BW377" s="198"/>
      <c r="BX377" s="198"/>
      <c r="BY377" s="198"/>
      <c r="BZ377" s="198"/>
      <c r="CA377" s="198"/>
      <c r="CB377" s="198"/>
      <c r="CC377" s="198"/>
      <c r="CD377" s="198"/>
      <c r="CE377" s="198"/>
      <c r="CF377" s="198"/>
      <c r="CG377" s="198"/>
      <c r="CH377" s="198"/>
      <c r="CI377" s="198"/>
      <c r="CJ377" s="198"/>
      <c r="CK377" s="198"/>
      <c r="CL377" s="198"/>
      <c r="CM377" s="198"/>
      <c r="CN377" s="198"/>
      <c r="CO377" s="198"/>
      <c r="CP377" s="198"/>
      <c r="CQ377" s="198"/>
      <c r="CR377" s="198"/>
      <c r="CS377" s="198"/>
      <c r="CT377" s="198"/>
      <c r="CU377" s="198"/>
      <c r="CV377" s="198"/>
      <c r="CW377" s="198"/>
      <c r="CX377" s="198"/>
      <c r="CY377" s="198"/>
      <c r="CZ377" s="198"/>
      <c r="DA377" s="198"/>
      <c r="DB377" s="198"/>
      <c r="DC377" s="198"/>
      <c r="DD377" s="198"/>
      <c r="DE377" s="198"/>
      <c r="DF377" s="198"/>
      <c r="DG377" s="198"/>
      <c r="DH377" s="198"/>
      <c r="DI377" s="198"/>
      <c r="DJ377" s="198"/>
      <c r="DK377" s="198"/>
      <c r="DL377" s="198"/>
      <c r="DM377" s="198"/>
      <c r="DN377" s="198"/>
      <c r="DO377" s="198"/>
      <c r="DP377" s="198"/>
      <c r="DQ377" s="198"/>
      <c r="DR377" s="198"/>
      <c r="DS377" s="198"/>
      <c r="DT377" s="198"/>
      <c r="DU377" s="198"/>
      <c r="DV377" s="198"/>
      <c r="DW377" s="198"/>
      <c r="DX377" s="198"/>
      <c r="DY377" s="198"/>
      <c r="DZ377" s="198"/>
      <c r="EA377" s="198"/>
      <c r="EB377" s="198"/>
      <c r="EC377" s="198"/>
      <c r="ED377" s="198"/>
      <c r="EE377" s="198"/>
      <c r="EF377" s="198"/>
      <c r="EG377" s="198"/>
      <c r="EH377" s="198"/>
      <c r="EI377" s="198"/>
      <c r="EJ377" s="198"/>
      <c r="EK377" s="198"/>
      <c r="EL377" s="198"/>
      <c r="EM377" s="198"/>
      <c r="EN377" s="198"/>
      <c r="EO377" s="198"/>
      <c r="EP377" s="198"/>
      <c r="EQ377" s="198"/>
      <c r="ER377" s="198"/>
      <c r="ES377" s="198"/>
      <c r="ET377" s="198"/>
      <c r="EU377" s="198"/>
      <c r="EV377" s="198"/>
      <c r="EW377" s="198"/>
      <c r="EX377" s="198"/>
      <c r="EY377" s="198"/>
      <c r="EZ377" s="198"/>
      <c r="FA377" s="198"/>
      <c r="FB377" s="198"/>
      <c r="FC377" s="198"/>
      <c r="FD377" s="198"/>
      <c r="FE377" s="198"/>
      <c r="FF377" s="198"/>
      <c r="FG377" s="198"/>
      <c r="FH377" s="198"/>
    </row>
    <row r="378" spans="10:164" s="173" customFormat="1" x14ac:dyDescent="0.3">
      <c r="J378" s="198"/>
      <c r="K378" s="198"/>
      <c r="L378" s="198"/>
      <c r="M378" s="198"/>
      <c r="N378" s="198"/>
      <c r="O378" s="198"/>
      <c r="P378" s="198"/>
      <c r="Q378" s="198"/>
      <c r="R378" s="198"/>
      <c r="S378" s="198"/>
      <c r="T378" s="198"/>
      <c r="U378" s="198"/>
      <c r="V378" s="198"/>
      <c r="W378" s="198"/>
      <c r="X378" s="198"/>
      <c r="Y378" s="198"/>
      <c r="Z378" s="198"/>
      <c r="AA378" s="198"/>
      <c r="AB378" s="198"/>
      <c r="AC378" s="198"/>
      <c r="AD378" s="198"/>
      <c r="AE378" s="198"/>
      <c r="AF378" s="198"/>
      <c r="AG378" s="198"/>
      <c r="AH378" s="198"/>
      <c r="AI378" s="198"/>
      <c r="AJ378" s="198"/>
      <c r="AK378" s="198"/>
      <c r="AL378" s="198"/>
      <c r="AM378" s="198"/>
      <c r="AN378" s="198"/>
      <c r="AO378" s="198"/>
      <c r="AP378" s="198"/>
      <c r="AQ378" s="198"/>
      <c r="AR378" s="198"/>
      <c r="AS378" s="198"/>
      <c r="AT378" s="198"/>
      <c r="AU378" s="198"/>
      <c r="AV378" s="198"/>
      <c r="AW378" s="198"/>
      <c r="AX378" s="198"/>
      <c r="AY378" s="198"/>
      <c r="AZ378" s="198"/>
      <c r="BA378" s="198"/>
      <c r="BB378" s="198"/>
      <c r="BC378" s="198"/>
      <c r="BD378" s="198"/>
      <c r="BE378" s="198"/>
      <c r="BF378" s="198"/>
      <c r="BG378" s="198"/>
      <c r="BH378" s="198"/>
      <c r="BI378" s="198"/>
      <c r="BJ378" s="198"/>
      <c r="BK378" s="198"/>
      <c r="BL378" s="198"/>
      <c r="BM378" s="198"/>
      <c r="BN378" s="198"/>
      <c r="BO378" s="198"/>
      <c r="BP378" s="198"/>
      <c r="BQ378" s="198"/>
      <c r="BR378" s="198"/>
      <c r="BS378" s="198"/>
      <c r="BT378" s="198"/>
      <c r="BU378" s="198"/>
      <c r="BV378" s="198"/>
      <c r="BW378" s="198"/>
      <c r="BX378" s="198"/>
      <c r="BY378" s="198"/>
      <c r="BZ378" s="198"/>
      <c r="CA378" s="198"/>
      <c r="CB378" s="198"/>
      <c r="CC378" s="198"/>
      <c r="CD378" s="198"/>
      <c r="CE378" s="198"/>
      <c r="CF378" s="198"/>
      <c r="CG378" s="198"/>
      <c r="CH378" s="198"/>
      <c r="CI378" s="198"/>
      <c r="CJ378" s="198"/>
      <c r="CK378" s="198"/>
      <c r="CL378" s="198"/>
      <c r="CM378" s="198"/>
      <c r="CN378" s="198"/>
      <c r="CO378" s="198"/>
      <c r="CP378" s="198"/>
      <c r="CQ378" s="198"/>
      <c r="CR378" s="198"/>
      <c r="CS378" s="198"/>
      <c r="CT378" s="198"/>
      <c r="CU378" s="198"/>
      <c r="CV378" s="198"/>
      <c r="CW378" s="198"/>
      <c r="CX378" s="198"/>
      <c r="CY378" s="198"/>
      <c r="CZ378" s="198"/>
      <c r="DA378" s="198"/>
      <c r="DB378" s="198"/>
      <c r="DC378" s="198"/>
      <c r="DD378" s="198"/>
      <c r="DE378" s="198"/>
      <c r="DF378" s="198"/>
      <c r="DG378" s="198"/>
      <c r="DH378" s="198"/>
      <c r="DI378" s="198"/>
      <c r="DJ378" s="198"/>
      <c r="DK378" s="198"/>
      <c r="DL378" s="198"/>
      <c r="DM378" s="198"/>
      <c r="DN378" s="198"/>
      <c r="DO378" s="198"/>
      <c r="DP378" s="198"/>
      <c r="DQ378" s="198"/>
      <c r="DR378" s="198"/>
      <c r="DS378" s="198"/>
      <c r="DT378" s="198"/>
      <c r="DU378" s="198"/>
      <c r="DV378" s="198"/>
      <c r="DW378" s="198"/>
      <c r="DX378" s="198"/>
      <c r="DY378" s="198"/>
      <c r="DZ378" s="198"/>
      <c r="EA378" s="198"/>
      <c r="EB378" s="198"/>
      <c r="EC378" s="198"/>
      <c r="ED378" s="198"/>
      <c r="EE378" s="198"/>
      <c r="EF378" s="198"/>
      <c r="EG378" s="198"/>
      <c r="EH378" s="198"/>
      <c r="EI378" s="198"/>
      <c r="EJ378" s="198"/>
      <c r="EK378" s="198"/>
      <c r="EL378" s="198"/>
      <c r="EM378" s="198"/>
      <c r="EN378" s="198"/>
      <c r="EO378" s="198"/>
      <c r="EP378" s="198"/>
      <c r="EQ378" s="198"/>
      <c r="ER378" s="198"/>
      <c r="ES378" s="198"/>
      <c r="ET378" s="198"/>
      <c r="EU378" s="198"/>
      <c r="EV378" s="198"/>
      <c r="EW378" s="198"/>
      <c r="EX378" s="198"/>
      <c r="EY378" s="198"/>
      <c r="EZ378" s="198"/>
      <c r="FA378" s="198"/>
      <c r="FB378" s="198"/>
      <c r="FC378" s="198"/>
      <c r="FD378" s="198"/>
      <c r="FE378" s="198"/>
      <c r="FF378" s="198"/>
      <c r="FG378" s="198"/>
      <c r="FH378" s="198"/>
    </row>
    <row r="379" spans="10:164" s="173" customFormat="1" x14ac:dyDescent="0.3">
      <c r="J379" s="198"/>
      <c r="K379" s="198"/>
      <c r="L379" s="198"/>
      <c r="M379" s="198"/>
      <c r="N379" s="198"/>
      <c r="O379" s="198"/>
      <c r="P379" s="198"/>
      <c r="Q379" s="198"/>
      <c r="R379" s="198"/>
      <c r="S379" s="198"/>
      <c r="T379" s="198"/>
      <c r="U379" s="198"/>
      <c r="V379" s="198"/>
      <c r="W379" s="198"/>
      <c r="X379" s="198"/>
      <c r="Y379" s="198"/>
      <c r="Z379" s="198"/>
      <c r="AA379" s="198"/>
      <c r="AB379" s="198"/>
      <c r="AC379" s="198"/>
      <c r="AD379" s="198"/>
      <c r="AE379" s="198"/>
      <c r="AF379" s="198"/>
      <c r="AG379" s="198"/>
      <c r="AH379" s="198"/>
      <c r="AI379" s="198"/>
      <c r="AJ379" s="198"/>
      <c r="AK379" s="198"/>
      <c r="AL379" s="198"/>
      <c r="AM379" s="198"/>
      <c r="AN379" s="198"/>
      <c r="AO379" s="198"/>
      <c r="AP379" s="198"/>
      <c r="AQ379" s="198"/>
      <c r="AR379" s="198"/>
      <c r="AS379" s="198"/>
      <c r="AT379" s="198"/>
      <c r="AU379" s="198"/>
      <c r="AV379" s="198"/>
      <c r="AW379" s="198"/>
      <c r="AX379" s="198"/>
      <c r="AY379" s="198"/>
      <c r="AZ379" s="198"/>
      <c r="BA379" s="198"/>
      <c r="BB379" s="198"/>
      <c r="BC379" s="198"/>
      <c r="BD379" s="198"/>
      <c r="BE379" s="198"/>
      <c r="BF379" s="198"/>
      <c r="BG379" s="198"/>
      <c r="BH379" s="198"/>
      <c r="BI379" s="198"/>
      <c r="BJ379" s="198"/>
      <c r="BK379" s="198"/>
      <c r="BL379" s="198"/>
      <c r="BM379" s="198"/>
      <c r="BN379" s="198"/>
      <c r="BO379" s="198"/>
      <c r="BP379" s="198"/>
      <c r="BQ379" s="198"/>
      <c r="BR379" s="198"/>
      <c r="BS379" s="198"/>
      <c r="BT379" s="198"/>
      <c r="BU379" s="198"/>
      <c r="BV379" s="198"/>
      <c r="BW379" s="198"/>
      <c r="BX379" s="198"/>
      <c r="BY379" s="198"/>
      <c r="BZ379" s="198"/>
      <c r="CA379" s="198"/>
      <c r="CB379" s="198"/>
      <c r="CC379" s="198"/>
      <c r="CD379" s="198"/>
      <c r="CE379" s="198"/>
      <c r="CF379" s="198"/>
      <c r="CG379" s="198"/>
      <c r="CH379" s="198"/>
      <c r="CI379" s="198"/>
      <c r="CJ379" s="198"/>
      <c r="CK379" s="198"/>
      <c r="CL379" s="198"/>
      <c r="CM379" s="198"/>
      <c r="CN379" s="198"/>
      <c r="CO379" s="198"/>
      <c r="CP379" s="198"/>
      <c r="CQ379" s="198"/>
      <c r="CR379" s="198"/>
      <c r="CS379" s="198"/>
      <c r="CT379" s="198"/>
      <c r="CU379" s="198"/>
      <c r="CV379" s="198"/>
      <c r="CW379" s="198"/>
      <c r="CX379" s="198"/>
      <c r="CY379" s="198"/>
      <c r="CZ379" s="198"/>
      <c r="DA379" s="198"/>
      <c r="DB379" s="198"/>
      <c r="DC379" s="198"/>
      <c r="DD379" s="198"/>
      <c r="DE379" s="198"/>
      <c r="DF379" s="198"/>
      <c r="DG379" s="198"/>
      <c r="DH379" s="198"/>
      <c r="DI379" s="198"/>
      <c r="DJ379" s="198"/>
      <c r="DK379" s="198"/>
      <c r="DL379" s="198"/>
      <c r="DM379" s="198"/>
      <c r="DN379" s="198"/>
      <c r="DO379" s="198"/>
      <c r="DP379" s="198"/>
      <c r="DQ379" s="198"/>
      <c r="DR379" s="198"/>
      <c r="DS379" s="198"/>
      <c r="DT379" s="198"/>
      <c r="DU379" s="198"/>
      <c r="DV379" s="198"/>
      <c r="DW379" s="198"/>
      <c r="DX379" s="198"/>
      <c r="DY379" s="198"/>
      <c r="DZ379" s="198"/>
      <c r="EA379" s="198"/>
      <c r="EB379" s="198"/>
      <c r="EC379" s="198"/>
      <c r="ED379" s="198"/>
      <c r="EE379" s="198"/>
      <c r="EF379" s="198"/>
      <c r="EG379" s="198"/>
      <c r="EH379" s="198"/>
      <c r="EI379" s="198"/>
      <c r="EJ379" s="198"/>
      <c r="EK379" s="198"/>
      <c r="EL379" s="198"/>
      <c r="EM379" s="198"/>
      <c r="EN379" s="198"/>
      <c r="EO379" s="198"/>
      <c r="EP379" s="198"/>
      <c r="EQ379" s="198"/>
      <c r="ER379" s="198"/>
      <c r="ES379" s="198"/>
      <c r="ET379" s="198"/>
      <c r="EU379" s="198"/>
      <c r="EV379" s="198"/>
      <c r="EW379" s="198"/>
      <c r="EX379" s="198"/>
      <c r="EY379" s="198"/>
      <c r="EZ379" s="198"/>
      <c r="FA379" s="198"/>
      <c r="FB379" s="198"/>
      <c r="FC379" s="198"/>
      <c r="FD379" s="198"/>
      <c r="FE379" s="198"/>
      <c r="FF379" s="198"/>
      <c r="FG379" s="198"/>
      <c r="FH379" s="198"/>
    </row>
    <row r="380" spans="10:164" s="173" customFormat="1" x14ac:dyDescent="0.3">
      <c r="J380" s="198"/>
      <c r="K380" s="198"/>
      <c r="L380" s="198"/>
      <c r="M380" s="198"/>
      <c r="N380" s="198"/>
      <c r="O380" s="198"/>
      <c r="P380" s="198"/>
      <c r="Q380" s="198"/>
      <c r="R380" s="198"/>
      <c r="S380" s="198"/>
      <c r="T380" s="198"/>
      <c r="U380" s="198"/>
      <c r="V380" s="198"/>
      <c r="W380" s="198"/>
      <c r="X380" s="198"/>
      <c r="Y380" s="198"/>
      <c r="Z380" s="198"/>
      <c r="AA380" s="198"/>
      <c r="AB380" s="198"/>
      <c r="AC380" s="198"/>
      <c r="AD380" s="198"/>
      <c r="AE380" s="198"/>
      <c r="AF380" s="198"/>
      <c r="AG380" s="198"/>
      <c r="AH380" s="198"/>
      <c r="AI380" s="198"/>
      <c r="AJ380" s="198"/>
      <c r="AK380" s="198"/>
      <c r="AL380" s="198"/>
      <c r="AM380" s="198"/>
      <c r="AN380" s="198"/>
      <c r="AO380" s="198"/>
      <c r="AP380" s="198"/>
      <c r="AQ380" s="198"/>
      <c r="AR380" s="198"/>
      <c r="AS380" s="198"/>
      <c r="AT380" s="198"/>
      <c r="AU380" s="198"/>
      <c r="AV380" s="198"/>
      <c r="AW380" s="198"/>
      <c r="AX380" s="198"/>
      <c r="AY380" s="198"/>
      <c r="AZ380" s="198"/>
      <c r="BA380" s="198"/>
      <c r="BB380" s="198"/>
      <c r="BC380" s="198"/>
      <c r="BD380" s="198"/>
      <c r="BE380" s="198"/>
      <c r="BF380" s="198"/>
      <c r="BG380" s="198"/>
      <c r="BH380" s="198"/>
      <c r="BI380" s="198"/>
      <c r="BJ380" s="198"/>
      <c r="BK380" s="198"/>
      <c r="BL380" s="198"/>
      <c r="BM380" s="198"/>
      <c r="BN380" s="198"/>
      <c r="BO380" s="198"/>
      <c r="BP380" s="198"/>
      <c r="BQ380" s="198"/>
      <c r="BR380" s="198"/>
      <c r="BS380" s="198"/>
      <c r="BT380" s="198"/>
      <c r="BU380" s="198"/>
      <c r="BV380" s="198"/>
      <c r="BW380" s="198"/>
      <c r="BX380" s="198"/>
      <c r="BY380" s="198"/>
      <c r="BZ380" s="198"/>
      <c r="CA380" s="198"/>
      <c r="CB380" s="198"/>
      <c r="CC380" s="198"/>
      <c r="CD380" s="198"/>
      <c r="CE380" s="198"/>
      <c r="CF380" s="198"/>
      <c r="CG380" s="198"/>
      <c r="CH380" s="198"/>
      <c r="CI380" s="198"/>
      <c r="CJ380" s="198"/>
      <c r="CK380" s="198"/>
      <c r="CL380" s="198"/>
      <c r="CM380" s="198"/>
      <c r="CN380" s="198"/>
      <c r="CO380" s="198"/>
      <c r="CP380" s="198"/>
      <c r="CQ380" s="198"/>
      <c r="CR380" s="198"/>
      <c r="CS380" s="198"/>
      <c r="CT380" s="198"/>
      <c r="CU380" s="198"/>
      <c r="CV380" s="198"/>
      <c r="CW380" s="198"/>
      <c r="CX380" s="198"/>
      <c r="CY380" s="198"/>
      <c r="CZ380" s="198"/>
      <c r="DA380" s="198"/>
      <c r="DB380" s="198"/>
      <c r="DC380" s="198"/>
      <c r="DD380" s="198"/>
      <c r="DE380" s="198"/>
      <c r="DF380" s="198"/>
      <c r="DG380" s="198"/>
      <c r="DH380" s="198"/>
      <c r="DI380" s="198"/>
      <c r="DJ380" s="198"/>
      <c r="DK380" s="198"/>
      <c r="DL380" s="198"/>
      <c r="DM380" s="198"/>
      <c r="DN380" s="198"/>
      <c r="DO380" s="198"/>
      <c r="DP380" s="198"/>
      <c r="DQ380" s="198"/>
      <c r="DR380" s="198"/>
      <c r="DS380" s="198"/>
      <c r="DT380" s="198"/>
      <c r="DU380" s="198"/>
      <c r="DV380" s="198"/>
      <c r="DW380" s="198"/>
      <c r="DX380" s="198"/>
      <c r="DY380" s="198"/>
      <c r="DZ380" s="198"/>
      <c r="EA380" s="198"/>
      <c r="EB380" s="198"/>
      <c r="EC380" s="198"/>
      <c r="ED380" s="198"/>
      <c r="EE380" s="198"/>
      <c r="EF380" s="198"/>
      <c r="EG380" s="198"/>
      <c r="EH380" s="198"/>
      <c r="EI380" s="198"/>
      <c r="EJ380" s="198"/>
      <c r="EK380" s="198"/>
      <c r="EL380" s="198"/>
      <c r="EM380" s="198"/>
      <c r="EN380" s="198"/>
      <c r="EO380" s="198"/>
      <c r="EP380" s="198"/>
      <c r="EQ380" s="198"/>
      <c r="ER380" s="198"/>
      <c r="ES380" s="198"/>
      <c r="ET380" s="198"/>
      <c r="EU380" s="198"/>
      <c r="EV380" s="198"/>
      <c r="EW380" s="198"/>
      <c r="EX380" s="198"/>
      <c r="EY380" s="198"/>
      <c r="EZ380" s="198"/>
      <c r="FA380" s="198"/>
      <c r="FB380" s="198"/>
      <c r="FC380" s="198"/>
      <c r="FD380" s="198"/>
      <c r="FE380" s="198"/>
      <c r="FF380" s="198"/>
      <c r="FG380" s="198"/>
      <c r="FH380" s="198"/>
    </row>
    <row r="381" spans="10:164" s="173" customFormat="1" x14ac:dyDescent="0.3">
      <c r="J381" s="198"/>
      <c r="K381" s="198"/>
      <c r="L381" s="198"/>
      <c r="M381" s="198"/>
      <c r="N381" s="198"/>
      <c r="O381" s="198"/>
      <c r="P381" s="198"/>
      <c r="Q381" s="198"/>
      <c r="R381" s="198"/>
      <c r="S381" s="198"/>
      <c r="T381" s="198"/>
      <c r="U381" s="198"/>
      <c r="V381" s="198"/>
      <c r="W381" s="198"/>
      <c r="X381" s="198"/>
      <c r="Y381" s="198"/>
      <c r="Z381" s="198"/>
      <c r="AA381" s="198"/>
      <c r="AB381" s="198"/>
      <c r="AC381" s="198"/>
      <c r="AD381" s="198"/>
      <c r="AE381" s="198"/>
      <c r="AF381" s="198"/>
      <c r="AG381" s="198"/>
      <c r="AH381" s="198"/>
      <c r="AI381" s="198"/>
      <c r="AJ381" s="198"/>
      <c r="AK381" s="198"/>
      <c r="AL381" s="198"/>
      <c r="AM381" s="198"/>
      <c r="AN381" s="198"/>
      <c r="AO381" s="198"/>
      <c r="AP381" s="198"/>
      <c r="AQ381" s="198"/>
      <c r="AR381" s="198"/>
      <c r="AS381" s="198"/>
      <c r="AT381" s="198"/>
      <c r="AU381" s="198"/>
      <c r="AV381" s="198"/>
      <c r="AW381" s="198"/>
      <c r="AX381" s="198"/>
      <c r="AY381" s="198"/>
      <c r="AZ381" s="198"/>
      <c r="BA381" s="198"/>
      <c r="BB381" s="198"/>
      <c r="BC381" s="198"/>
      <c r="BD381" s="198"/>
      <c r="BE381" s="198"/>
      <c r="BF381" s="198"/>
      <c r="BG381" s="198"/>
      <c r="BH381" s="198"/>
      <c r="BI381" s="198"/>
      <c r="BJ381" s="198"/>
      <c r="BK381" s="198"/>
      <c r="BL381" s="198"/>
      <c r="BM381" s="198"/>
      <c r="BN381" s="198"/>
      <c r="BO381" s="198"/>
      <c r="BP381" s="198"/>
      <c r="BQ381" s="198"/>
      <c r="BR381" s="198"/>
      <c r="BS381" s="198"/>
      <c r="BT381" s="198"/>
      <c r="BU381" s="198"/>
      <c r="BV381" s="198"/>
      <c r="BW381" s="198"/>
      <c r="BX381" s="198"/>
      <c r="BY381" s="198"/>
      <c r="BZ381" s="198"/>
      <c r="CA381" s="198"/>
      <c r="CB381" s="198"/>
      <c r="CC381" s="198"/>
      <c r="CD381" s="198"/>
      <c r="CE381" s="198"/>
      <c r="CF381" s="198"/>
      <c r="CG381" s="198"/>
      <c r="CH381" s="198"/>
      <c r="CI381" s="198"/>
      <c r="CJ381" s="198"/>
      <c r="CK381" s="198"/>
      <c r="CL381" s="198"/>
      <c r="CM381" s="198"/>
      <c r="CN381" s="198"/>
      <c r="CO381" s="198"/>
      <c r="CP381" s="198"/>
      <c r="CQ381" s="198"/>
      <c r="CR381" s="198"/>
      <c r="CS381" s="198"/>
      <c r="CT381" s="198"/>
      <c r="CU381" s="198"/>
      <c r="CV381" s="198"/>
      <c r="CW381" s="198"/>
      <c r="CX381" s="198"/>
      <c r="CY381" s="198"/>
      <c r="CZ381" s="198"/>
      <c r="DA381" s="198"/>
      <c r="DB381" s="198"/>
      <c r="DC381" s="198"/>
      <c r="DD381" s="198"/>
      <c r="DE381" s="198"/>
      <c r="DF381" s="198"/>
      <c r="DG381" s="198"/>
      <c r="DH381" s="198"/>
      <c r="DI381" s="198"/>
      <c r="DJ381" s="198"/>
      <c r="DK381" s="198"/>
      <c r="DL381" s="198"/>
      <c r="DM381" s="198"/>
      <c r="DN381" s="198"/>
      <c r="DO381" s="198"/>
      <c r="DP381" s="198"/>
      <c r="DQ381" s="198"/>
      <c r="DR381" s="198"/>
      <c r="DS381" s="198"/>
      <c r="DT381" s="198"/>
      <c r="DU381" s="198"/>
      <c r="DV381" s="198"/>
      <c r="DW381" s="198"/>
      <c r="DX381" s="198"/>
      <c r="DY381" s="198"/>
      <c r="DZ381" s="198"/>
      <c r="EA381" s="198"/>
      <c r="EB381" s="198"/>
      <c r="EC381" s="198"/>
      <c r="ED381" s="198"/>
      <c r="EE381" s="198"/>
      <c r="EF381" s="198"/>
      <c r="EG381" s="198"/>
      <c r="EH381" s="198"/>
      <c r="EI381" s="198"/>
      <c r="EJ381" s="198"/>
      <c r="EK381" s="198"/>
      <c r="EL381" s="198"/>
      <c r="EM381" s="198"/>
      <c r="EN381" s="198"/>
      <c r="EO381" s="198"/>
      <c r="EP381" s="198"/>
      <c r="EQ381" s="198"/>
      <c r="ER381" s="198"/>
      <c r="ES381" s="198"/>
      <c r="ET381" s="198"/>
      <c r="EU381" s="198"/>
      <c r="EV381" s="198"/>
      <c r="EW381" s="198"/>
      <c r="EX381" s="198"/>
      <c r="EY381" s="198"/>
      <c r="EZ381" s="198"/>
      <c r="FA381" s="198"/>
      <c r="FB381" s="198"/>
      <c r="FC381" s="198"/>
      <c r="FD381" s="198"/>
      <c r="FE381" s="198"/>
      <c r="FF381" s="198"/>
      <c r="FG381" s="198"/>
      <c r="FH381" s="198"/>
    </row>
    <row r="382" spans="10:164" s="173" customFormat="1" x14ac:dyDescent="0.3">
      <c r="J382" s="198"/>
      <c r="K382" s="198"/>
      <c r="L382" s="198"/>
      <c r="M382" s="198"/>
      <c r="N382" s="198"/>
      <c r="O382" s="198"/>
      <c r="P382" s="198"/>
      <c r="Q382" s="198"/>
      <c r="R382" s="198"/>
      <c r="S382" s="198"/>
      <c r="T382" s="198"/>
      <c r="U382" s="198"/>
      <c r="V382" s="198"/>
      <c r="W382" s="198"/>
      <c r="X382" s="198"/>
      <c r="Y382" s="198"/>
      <c r="Z382" s="198"/>
      <c r="AA382" s="198"/>
      <c r="AB382" s="198"/>
      <c r="AC382" s="198"/>
      <c r="AD382" s="198"/>
      <c r="AE382" s="198"/>
      <c r="AF382" s="198"/>
      <c r="AG382" s="198"/>
      <c r="AH382" s="198"/>
      <c r="AI382" s="198"/>
      <c r="AJ382" s="198"/>
      <c r="AK382" s="198"/>
      <c r="AL382" s="198"/>
      <c r="AM382" s="198"/>
      <c r="AN382" s="198"/>
      <c r="AO382" s="198"/>
      <c r="AP382" s="198"/>
      <c r="AQ382" s="198"/>
      <c r="AR382" s="198"/>
      <c r="AS382" s="198"/>
      <c r="AT382" s="198"/>
      <c r="AU382" s="198"/>
      <c r="AV382" s="198"/>
      <c r="AW382" s="198"/>
      <c r="AX382" s="198"/>
      <c r="AY382" s="198"/>
      <c r="AZ382" s="198"/>
      <c r="BA382" s="198"/>
      <c r="BB382" s="198"/>
      <c r="BC382" s="198"/>
      <c r="BD382" s="198"/>
      <c r="BE382" s="198"/>
      <c r="BF382" s="198"/>
      <c r="BG382" s="198"/>
      <c r="BH382" s="198"/>
      <c r="BI382" s="198"/>
      <c r="BJ382" s="198"/>
      <c r="BK382" s="198"/>
      <c r="BL382" s="198"/>
      <c r="BM382" s="198"/>
      <c r="BN382" s="198"/>
      <c r="BO382" s="198"/>
      <c r="BP382" s="198"/>
      <c r="BQ382" s="198"/>
      <c r="BR382" s="198"/>
      <c r="BS382" s="198"/>
      <c r="BT382" s="198"/>
      <c r="BU382" s="198"/>
      <c r="BV382" s="198"/>
      <c r="BW382" s="198"/>
      <c r="BX382" s="198"/>
      <c r="BY382" s="198"/>
      <c r="BZ382" s="198"/>
      <c r="CA382" s="198"/>
      <c r="CB382" s="198"/>
      <c r="CC382" s="198"/>
      <c r="CD382" s="198"/>
      <c r="CE382" s="198"/>
      <c r="CF382" s="198"/>
      <c r="CG382" s="198"/>
      <c r="CH382" s="198"/>
      <c r="CI382" s="198"/>
      <c r="CJ382" s="198"/>
      <c r="CK382" s="198"/>
      <c r="CL382" s="198"/>
      <c r="CM382" s="198"/>
      <c r="CN382" s="198"/>
      <c r="CO382" s="198"/>
      <c r="CP382" s="198"/>
      <c r="CQ382" s="198"/>
      <c r="CR382" s="198"/>
      <c r="CS382" s="198"/>
      <c r="CT382" s="198"/>
      <c r="CU382" s="198"/>
      <c r="CV382" s="198"/>
      <c r="CW382" s="198"/>
      <c r="CX382" s="198"/>
      <c r="CY382" s="198"/>
      <c r="CZ382" s="198"/>
      <c r="DA382" s="198"/>
      <c r="DB382" s="198"/>
      <c r="DC382" s="198"/>
      <c r="DD382" s="198"/>
      <c r="DE382" s="198"/>
      <c r="DF382" s="198"/>
      <c r="DG382" s="198"/>
      <c r="DH382" s="198"/>
      <c r="DI382" s="198"/>
      <c r="DJ382" s="198"/>
      <c r="DK382" s="198"/>
      <c r="DL382" s="198"/>
      <c r="DM382" s="198"/>
      <c r="DN382" s="198"/>
      <c r="DO382" s="198"/>
      <c r="DP382" s="198"/>
      <c r="DQ382" s="198"/>
      <c r="DR382" s="198"/>
      <c r="DS382" s="198"/>
      <c r="DT382" s="198"/>
      <c r="DU382" s="198"/>
      <c r="DV382" s="198"/>
      <c r="DW382" s="198"/>
      <c r="DX382" s="198"/>
      <c r="DY382" s="198"/>
      <c r="DZ382" s="198"/>
      <c r="EA382" s="198"/>
      <c r="EB382" s="198"/>
      <c r="EC382" s="198"/>
      <c r="ED382" s="198"/>
      <c r="EE382" s="198"/>
      <c r="EF382" s="198"/>
      <c r="EG382" s="198"/>
      <c r="EH382" s="198"/>
      <c r="EI382" s="198"/>
      <c r="EJ382" s="198"/>
      <c r="EK382" s="198"/>
      <c r="EL382" s="198"/>
      <c r="EM382" s="198"/>
      <c r="EN382" s="198"/>
      <c r="EO382" s="198"/>
      <c r="EP382" s="198"/>
      <c r="EQ382" s="198"/>
      <c r="ER382" s="198"/>
      <c r="ES382" s="198"/>
      <c r="ET382" s="198"/>
      <c r="EU382" s="198"/>
      <c r="EV382" s="198"/>
      <c r="EW382" s="198"/>
      <c r="EX382" s="198"/>
      <c r="EY382" s="198"/>
      <c r="EZ382" s="198"/>
      <c r="FA382" s="198"/>
      <c r="FB382" s="198"/>
      <c r="FC382" s="198"/>
      <c r="FD382" s="198"/>
      <c r="FE382" s="198"/>
      <c r="FF382" s="198"/>
      <c r="FG382" s="198"/>
      <c r="FH382" s="198"/>
    </row>
    <row r="383" spans="10:164" s="173" customFormat="1" x14ac:dyDescent="0.3">
      <c r="J383" s="198"/>
      <c r="K383" s="198"/>
      <c r="L383" s="198"/>
      <c r="M383" s="198"/>
      <c r="N383" s="198"/>
      <c r="O383" s="198"/>
      <c r="P383" s="198"/>
      <c r="Q383" s="198"/>
      <c r="R383" s="198"/>
      <c r="S383" s="198"/>
      <c r="T383" s="198"/>
      <c r="U383" s="198"/>
      <c r="V383" s="198"/>
      <c r="W383" s="198"/>
      <c r="X383" s="198"/>
      <c r="Y383" s="198"/>
      <c r="Z383" s="198"/>
      <c r="AA383" s="198"/>
      <c r="AB383" s="198"/>
      <c r="AC383" s="198"/>
      <c r="AD383" s="198"/>
      <c r="AE383" s="198"/>
      <c r="AF383" s="198"/>
      <c r="AG383" s="198"/>
      <c r="AH383" s="198"/>
      <c r="AI383" s="198"/>
      <c r="AJ383" s="198"/>
      <c r="AK383" s="198"/>
      <c r="AL383" s="198"/>
      <c r="AM383" s="198"/>
      <c r="AN383" s="198"/>
      <c r="AO383" s="198"/>
      <c r="AP383" s="198"/>
      <c r="AQ383" s="198"/>
      <c r="AR383" s="198"/>
      <c r="AS383" s="198"/>
      <c r="AT383" s="198"/>
      <c r="AU383" s="198"/>
      <c r="AV383" s="198"/>
      <c r="AW383" s="198"/>
      <c r="AX383" s="198"/>
      <c r="AY383" s="198"/>
      <c r="AZ383" s="198"/>
      <c r="BA383" s="198"/>
      <c r="BB383" s="198"/>
      <c r="BC383" s="198"/>
      <c r="BD383" s="198"/>
      <c r="BE383" s="198"/>
      <c r="BF383" s="198"/>
      <c r="BG383" s="198"/>
      <c r="BH383" s="198"/>
      <c r="BI383" s="198"/>
      <c r="BJ383" s="198"/>
      <c r="BK383" s="198"/>
      <c r="BL383" s="198"/>
      <c r="BM383" s="198"/>
      <c r="BN383" s="198"/>
      <c r="BO383" s="198"/>
      <c r="BP383" s="198"/>
      <c r="BQ383" s="198"/>
      <c r="BR383" s="198"/>
      <c r="BS383" s="198"/>
      <c r="BT383" s="198"/>
      <c r="BU383" s="198"/>
      <c r="BV383" s="198"/>
      <c r="BW383" s="198"/>
      <c r="BX383" s="198"/>
      <c r="BY383" s="198"/>
      <c r="BZ383" s="198"/>
      <c r="CA383" s="198"/>
      <c r="CB383" s="198"/>
      <c r="CC383" s="198"/>
      <c r="CD383" s="198"/>
      <c r="CE383" s="198"/>
      <c r="CF383" s="198"/>
      <c r="CG383" s="198"/>
      <c r="CH383" s="198"/>
      <c r="CI383" s="198"/>
      <c r="CJ383" s="198"/>
      <c r="CK383" s="198"/>
      <c r="CL383" s="198"/>
      <c r="CM383" s="198"/>
      <c r="CN383" s="198"/>
      <c r="CO383" s="198"/>
      <c r="CP383" s="198"/>
      <c r="CQ383" s="198"/>
      <c r="CR383" s="198"/>
      <c r="CS383" s="198"/>
      <c r="CT383" s="198"/>
      <c r="CU383" s="198"/>
      <c r="CV383" s="198"/>
      <c r="CW383" s="198"/>
      <c r="CX383" s="198"/>
      <c r="CY383" s="198"/>
      <c r="CZ383" s="198"/>
      <c r="DA383" s="198"/>
      <c r="DB383" s="198"/>
      <c r="DC383" s="198"/>
      <c r="DD383" s="198"/>
      <c r="DE383" s="198"/>
      <c r="DF383" s="198"/>
      <c r="DG383" s="198"/>
      <c r="DH383" s="198"/>
      <c r="DI383" s="198"/>
      <c r="DJ383" s="198"/>
      <c r="DK383" s="198"/>
      <c r="DL383" s="198"/>
      <c r="DM383" s="198"/>
      <c r="DN383" s="198"/>
      <c r="DO383" s="198"/>
      <c r="DP383" s="198"/>
      <c r="DQ383" s="198"/>
      <c r="DR383" s="198"/>
      <c r="DS383" s="198"/>
      <c r="DT383" s="198"/>
      <c r="DU383" s="198"/>
      <c r="DV383" s="198"/>
      <c r="DW383" s="198"/>
      <c r="DX383" s="198"/>
      <c r="DY383" s="198"/>
      <c r="DZ383" s="198"/>
      <c r="EA383" s="198"/>
      <c r="EB383" s="198"/>
      <c r="EC383" s="198"/>
      <c r="ED383" s="198"/>
      <c r="EE383" s="198"/>
      <c r="EF383" s="198"/>
      <c r="EG383" s="198"/>
      <c r="EH383" s="198"/>
      <c r="EI383" s="198"/>
      <c r="EJ383" s="198"/>
      <c r="EK383" s="198"/>
      <c r="EL383" s="198"/>
      <c r="EM383" s="198"/>
      <c r="EN383" s="198"/>
      <c r="EO383" s="198"/>
      <c r="EP383" s="198"/>
      <c r="EQ383" s="198"/>
      <c r="ER383" s="198"/>
      <c r="ES383" s="198"/>
      <c r="ET383" s="198"/>
      <c r="EU383" s="198"/>
      <c r="EV383" s="198"/>
      <c r="EW383" s="198"/>
      <c r="EX383" s="198"/>
      <c r="EY383" s="198"/>
      <c r="EZ383" s="198"/>
      <c r="FA383" s="198"/>
      <c r="FB383" s="198"/>
      <c r="FC383" s="198"/>
      <c r="FD383" s="198"/>
      <c r="FE383" s="198"/>
      <c r="FF383" s="198"/>
      <c r="FG383" s="198"/>
      <c r="FH383" s="198"/>
    </row>
    <row r="384" spans="10:164" s="173" customFormat="1" x14ac:dyDescent="0.3">
      <c r="J384" s="198"/>
      <c r="K384" s="198"/>
      <c r="L384" s="198"/>
      <c r="M384" s="198"/>
      <c r="N384" s="198"/>
      <c r="O384" s="198"/>
      <c r="P384" s="198"/>
      <c r="Q384" s="198"/>
      <c r="R384" s="198"/>
      <c r="S384" s="198"/>
      <c r="T384" s="198"/>
      <c r="U384" s="198"/>
      <c r="V384" s="198"/>
      <c r="W384" s="198"/>
      <c r="X384" s="198"/>
      <c r="Y384" s="198"/>
      <c r="Z384" s="198"/>
      <c r="AA384" s="198"/>
      <c r="AB384" s="198"/>
      <c r="AC384" s="198"/>
      <c r="AD384" s="198"/>
      <c r="AE384" s="198"/>
      <c r="AF384" s="198"/>
      <c r="AG384" s="198"/>
      <c r="AH384" s="198"/>
      <c r="AI384" s="198"/>
      <c r="AJ384" s="198"/>
      <c r="AK384" s="198"/>
      <c r="AL384" s="198"/>
      <c r="AM384" s="198"/>
      <c r="AN384" s="198"/>
      <c r="AO384" s="198"/>
      <c r="AP384" s="198"/>
      <c r="AQ384" s="198"/>
      <c r="AR384" s="198"/>
      <c r="AS384" s="198"/>
      <c r="AT384" s="198"/>
      <c r="AU384" s="198"/>
      <c r="AV384" s="198"/>
      <c r="AW384" s="198"/>
      <c r="AX384" s="198"/>
      <c r="AY384" s="198"/>
      <c r="AZ384" s="198"/>
      <c r="BA384" s="198"/>
      <c r="BB384" s="198"/>
      <c r="BC384" s="198"/>
      <c r="BD384" s="198"/>
      <c r="BE384" s="198"/>
      <c r="BF384" s="198"/>
      <c r="BG384" s="198"/>
      <c r="BH384" s="198"/>
      <c r="BI384" s="198"/>
      <c r="BJ384" s="198"/>
      <c r="BK384" s="198"/>
      <c r="BL384" s="198"/>
      <c r="BM384" s="198"/>
      <c r="BN384" s="198"/>
      <c r="BO384" s="198"/>
      <c r="BP384" s="198"/>
      <c r="BQ384" s="198"/>
      <c r="BR384" s="198"/>
      <c r="BS384" s="198"/>
      <c r="BT384" s="198"/>
      <c r="BU384" s="198"/>
      <c r="BV384" s="198"/>
      <c r="BW384" s="198"/>
      <c r="BX384" s="198"/>
      <c r="BY384" s="198"/>
      <c r="BZ384" s="198"/>
      <c r="CA384" s="198"/>
      <c r="CB384" s="198"/>
      <c r="CC384" s="198"/>
      <c r="CD384" s="198"/>
      <c r="CE384" s="198"/>
      <c r="CF384" s="198"/>
      <c r="CG384" s="198"/>
      <c r="CH384" s="198"/>
      <c r="CI384" s="198"/>
      <c r="CJ384" s="198"/>
      <c r="CK384" s="198"/>
      <c r="CL384" s="198"/>
      <c r="CM384" s="198"/>
      <c r="CN384" s="198"/>
      <c r="CO384" s="198"/>
      <c r="CP384" s="198"/>
      <c r="CQ384" s="198"/>
      <c r="CR384" s="198"/>
      <c r="CS384" s="198"/>
      <c r="CT384" s="198"/>
      <c r="CU384" s="198"/>
      <c r="CV384" s="198"/>
      <c r="CW384" s="198"/>
      <c r="CX384" s="198"/>
      <c r="CY384" s="198"/>
      <c r="CZ384" s="198"/>
      <c r="DA384" s="198"/>
      <c r="DB384" s="198"/>
      <c r="DC384" s="198"/>
      <c r="DD384" s="198"/>
      <c r="DE384" s="198"/>
      <c r="DF384" s="198"/>
      <c r="DG384" s="198"/>
      <c r="DH384" s="198"/>
      <c r="DI384" s="198"/>
      <c r="DJ384" s="198"/>
      <c r="DK384" s="198"/>
      <c r="DL384" s="198"/>
      <c r="DM384" s="198"/>
      <c r="DN384" s="198"/>
      <c r="DO384" s="198"/>
      <c r="DP384" s="198"/>
      <c r="DQ384" s="198"/>
      <c r="DR384" s="198"/>
      <c r="DS384" s="198"/>
      <c r="DT384" s="198"/>
      <c r="DU384" s="198"/>
      <c r="DV384" s="198"/>
      <c r="DW384" s="198"/>
      <c r="DX384" s="198"/>
      <c r="DY384" s="198"/>
      <c r="DZ384" s="198"/>
      <c r="EA384" s="198"/>
      <c r="EB384" s="198"/>
      <c r="EC384" s="198"/>
      <c r="ED384" s="198"/>
      <c r="EE384" s="198"/>
      <c r="EF384" s="198"/>
      <c r="EG384" s="198"/>
      <c r="EH384" s="198"/>
      <c r="EI384" s="198"/>
      <c r="EJ384" s="198"/>
      <c r="EK384" s="198"/>
      <c r="EL384" s="198"/>
      <c r="EM384" s="198"/>
      <c r="EN384" s="198"/>
      <c r="EO384" s="198"/>
      <c r="EP384" s="198"/>
      <c r="EQ384" s="198"/>
      <c r="ER384" s="198"/>
      <c r="ES384" s="198"/>
      <c r="ET384" s="198"/>
      <c r="EU384" s="198"/>
      <c r="EV384" s="198"/>
      <c r="EW384" s="198"/>
      <c r="EX384" s="198"/>
      <c r="EY384" s="198"/>
      <c r="EZ384" s="198"/>
      <c r="FA384" s="198"/>
      <c r="FB384" s="198"/>
      <c r="FC384" s="198"/>
      <c r="FD384" s="198"/>
      <c r="FE384" s="198"/>
      <c r="FF384" s="198"/>
      <c r="FG384" s="198"/>
      <c r="FH384" s="198"/>
    </row>
    <row r="385" spans="10:164" s="173" customFormat="1" x14ac:dyDescent="0.3">
      <c r="J385" s="198"/>
      <c r="K385" s="198"/>
      <c r="L385" s="198"/>
      <c r="M385" s="198"/>
      <c r="N385" s="198"/>
      <c r="O385" s="198"/>
      <c r="P385" s="198"/>
      <c r="Q385" s="198"/>
      <c r="R385" s="198"/>
      <c r="S385" s="198"/>
      <c r="T385" s="198"/>
      <c r="U385" s="198"/>
      <c r="V385" s="198"/>
      <c r="W385" s="198"/>
      <c r="X385" s="198"/>
      <c r="Y385" s="198"/>
      <c r="Z385" s="198"/>
      <c r="AA385" s="198"/>
      <c r="AB385" s="198"/>
      <c r="AC385" s="198"/>
      <c r="AD385" s="198"/>
      <c r="AE385" s="198"/>
      <c r="AF385" s="198"/>
      <c r="AG385" s="198"/>
      <c r="AH385" s="198"/>
      <c r="AI385" s="198"/>
      <c r="AJ385" s="198"/>
      <c r="AK385" s="198"/>
      <c r="AL385" s="198"/>
      <c r="AM385" s="198"/>
      <c r="AN385" s="198"/>
      <c r="AO385" s="198"/>
      <c r="AP385" s="198"/>
      <c r="AQ385" s="198"/>
      <c r="AR385" s="198"/>
      <c r="AS385" s="198"/>
      <c r="AT385" s="198"/>
      <c r="AU385" s="198"/>
      <c r="AV385" s="198"/>
      <c r="AW385" s="198"/>
      <c r="AX385" s="198"/>
      <c r="AY385" s="198"/>
      <c r="AZ385" s="198"/>
      <c r="BA385" s="198"/>
      <c r="BB385" s="198"/>
      <c r="BC385" s="198"/>
      <c r="BD385" s="198"/>
      <c r="BE385" s="198"/>
      <c r="BF385" s="198"/>
      <c r="BG385" s="198"/>
      <c r="BH385" s="198"/>
      <c r="BI385" s="198"/>
      <c r="BJ385" s="198"/>
      <c r="BK385" s="198"/>
      <c r="BL385" s="198"/>
      <c r="BM385" s="198"/>
      <c r="BN385" s="198"/>
      <c r="BO385" s="198"/>
      <c r="BP385" s="198"/>
      <c r="BQ385" s="198"/>
      <c r="BR385" s="198"/>
      <c r="BS385" s="198"/>
      <c r="BT385" s="198"/>
      <c r="BU385" s="198"/>
      <c r="BV385" s="198"/>
      <c r="BW385" s="198"/>
      <c r="BX385" s="198"/>
      <c r="BY385" s="198"/>
      <c r="BZ385" s="198"/>
      <c r="CA385" s="198"/>
      <c r="CB385" s="198"/>
      <c r="CC385" s="198"/>
      <c r="CD385" s="198"/>
      <c r="CE385" s="198"/>
      <c r="CF385" s="198"/>
      <c r="CG385" s="198"/>
      <c r="CH385" s="198"/>
      <c r="CI385" s="198"/>
      <c r="CJ385" s="198"/>
      <c r="CK385" s="198"/>
      <c r="CL385" s="198"/>
      <c r="CM385" s="198"/>
      <c r="CN385" s="198"/>
      <c r="CO385" s="198"/>
      <c r="CP385" s="198"/>
      <c r="CQ385" s="198"/>
      <c r="CR385" s="198"/>
      <c r="CS385" s="198"/>
      <c r="CT385" s="198"/>
      <c r="CU385" s="198"/>
      <c r="CV385" s="198"/>
      <c r="CW385" s="198"/>
      <c r="CX385" s="198"/>
      <c r="CY385" s="198"/>
      <c r="CZ385" s="198"/>
      <c r="DA385" s="198"/>
      <c r="DB385" s="198"/>
      <c r="DC385" s="198"/>
      <c r="DD385" s="198"/>
      <c r="DE385" s="198"/>
      <c r="DF385" s="198"/>
      <c r="DG385" s="198"/>
      <c r="DH385" s="198"/>
      <c r="DI385" s="198"/>
      <c r="DJ385" s="198"/>
      <c r="DK385" s="198"/>
      <c r="DL385" s="198"/>
      <c r="DM385" s="198"/>
      <c r="DN385" s="198"/>
      <c r="DO385" s="198"/>
      <c r="DP385" s="198"/>
      <c r="DQ385" s="198"/>
      <c r="DR385" s="198"/>
      <c r="DS385" s="198"/>
      <c r="DT385" s="198"/>
      <c r="DU385" s="198"/>
      <c r="DV385" s="198"/>
      <c r="DW385" s="198"/>
      <c r="DX385" s="198"/>
      <c r="DY385" s="198"/>
      <c r="DZ385" s="198"/>
      <c r="EA385" s="198"/>
      <c r="EB385" s="198"/>
      <c r="EC385" s="198"/>
      <c r="ED385" s="198"/>
      <c r="EE385" s="198"/>
      <c r="EF385" s="198"/>
      <c r="EG385" s="198"/>
      <c r="EH385" s="198"/>
      <c r="EI385" s="198"/>
      <c r="EJ385" s="198"/>
      <c r="EK385" s="198"/>
      <c r="EL385" s="198"/>
      <c r="EM385" s="198"/>
      <c r="EN385" s="198"/>
      <c r="EO385" s="198"/>
      <c r="EP385" s="198"/>
      <c r="EQ385" s="198"/>
      <c r="ER385" s="198"/>
      <c r="ES385" s="198"/>
      <c r="ET385" s="198"/>
      <c r="EU385" s="198"/>
      <c r="EV385" s="198"/>
      <c r="EW385" s="198"/>
      <c r="EX385" s="198"/>
      <c r="EY385" s="198"/>
      <c r="EZ385" s="198"/>
      <c r="FA385" s="198"/>
      <c r="FB385" s="198"/>
      <c r="FC385" s="198"/>
      <c r="FD385" s="198"/>
      <c r="FE385" s="198"/>
      <c r="FF385" s="198"/>
      <c r="FG385" s="198"/>
      <c r="FH385" s="198"/>
    </row>
    <row r="386" spans="10:164" s="173" customFormat="1" x14ac:dyDescent="0.3">
      <c r="J386" s="198"/>
      <c r="K386" s="198"/>
      <c r="L386" s="198"/>
      <c r="M386" s="198"/>
      <c r="N386" s="198"/>
      <c r="O386" s="198"/>
      <c r="P386" s="198"/>
      <c r="Q386" s="198"/>
      <c r="R386" s="198"/>
      <c r="S386" s="198"/>
      <c r="T386" s="198"/>
      <c r="U386" s="198"/>
      <c r="V386" s="198"/>
      <c r="W386" s="198"/>
      <c r="X386" s="198"/>
      <c r="Y386" s="198"/>
      <c r="Z386" s="198"/>
      <c r="AA386" s="198"/>
      <c r="AB386" s="198"/>
      <c r="AC386" s="198"/>
      <c r="AD386" s="198"/>
      <c r="AE386" s="198"/>
      <c r="AF386" s="198"/>
      <c r="AG386" s="198"/>
      <c r="AH386" s="198"/>
      <c r="AI386" s="198"/>
      <c r="AJ386" s="198"/>
      <c r="AK386" s="198"/>
      <c r="AL386" s="198"/>
      <c r="AM386" s="198"/>
      <c r="AN386" s="198"/>
      <c r="AO386" s="198"/>
      <c r="AP386" s="198"/>
      <c r="AQ386" s="198"/>
      <c r="AR386" s="198"/>
      <c r="AS386" s="198"/>
      <c r="AT386" s="198"/>
      <c r="AU386" s="198"/>
      <c r="AV386" s="198"/>
      <c r="AW386" s="198"/>
      <c r="AX386" s="198"/>
      <c r="AY386" s="198"/>
      <c r="AZ386" s="198"/>
      <c r="BA386" s="198"/>
      <c r="BB386" s="198"/>
      <c r="BC386" s="198"/>
      <c r="BD386" s="198"/>
      <c r="BE386" s="198"/>
      <c r="BF386" s="198"/>
      <c r="BG386" s="198"/>
      <c r="BH386" s="198"/>
      <c r="BI386" s="198"/>
      <c r="BJ386" s="198"/>
      <c r="BK386" s="198"/>
      <c r="BL386" s="198"/>
      <c r="BM386" s="198"/>
      <c r="BN386" s="198"/>
      <c r="BO386" s="198"/>
      <c r="BP386" s="198"/>
      <c r="BQ386" s="198"/>
      <c r="BR386" s="198"/>
      <c r="BS386" s="198"/>
      <c r="BT386" s="198"/>
      <c r="BU386" s="198"/>
      <c r="BV386" s="198"/>
      <c r="BW386" s="198"/>
      <c r="BX386" s="198"/>
      <c r="BY386" s="198"/>
      <c r="BZ386" s="198"/>
      <c r="CA386" s="198"/>
      <c r="CB386" s="198"/>
      <c r="CC386" s="198"/>
      <c r="CD386" s="198"/>
      <c r="CE386" s="198"/>
      <c r="CF386" s="198"/>
      <c r="CG386" s="198"/>
      <c r="CH386" s="198"/>
      <c r="CI386" s="198"/>
      <c r="CJ386" s="198"/>
      <c r="CK386" s="198"/>
      <c r="CL386" s="198"/>
      <c r="CM386" s="198"/>
      <c r="CN386" s="198"/>
      <c r="CO386" s="198"/>
      <c r="CP386" s="198"/>
      <c r="CQ386" s="198"/>
      <c r="CR386" s="198"/>
      <c r="CS386" s="198"/>
      <c r="CT386" s="198"/>
      <c r="CU386" s="198"/>
      <c r="CV386" s="198"/>
      <c r="CW386" s="198"/>
      <c r="CX386" s="198"/>
      <c r="CY386" s="198"/>
      <c r="CZ386" s="198"/>
      <c r="DA386" s="198"/>
      <c r="DB386" s="198"/>
      <c r="DC386" s="198"/>
      <c r="DD386" s="198"/>
      <c r="DE386" s="198"/>
      <c r="DF386" s="198"/>
      <c r="DG386" s="198"/>
      <c r="DH386" s="198"/>
      <c r="DI386" s="198"/>
      <c r="DJ386" s="198"/>
      <c r="DK386" s="198"/>
      <c r="DL386" s="198"/>
      <c r="DM386" s="198"/>
      <c r="DN386" s="198"/>
      <c r="DO386" s="198"/>
      <c r="DP386" s="198"/>
      <c r="DQ386" s="198"/>
      <c r="DR386" s="198"/>
      <c r="DS386" s="198"/>
      <c r="DT386" s="198"/>
      <c r="DU386" s="198"/>
      <c r="DV386" s="198"/>
      <c r="DW386" s="198"/>
      <c r="DX386" s="198"/>
      <c r="DY386" s="198"/>
      <c r="DZ386" s="198"/>
      <c r="EA386" s="198"/>
      <c r="EB386" s="198"/>
      <c r="EC386" s="198"/>
      <c r="ED386" s="198"/>
      <c r="EE386" s="198"/>
      <c r="EF386" s="198"/>
      <c r="EG386" s="198"/>
      <c r="EH386" s="198"/>
      <c r="EI386" s="198"/>
      <c r="EJ386" s="198"/>
      <c r="EK386" s="198"/>
      <c r="EL386" s="198"/>
      <c r="EM386" s="198"/>
      <c r="EN386" s="198"/>
      <c r="EO386" s="198"/>
      <c r="EP386" s="198"/>
      <c r="EQ386" s="198"/>
      <c r="ER386" s="198"/>
      <c r="ES386" s="198"/>
      <c r="ET386" s="198"/>
      <c r="EU386" s="198"/>
      <c r="EV386" s="198"/>
      <c r="EW386" s="198"/>
      <c r="EX386" s="198"/>
      <c r="EY386" s="198"/>
      <c r="EZ386" s="198"/>
      <c r="FA386" s="198"/>
      <c r="FB386" s="198"/>
      <c r="FC386" s="198"/>
      <c r="FD386" s="198"/>
      <c r="FE386" s="198"/>
      <c r="FF386" s="198"/>
      <c r="FG386" s="198"/>
      <c r="FH386" s="198"/>
    </row>
    <row r="387" spans="10:164" s="173" customFormat="1" x14ac:dyDescent="0.3">
      <c r="J387" s="198"/>
      <c r="K387" s="198"/>
      <c r="L387" s="198"/>
      <c r="M387" s="198"/>
      <c r="N387" s="198"/>
      <c r="O387" s="198"/>
      <c r="P387" s="198"/>
      <c r="Q387" s="198"/>
      <c r="R387" s="198"/>
      <c r="S387" s="198"/>
      <c r="T387" s="198"/>
      <c r="U387" s="198"/>
      <c r="V387" s="198"/>
      <c r="W387" s="198"/>
      <c r="X387" s="198"/>
      <c r="Y387" s="198"/>
      <c r="Z387" s="198"/>
      <c r="AA387" s="198"/>
      <c r="AB387" s="198"/>
      <c r="AC387" s="198"/>
      <c r="AD387" s="198"/>
      <c r="AE387" s="198"/>
      <c r="AF387" s="198"/>
      <c r="AG387" s="198"/>
      <c r="AH387" s="198"/>
      <c r="AI387" s="198"/>
      <c r="AJ387" s="198"/>
      <c r="AK387" s="198"/>
      <c r="AL387" s="198"/>
      <c r="AM387" s="198"/>
      <c r="AN387" s="198"/>
      <c r="AO387" s="198"/>
      <c r="AP387" s="198"/>
      <c r="AQ387" s="198"/>
      <c r="AR387" s="198"/>
      <c r="AS387" s="198"/>
      <c r="AT387" s="198"/>
      <c r="AU387" s="198"/>
      <c r="AV387" s="198"/>
      <c r="AW387" s="198"/>
      <c r="AX387" s="198"/>
      <c r="AY387" s="198"/>
      <c r="AZ387" s="198"/>
      <c r="BA387" s="198"/>
      <c r="BB387" s="198"/>
      <c r="BC387" s="198"/>
      <c r="BD387" s="198"/>
      <c r="BE387" s="198"/>
      <c r="BF387" s="198"/>
      <c r="BG387" s="198"/>
      <c r="BH387" s="198"/>
      <c r="BI387" s="198"/>
      <c r="BJ387" s="198"/>
      <c r="BK387" s="198"/>
      <c r="BL387" s="198"/>
      <c r="BM387" s="198"/>
      <c r="BN387" s="198"/>
      <c r="BO387" s="198"/>
      <c r="BP387" s="198"/>
      <c r="BQ387" s="198"/>
      <c r="BR387" s="198"/>
      <c r="BS387" s="198"/>
      <c r="BT387" s="198"/>
      <c r="BU387" s="198"/>
      <c r="BV387" s="198"/>
      <c r="BW387" s="198"/>
      <c r="BX387" s="198"/>
      <c r="BY387" s="198"/>
      <c r="BZ387" s="198"/>
      <c r="CA387" s="198"/>
      <c r="CB387" s="198"/>
      <c r="CC387" s="198"/>
      <c r="CD387" s="198"/>
      <c r="CE387" s="198"/>
      <c r="CF387" s="198"/>
      <c r="CG387" s="198"/>
      <c r="CH387" s="198"/>
      <c r="CI387" s="198"/>
      <c r="CJ387" s="198"/>
      <c r="CK387" s="198"/>
      <c r="CL387" s="198"/>
      <c r="CM387" s="198"/>
      <c r="CN387" s="198"/>
      <c r="CO387" s="198"/>
      <c r="CP387" s="198"/>
      <c r="CQ387" s="198"/>
      <c r="CR387" s="198"/>
      <c r="CS387" s="198"/>
      <c r="CT387" s="198"/>
      <c r="CU387" s="198"/>
      <c r="CV387" s="198"/>
      <c r="CW387" s="198"/>
      <c r="CX387" s="198"/>
      <c r="CY387" s="198"/>
      <c r="CZ387" s="198"/>
      <c r="DA387" s="198"/>
      <c r="DB387" s="198"/>
      <c r="DC387" s="198"/>
      <c r="DD387" s="198"/>
      <c r="DE387" s="198"/>
      <c r="DF387" s="198"/>
      <c r="DG387" s="198"/>
      <c r="DH387" s="198"/>
      <c r="DI387" s="198"/>
      <c r="DJ387" s="198"/>
      <c r="DK387" s="198"/>
      <c r="DL387" s="198"/>
      <c r="DM387" s="198"/>
      <c r="DN387" s="198"/>
      <c r="DO387" s="198"/>
      <c r="DP387" s="198"/>
      <c r="DQ387" s="198"/>
      <c r="DR387" s="198"/>
      <c r="DS387" s="198"/>
      <c r="DT387" s="198"/>
      <c r="DU387" s="198"/>
      <c r="DV387" s="198"/>
      <c r="DW387" s="198"/>
      <c r="DX387" s="198"/>
      <c r="DY387" s="198"/>
      <c r="DZ387" s="198"/>
      <c r="EA387" s="198"/>
      <c r="EB387" s="198"/>
      <c r="EC387" s="198"/>
      <c r="ED387" s="198"/>
      <c r="EE387" s="198"/>
      <c r="EF387" s="198"/>
      <c r="EG387" s="198"/>
      <c r="EH387" s="198"/>
      <c r="EI387" s="198"/>
      <c r="EJ387" s="198"/>
      <c r="EK387" s="198"/>
      <c r="EL387" s="198"/>
      <c r="EM387" s="198"/>
      <c r="EN387" s="198"/>
      <c r="EO387" s="198"/>
      <c r="EP387" s="198"/>
      <c r="EQ387" s="198"/>
      <c r="ER387" s="198"/>
      <c r="ES387" s="198"/>
      <c r="ET387" s="198"/>
      <c r="EU387" s="198"/>
      <c r="EV387" s="198"/>
      <c r="EW387" s="198"/>
      <c r="EX387" s="198"/>
      <c r="EY387" s="198"/>
      <c r="EZ387" s="198"/>
      <c r="FA387" s="198"/>
      <c r="FB387" s="198"/>
      <c r="FC387" s="198"/>
      <c r="FD387" s="198"/>
      <c r="FE387" s="198"/>
      <c r="FF387" s="198"/>
      <c r="FG387" s="198"/>
      <c r="FH387" s="198"/>
    </row>
    <row r="388" spans="10:164" s="173" customFormat="1" x14ac:dyDescent="0.3">
      <c r="J388" s="198"/>
      <c r="K388" s="198"/>
      <c r="L388" s="198"/>
      <c r="M388" s="198"/>
      <c r="N388" s="198"/>
      <c r="O388" s="198"/>
      <c r="P388" s="198"/>
      <c r="Q388" s="198"/>
      <c r="R388" s="198"/>
      <c r="S388" s="198"/>
      <c r="T388" s="198"/>
      <c r="U388" s="198"/>
      <c r="V388" s="198"/>
      <c r="W388" s="198"/>
      <c r="X388" s="198"/>
      <c r="Y388" s="198"/>
      <c r="Z388" s="198"/>
      <c r="AA388" s="198"/>
      <c r="AB388" s="198"/>
      <c r="AC388" s="198"/>
      <c r="AD388" s="198"/>
      <c r="AE388" s="198"/>
      <c r="AF388" s="198"/>
      <c r="AG388" s="198"/>
      <c r="AH388" s="198"/>
      <c r="AI388" s="198"/>
      <c r="AJ388" s="198"/>
      <c r="AK388" s="198"/>
      <c r="AL388" s="198"/>
      <c r="AM388" s="198"/>
      <c r="AN388" s="198"/>
      <c r="AO388" s="198"/>
      <c r="AP388" s="198"/>
      <c r="AQ388" s="198"/>
      <c r="AR388" s="198"/>
      <c r="AS388" s="198"/>
      <c r="AT388" s="198"/>
      <c r="AU388" s="198"/>
      <c r="AV388" s="198"/>
      <c r="AW388" s="198"/>
      <c r="AX388" s="198"/>
      <c r="AY388" s="198"/>
      <c r="AZ388" s="198"/>
      <c r="BA388" s="198"/>
      <c r="BB388" s="198"/>
      <c r="BC388" s="198"/>
      <c r="BD388" s="198"/>
      <c r="BE388" s="198"/>
      <c r="BF388" s="198"/>
      <c r="BG388" s="198"/>
      <c r="BH388" s="198"/>
      <c r="BI388" s="198"/>
      <c r="BJ388" s="198"/>
      <c r="BK388" s="198"/>
      <c r="BL388" s="198"/>
      <c r="BM388" s="198"/>
      <c r="BN388" s="198"/>
      <c r="BO388" s="198"/>
      <c r="BP388" s="198"/>
      <c r="BQ388" s="198"/>
      <c r="BR388" s="198"/>
      <c r="BS388" s="198"/>
      <c r="BT388" s="198"/>
      <c r="BU388" s="198"/>
      <c r="BV388" s="198"/>
      <c r="BW388" s="198"/>
      <c r="BX388" s="198"/>
      <c r="BY388" s="198"/>
      <c r="BZ388" s="198"/>
      <c r="CA388" s="198"/>
      <c r="CB388" s="198"/>
      <c r="CC388" s="198"/>
      <c r="CD388" s="198"/>
      <c r="CE388" s="198"/>
      <c r="CF388" s="198"/>
      <c r="CG388" s="198"/>
      <c r="CH388" s="198"/>
      <c r="CI388" s="198"/>
      <c r="CJ388" s="198"/>
      <c r="CK388" s="198"/>
      <c r="CL388" s="198"/>
      <c r="CM388" s="198"/>
      <c r="CN388" s="198"/>
      <c r="CO388" s="198"/>
      <c r="CP388" s="198"/>
      <c r="CQ388" s="198"/>
      <c r="CR388" s="198"/>
      <c r="CS388" s="198"/>
      <c r="CT388" s="198"/>
      <c r="CU388" s="198"/>
      <c r="CV388" s="198"/>
      <c r="CW388" s="198"/>
      <c r="CX388" s="198"/>
      <c r="CY388" s="198"/>
      <c r="CZ388" s="198"/>
      <c r="DA388" s="198"/>
      <c r="DB388" s="198"/>
      <c r="DC388" s="198"/>
      <c r="DD388" s="198"/>
      <c r="DE388" s="198"/>
      <c r="DF388" s="198"/>
      <c r="DG388" s="198"/>
      <c r="DH388" s="198"/>
      <c r="DI388" s="198"/>
      <c r="DJ388" s="198"/>
      <c r="DK388" s="198"/>
      <c r="DL388" s="198"/>
      <c r="DM388" s="198"/>
      <c r="DN388" s="198"/>
      <c r="DO388" s="198"/>
      <c r="DP388" s="198"/>
      <c r="DQ388" s="198"/>
      <c r="DR388" s="198"/>
      <c r="DS388" s="198"/>
      <c r="DT388" s="198"/>
      <c r="DU388" s="198"/>
      <c r="DV388" s="198"/>
      <c r="DW388" s="198"/>
      <c r="DX388" s="198"/>
      <c r="DY388" s="198"/>
      <c r="DZ388" s="198"/>
      <c r="EA388" s="198"/>
      <c r="EB388" s="198"/>
      <c r="EC388" s="198"/>
      <c r="ED388" s="198"/>
      <c r="EE388" s="198"/>
      <c r="EF388" s="198"/>
      <c r="EG388" s="198"/>
      <c r="EH388" s="198"/>
      <c r="EI388" s="198"/>
      <c r="EJ388" s="198"/>
      <c r="EK388" s="198"/>
      <c r="EL388" s="198"/>
      <c r="EM388" s="198"/>
      <c r="EN388" s="198"/>
      <c r="EO388" s="198"/>
      <c r="EP388" s="198"/>
      <c r="EQ388" s="198"/>
      <c r="ER388" s="198"/>
      <c r="ES388" s="198"/>
      <c r="ET388" s="198"/>
      <c r="EU388" s="198"/>
      <c r="EV388" s="198"/>
      <c r="EW388" s="198"/>
      <c r="EX388" s="198"/>
      <c r="EY388" s="198"/>
      <c r="EZ388" s="198"/>
      <c r="FA388" s="198"/>
      <c r="FB388" s="198"/>
      <c r="FC388" s="198"/>
      <c r="FD388" s="198"/>
      <c r="FE388" s="198"/>
      <c r="FF388" s="198"/>
      <c r="FG388" s="198"/>
      <c r="FH388" s="198"/>
    </row>
    <row r="389" spans="10:164" s="173" customFormat="1" x14ac:dyDescent="0.3">
      <c r="J389" s="198"/>
      <c r="K389" s="198"/>
      <c r="L389" s="198"/>
      <c r="M389" s="198"/>
      <c r="N389" s="198"/>
      <c r="O389" s="198"/>
      <c r="P389" s="198"/>
      <c r="Q389" s="198"/>
      <c r="R389" s="198"/>
      <c r="S389" s="198"/>
      <c r="T389" s="198"/>
      <c r="U389" s="198"/>
      <c r="V389" s="198"/>
      <c r="W389" s="198"/>
      <c r="X389" s="198"/>
      <c r="Y389" s="198"/>
      <c r="Z389" s="198"/>
      <c r="AA389" s="198"/>
      <c r="AB389" s="198"/>
      <c r="AC389" s="198"/>
      <c r="AD389" s="198"/>
      <c r="AE389" s="198"/>
      <c r="AF389" s="198"/>
      <c r="AG389" s="198"/>
      <c r="AH389" s="198"/>
      <c r="AI389" s="198"/>
      <c r="AJ389" s="198"/>
      <c r="AK389" s="198"/>
      <c r="AL389" s="198"/>
      <c r="AM389" s="198"/>
      <c r="AN389" s="198"/>
      <c r="AO389" s="198"/>
      <c r="AP389" s="198"/>
      <c r="AQ389" s="198"/>
      <c r="AR389" s="198"/>
      <c r="AS389" s="198"/>
      <c r="AT389" s="198"/>
      <c r="AU389" s="198"/>
      <c r="AV389" s="198"/>
      <c r="AW389" s="198"/>
      <c r="AX389" s="198"/>
      <c r="AY389" s="198"/>
      <c r="AZ389" s="198"/>
      <c r="BA389" s="198"/>
      <c r="BB389" s="198"/>
      <c r="BC389" s="198"/>
      <c r="BD389" s="198"/>
      <c r="BE389" s="198"/>
      <c r="BF389" s="198"/>
      <c r="BG389" s="198"/>
      <c r="BH389" s="198"/>
      <c r="BI389" s="198"/>
      <c r="BJ389" s="198"/>
      <c r="BK389" s="198"/>
      <c r="BL389" s="198"/>
      <c r="BM389" s="198"/>
      <c r="BN389" s="198"/>
      <c r="BO389" s="198"/>
      <c r="BP389" s="198"/>
      <c r="BQ389" s="198"/>
      <c r="BR389" s="198"/>
      <c r="BS389" s="198"/>
      <c r="BT389" s="198"/>
      <c r="BU389" s="198"/>
      <c r="BV389" s="198"/>
      <c r="BW389" s="198"/>
      <c r="BX389" s="198"/>
      <c r="BY389" s="198"/>
      <c r="BZ389" s="198"/>
      <c r="CA389" s="198"/>
      <c r="CB389" s="198"/>
      <c r="CC389" s="198"/>
      <c r="CD389" s="198"/>
      <c r="CE389" s="198"/>
      <c r="CF389" s="198"/>
      <c r="CG389" s="198"/>
      <c r="CH389" s="198"/>
      <c r="CI389" s="198"/>
      <c r="CJ389" s="198"/>
      <c r="CK389" s="198"/>
      <c r="CL389" s="198"/>
      <c r="CM389" s="198"/>
      <c r="CN389" s="198"/>
      <c r="CO389" s="198"/>
      <c r="CP389" s="198"/>
      <c r="CQ389" s="198"/>
      <c r="CR389" s="198"/>
      <c r="CS389" s="198"/>
      <c r="CT389" s="198"/>
      <c r="CU389" s="198"/>
      <c r="CV389" s="198"/>
      <c r="CW389" s="198"/>
      <c r="CX389" s="198"/>
      <c r="CY389" s="198"/>
      <c r="CZ389" s="198"/>
      <c r="DA389" s="198"/>
      <c r="DB389" s="198"/>
      <c r="DC389" s="198"/>
      <c r="DD389" s="198"/>
      <c r="DE389" s="198"/>
      <c r="DF389" s="198"/>
      <c r="DG389" s="198"/>
      <c r="DH389" s="198"/>
      <c r="DI389" s="198"/>
      <c r="DJ389" s="198"/>
      <c r="DK389" s="198"/>
      <c r="DL389" s="198"/>
      <c r="DM389" s="198"/>
      <c r="DN389" s="198"/>
      <c r="DO389" s="198"/>
      <c r="DP389" s="198"/>
      <c r="DQ389" s="198"/>
      <c r="DR389" s="198"/>
      <c r="DS389" s="198"/>
      <c r="DT389" s="198"/>
      <c r="DU389" s="198"/>
      <c r="DV389" s="198"/>
      <c r="DW389" s="198"/>
      <c r="DX389" s="198"/>
      <c r="DY389" s="198"/>
      <c r="DZ389" s="198"/>
      <c r="EA389" s="198"/>
      <c r="EB389" s="198"/>
      <c r="EC389" s="198"/>
      <c r="ED389" s="198"/>
      <c r="EE389" s="198"/>
      <c r="EF389" s="198"/>
      <c r="EG389" s="198"/>
      <c r="EH389" s="198"/>
      <c r="EI389" s="198"/>
      <c r="EJ389" s="198"/>
      <c r="EK389" s="198"/>
      <c r="EL389" s="198"/>
      <c r="EM389" s="198"/>
      <c r="EN389" s="198"/>
      <c r="EO389" s="198"/>
      <c r="EP389" s="198"/>
      <c r="EQ389" s="198"/>
      <c r="ER389" s="198"/>
      <c r="ES389" s="198"/>
      <c r="ET389" s="198"/>
      <c r="EU389" s="198"/>
      <c r="EV389" s="198"/>
      <c r="EW389" s="198"/>
      <c r="EX389" s="198"/>
      <c r="EY389" s="198"/>
      <c r="EZ389" s="198"/>
      <c r="FA389" s="198"/>
      <c r="FB389" s="198"/>
      <c r="FC389" s="198"/>
      <c r="FD389" s="198"/>
      <c r="FE389" s="198"/>
      <c r="FF389" s="198"/>
      <c r="FG389" s="198"/>
      <c r="FH389" s="198"/>
    </row>
    <row r="390" spans="10:164" s="173" customFormat="1" x14ac:dyDescent="0.3">
      <c r="J390" s="198"/>
      <c r="K390" s="198"/>
      <c r="L390" s="198"/>
      <c r="M390" s="198"/>
      <c r="N390" s="198"/>
      <c r="O390" s="198"/>
      <c r="P390" s="198"/>
      <c r="Q390" s="198"/>
      <c r="R390" s="198"/>
      <c r="S390" s="198"/>
      <c r="T390" s="198"/>
      <c r="U390" s="198"/>
      <c r="V390" s="198"/>
      <c r="W390" s="198"/>
      <c r="X390" s="198"/>
      <c r="Y390" s="198"/>
      <c r="Z390" s="198"/>
      <c r="AA390" s="198"/>
      <c r="AB390" s="198"/>
      <c r="AC390" s="198"/>
      <c r="AD390" s="198"/>
      <c r="AE390" s="198"/>
      <c r="AF390" s="198"/>
      <c r="AG390" s="198"/>
      <c r="AH390" s="198"/>
      <c r="AI390" s="198"/>
      <c r="AJ390" s="198"/>
      <c r="AK390" s="198"/>
      <c r="AL390" s="198"/>
      <c r="AM390" s="198"/>
      <c r="AN390" s="198"/>
      <c r="AO390" s="198"/>
      <c r="AP390" s="198"/>
      <c r="AQ390" s="198"/>
      <c r="AR390" s="198"/>
      <c r="AS390" s="198"/>
      <c r="AT390" s="198"/>
      <c r="AU390" s="198"/>
      <c r="AV390" s="198"/>
      <c r="AW390" s="198"/>
      <c r="AX390" s="198"/>
      <c r="AY390" s="198"/>
      <c r="AZ390" s="198"/>
      <c r="BA390" s="198"/>
      <c r="BB390" s="198"/>
      <c r="BC390" s="198"/>
      <c r="BD390" s="198"/>
      <c r="BE390" s="198"/>
      <c r="BF390" s="198"/>
      <c r="BG390" s="198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198"/>
      <c r="BR390" s="198"/>
      <c r="BS390" s="198"/>
      <c r="BT390" s="198"/>
      <c r="BU390" s="198"/>
      <c r="BV390" s="198"/>
      <c r="BW390" s="198"/>
      <c r="BX390" s="198"/>
      <c r="BY390" s="198"/>
      <c r="BZ390" s="198"/>
      <c r="CA390" s="198"/>
      <c r="CB390" s="198"/>
      <c r="CC390" s="198"/>
      <c r="CD390" s="198"/>
      <c r="CE390" s="198"/>
      <c r="CF390" s="198"/>
      <c r="CG390" s="198"/>
      <c r="CH390" s="198"/>
      <c r="CI390" s="198"/>
      <c r="CJ390" s="198"/>
      <c r="CK390" s="198"/>
      <c r="CL390" s="198"/>
      <c r="CM390" s="198"/>
      <c r="CN390" s="198"/>
      <c r="CO390" s="198"/>
      <c r="CP390" s="198"/>
      <c r="CQ390" s="198"/>
      <c r="CR390" s="198"/>
      <c r="CS390" s="198"/>
      <c r="CT390" s="198"/>
      <c r="CU390" s="198"/>
      <c r="CV390" s="198"/>
      <c r="CW390" s="198"/>
      <c r="CX390" s="198"/>
      <c r="CY390" s="198"/>
      <c r="CZ390" s="198"/>
      <c r="DA390" s="198"/>
      <c r="DB390" s="198"/>
      <c r="DC390" s="198"/>
      <c r="DD390" s="198"/>
      <c r="DE390" s="198"/>
      <c r="DF390" s="198"/>
      <c r="DG390" s="198"/>
      <c r="DH390" s="198"/>
      <c r="DI390" s="198"/>
      <c r="DJ390" s="198"/>
      <c r="DK390" s="198"/>
      <c r="DL390" s="198"/>
      <c r="DM390" s="198"/>
      <c r="DN390" s="198"/>
      <c r="DO390" s="198"/>
      <c r="DP390" s="198"/>
      <c r="DQ390" s="198"/>
      <c r="DR390" s="198"/>
      <c r="DS390" s="198"/>
      <c r="DT390" s="198"/>
      <c r="DU390" s="198"/>
      <c r="DV390" s="198"/>
      <c r="DW390" s="198"/>
      <c r="DX390" s="198"/>
      <c r="DY390" s="198"/>
      <c r="DZ390" s="198"/>
      <c r="EA390" s="198"/>
      <c r="EB390" s="198"/>
      <c r="EC390" s="198"/>
      <c r="ED390" s="198"/>
      <c r="EE390" s="198"/>
      <c r="EF390" s="198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198"/>
      <c r="EQ390" s="198"/>
      <c r="ER390" s="198"/>
      <c r="ES390" s="198"/>
      <c r="ET390" s="198"/>
      <c r="EU390" s="198"/>
      <c r="EV390" s="198"/>
      <c r="EW390" s="198"/>
      <c r="EX390" s="198"/>
      <c r="EY390" s="198"/>
      <c r="EZ390" s="198"/>
      <c r="FA390" s="198"/>
      <c r="FB390" s="198"/>
      <c r="FC390" s="198"/>
      <c r="FD390" s="198"/>
      <c r="FE390" s="198"/>
      <c r="FF390" s="198"/>
      <c r="FG390" s="198"/>
      <c r="FH390" s="198"/>
    </row>
    <row r="391" spans="10:164" s="173" customFormat="1" x14ac:dyDescent="0.3">
      <c r="J391" s="198"/>
      <c r="K391" s="198"/>
      <c r="L391" s="198"/>
      <c r="M391" s="198"/>
      <c r="N391" s="198"/>
      <c r="O391" s="198"/>
      <c r="P391" s="198"/>
      <c r="Q391" s="198"/>
      <c r="R391" s="198"/>
      <c r="S391" s="198"/>
      <c r="T391" s="198"/>
      <c r="U391" s="198"/>
      <c r="V391" s="198"/>
      <c r="W391" s="198"/>
      <c r="X391" s="198"/>
      <c r="Y391" s="198"/>
      <c r="Z391" s="198"/>
      <c r="AA391" s="198"/>
      <c r="AB391" s="198"/>
      <c r="AC391" s="198"/>
      <c r="AD391" s="198"/>
      <c r="AE391" s="198"/>
      <c r="AF391" s="198"/>
      <c r="AG391" s="198"/>
      <c r="AH391" s="198"/>
      <c r="AI391" s="198"/>
      <c r="AJ391" s="198"/>
      <c r="AK391" s="198"/>
      <c r="AL391" s="198"/>
      <c r="AM391" s="198"/>
      <c r="AN391" s="198"/>
      <c r="AO391" s="198"/>
      <c r="AP391" s="198"/>
      <c r="AQ391" s="198"/>
      <c r="AR391" s="198"/>
      <c r="AS391" s="198"/>
      <c r="AT391" s="198"/>
      <c r="AU391" s="198"/>
      <c r="AV391" s="198"/>
      <c r="AW391" s="198"/>
      <c r="AX391" s="198"/>
      <c r="AY391" s="198"/>
      <c r="AZ391" s="198"/>
      <c r="BA391" s="198"/>
      <c r="BB391" s="198"/>
      <c r="BC391" s="198"/>
      <c r="BD391" s="198"/>
      <c r="BE391" s="198"/>
      <c r="BF391" s="198"/>
      <c r="BG391" s="198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198"/>
      <c r="BR391" s="198"/>
      <c r="BS391" s="198"/>
      <c r="BT391" s="198"/>
      <c r="BU391" s="198"/>
      <c r="BV391" s="198"/>
      <c r="BW391" s="198"/>
      <c r="BX391" s="198"/>
      <c r="BY391" s="198"/>
      <c r="BZ391" s="198"/>
      <c r="CA391" s="198"/>
      <c r="CB391" s="198"/>
      <c r="CC391" s="198"/>
      <c r="CD391" s="198"/>
      <c r="CE391" s="198"/>
      <c r="CF391" s="198"/>
      <c r="CG391" s="198"/>
      <c r="CH391" s="198"/>
      <c r="CI391" s="198"/>
      <c r="CJ391" s="198"/>
      <c r="CK391" s="198"/>
      <c r="CL391" s="198"/>
      <c r="CM391" s="198"/>
      <c r="CN391" s="198"/>
      <c r="CO391" s="198"/>
      <c r="CP391" s="198"/>
      <c r="CQ391" s="198"/>
      <c r="CR391" s="198"/>
      <c r="CS391" s="198"/>
      <c r="CT391" s="198"/>
      <c r="CU391" s="198"/>
      <c r="CV391" s="198"/>
      <c r="CW391" s="198"/>
      <c r="CX391" s="198"/>
      <c r="CY391" s="198"/>
      <c r="CZ391" s="198"/>
      <c r="DA391" s="198"/>
      <c r="DB391" s="198"/>
      <c r="DC391" s="198"/>
      <c r="DD391" s="198"/>
      <c r="DE391" s="198"/>
      <c r="DF391" s="198"/>
      <c r="DG391" s="198"/>
      <c r="DH391" s="198"/>
      <c r="DI391" s="198"/>
      <c r="DJ391" s="198"/>
      <c r="DK391" s="198"/>
      <c r="DL391" s="198"/>
      <c r="DM391" s="198"/>
      <c r="DN391" s="198"/>
      <c r="DO391" s="198"/>
      <c r="DP391" s="198"/>
      <c r="DQ391" s="198"/>
      <c r="DR391" s="198"/>
      <c r="DS391" s="198"/>
      <c r="DT391" s="198"/>
      <c r="DU391" s="198"/>
      <c r="DV391" s="198"/>
      <c r="DW391" s="198"/>
      <c r="DX391" s="198"/>
      <c r="DY391" s="198"/>
      <c r="DZ391" s="198"/>
      <c r="EA391" s="198"/>
      <c r="EB391" s="198"/>
      <c r="EC391" s="198"/>
      <c r="ED391" s="198"/>
      <c r="EE391" s="198"/>
      <c r="EF391" s="198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198"/>
      <c r="EQ391" s="198"/>
      <c r="ER391" s="198"/>
      <c r="ES391" s="198"/>
      <c r="ET391" s="198"/>
      <c r="EU391" s="198"/>
      <c r="EV391" s="198"/>
      <c r="EW391" s="198"/>
      <c r="EX391" s="198"/>
      <c r="EY391" s="198"/>
      <c r="EZ391" s="198"/>
      <c r="FA391" s="198"/>
      <c r="FB391" s="198"/>
      <c r="FC391" s="198"/>
      <c r="FD391" s="198"/>
      <c r="FE391" s="198"/>
      <c r="FF391" s="198"/>
      <c r="FG391" s="198"/>
      <c r="FH391" s="198"/>
    </row>
    <row r="392" spans="10:164" s="173" customFormat="1" x14ac:dyDescent="0.3">
      <c r="J392" s="198"/>
      <c r="K392" s="198"/>
      <c r="L392" s="198"/>
      <c r="M392" s="198"/>
      <c r="N392" s="198"/>
      <c r="O392" s="198"/>
      <c r="P392" s="198"/>
      <c r="Q392" s="198"/>
      <c r="R392" s="198"/>
      <c r="S392" s="198"/>
      <c r="T392" s="198"/>
      <c r="U392" s="198"/>
      <c r="V392" s="198"/>
      <c r="W392" s="198"/>
      <c r="X392" s="198"/>
      <c r="Y392" s="198"/>
      <c r="Z392" s="198"/>
      <c r="AA392" s="198"/>
      <c r="AB392" s="198"/>
      <c r="AC392" s="198"/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198"/>
      <c r="AQ392" s="198"/>
      <c r="AR392" s="198"/>
      <c r="AS392" s="198"/>
      <c r="AT392" s="198"/>
      <c r="AU392" s="198"/>
      <c r="AV392" s="198"/>
      <c r="AW392" s="198"/>
      <c r="AX392" s="198"/>
      <c r="AY392" s="198"/>
      <c r="AZ392" s="198"/>
      <c r="BA392" s="198"/>
      <c r="BB392" s="198"/>
      <c r="BC392" s="198"/>
      <c r="BD392" s="198"/>
      <c r="BE392" s="198"/>
      <c r="BF392" s="198"/>
      <c r="BG392" s="198"/>
      <c r="BH392" s="198"/>
      <c r="BI392" s="198"/>
      <c r="BJ392" s="198"/>
      <c r="BK392" s="198"/>
      <c r="BL392" s="198"/>
      <c r="BM392" s="198"/>
      <c r="BN392" s="198"/>
      <c r="BO392" s="198"/>
      <c r="BP392" s="198"/>
      <c r="BQ392" s="198"/>
      <c r="BR392" s="198"/>
      <c r="BS392" s="198"/>
      <c r="BT392" s="198"/>
      <c r="BU392" s="198"/>
      <c r="BV392" s="198"/>
      <c r="BW392" s="198"/>
      <c r="BX392" s="198"/>
      <c r="BY392" s="198"/>
      <c r="BZ392" s="198"/>
      <c r="CA392" s="198"/>
      <c r="CB392" s="198"/>
      <c r="CC392" s="198"/>
      <c r="CD392" s="198"/>
      <c r="CE392" s="198"/>
      <c r="CF392" s="198"/>
      <c r="CG392" s="198"/>
      <c r="CH392" s="198"/>
      <c r="CI392" s="198"/>
      <c r="CJ392" s="198"/>
      <c r="CK392" s="198"/>
      <c r="CL392" s="198"/>
      <c r="CM392" s="198"/>
      <c r="CN392" s="198"/>
      <c r="CO392" s="198"/>
      <c r="CP392" s="198"/>
      <c r="CQ392" s="198"/>
      <c r="CR392" s="198"/>
      <c r="CS392" s="198"/>
      <c r="CT392" s="198"/>
      <c r="CU392" s="198"/>
      <c r="CV392" s="198"/>
      <c r="CW392" s="198"/>
      <c r="CX392" s="198"/>
      <c r="CY392" s="198"/>
      <c r="CZ392" s="198"/>
      <c r="DA392" s="198"/>
      <c r="DB392" s="198"/>
      <c r="DC392" s="198"/>
      <c r="DD392" s="198"/>
      <c r="DE392" s="198"/>
      <c r="DF392" s="198"/>
      <c r="DG392" s="198"/>
      <c r="DH392" s="198"/>
      <c r="DI392" s="198"/>
      <c r="DJ392" s="198"/>
      <c r="DK392" s="198"/>
      <c r="DL392" s="198"/>
      <c r="DM392" s="198"/>
      <c r="DN392" s="198"/>
      <c r="DO392" s="198"/>
      <c r="DP392" s="198"/>
      <c r="DQ392" s="198"/>
      <c r="DR392" s="198"/>
      <c r="DS392" s="198"/>
      <c r="DT392" s="198"/>
      <c r="DU392" s="198"/>
      <c r="DV392" s="198"/>
      <c r="DW392" s="198"/>
      <c r="DX392" s="198"/>
      <c r="DY392" s="198"/>
      <c r="DZ392" s="198"/>
      <c r="EA392" s="198"/>
      <c r="EB392" s="198"/>
      <c r="EC392" s="198"/>
      <c r="ED392" s="198"/>
      <c r="EE392" s="198"/>
      <c r="EF392" s="198"/>
      <c r="EG392" s="198"/>
      <c r="EH392" s="198"/>
      <c r="EI392" s="198"/>
      <c r="EJ392" s="198"/>
      <c r="EK392" s="198"/>
      <c r="EL392" s="198"/>
      <c r="EM392" s="198"/>
      <c r="EN392" s="198"/>
      <c r="EO392" s="198"/>
      <c r="EP392" s="198"/>
      <c r="EQ392" s="198"/>
      <c r="ER392" s="198"/>
      <c r="ES392" s="198"/>
      <c r="ET392" s="198"/>
      <c r="EU392" s="198"/>
      <c r="EV392" s="198"/>
      <c r="EW392" s="198"/>
      <c r="EX392" s="198"/>
      <c r="EY392" s="198"/>
      <c r="EZ392" s="198"/>
      <c r="FA392" s="198"/>
      <c r="FB392" s="198"/>
      <c r="FC392" s="198"/>
      <c r="FD392" s="198"/>
      <c r="FE392" s="198"/>
      <c r="FF392" s="198"/>
      <c r="FG392" s="198"/>
      <c r="FH392" s="198"/>
    </row>
    <row r="393" spans="10:164" s="173" customFormat="1" x14ac:dyDescent="0.3">
      <c r="J393" s="198"/>
      <c r="K393" s="198"/>
      <c r="L393" s="198"/>
      <c r="M393" s="198"/>
      <c r="N393" s="198"/>
      <c r="O393" s="198"/>
      <c r="P393" s="198"/>
      <c r="Q393" s="198"/>
      <c r="R393" s="198"/>
      <c r="S393" s="198"/>
      <c r="T393" s="198"/>
      <c r="U393" s="198"/>
      <c r="V393" s="198"/>
      <c r="W393" s="198"/>
      <c r="X393" s="198"/>
      <c r="Y393" s="198"/>
      <c r="Z393" s="198"/>
      <c r="AA393" s="198"/>
      <c r="AB393" s="198"/>
      <c r="AC393" s="198"/>
      <c r="AD393" s="198"/>
      <c r="AE393" s="198"/>
      <c r="AF393" s="198"/>
      <c r="AG393" s="198"/>
      <c r="AH393" s="198"/>
      <c r="AI393" s="198"/>
      <c r="AJ393" s="198"/>
      <c r="AK393" s="198"/>
      <c r="AL393" s="198"/>
      <c r="AM393" s="198"/>
      <c r="AN393" s="198"/>
      <c r="AO393" s="198"/>
      <c r="AP393" s="198"/>
      <c r="AQ393" s="198"/>
      <c r="AR393" s="198"/>
      <c r="AS393" s="198"/>
      <c r="AT393" s="198"/>
      <c r="AU393" s="198"/>
      <c r="AV393" s="198"/>
      <c r="AW393" s="198"/>
      <c r="AX393" s="198"/>
      <c r="AY393" s="198"/>
      <c r="AZ393" s="198"/>
      <c r="BA393" s="198"/>
      <c r="BB393" s="198"/>
      <c r="BC393" s="198"/>
      <c r="BD393" s="198"/>
      <c r="BE393" s="198"/>
      <c r="BF393" s="198"/>
      <c r="BG393" s="198"/>
      <c r="BH393" s="198"/>
      <c r="BI393" s="198"/>
      <c r="BJ393" s="198"/>
      <c r="BK393" s="198"/>
      <c r="BL393" s="198"/>
      <c r="BM393" s="198"/>
      <c r="BN393" s="198"/>
      <c r="BO393" s="198"/>
      <c r="BP393" s="198"/>
      <c r="BQ393" s="198"/>
      <c r="BR393" s="198"/>
      <c r="BS393" s="198"/>
      <c r="BT393" s="198"/>
      <c r="BU393" s="198"/>
      <c r="BV393" s="198"/>
      <c r="BW393" s="198"/>
      <c r="BX393" s="198"/>
      <c r="BY393" s="198"/>
      <c r="BZ393" s="198"/>
      <c r="CA393" s="198"/>
      <c r="CB393" s="198"/>
      <c r="CC393" s="198"/>
      <c r="CD393" s="198"/>
      <c r="CE393" s="198"/>
      <c r="CF393" s="198"/>
      <c r="CG393" s="198"/>
      <c r="CH393" s="198"/>
      <c r="CI393" s="198"/>
      <c r="CJ393" s="198"/>
      <c r="CK393" s="198"/>
      <c r="CL393" s="198"/>
      <c r="CM393" s="198"/>
      <c r="CN393" s="198"/>
      <c r="CO393" s="198"/>
      <c r="CP393" s="198"/>
      <c r="CQ393" s="198"/>
      <c r="CR393" s="198"/>
      <c r="CS393" s="198"/>
      <c r="CT393" s="198"/>
      <c r="CU393" s="198"/>
      <c r="CV393" s="198"/>
      <c r="CW393" s="198"/>
      <c r="CX393" s="198"/>
      <c r="CY393" s="198"/>
      <c r="CZ393" s="198"/>
      <c r="DA393" s="198"/>
      <c r="DB393" s="198"/>
      <c r="DC393" s="198"/>
      <c r="DD393" s="198"/>
      <c r="DE393" s="198"/>
      <c r="DF393" s="198"/>
      <c r="DG393" s="198"/>
      <c r="DH393" s="198"/>
      <c r="DI393" s="198"/>
      <c r="DJ393" s="198"/>
      <c r="DK393" s="198"/>
      <c r="DL393" s="198"/>
      <c r="DM393" s="198"/>
      <c r="DN393" s="198"/>
      <c r="DO393" s="198"/>
      <c r="DP393" s="198"/>
      <c r="DQ393" s="198"/>
      <c r="DR393" s="198"/>
      <c r="DS393" s="198"/>
      <c r="DT393" s="198"/>
      <c r="DU393" s="198"/>
      <c r="DV393" s="198"/>
      <c r="DW393" s="198"/>
      <c r="DX393" s="198"/>
      <c r="DY393" s="198"/>
      <c r="DZ393" s="198"/>
      <c r="EA393" s="198"/>
      <c r="EB393" s="198"/>
      <c r="EC393" s="198"/>
      <c r="ED393" s="198"/>
      <c r="EE393" s="198"/>
      <c r="EF393" s="198"/>
      <c r="EG393" s="198"/>
      <c r="EH393" s="198"/>
      <c r="EI393" s="198"/>
      <c r="EJ393" s="198"/>
      <c r="EK393" s="198"/>
      <c r="EL393" s="198"/>
      <c r="EM393" s="198"/>
      <c r="EN393" s="198"/>
      <c r="EO393" s="198"/>
      <c r="EP393" s="198"/>
      <c r="EQ393" s="198"/>
      <c r="ER393" s="198"/>
      <c r="ES393" s="198"/>
      <c r="ET393" s="198"/>
      <c r="EU393" s="198"/>
      <c r="EV393" s="198"/>
      <c r="EW393" s="198"/>
      <c r="EX393" s="198"/>
      <c r="EY393" s="198"/>
      <c r="EZ393" s="198"/>
      <c r="FA393" s="198"/>
      <c r="FB393" s="198"/>
      <c r="FC393" s="198"/>
      <c r="FD393" s="198"/>
      <c r="FE393" s="198"/>
      <c r="FF393" s="198"/>
      <c r="FG393" s="198"/>
      <c r="FH393" s="198"/>
    </row>
    <row r="394" spans="10:164" s="173" customFormat="1" x14ac:dyDescent="0.3">
      <c r="J394" s="198"/>
      <c r="K394" s="198"/>
      <c r="L394" s="198"/>
      <c r="M394" s="198"/>
      <c r="N394" s="198"/>
      <c r="O394" s="198"/>
      <c r="P394" s="198"/>
      <c r="Q394" s="198"/>
      <c r="R394" s="198"/>
      <c r="S394" s="198"/>
      <c r="T394" s="198"/>
      <c r="U394" s="198"/>
      <c r="V394" s="198"/>
      <c r="W394" s="198"/>
      <c r="X394" s="198"/>
      <c r="Y394" s="198"/>
      <c r="Z394" s="198"/>
      <c r="AA394" s="198"/>
      <c r="AB394" s="198"/>
      <c r="AC394" s="198"/>
      <c r="AD394" s="198"/>
      <c r="AE394" s="198"/>
      <c r="AF394" s="198"/>
      <c r="AG394" s="198"/>
      <c r="AH394" s="198"/>
      <c r="AI394" s="198"/>
      <c r="AJ394" s="198"/>
      <c r="AK394" s="198"/>
      <c r="AL394" s="198"/>
      <c r="AM394" s="198"/>
      <c r="AN394" s="198"/>
      <c r="AO394" s="198"/>
      <c r="AP394" s="198"/>
      <c r="AQ394" s="198"/>
      <c r="AR394" s="198"/>
      <c r="AS394" s="198"/>
      <c r="AT394" s="198"/>
      <c r="AU394" s="198"/>
      <c r="AV394" s="198"/>
      <c r="AW394" s="198"/>
      <c r="AX394" s="198"/>
      <c r="AY394" s="198"/>
      <c r="AZ394" s="198"/>
      <c r="BA394" s="198"/>
      <c r="BB394" s="198"/>
      <c r="BC394" s="198"/>
      <c r="BD394" s="198"/>
      <c r="BE394" s="198"/>
      <c r="BF394" s="198"/>
      <c r="BG394" s="198"/>
      <c r="BH394" s="198"/>
      <c r="BI394" s="198"/>
      <c r="BJ394" s="198"/>
      <c r="BK394" s="198"/>
      <c r="BL394" s="198"/>
      <c r="BM394" s="198"/>
      <c r="BN394" s="198"/>
      <c r="BO394" s="198"/>
      <c r="BP394" s="198"/>
      <c r="BQ394" s="198"/>
      <c r="BR394" s="198"/>
      <c r="BS394" s="198"/>
      <c r="BT394" s="198"/>
      <c r="BU394" s="198"/>
      <c r="BV394" s="198"/>
      <c r="BW394" s="198"/>
      <c r="BX394" s="198"/>
      <c r="BY394" s="198"/>
      <c r="BZ394" s="198"/>
      <c r="CA394" s="198"/>
      <c r="CB394" s="198"/>
      <c r="CC394" s="198"/>
      <c r="CD394" s="198"/>
      <c r="CE394" s="198"/>
      <c r="CF394" s="198"/>
      <c r="CG394" s="198"/>
      <c r="CH394" s="198"/>
      <c r="CI394" s="198"/>
      <c r="CJ394" s="198"/>
      <c r="CK394" s="198"/>
      <c r="CL394" s="198"/>
      <c r="CM394" s="198"/>
      <c r="CN394" s="198"/>
      <c r="CO394" s="198"/>
      <c r="CP394" s="198"/>
      <c r="CQ394" s="198"/>
      <c r="CR394" s="198"/>
      <c r="CS394" s="198"/>
      <c r="CT394" s="198"/>
      <c r="CU394" s="198"/>
      <c r="CV394" s="198"/>
      <c r="CW394" s="198"/>
      <c r="CX394" s="198"/>
      <c r="CY394" s="198"/>
      <c r="CZ394" s="198"/>
      <c r="DA394" s="198"/>
      <c r="DB394" s="198"/>
      <c r="DC394" s="198"/>
      <c r="DD394" s="198"/>
      <c r="DE394" s="198"/>
      <c r="DF394" s="198"/>
      <c r="DG394" s="198"/>
      <c r="DH394" s="198"/>
      <c r="DI394" s="198"/>
      <c r="DJ394" s="198"/>
      <c r="DK394" s="198"/>
      <c r="DL394" s="198"/>
      <c r="DM394" s="198"/>
      <c r="DN394" s="198"/>
      <c r="DO394" s="198"/>
      <c r="DP394" s="198"/>
      <c r="DQ394" s="198"/>
      <c r="DR394" s="198"/>
      <c r="DS394" s="198"/>
      <c r="DT394" s="198"/>
      <c r="DU394" s="198"/>
      <c r="DV394" s="198"/>
      <c r="DW394" s="198"/>
      <c r="DX394" s="198"/>
      <c r="DY394" s="198"/>
      <c r="DZ394" s="198"/>
      <c r="EA394" s="198"/>
      <c r="EB394" s="198"/>
      <c r="EC394" s="198"/>
      <c r="ED394" s="198"/>
      <c r="EE394" s="198"/>
      <c r="EF394" s="198"/>
      <c r="EG394" s="198"/>
      <c r="EH394" s="198"/>
      <c r="EI394" s="198"/>
      <c r="EJ394" s="198"/>
      <c r="EK394" s="198"/>
      <c r="EL394" s="198"/>
      <c r="EM394" s="198"/>
      <c r="EN394" s="198"/>
      <c r="EO394" s="198"/>
      <c r="EP394" s="198"/>
      <c r="EQ394" s="198"/>
      <c r="ER394" s="198"/>
      <c r="ES394" s="198"/>
      <c r="ET394" s="198"/>
      <c r="EU394" s="198"/>
      <c r="EV394" s="198"/>
      <c r="EW394" s="198"/>
      <c r="EX394" s="198"/>
      <c r="EY394" s="198"/>
      <c r="EZ394" s="198"/>
      <c r="FA394" s="198"/>
      <c r="FB394" s="198"/>
      <c r="FC394" s="198"/>
      <c r="FD394" s="198"/>
      <c r="FE394" s="198"/>
      <c r="FF394" s="198"/>
      <c r="FG394" s="198"/>
      <c r="FH394" s="198"/>
    </row>
    <row r="395" spans="10:164" s="173" customFormat="1" x14ac:dyDescent="0.3">
      <c r="J395" s="198"/>
      <c r="K395" s="198"/>
      <c r="L395" s="198"/>
      <c r="M395" s="198"/>
      <c r="N395" s="198"/>
      <c r="O395" s="198"/>
      <c r="P395" s="198"/>
      <c r="Q395" s="198"/>
      <c r="R395" s="198"/>
      <c r="S395" s="198"/>
      <c r="T395" s="198"/>
      <c r="U395" s="198"/>
      <c r="V395" s="198"/>
      <c r="W395" s="198"/>
      <c r="X395" s="198"/>
      <c r="Y395" s="198"/>
      <c r="Z395" s="198"/>
      <c r="AA395" s="198"/>
      <c r="AB395" s="198"/>
      <c r="AC395" s="198"/>
      <c r="AD395" s="198"/>
      <c r="AE395" s="198"/>
      <c r="AF395" s="198"/>
      <c r="AG395" s="198"/>
      <c r="AH395" s="198"/>
      <c r="AI395" s="198"/>
      <c r="AJ395" s="198"/>
      <c r="AK395" s="198"/>
      <c r="AL395" s="198"/>
      <c r="AM395" s="198"/>
      <c r="AN395" s="198"/>
      <c r="AO395" s="198"/>
      <c r="AP395" s="198"/>
      <c r="AQ395" s="198"/>
      <c r="AR395" s="198"/>
      <c r="AS395" s="198"/>
      <c r="AT395" s="198"/>
      <c r="AU395" s="198"/>
      <c r="AV395" s="198"/>
      <c r="AW395" s="198"/>
      <c r="AX395" s="198"/>
      <c r="AY395" s="198"/>
      <c r="AZ395" s="198"/>
      <c r="BA395" s="198"/>
      <c r="BB395" s="198"/>
      <c r="BC395" s="198"/>
      <c r="BD395" s="198"/>
      <c r="BE395" s="198"/>
      <c r="BF395" s="198"/>
      <c r="BG395" s="198"/>
      <c r="BH395" s="198"/>
      <c r="BI395" s="198"/>
      <c r="BJ395" s="198"/>
      <c r="BK395" s="198"/>
      <c r="BL395" s="198"/>
      <c r="BM395" s="198"/>
      <c r="BN395" s="198"/>
      <c r="BO395" s="198"/>
      <c r="BP395" s="198"/>
      <c r="BQ395" s="198"/>
      <c r="BR395" s="198"/>
      <c r="BS395" s="198"/>
      <c r="BT395" s="198"/>
      <c r="BU395" s="198"/>
      <c r="BV395" s="198"/>
      <c r="BW395" s="198"/>
      <c r="BX395" s="198"/>
      <c r="BY395" s="198"/>
      <c r="BZ395" s="198"/>
      <c r="CA395" s="198"/>
      <c r="CB395" s="198"/>
      <c r="CC395" s="198"/>
      <c r="CD395" s="198"/>
      <c r="CE395" s="198"/>
      <c r="CF395" s="198"/>
      <c r="CG395" s="198"/>
      <c r="CH395" s="198"/>
      <c r="CI395" s="198"/>
      <c r="CJ395" s="198"/>
      <c r="CK395" s="198"/>
      <c r="CL395" s="198"/>
      <c r="CM395" s="198"/>
      <c r="CN395" s="198"/>
      <c r="CO395" s="198"/>
      <c r="CP395" s="198"/>
      <c r="CQ395" s="198"/>
      <c r="CR395" s="198"/>
      <c r="CS395" s="198"/>
      <c r="CT395" s="198"/>
      <c r="CU395" s="198"/>
      <c r="CV395" s="198"/>
      <c r="CW395" s="198"/>
      <c r="CX395" s="198"/>
      <c r="CY395" s="198"/>
      <c r="CZ395" s="198"/>
      <c r="DA395" s="198"/>
      <c r="DB395" s="198"/>
      <c r="DC395" s="198"/>
      <c r="DD395" s="198"/>
      <c r="DE395" s="198"/>
      <c r="DF395" s="198"/>
      <c r="DG395" s="198"/>
      <c r="DH395" s="198"/>
      <c r="DI395" s="198"/>
      <c r="DJ395" s="198"/>
      <c r="DK395" s="198"/>
      <c r="DL395" s="198"/>
      <c r="DM395" s="198"/>
      <c r="DN395" s="198"/>
      <c r="DO395" s="198"/>
      <c r="DP395" s="198"/>
      <c r="DQ395" s="198"/>
      <c r="DR395" s="198"/>
      <c r="DS395" s="198"/>
      <c r="DT395" s="198"/>
      <c r="DU395" s="198"/>
      <c r="DV395" s="198"/>
      <c r="DW395" s="198"/>
      <c r="DX395" s="198"/>
      <c r="DY395" s="198"/>
      <c r="DZ395" s="198"/>
      <c r="EA395" s="198"/>
      <c r="EB395" s="198"/>
      <c r="EC395" s="198"/>
      <c r="ED395" s="198"/>
      <c r="EE395" s="198"/>
      <c r="EF395" s="198"/>
      <c r="EG395" s="198"/>
      <c r="EH395" s="198"/>
      <c r="EI395" s="198"/>
      <c r="EJ395" s="198"/>
      <c r="EK395" s="198"/>
      <c r="EL395" s="198"/>
      <c r="EM395" s="198"/>
      <c r="EN395" s="198"/>
      <c r="EO395" s="198"/>
      <c r="EP395" s="198"/>
      <c r="EQ395" s="198"/>
      <c r="ER395" s="198"/>
      <c r="ES395" s="198"/>
      <c r="ET395" s="198"/>
      <c r="EU395" s="198"/>
      <c r="EV395" s="198"/>
      <c r="EW395" s="198"/>
      <c r="EX395" s="198"/>
      <c r="EY395" s="198"/>
      <c r="EZ395" s="198"/>
      <c r="FA395" s="198"/>
      <c r="FB395" s="198"/>
      <c r="FC395" s="198"/>
      <c r="FD395" s="198"/>
      <c r="FE395" s="198"/>
      <c r="FF395" s="198"/>
      <c r="FG395" s="198"/>
      <c r="FH395" s="198"/>
    </row>
    <row r="396" spans="10:164" s="173" customFormat="1" x14ac:dyDescent="0.3">
      <c r="J396" s="198"/>
      <c r="K396" s="198"/>
      <c r="L396" s="198"/>
      <c r="M396" s="198"/>
      <c r="N396" s="198"/>
      <c r="O396" s="198"/>
      <c r="P396" s="198"/>
      <c r="Q396" s="198"/>
      <c r="R396" s="198"/>
      <c r="S396" s="198"/>
      <c r="T396" s="198"/>
      <c r="U396" s="198"/>
      <c r="V396" s="198"/>
      <c r="W396" s="198"/>
      <c r="X396" s="198"/>
      <c r="Y396" s="198"/>
      <c r="Z396" s="198"/>
      <c r="AA396" s="198"/>
      <c r="AB396" s="198"/>
      <c r="AC396" s="198"/>
      <c r="AD396" s="198"/>
      <c r="AE396" s="198"/>
      <c r="AF396" s="198"/>
      <c r="AG396" s="198"/>
      <c r="AH396" s="198"/>
      <c r="AI396" s="198"/>
      <c r="AJ396" s="198"/>
      <c r="AK396" s="198"/>
      <c r="AL396" s="198"/>
      <c r="AM396" s="198"/>
      <c r="AN396" s="198"/>
      <c r="AO396" s="198"/>
      <c r="AP396" s="198"/>
      <c r="AQ396" s="198"/>
      <c r="AR396" s="198"/>
      <c r="AS396" s="198"/>
      <c r="AT396" s="198"/>
      <c r="AU396" s="198"/>
      <c r="AV396" s="198"/>
      <c r="AW396" s="198"/>
      <c r="AX396" s="198"/>
      <c r="AY396" s="198"/>
      <c r="AZ396" s="198"/>
      <c r="BA396" s="198"/>
      <c r="BB396" s="198"/>
      <c r="BC396" s="198"/>
      <c r="BD396" s="198"/>
      <c r="BE396" s="198"/>
      <c r="BF396" s="198"/>
      <c r="BG396" s="198"/>
      <c r="BH396" s="198"/>
      <c r="BI396" s="198"/>
      <c r="BJ396" s="198"/>
      <c r="BK396" s="198"/>
      <c r="BL396" s="198"/>
      <c r="BM396" s="198"/>
      <c r="BN396" s="198"/>
      <c r="BO396" s="198"/>
      <c r="BP396" s="198"/>
      <c r="BQ396" s="198"/>
      <c r="BR396" s="198"/>
      <c r="BS396" s="198"/>
      <c r="BT396" s="198"/>
      <c r="BU396" s="198"/>
      <c r="BV396" s="198"/>
      <c r="BW396" s="198"/>
      <c r="BX396" s="198"/>
      <c r="BY396" s="198"/>
      <c r="BZ396" s="198"/>
      <c r="CA396" s="198"/>
      <c r="CB396" s="198"/>
      <c r="CC396" s="198"/>
      <c r="CD396" s="198"/>
      <c r="CE396" s="198"/>
      <c r="CF396" s="198"/>
      <c r="CG396" s="198"/>
      <c r="CH396" s="198"/>
      <c r="CI396" s="198"/>
      <c r="CJ396" s="198"/>
      <c r="CK396" s="198"/>
      <c r="CL396" s="198"/>
      <c r="CM396" s="198"/>
      <c r="CN396" s="198"/>
      <c r="CO396" s="198"/>
      <c r="CP396" s="198"/>
      <c r="CQ396" s="198"/>
      <c r="CR396" s="198"/>
      <c r="CS396" s="198"/>
      <c r="CT396" s="198"/>
      <c r="CU396" s="198"/>
      <c r="CV396" s="198"/>
      <c r="CW396" s="198"/>
      <c r="CX396" s="198"/>
      <c r="CY396" s="198"/>
      <c r="CZ396" s="198"/>
      <c r="DA396" s="198"/>
      <c r="DB396" s="198"/>
      <c r="DC396" s="198"/>
      <c r="DD396" s="198"/>
      <c r="DE396" s="198"/>
      <c r="DF396" s="198"/>
      <c r="DG396" s="198"/>
      <c r="DH396" s="198"/>
      <c r="DI396" s="198"/>
      <c r="DJ396" s="198"/>
      <c r="DK396" s="198"/>
      <c r="DL396" s="198"/>
      <c r="DM396" s="198"/>
      <c r="DN396" s="198"/>
      <c r="DO396" s="198"/>
      <c r="DP396" s="198"/>
      <c r="DQ396" s="198"/>
      <c r="DR396" s="198"/>
      <c r="DS396" s="198"/>
      <c r="DT396" s="198"/>
      <c r="DU396" s="198"/>
      <c r="DV396" s="198"/>
      <c r="DW396" s="198"/>
      <c r="DX396" s="198"/>
      <c r="DY396" s="198"/>
      <c r="DZ396" s="198"/>
      <c r="EA396" s="198"/>
      <c r="EB396" s="198"/>
      <c r="EC396" s="198"/>
      <c r="ED396" s="198"/>
      <c r="EE396" s="198"/>
      <c r="EF396" s="198"/>
      <c r="EG396" s="198"/>
      <c r="EH396" s="198"/>
      <c r="EI396" s="198"/>
      <c r="EJ396" s="198"/>
      <c r="EK396" s="198"/>
      <c r="EL396" s="198"/>
      <c r="EM396" s="198"/>
      <c r="EN396" s="198"/>
      <c r="EO396" s="198"/>
      <c r="EP396" s="198"/>
      <c r="EQ396" s="198"/>
      <c r="ER396" s="198"/>
      <c r="ES396" s="198"/>
      <c r="ET396" s="198"/>
      <c r="EU396" s="198"/>
      <c r="EV396" s="198"/>
      <c r="EW396" s="198"/>
      <c r="EX396" s="198"/>
      <c r="EY396" s="198"/>
      <c r="EZ396" s="198"/>
      <c r="FA396" s="198"/>
      <c r="FB396" s="198"/>
      <c r="FC396" s="198"/>
      <c r="FD396" s="198"/>
      <c r="FE396" s="198"/>
      <c r="FF396" s="198"/>
      <c r="FG396" s="198"/>
      <c r="FH396" s="198"/>
    </row>
    <row r="397" spans="10:164" s="173" customFormat="1" x14ac:dyDescent="0.3">
      <c r="J397" s="198"/>
      <c r="K397" s="198"/>
      <c r="L397" s="198"/>
      <c r="M397" s="198"/>
      <c r="N397" s="198"/>
      <c r="O397" s="198"/>
      <c r="P397" s="198"/>
      <c r="Q397" s="198"/>
      <c r="R397" s="198"/>
      <c r="S397" s="198"/>
      <c r="T397" s="198"/>
      <c r="U397" s="198"/>
      <c r="V397" s="198"/>
      <c r="W397" s="198"/>
      <c r="X397" s="198"/>
      <c r="Y397" s="198"/>
      <c r="Z397" s="198"/>
      <c r="AA397" s="198"/>
      <c r="AB397" s="198"/>
      <c r="AC397" s="198"/>
      <c r="AD397" s="198"/>
      <c r="AE397" s="198"/>
      <c r="AF397" s="198"/>
      <c r="AG397" s="198"/>
      <c r="AH397" s="198"/>
      <c r="AI397" s="198"/>
      <c r="AJ397" s="198"/>
      <c r="AK397" s="198"/>
      <c r="AL397" s="198"/>
      <c r="AM397" s="198"/>
      <c r="AN397" s="198"/>
      <c r="AO397" s="198"/>
      <c r="AP397" s="198"/>
      <c r="AQ397" s="198"/>
      <c r="AR397" s="198"/>
      <c r="AS397" s="198"/>
      <c r="AT397" s="198"/>
      <c r="AU397" s="198"/>
      <c r="AV397" s="198"/>
      <c r="AW397" s="198"/>
      <c r="AX397" s="198"/>
      <c r="AY397" s="198"/>
      <c r="AZ397" s="198"/>
      <c r="BA397" s="198"/>
      <c r="BB397" s="198"/>
      <c r="BC397" s="198"/>
      <c r="BD397" s="198"/>
      <c r="BE397" s="198"/>
      <c r="BF397" s="198"/>
      <c r="BG397" s="198"/>
      <c r="BH397" s="198"/>
      <c r="BI397" s="198"/>
      <c r="BJ397" s="198"/>
      <c r="BK397" s="198"/>
      <c r="BL397" s="198"/>
      <c r="BM397" s="198"/>
      <c r="BN397" s="198"/>
      <c r="BO397" s="198"/>
      <c r="BP397" s="198"/>
      <c r="BQ397" s="198"/>
      <c r="BR397" s="198"/>
      <c r="BS397" s="198"/>
      <c r="BT397" s="198"/>
      <c r="BU397" s="198"/>
      <c r="BV397" s="198"/>
      <c r="BW397" s="198"/>
      <c r="BX397" s="198"/>
      <c r="BY397" s="198"/>
      <c r="BZ397" s="198"/>
      <c r="CA397" s="198"/>
      <c r="CB397" s="198"/>
      <c r="CC397" s="198"/>
      <c r="CD397" s="198"/>
      <c r="CE397" s="198"/>
      <c r="CF397" s="198"/>
      <c r="CG397" s="198"/>
      <c r="CH397" s="198"/>
      <c r="CI397" s="198"/>
      <c r="CJ397" s="198"/>
      <c r="CK397" s="198"/>
      <c r="CL397" s="198"/>
      <c r="CM397" s="198"/>
      <c r="CN397" s="198"/>
      <c r="CO397" s="198"/>
      <c r="CP397" s="198"/>
      <c r="CQ397" s="198"/>
      <c r="CR397" s="198"/>
      <c r="CS397" s="198"/>
      <c r="CT397" s="198"/>
      <c r="CU397" s="198"/>
      <c r="CV397" s="198"/>
      <c r="CW397" s="198"/>
      <c r="CX397" s="198"/>
      <c r="CY397" s="198"/>
      <c r="CZ397" s="198"/>
      <c r="DA397" s="198"/>
      <c r="DB397" s="198"/>
      <c r="DC397" s="198"/>
      <c r="DD397" s="198"/>
      <c r="DE397" s="198"/>
      <c r="DF397" s="198"/>
      <c r="DG397" s="198"/>
      <c r="DH397" s="198"/>
      <c r="DI397" s="198"/>
      <c r="DJ397" s="198"/>
      <c r="DK397" s="198"/>
      <c r="DL397" s="198"/>
      <c r="DM397" s="198"/>
      <c r="DN397" s="198"/>
      <c r="DO397" s="198"/>
      <c r="DP397" s="198"/>
      <c r="DQ397" s="198"/>
      <c r="DR397" s="198"/>
      <c r="DS397" s="198"/>
      <c r="DT397" s="198"/>
      <c r="DU397" s="198"/>
      <c r="DV397" s="198"/>
      <c r="DW397" s="198"/>
      <c r="DX397" s="198"/>
      <c r="DY397" s="198"/>
      <c r="DZ397" s="198"/>
      <c r="EA397" s="198"/>
      <c r="EB397" s="198"/>
      <c r="EC397" s="198"/>
      <c r="ED397" s="198"/>
      <c r="EE397" s="198"/>
      <c r="EF397" s="198"/>
      <c r="EG397" s="198"/>
      <c r="EH397" s="198"/>
      <c r="EI397" s="198"/>
      <c r="EJ397" s="198"/>
      <c r="EK397" s="198"/>
      <c r="EL397" s="198"/>
      <c r="EM397" s="198"/>
      <c r="EN397" s="198"/>
      <c r="EO397" s="198"/>
      <c r="EP397" s="198"/>
      <c r="EQ397" s="198"/>
      <c r="ER397" s="198"/>
      <c r="ES397" s="198"/>
      <c r="ET397" s="198"/>
      <c r="EU397" s="198"/>
      <c r="EV397" s="198"/>
      <c r="EW397" s="198"/>
      <c r="EX397" s="198"/>
      <c r="EY397" s="198"/>
      <c r="EZ397" s="198"/>
      <c r="FA397" s="198"/>
      <c r="FB397" s="198"/>
      <c r="FC397" s="198"/>
      <c r="FD397" s="198"/>
      <c r="FE397" s="198"/>
      <c r="FF397" s="198"/>
      <c r="FG397" s="198"/>
      <c r="FH397" s="198"/>
    </row>
    <row r="398" spans="10:164" s="173" customFormat="1" x14ac:dyDescent="0.3">
      <c r="J398" s="198"/>
      <c r="K398" s="198"/>
      <c r="L398" s="198"/>
      <c r="M398" s="198"/>
      <c r="N398" s="198"/>
      <c r="O398" s="198"/>
      <c r="P398" s="198"/>
      <c r="Q398" s="198"/>
      <c r="R398" s="198"/>
      <c r="S398" s="198"/>
      <c r="T398" s="198"/>
      <c r="U398" s="198"/>
      <c r="V398" s="198"/>
      <c r="W398" s="198"/>
      <c r="X398" s="198"/>
      <c r="Y398" s="198"/>
      <c r="Z398" s="198"/>
      <c r="AA398" s="198"/>
      <c r="AB398" s="198"/>
      <c r="AC398" s="198"/>
      <c r="AD398" s="198"/>
      <c r="AE398" s="198"/>
      <c r="AF398" s="198"/>
      <c r="AG398" s="198"/>
      <c r="AH398" s="198"/>
      <c r="AI398" s="198"/>
      <c r="AJ398" s="198"/>
      <c r="AK398" s="198"/>
      <c r="AL398" s="198"/>
      <c r="AM398" s="198"/>
      <c r="AN398" s="198"/>
      <c r="AO398" s="198"/>
      <c r="AP398" s="198"/>
      <c r="AQ398" s="198"/>
      <c r="AR398" s="198"/>
      <c r="AS398" s="198"/>
      <c r="AT398" s="198"/>
      <c r="AU398" s="198"/>
      <c r="AV398" s="198"/>
      <c r="AW398" s="198"/>
      <c r="AX398" s="198"/>
      <c r="AY398" s="198"/>
      <c r="AZ398" s="198"/>
      <c r="BA398" s="198"/>
      <c r="BB398" s="198"/>
      <c r="BC398" s="198"/>
      <c r="BD398" s="198"/>
      <c r="BE398" s="198"/>
      <c r="BF398" s="198"/>
      <c r="BG398" s="198"/>
      <c r="BH398" s="198"/>
      <c r="BI398" s="198"/>
      <c r="BJ398" s="198"/>
      <c r="BK398" s="198"/>
      <c r="BL398" s="198"/>
      <c r="BM398" s="198"/>
      <c r="BN398" s="198"/>
      <c r="BO398" s="198"/>
      <c r="BP398" s="198"/>
      <c r="BQ398" s="198"/>
      <c r="BR398" s="198"/>
      <c r="BS398" s="198"/>
      <c r="BT398" s="198"/>
      <c r="BU398" s="198"/>
      <c r="BV398" s="198"/>
      <c r="BW398" s="198"/>
      <c r="BX398" s="198"/>
      <c r="BY398" s="198"/>
      <c r="BZ398" s="198"/>
      <c r="CA398" s="198"/>
      <c r="CB398" s="198"/>
      <c r="CC398" s="198"/>
      <c r="CD398" s="198"/>
      <c r="CE398" s="198"/>
      <c r="CF398" s="198"/>
      <c r="CG398" s="198"/>
      <c r="CH398" s="198"/>
      <c r="CI398" s="198"/>
      <c r="CJ398" s="198"/>
      <c r="CK398" s="198"/>
      <c r="CL398" s="198"/>
      <c r="CM398" s="198"/>
      <c r="CN398" s="198"/>
      <c r="CO398" s="198"/>
      <c r="CP398" s="198"/>
      <c r="CQ398" s="198"/>
      <c r="CR398" s="198"/>
      <c r="CS398" s="198"/>
      <c r="CT398" s="198"/>
      <c r="CU398" s="198"/>
      <c r="CV398" s="198"/>
      <c r="CW398" s="198"/>
      <c r="CX398" s="198"/>
      <c r="CY398" s="198"/>
      <c r="CZ398" s="198"/>
      <c r="DA398" s="198"/>
      <c r="DB398" s="198"/>
      <c r="DC398" s="198"/>
      <c r="DD398" s="198"/>
      <c r="DE398" s="198"/>
      <c r="DF398" s="198"/>
      <c r="DG398" s="198"/>
      <c r="DH398" s="198"/>
      <c r="DI398" s="198"/>
      <c r="DJ398" s="198"/>
      <c r="DK398" s="198"/>
      <c r="DL398" s="198"/>
      <c r="DM398" s="198"/>
      <c r="DN398" s="198"/>
      <c r="DO398" s="198"/>
      <c r="DP398" s="198"/>
      <c r="DQ398" s="198"/>
      <c r="DR398" s="198"/>
      <c r="DS398" s="198"/>
      <c r="DT398" s="198"/>
      <c r="DU398" s="198"/>
      <c r="DV398" s="198"/>
      <c r="DW398" s="198"/>
      <c r="DX398" s="198"/>
      <c r="DY398" s="198"/>
      <c r="DZ398" s="198"/>
      <c r="EA398" s="198"/>
      <c r="EB398" s="198"/>
      <c r="EC398" s="198"/>
      <c r="ED398" s="198"/>
      <c r="EE398" s="198"/>
      <c r="EF398" s="198"/>
      <c r="EG398" s="198"/>
      <c r="EH398" s="198"/>
      <c r="EI398" s="198"/>
      <c r="EJ398" s="198"/>
      <c r="EK398" s="198"/>
      <c r="EL398" s="198"/>
      <c r="EM398" s="198"/>
      <c r="EN398" s="198"/>
      <c r="EO398" s="198"/>
      <c r="EP398" s="198"/>
      <c r="EQ398" s="198"/>
      <c r="ER398" s="198"/>
      <c r="ES398" s="198"/>
      <c r="ET398" s="198"/>
      <c r="EU398" s="198"/>
      <c r="EV398" s="198"/>
      <c r="EW398" s="198"/>
      <c r="EX398" s="198"/>
      <c r="EY398" s="198"/>
      <c r="EZ398" s="198"/>
      <c r="FA398" s="198"/>
      <c r="FB398" s="198"/>
      <c r="FC398" s="198"/>
      <c r="FD398" s="198"/>
      <c r="FE398" s="198"/>
      <c r="FF398" s="198"/>
      <c r="FG398" s="198"/>
      <c r="FH398" s="198"/>
    </row>
    <row r="399" spans="10:164" s="173" customFormat="1" x14ac:dyDescent="0.3">
      <c r="J399" s="198"/>
      <c r="K399" s="198"/>
      <c r="L399" s="198"/>
      <c r="M399" s="198"/>
      <c r="N399" s="198"/>
      <c r="O399" s="198"/>
      <c r="P399" s="198"/>
      <c r="Q399" s="198"/>
      <c r="R399" s="198"/>
      <c r="S399" s="198"/>
      <c r="T399" s="198"/>
      <c r="U399" s="198"/>
      <c r="V399" s="198"/>
      <c r="W399" s="198"/>
      <c r="X399" s="198"/>
      <c r="Y399" s="198"/>
      <c r="Z399" s="198"/>
      <c r="AA399" s="198"/>
      <c r="AB399" s="198"/>
      <c r="AC399" s="198"/>
      <c r="AD399" s="198"/>
      <c r="AE399" s="198"/>
      <c r="AF399" s="198"/>
      <c r="AG399" s="198"/>
      <c r="AH399" s="198"/>
      <c r="AI399" s="198"/>
      <c r="AJ399" s="198"/>
      <c r="AK399" s="198"/>
      <c r="AL399" s="198"/>
      <c r="AM399" s="198"/>
      <c r="AN399" s="198"/>
      <c r="AO399" s="198"/>
      <c r="AP399" s="198"/>
      <c r="AQ399" s="198"/>
      <c r="AR399" s="198"/>
      <c r="AS399" s="198"/>
      <c r="AT399" s="198"/>
      <c r="AU399" s="198"/>
      <c r="AV399" s="198"/>
      <c r="AW399" s="198"/>
      <c r="AX399" s="198"/>
      <c r="AY399" s="198"/>
      <c r="AZ399" s="198"/>
      <c r="BA399" s="198"/>
      <c r="BB399" s="198"/>
      <c r="BC399" s="198"/>
      <c r="BD399" s="198"/>
      <c r="BE399" s="198"/>
      <c r="BF399" s="198"/>
      <c r="BG399" s="198"/>
      <c r="BH399" s="198"/>
      <c r="BI399" s="198"/>
      <c r="BJ399" s="198"/>
      <c r="BK399" s="198"/>
      <c r="BL399" s="198"/>
      <c r="BM399" s="198"/>
      <c r="BN399" s="198"/>
      <c r="BO399" s="198"/>
      <c r="BP399" s="198"/>
      <c r="BQ399" s="198"/>
      <c r="BR399" s="198"/>
      <c r="BS399" s="198"/>
      <c r="BT399" s="198"/>
      <c r="BU399" s="198"/>
      <c r="BV399" s="198"/>
      <c r="BW399" s="198"/>
      <c r="BX399" s="198"/>
      <c r="BY399" s="198"/>
      <c r="BZ399" s="198"/>
      <c r="CA399" s="198"/>
      <c r="CB399" s="198"/>
      <c r="CC399" s="198"/>
      <c r="CD399" s="198"/>
      <c r="CE399" s="198"/>
      <c r="CF399" s="198"/>
      <c r="CG399" s="198"/>
      <c r="CH399" s="198"/>
      <c r="CI399" s="198"/>
      <c r="CJ399" s="198"/>
      <c r="CK399" s="198"/>
      <c r="CL399" s="198"/>
      <c r="CM399" s="198"/>
      <c r="CN399" s="198"/>
      <c r="CO399" s="198"/>
      <c r="CP399" s="198"/>
      <c r="CQ399" s="198"/>
      <c r="CR399" s="198"/>
      <c r="CS399" s="198"/>
      <c r="CT399" s="198"/>
      <c r="CU399" s="198"/>
      <c r="CV399" s="198"/>
      <c r="CW399" s="198"/>
      <c r="CX399" s="198"/>
      <c r="CY399" s="198"/>
      <c r="CZ399" s="198"/>
      <c r="DA399" s="198"/>
      <c r="DB399" s="198"/>
      <c r="DC399" s="198"/>
      <c r="DD399" s="198"/>
      <c r="DE399" s="198"/>
      <c r="DF399" s="198"/>
      <c r="DG399" s="198"/>
      <c r="DH399" s="198"/>
      <c r="DI399" s="198"/>
      <c r="DJ399" s="198"/>
      <c r="DK399" s="198"/>
      <c r="DL399" s="198"/>
      <c r="DM399" s="198"/>
      <c r="DN399" s="198"/>
      <c r="DO399" s="198"/>
      <c r="DP399" s="198"/>
      <c r="DQ399" s="198"/>
      <c r="DR399" s="198"/>
      <c r="DS399" s="198"/>
      <c r="DT399" s="198"/>
      <c r="DU399" s="198"/>
      <c r="DV399" s="198"/>
      <c r="DW399" s="198"/>
      <c r="DX399" s="198"/>
      <c r="DY399" s="198"/>
      <c r="DZ399" s="198"/>
      <c r="EA399" s="198"/>
      <c r="EB399" s="198"/>
      <c r="EC399" s="198"/>
      <c r="ED399" s="198"/>
      <c r="EE399" s="198"/>
      <c r="EF399" s="198"/>
      <c r="EG399" s="198"/>
      <c r="EH399" s="198"/>
      <c r="EI399" s="198"/>
      <c r="EJ399" s="198"/>
      <c r="EK399" s="198"/>
      <c r="EL399" s="198"/>
      <c r="EM399" s="198"/>
      <c r="EN399" s="198"/>
      <c r="EO399" s="198"/>
      <c r="EP399" s="198"/>
      <c r="EQ399" s="198"/>
      <c r="ER399" s="198"/>
      <c r="ES399" s="198"/>
      <c r="ET399" s="198"/>
      <c r="EU399" s="198"/>
      <c r="EV399" s="198"/>
      <c r="EW399" s="198"/>
      <c r="EX399" s="198"/>
      <c r="EY399" s="198"/>
      <c r="EZ399" s="198"/>
      <c r="FA399" s="198"/>
      <c r="FB399" s="198"/>
      <c r="FC399" s="198"/>
      <c r="FD399" s="198"/>
      <c r="FE399" s="198"/>
      <c r="FF399" s="198"/>
      <c r="FG399" s="198"/>
      <c r="FH399" s="198"/>
    </row>
    <row r="400" spans="10:164" s="173" customFormat="1" x14ac:dyDescent="0.3">
      <c r="J400" s="198"/>
      <c r="K400" s="198"/>
      <c r="L400" s="198"/>
      <c r="M400" s="198"/>
      <c r="N400" s="198"/>
      <c r="O400" s="198"/>
      <c r="P400" s="198"/>
      <c r="Q400" s="198"/>
      <c r="R400" s="198"/>
      <c r="S400" s="198"/>
      <c r="T400" s="198"/>
      <c r="U400" s="198"/>
      <c r="V400" s="198"/>
      <c r="W400" s="198"/>
      <c r="X400" s="198"/>
      <c r="Y400" s="198"/>
      <c r="Z400" s="198"/>
      <c r="AA400" s="198"/>
      <c r="AB400" s="198"/>
      <c r="AC400" s="198"/>
      <c r="AD400" s="198"/>
      <c r="AE400" s="198"/>
      <c r="AF400" s="198"/>
      <c r="AG400" s="198"/>
      <c r="AH400" s="198"/>
      <c r="AI400" s="198"/>
      <c r="AJ400" s="198"/>
      <c r="AK400" s="198"/>
      <c r="AL400" s="198"/>
      <c r="AM400" s="198"/>
      <c r="AN400" s="198"/>
      <c r="AO400" s="198"/>
      <c r="AP400" s="198"/>
      <c r="AQ400" s="198"/>
      <c r="AR400" s="198"/>
      <c r="AS400" s="198"/>
      <c r="AT400" s="198"/>
      <c r="AU400" s="198"/>
      <c r="AV400" s="198"/>
      <c r="AW400" s="198"/>
      <c r="AX400" s="198"/>
      <c r="AY400" s="198"/>
      <c r="AZ400" s="198"/>
      <c r="BA400" s="198"/>
      <c r="BB400" s="198"/>
      <c r="BC400" s="198"/>
      <c r="BD400" s="198"/>
      <c r="BE400" s="198"/>
      <c r="BF400" s="198"/>
      <c r="BG400" s="198"/>
      <c r="BH400" s="198"/>
      <c r="BI400" s="198"/>
      <c r="BJ400" s="198"/>
      <c r="BK400" s="198"/>
      <c r="BL400" s="198"/>
      <c r="BM400" s="198"/>
      <c r="BN400" s="198"/>
      <c r="BO400" s="198"/>
      <c r="BP400" s="198"/>
      <c r="BQ400" s="198"/>
      <c r="BR400" s="198"/>
      <c r="BS400" s="198"/>
      <c r="BT400" s="198"/>
      <c r="BU400" s="198"/>
      <c r="BV400" s="198"/>
      <c r="BW400" s="198"/>
      <c r="BX400" s="198"/>
      <c r="BY400" s="198"/>
      <c r="BZ400" s="198"/>
      <c r="CA400" s="198"/>
      <c r="CB400" s="198"/>
      <c r="CC400" s="198"/>
      <c r="CD400" s="198"/>
      <c r="CE400" s="198"/>
      <c r="CF400" s="198"/>
      <c r="CG400" s="198"/>
      <c r="CH400" s="198"/>
      <c r="CI400" s="198"/>
      <c r="CJ400" s="198"/>
      <c r="CK400" s="198"/>
      <c r="CL400" s="198"/>
      <c r="CM400" s="198"/>
      <c r="CN400" s="198"/>
      <c r="CO400" s="198"/>
      <c r="CP400" s="198"/>
      <c r="CQ400" s="198"/>
      <c r="CR400" s="198"/>
      <c r="CS400" s="198"/>
      <c r="CT400" s="198"/>
      <c r="CU400" s="198"/>
      <c r="CV400" s="198"/>
      <c r="CW400" s="198"/>
      <c r="CX400" s="198"/>
      <c r="CY400" s="198"/>
      <c r="CZ400" s="198"/>
      <c r="DA400" s="198"/>
      <c r="DB400" s="198"/>
      <c r="DC400" s="198"/>
      <c r="DD400" s="198"/>
      <c r="DE400" s="198"/>
      <c r="DF400" s="198"/>
      <c r="DG400" s="198"/>
      <c r="DH400" s="198"/>
      <c r="DI400" s="198"/>
      <c r="DJ400" s="198"/>
      <c r="DK400" s="198"/>
      <c r="DL400" s="198"/>
      <c r="DM400" s="198"/>
      <c r="DN400" s="198"/>
      <c r="DO400" s="198"/>
      <c r="DP400" s="198"/>
      <c r="DQ400" s="198"/>
      <c r="DR400" s="198"/>
      <c r="DS400" s="198"/>
      <c r="DT400" s="198"/>
      <c r="DU400" s="198"/>
      <c r="DV400" s="198"/>
      <c r="DW400" s="198"/>
      <c r="DX400" s="198"/>
      <c r="DY400" s="198"/>
      <c r="DZ400" s="198"/>
      <c r="EA400" s="198"/>
      <c r="EB400" s="198"/>
      <c r="EC400" s="198"/>
      <c r="ED400" s="198"/>
      <c r="EE400" s="198"/>
      <c r="EF400" s="198"/>
      <c r="EG400" s="198"/>
      <c r="EH400" s="198"/>
      <c r="EI400" s="198"/>
      <c r="EJ400" s="198"/>
      <c r="EK400" s="198"/>
      <c r="EL400" s="198"/>
      <c r="EM400" s="198"/>
      <c r="EN400" s="198"/>
      <c r="EO400" s="198"/>
      <c r="EP400" s="198"/>
      <c r="EQ400" s="198"/>
      <c r="ER400" s="198"/>
      <c r="ES400" s="198"/>
      <c r="ET400" s="198"/>
      <c r="EU400" s="198"/>
      <c r="EV400" s="198"/>
      <c r="EW400" s="198"/>
      <c r="EX400" s="198"/>
      <c r="EY400" s="198"/>
      <c r="EZ400" s="198"/>
      <c r="FA400" s="198"/>
      <c r="FB400" s="198"/>
      <c r="FC400" s="198"/>
      <c r="FD400" s="198"/>
      <c r="FE400" s="198"/>
      <c r="FF400" s="198"/>
      <c r="FG400" s="198"/>
      <c r="FH400" s="198"/>
    </row>
    <row r="401" spans="10:164" s="173" customFormat="1" x14ac:dyDescent="0.3">
      <c r="J401" s="198"/>
      <c r="K401" s="198"/>
      <c r="L401" s="198"/>
      <c r="M401" s="198"/>
      <c r="N401" s="198"/>
      <c r="O401" s="198"/>
      <c r="P401" s="198"/>
      <c r="Q401" s="198"/>
      <c r="R401" s="198"/>
      <c r="S401" s="198"/>
      <c r="T401" s="198"/>
      <c r="U401" s="198"/>
      <c r="V401" s="198"/>
      <c r="W401" s="198"/>
      <c r="X401" s="198"/>
      <c r="Y401" s="198"/>
      <c r="Z401" s="198"/>
      <c r="AA401" s="198"/>
      <c r="AB401" s="198"/>
      <c r="AC401" s="198"/>
      <c r="AD401" s="198"/>
      <c r="AE401" s="198"/>
      <c r="AF401" s="198"/>
      <c r="AG401" s="198"/>
      <c r="AH401" s="198"/>
      <c r="AI401" s="198"/>
      <c r="AJ401" s="198"/>
      <c r="AK401" s="198"/>
      <c r="AL401" s="198"/>
      <c r="AM401" s="198"/>
      <c r="AN401" s="198"/>
      <c r="AO401" s="198"/>
      <c r="AP401" s="198"/>
      <c r="AQ401" s="198"/>
      <c r="AR401" s="198"/>
      <c r="AS401" s="198"/>
      <c r="AT401" s="198"/>
      <c r="AU401" s="198"/>
      <c r="AV401" s="198"/>
      <c r="AW401" s="198"/>
      <c r="AX401" s="198"/>
      <c r="AY401" s="198"/>
      <c r="AZ401" s="198"/>
      <c r="BA401" s="198"/>
      <c r="BB401" s="198"/>
      <c r="BC401" s="198"/>
      <c r="BD401" s="198"/>
      <c r="BE401" s="198"/>
      <c r="BF401" s="198"/>
      <c r="BG401" s="198"/>
      <c r="BH401" s="198"/>
      <c r="BI401" s="198"/>
      <c r="BJ401" s="198"/>
      <c r="BK401" s="198"/>
      <c r="BL401" s="198"/>
      <c r="BM401" s="198"/>
      <c r="BN401" s="198"/>
      <c r="BO401" s="198"/>
      <c r="BP401" s="198"/>
      <c r="BQ401" s="198"/>
      <c r="BR401" s="198"/>
      <c r="BS401" s="198"/>
      <c r="BT401" s="198"/>
      <c r="BU401" s="198"/>
      <c r="BV401" s="198"/>
      <c r="BW401" s="198"/>
      <c r="BX401" s="198"/>
      <c r="BY401" s="198"/>
      <c r="BZ401" s="198"/>
      <c r="CA401" s="198"/>
      <c r="CB401" s="198"/>
      <c r="CC401" s="198"/>
      <c r="CD401" s="198"/>
      <c r="CE401" s="198"/>
      <c r="CF401" s="198"/>
      <c r="CG401" s="198"/>
      <c r="CH401" s="198"/>
      <c r="CI401" s="198"/>
      <c r="CJ401" s="198"/>
      <c r="CK401" s="198"/>
      <c r="CL401" s="198"/>
      <c r="CM401" s="198"/>
      <c r="CN401" s="198"/>
      <c r="CO401" s="198"/>
      <c r="CP401" s="198"/>
      <c r="CQ401" s="198"/>
      <c r="CR401" s="198"/>
      <c r="CS401" s="198"/>
      <c r="CT401" s="198"/>
      <c r="CU401" s="198"/>
      <c r="CV401" s="198"/>
      <c r="CW401" s="198"/>
      <c r="CX401" s="198"/>
      <c r="CY401" s="198"/>
      <c r="CZ401" s="198"/>
      <c r="DA401" s="198"/>
      <c r="DB401" s="198"/>
      <c r="DC401" s="198"/>
      <c r="DD401" s="198"/>
      <c r="DE401" s="198"/>
      <c r="DF401" s="198"/>
      <c r="DG401" s="198"/>
      <c r="DH401" s="198"/>
      <c r="DI401" s="198"/>
      <c r="DJ401" s="198"/>
      <c r="DK401" s="198"/>
      <c r="DL401" s="198"/>
      <c r="DM401" s="198"/>
      <c r="DN401" s="198"/>
      <c r="DO401" s="198"/>
      <c r="DP401" s="198"/>
      <c r="DQ401" s="198"/>
      <c r="DR401" s="198"/>
      <c r="DS401" s="198"/>
      <c r="DT401" s="198"/>
      <c r="DU401" s="198"/>
      <c r="DV401" s="198"/>
      <c r="DW401" s="198"/>
      <c r="DX401" s="198"/>
      <c r="DY401" s="198"/>
      <c r="DZ401" s="198"/>
      <c r="EA401" s="198"/>
      <c r="EB401" s="198"/>
      <c r="EC401" s="198"/>
      <c r="ED401" s="198"/>
      <c r="EE401" s="198"/>
      <c r="EF401" s="198"/>
      <c r="EG401" s="198"/>
      <c r="EH401" s="198"/>
      <c r="EI401" s="198"/>
      <c r="EJ401" s="198"/>
      <c r="EK401" s="198"/>
      <c r="EL401" s="198"/>
      <c r="EM401" s="198"/>
      <c r="EN401" s="198"/>
      <c r="EO401" s="198"/>
      <c r="EP401" s="198"/>
      <c r="EQ401" s="198"/>
      <c r="ER401" s="198"/>
      <c r="ES401" s="198"/>
      <c r="ET401" s="198"/>
      <c r="EU401" s="198"/>
      <c r="EV401" s="198"/>
      <c r="EW401" s="198"/>
      <c r="EX401" s="198"/>
      <c r="EY401" s="198"/>
      <c r="EZ401" s="198"/>
      <c r="FA401" s="198"/>
      <c r="FB401" s="198"/>
      <c r="FC401" s="198"/>
      <c r="FD401" s="198"/>
      <c r="FE401" s="198"/>
      <c r="FF401" s="198"/>
      <c r="FG401" s="198"/>
      <c r="FH401" s="198"/>
    </row>
    <row r="402" spans="10:164" s="173" customFormat="1" x14ac:dyDescent="0.3">
      <c r="J402" s="198"/>
      <c r="K402" s="198"/>
      <c r="L402" s="198"/>
      <c r="M402" s="198"/>
      <c r="N402" s="198"/>
      <c r="O402" s="198"/>
      <c r="P402" s="198"/>
      <c r="Q402" s="198"/>
      <c r="R402" s="198"/>
      <c r="S402" s="198"/>
      <c r="T402" s="198"/>
      <c r="U402" s="198"/>
      <c r="V402" s="198"/>
      <c r="W402" s="198"/>
      <c r="X402" s="198"/>
      <c r="Y402" s="198"/>
      <c r="Z402" s="198"/>
      <c r="AA402" s="198"/>
      <c r="AB402" s="198"/>
      <c r="AC402" s="198"/>
      <c r="AD402" s="198"/>
      <c r="AE402" s="198"/>
      <c r="AF402" s="198"/>
      <c r="AG402" s="198"/>
      <c r="AH402" s="198"/>
      <c r="AI402" s="198"/>
      <c r="AJ402" s="198"/>
      <c r="AK402" s="198"/>
      <c r="AL402" s="198"/>
      <c r="AM402" s="198"/>
      <c r="AN402" s="198"/>
      <c r="AO402" s="198"/>
      <c r="AP402" s="198"/>
      <c r="AQ402" s="198"/>
      <c r="AR402" s="198"/>
      <c r="AS402" s="198"/>
      <c r="AT402" s="198"/>
      <c r="AU402" s="198"/>
      <c r="AV402" s="198"/>
      <c r="AW402" s="198"/>
      <c r="AX402" s="198"/>
      <c r="AY402" s="198"/>
      <c r="AZ402" s="198"/>
      <c r="BA402" s="198"/>
      <c r="BB402" s="198"/>
      <c r="BC402" s="198"/>
      <c r="BD402" s="198"/>
      <c r="BE402" s="198"/>
      <c r="BF402" s="198"/>
      <c r="BG402" s="198"/>
      <c r="BH402" s="198"/>
      <c r="BI402" s="198"/>
      <c r="BJ402" s="198"/>
      <c r="BK402" s="198"/>
      <c r="BL402" s="198"/>
      <c r="BM402" s="198"/>
      <c r="BN402" s="198"/>
      <c r="BO402" s="198"/>
      <c r="BP402" s="198"/>
      <c r="BQ402" s="198"/>
      <c r="BR402" s="198"/>
      <c r="BS402" s="198"/>
      <c r="BT402" s="198"/>
      <c r="BU402" s="198"/>
      <c r="BV402" s="198"/>
      <c r="BW402" s="198"/>
      <c r="BX402" s="198"/>
      <c r="BY402" s="198"/>
      <c r="BZ402" s="198"/>
      <c r="CA402" s="198"/>
      <c r="CB402" s="198"/>
      <c r="CC402" s="198"/>
      <c r="CD402" s="198"/>
      <c r="CE402" s="198"/>
      <c r="CF402" s="198"/>
      <c r="CG402" s="198"/>
      <c r="CH402" s="198"/>
      <c r="CI402" s="198"/>
      <c r="CJ402" s="198"/>
      <c r="CK402" s="198"/>
      <c r="CL402" s="198"/>
      <c r="CM402" s="198"/>
      <c r="CN402" s="198"/>
      <c r="CO402" s="198"/>
      <c r="CP402" s="198"/>
      <c r="CQ402" s="198"/>
      <c r="CR402" s="198"/>
      <c r="CS402" s="198"/>
      <c r="CT402" s="198"/>
      <c r="CU402" s="198"/>
      <c r="CV402" s="198"/>
      <c r="CW402" s="198"/>
      <c r="CX402" s="198"/>
      <c r="CY402" s="198"/>
      <c r="CZ402" s="198"/>
      <c r="DA402" s="198"/>
      <c r="DB402" s="198"/>
      <c r="DC402" s="198"/>
      <c r="DD402" s="198"/>
      <c r="DE402" s="198"/>
      <c r="DF402" s="198"/>
      <c r="DG402" s="198"/>
      <c r="DH402" s="198"/>
      <c r="DI402" s="198"/>
      <c r="DJ402" s="198"/>
      <c r="DK402" s="198"/>
      <c r="DL402" s="198"/>
      <c r="DM402" s="198"/>
      <c r="DN402" s="198"/>
      <c r="DO402" s="198"/>
      <c r="DP402" s="198"/>
      <c r="DQ402" s="198"/>
      <c r="DR402" s="198"/>
      <c r="DS402" s="198"/>
      <c r="DT402" s="198"/>
      <c r="DU402" s="198"/>
      <c r="DV402" s="198"/>
      <c r="DW402" s="198"/>
      <c r="DX402" s="198"/>
      <c r="DY402" s="198"/>
      <c r="DZ402" s="198"/>
      <c r="EA402" s="198"/>
      <c r="EB402" s="198"/>
      <c r="EC402" s="198"/>
      <c r="ED402" s="198"/>
      <c r="EE402" s="198"/>
      <c r="EF402" s="198"/>
      <c r="EG402" s="198"/>
      <c r="EH402" s="198"/>
      <c r="EI402" s="198"/>
      <c r="EJ402" s="198"/>
      <c r="EK402" s="198"/>
      <c r="EL402" s="198"/>
      <c r="EM402" s="198"/>
      <c r="EN402" s="198"/>
      <c r="EO402" s="198"/>
      <c r="EP402" s="198"/>
      <c r="EQ402" s="198"/>
      <c r="ER402" s="198"/>
      <c r="ES402" s="198"/>
      <c r="ET402" s="198"/>
      <c r="EU402" s="198"/>
      <c r="EV402" s="198"/>
      <c r="EW402" s="198"/>
      <c r="EX402" s="198"/>
      <c r="EY402" s="198"/>
      <c r="EZ402" s="198"/>
      <c r="FA402" s="198"/>
      <c r="FB402" s="198"/>
      <c r="FC402" s="198"/>
      <c r="FD402" s="198"/>
      <c r="FE402" s="198"/>
      <c r="FF402" s="198"/>
      <c r="FG402" s="198"/>
      <c r="FH402" s="198"/>
    </row>
    <row r="403" spans="10:164" s="173" customFormat="1" x14ac:dyDescent="0.3">
      <c r="J403" s="198"/>
      <c r="K403" s="198"/>
      <c r="L403" s="198"/>
      <c r="M403" s="198"/>
      <c r="N403" s="198"/>
      <c r="O403" s="198"/>
      <c r="P403" s="198"/>
      <c r="Q403" s="198"/>
      <c r="R403" s="198"/>
      <c r="S403" s="198"/>
      <c r="T403" s="198"/>
      <c r="U403" s="198"/>
      <c r="V403" s="198"/>
      <c r="W403" s="198"/>
      <c r="X403" s="198"/>
      <c r="Y403" s="198"/>
      <c r="Z403" s="198"/>
      <c r="AA403" s="198"/>
      <c r="AB403" s="198"/>
      <c r="AC403" s="198"/>
      <c r="AD403" s="198"/>
      <c r="AE403" s="198"/>
      <c r="AF403" s="198"/>
      <c r="AG403" s="198"/>
      <c r="AH403" s="198"/>
      <c r="AI403" s="198"/>
      <c r="AJ403" s="198"/>
      <c r="AK403" s="198"/>
      <c r="AL403" s="198"/>
      <c r="AM403" s="198"/>
      <c r="AN403" s="198"/>
      <c r="AO403" s="198"/>
      <c r="AP403" s="198"/>
      <c r="AQ403" s="198"/>
      <c r="AR403" s="198"/>
      <c r="AS403" s="198"/>
      <c r="AT403" s="198"/>
      <c r="AU403" s="198"/>
      <c r="AV403" s="198"/>
      <c r="AW403" s="198"/>
      <c r="AX403" s="198"/>
      <c r="AY403" s="198"/>
      <c r="AZ403" s="198"/>
      <c r="BA403" s="198"/>
      <c r="BB403" s="198"/>
      <c r="BC403" s="198"/>
      <c r="BD403" s="198"/>
      <c r="BE403" s="198"/>
      <c r="BF403" s="198"/>
      <c r="BG403" s="198"/>
      <c r="BH403" s="198"/>
      <c r="BI403" s="198"/>
      <c r="BJ403" s="198"/>
      <c r="BK403" s="198"/>
      <c r="BL403" s="198"/>
      <c r="BM403" s="198"/>
      <c r="BN403" s="198"/>
      <c r="BO403" s="198"/>
      <c r="BP403" s="198"/>
      <c r="BQ403" s="198"/>
      <c r="BR403" s="198"/>
      <c r="BS403" s="198"/>
      <c r="BT403" s="198"/>
      <c r="BU403" s="198"/>
      <c r="BV403" s="198"/>
      <c r="BW403" s="198"/>
      <c r="BX403" s="198"/>
      <c r="BY403" s="198"/>
      <c r="BZ403" s="198"/>
      <c r="CA403" s="198"/>
      <c r="CB403" s="198"/>
      <c r="CC403" s="198"/>
      <c r="CD403" s="198"/>
      <c r="CE403" s="198"/>
      <c r="CF403" s="198"/>
      <c r="CG403" s="198"/>
      <c r="CH403" s="198"/>
      <c r="CI403" s="198"/>
      <c r="CJ403" s="198"/>
      <c r="CK403" s="198"/>
      <c r="CL403" s="198"/>
      <c r="CM403" s="198"/>
      <c r="CN403" s="198"/>
      <c r="CO403" s="198"/>
      <c r="CP403" s="198"/>
      <c r="CQ403" s="198"/>
      <c r="CR403" s="198"/>
      <c r="CS403" s="198"/>
      <c r="CT403" s="198"/>
      <c r="CU403" s="198"/>
      <c r="CV403" s="198"/>
      <c r="CW403" s="198"/>
      <c r="CX403" s="198"/>
      <c r="CY403" s="198"/>
      <c r="CZ403" s="198"/>
      <c r="DA403" s="198"/>
      <c r="DB403" s="198"/>
      <c r="DC403" s="198"/>
      <c r="DD403" s="198"/>
      <c r="DE403" s="198"/>
      <c r="DF403" s="198"/>
      <c r="DG403" s="198"/>
      <c r="DH403" s="198"/>
      <c r="DI403" s="198"/>
      <c r="DJ403" s="198"/>
      <c r="DK403" s="198"/>
      <c r="DL403" s="198"/>
      <c r="DM403" s="198"/>
      <c r="DN403" s="198"/>
      <c r="DO403" s="198"/>
      <c r="DP403" s="198"/>
      <c r="DQ403" s="198"/>
      <c r="DR403" s="198"/>
      <c r="DS403" s="198"/>
      <c r="DT403" s="198"/>
      <c r="DU403" s="198"/>
      <c r="DV403" s="198"/>
      <c r="DW403" s="198"/>
      <c r="DX403" s="198"/>
      <c r="DY403" s="198"/>
      <c r="DZ403" s="198"/>
      <c r="EA403" s="198"/>
      <c r="EB403" s="198"/>
      <c r="EC403" s="198"/>
      <c r="ED403" s="198"/>
      <c r="EE403" s="198"/>
      <c r="EF403" s="198"/>
      <c r="EG403" s="198"/>
      <c r="EH403" s="198"/>
      <c r="EI403" s="198"/>
      <c r="EJ403" s="198"/>
      <c r="EK403" s="198"/>
      <c r="EL403" s="198"/>
      <c r="EM403" s="198"/>
      <c r="EN403" s="198"/>
      <c r="EO403" s="198"/>
      <c r="EP403" s="198"/>
      <c r="EQ403" s="198"/>
      <c r="ER403" s="198"/>
      <c r="ES403" s="198"/>
      <c r="ET403" s="198"/>
      <c r="EU403" s="198"/>
      <c r="EV403" s="198"/>
      <c r="EW403" s="198"/>
      <c r="EX403" s="198"/>
      <c r="EY403" s="198"/>
      <c r="EZ403" s="198"/>
      <c r="FA403" s="198"/>
      <c r="FB403" s="198"/>
      <c r="FC403" s="198"/>
      <c r="FD403" s="198"/>
      <c r="FE403" s="198"/>
      <c r="FF403" s="198"/>
      <c r="FG403" s="198"/>
      <c r="FH403" s="198"/>
    </row>
    <row r="404" spans="10:164" s="173" customFormat="1" x14ac:dyDescent="0.3">
      <c r="J404" s="198"/>
      <c r="K404" s="198"/>
      <c r="L404" s="198"/>
      <c r="M404" s="198"/>
      <c r="N404" s="198"/>
      <c r="O404" s="198"/>
      <c r="P404" s="198"/>
      <c r="Q404" s="198"/>
      <c r="R404" s="198"/>
      <c r="S404" s="198"/>
      <c r="T404" s="198"/>
      <c r="U404" s="198"/>
      <c r="V404" s="198"/>
      <c r="W404" s="198"/>
      <c r="X404" s="198"/>
      <c r="Y404" s="198"/>
      <c r="Z404" s="198"/>
      <c r="AA404" s="198"/>
      <c r="AB404" s="198"/>
      <c r="AC404" s="198"/>
      <c r="AD404" s="198"/>
      <c r="AE404" s="198"/>
      <c r="AF404" s="198"/>
      <c r="AG404" s="198"/>
      <c r="AH404" s="198"/>
      <c r="AI404" s="198"/>
      <c r="AJ404" s="198"/>
      <c r="AK404" s="198"/>
      <c r="AL404" s="198"/>
      <c r="AM404" s="198"/>
      <c r="AN404" s="198"/>
      <c r="AO404" s="198"/>
      <c r="AP404" s="198"/>
      <c r="AQ404" s="198"/>
      <c r="AR404" s="198"/>
      <c r="AS404" s="198"/>
      <c r="AT404" s="198"/>
      <c r="AU404" s="198"/>
      <c r="AV404" s="198"/>
      <c r="AW404" s="198"/>
      <c r="AX404" s="198"/>
      <c r="AY404" s="198"/>
      <c r="AZ404" s="198"/>
      <c r="BA404" s="198"/>
      <c r="BB404" s="198"/>
      <c r="BC404" s="198"/>
      <c r="BD404" s="198"/>
      <c r="BE404" s="198"/>
      <c r="BF404" s="198"/>
      <c r="BG404" s="198"/>
      <c r="BH404" s="198"/>
      <c r="BI404" s="198"/>
      <c r="BJ404" s="198"/>
      <c r="BK404" s="198"/>
      <c r="BL404" s="198"/>
      <c r="BM404" s="198"/>
      <c r="BN404" s="198"/>
      <c r="BO404" s="198"/>
      <c r="BP404" s="198"/>
      <c r="BQ404" s="198"/>
      <c r="BR404" s="198"/>
      <c r="BS404" s="198"/>
      <c r="BT404" s="198"/>
      <c r="BU404" s="198"/>
      <c r="BV404" s="198"/>
      <c r="BW404" s="198"/>
      <c r="BX404" s="198"/>
      <c r="BY404" s="198"/>
      <c r="BZ404" s="198"/>
      <c r="CA404" s="198"/>
      <c r="CB404" s="198"/>
      <c r="CC404" s="198"/>
      <c r="CD404" s="198"/>
      <c r="CE404" s="198"/>
      <c r="CF404" s="198"/>
      <c r="CG404" s="198"/>
      <c r="CH404" s="198"/>
      <c r="CI404" s="198"/>
      <c r="CJ404" s="198"/>
      <c r="CK404" s="198"/>
      <c r="CL404" s="198"/>
      <c r="CM404" s="198"/>
      <c r="CN404" s="198"/>
      <c r="CO404" s="198"/>
      <c r="CP404" s="198"/>
      <c r="CQ404" s="198"/>
      <c r="CR404" s="198"/>
      <c r="CS404" s="198"/>
      <c r="CT404" s="198"/>
      <c r="CU404" s="198"/>
      <c r="CV404" s="198"/>
      <c r="CW404" s="198"/>
      <c r="CX404" s="198"/>
      <c r="CY404" s="198"/>
      <c r="CZ404" s="198"/>
      <c r="DA404" s="198"/>
      <c r="DB404" s="198"/>
      <c r="DC404" s="198"/>
      <c r="DD404" s="198"/>
      <c r="DE404" s="198"/>
      <c r="DF404" s="198"/>
      <c r="DG404" s="198"/>
      <c r="DH404" s="198"/>
      <c r="DI404" s="198"/>
      <c r="DJ404" s="198"/>
      <c r="DK404" s="198"/>
      <c r="DL404" s="198"/>
      <c r="DM404" s="198"/>
      <c r="DN404" s="198"/>
      <c r="DO404" s="198"/>
      <c r="DP404" s="198"/>
      <c r="DQ404" s="198"/>
      <c r="DR404" s="198"/>
      <c r="DS404" s="198"/>
      <c r="DT404" s="198"/>
      <c r="DU404" s="198"/>
      <c r="DV404" s="198"/>
      <c r="DW404" s="198"/>
      <c r="DX404" s="198"/>
      <c r="DY404" s="198"/>
      <c r="DZ404" s="198"/>
      <c r="EA404" s="198"/>
      <c r="EB404" s="198"/>
      <c r="EC404" s="198"/>
      <c r="ED404" s="198"/>
      <c r="EE404" s="198"/>
      <c r="EF404" s="198"/>
      <c r="EG404" s="198"/>
      <c r="EH404" s="198"/>
      <c r="EI404" s="198"/>
      <c r="EJ404" s="198"/>
      <c r="EK404" s="198"/>
      <c r="EL404" s="198"/>
      <c r="EM404" s="198"/>
      <c r="EN404" s="198"/>
      <c r="EO404" s="198"/>
      <c r="EP404" s="198"/>
      <c r="EQ404" s="198"/>
      <c r="ER404" s="198"/>
      <c r="ES404" s="198"/>
      <c r="ET404" s="198"/>
      <c r="EU404" s="198"/>
      <c r="EV404" s="198"/>
      <c r="EW404" s="198"/>
      <c r="EX404" s="198"/>
      <c r="EY404" s="198"/>
      <c r="EZ404" s="198"/>
      <c r="FA404" s="198"/>
      <c r="FB404" s="198"/>
      <c r="FC404" s="198"/>
      <c r="FD404" s="198"/>
      <c r="FE404" s="198"/>
      <c r="FF404" s="198"/>
      <c r="FG404" s="198"/>
      <c r="FH404" s="198"/>
    </row>
    <row r="405" spans="10:164" s="173" customFormat="1" x14ac:dyDescent="0.3">
      <c r="J405" s="198"/>
      <c r="K405" s="198"/>
      <c r="L405" s="198"/>
      <c r="M405" s="198"/>
      <c r="N405" s="198"/>
      <c r="O405" s="198"/>
      <c r="P405" s="198"/>
      <c r="Q405" s="198"/>
      <c r="R405" s="198"/>
      <c r="S405" s="198"/>
      <c r="T405" s="198"/>
      <c r="U405" s="198"/>
      <c r="V405" s="198"/>
      <c r="W405" s="198"/>
      <c r="X405" s="198"/>
      <c r="Y405" s="198"/>
      <c r="Z405" s="198"/>
      <c r="AA405" s="198"/>
      <c r="AB405" s="198"/>
      <c r="AC405" s="198"/>
      <c r="AD405" s="198"/>
      <c r="AE405" s="198"/>
      <c r="AF405" s="198"/>
      <c r="AG405" s="198"/>
      <c r="AH405" s="198"/>
      <c r="AI405" s="198"/>
      <c r="AJ405" s="198"/>
      <c r="AK405" s="198"/>
      <c r="AL405" s="198"/>
      <c r="AM405" s="198"/>
      <c r="AN405" s="198"/>
      <c r="AO405" s="198"/>
      <c r="AP405" s="198"/>
      <c r="AQ405" s="198"/>
      <c r="AR405" s="198"/>
      <c r="AS405" s="198"/>
      <c r="AT405" s="198"/>
      <c r="AU405" s="198"/>
      <c r="AV405" s="198"/>
      <c r="AW405" s="198"/>
      <c r="AX405" s="198"/>
      <c r="AY405" s="198"/>
      <c r="AZ405" s="198"/>
      <c r="BA405" s="198"/>
      <c r="BB405" s="198"/>
      <c r="BC405" s="198"/>
      <c r="BD405" s="198"/>
      <c r="BE405" s="198"/>
      <c r="BF405" s="198"/>
      <c r="BG405" s="198"/>
      <c r="BH405" s="198"/>
      <c r="BI405" s="198"/>
      <c r="BJ405" s="198"/>
      <c r="BK405" s="198"/>
      <c r="BL405" s="198"/>
      <c r="BM405" s="198"/>
      <c r="BN405" s="198"/>
      <c r="BO405" s="198"/>
      <c r="BP405" s="198"/>
      <c r="BQ405" s="198"/>
      <c r="BR405" s="198"/>
      <c r="BS405" s="198"/>
      <c r="BT405" s="198"/>
      <c r="BU405" s="198"/>
      <c r="BV405" s="198"/>
      <c r="BW405" s="198"/>
      <c r="BX405" s="198"/>
      <c r="BY405" s="198"/>
      <c r="BZ405" s="198"/>
      <c r="CA405" s="198"/>
      <c r="CB405" s="198"/>
      <c r="CC405" s="198"/>
      <c r="CD405" s="198"/>
      <c r="CE405" s="198"/>
      <c r="CF405" s="198"/>
      <c r="CG405" s="198"/>
      <c r="CH405" s="198"/>
      <c r="CI405" s="198"/>
      <c r="CJ405" s="198"/>
      <c r="CK405" s="198"/>
      <c r="CL405" s="198"/>
      <c r="CM405" s="198"/>
      <c r="CN405" s="198"/>
      <c r="CO405" s="198"/>
      <c r="CP405" s="198"/>
      <c r="CQ405" s="198"/>
      <c r="CR405" s="198"/>
      <c r="CS405" s="198"/>
      <c r="CT405" s="198"/>
      <c r="CU405" s="198"/>
      <c r="CV405" s="198"/>
      <c r="CW405" s="198"/>
      <c r="CX405" s="198"/>
      <c r="CY405" s="198"/>
      <c r="CZ405" s="198"/>
      <c r="DA405" s="198"/>
      <c r="DB405" s="198"/>
      <c r="DC405" s="198"/>
      <c r="DD405" s="198"/>
      <c r="DE405" s="198"/>
      <c r="DF405" s="198"/>
      <c r="DG405" s="198"/>
      <c r="DH405" s="198"/>
      <c r="DI405" s="198"/>
      <c r="DJ405" s="198"/>
      <c r="DK405" s="198"/>
      <c r="DL405" s="198"/>
      <c r="DM405" s="198"/>
      <c r="DN405" s="198"/>
      <c r="DO405" s="198"/>
      <c r="DP405" s="198"/>
      <c r="DQ405" s="198"/>
      <c r="DR405" s="198"/>
      <c r="DS405" s="198"/>
      <c r="DT405" s="198"/>
      <c r="DU405" s="198"/>
      <c r="DV405" s="198"/>
      <c r="DW405" s="198"/>
      <c r="DX405" s="198"/>
      <c r="DY405" s="198"/>
      <c r="DZ405" s="198"/>
      <c r="EA405" s="198"/>
      <c r="EB405" s="198"/>
      <c r="EC405" s="198"/>
      <c r="ED405" s="198"/>
      <c r="EE405" s="198"/>
      <c r="EF405" s="198"/>
      <c r="EG405" s="198"/>
      <c r="EH405" s="198"/>
      <c r="EI405" s="198"/>
      <c r="EJ405" s="198"/>
      <c r="EK405" s="198"/>
      <c r="EL405" s="198"/>
      <c r="EM405" s="198"/>
      <c r="EN405" s="198"/>
      <c r="EO405" s="198"/>
      <c r="EP405" s="198"/>
      <c r="EQ405" s="198"/>
      <c r="ER405" s="198"/>
      <c r="ES405" s="198"/>
      <c r="ET405" s="198"/>
      <c r="EU405" s="198"/>
      <c r="EV405" s="198"/>
      <c r="EW405" s="198"/>
      <c r="EX405" s="198"/>
      <c r="EY405" s="198"/>
      <c r="EZ405" s="198"/>
      <c r="FA405" s="198"/>
      <c r="FB405" s="198"/>
      <c r="FC405" s="198"/>
      <c r="FD405" s="198"/>
      <c r="FE405" s="198"/>
      <c r="FF405" s="198"/>
      <c r="FG405" s="198"/>
      <c r="FH405" s="198"/>
    </row>
    <row r="406" spans="10:164" s="173" customFormat="1" x14ac:dyDescent="0.3">
      <c r="J406" s="198"/>
      <c r="K406" s="198"/>
      <c r="L406" s="198"/>
      <c r="M406" s="198"/>
      <c r="N406" s="198"/>
      <c r="O406" s="198"/>
      <c r="P406" s="198"/>
      <c r="Q406" s="198"/>
      <c r="R406" s="198"/>
      <c r="S406" s="198"/>
      <c r="T406" s="198"/>
      <c r="U406" s="198"/>
      <c r="V406" s="198"/>
      <c r="W406" s="198"/>
      <c r="X406" s="198"/>
      <c r="Y406" s="198"/>
      <c r="Z406" s="198"/>
      <c r="AA406" s="198"/>
      <c r="AB406" s="198"/>
      <c r="AC406" s="198"/>
      <c r="AD406" s="198"/>
      <c r="AE406" s="198"/>
      <c r="AF406" s="198"/>
      <c r="AG406" s="198"/>
      <c r="AH406" s="198"/>
      <c r="AI406" s="198"/>
      <c r="AJ406" s="198"/>
      <c r="AK406" s="198"/>
      <c r="AL406" s="198"/>
      <c r="AM406" s="198"/>
      <c r="AN406" s="198"/>
      <c r="AO406" s="198"/>
      <c r="AP406" s="198"/>
      <c r="AQ406" s="198"/>
      <c r="AR406" s="198"/>
      <c r="AS406" s="198"/>
      <c r="AT406" s="198"/>
      <c r="AU406" s="198"/>
      <c r="AV406" s="198"/>
      <c r="AW406" s="198"/>
      <c r="AX406" s="198"/>
      <c r="AY406" s="198"/>
      <c r="AZ406" s="198"/>
      <c r="BA406" s="198"/>
      <c r="BB406" s="198"/>
      <c r="BC406" s="198"/>
      <c r="BD406" s="198"/>
      <c r="BE406" s="198"/>
      <c r="BF406" s="198"/>
      <c r="BG406" s="198"/>
      <c r="BH406" s="198"/>
      <c r="BI406" s="198"/>
      <c r="BJ406" s="198"/>
      <c r="BK406" s="198"/>
      <c r="BL406" s="198"/>
      <c r="BM406" s="198"/>
      <c r="BN406" s="198"/>
      <c r="BO406" s="198"/>
      <c r="BP406" s="198"/>
      <c r="BQ406" s="198"/>
      <c r="BR406" s="198"/>
      <c r="BS406" s="198"/>
      <c r="BT406" s="198"/>
      <c r="BU406" s="198"/>
      <c r="BV406" s="198"/>
      <c r="BW406" s="198"/>
      <c r="BX406" s="198"/>
      <c r="BY406" s="198"/>
      <c r="BZ406" s="198"/>
      <c r="CA406" s="198"/>
      <c r="CB406" s="198"/>
      <c r="CC406" s="198"/>
      <c r="CD406" s="198"/>
      <c r="CE406" s="198"/>
      <c r="CF406" s="198"/>
      <c r="CG406" s="198"/>
      <c r="CH406" s="198"/>
      <c r="CI406" s="198"/>
      <c r="CJ406" s="198"/>
      <c r="CK406" s="198"/>
      <c r="CL406" s="198"/>
      <c r="CM406" s="198"/>
      <c r="CN406" s="198"/>
      <c r="CO406" s="198"/>
      <c r="CP406" s="198"/>
      <c r="CQ406" s="198"/>
      <c r="CR406" s="198"/>
      <c r="CS406" s="198"/>
      <c r="CT406" s="198"/>
      <c r="CU406" s="198"/>
      <c r="CV406" s="198"/>
      <c r="CW406" s="198"/>
      <c r="CX406" s="198"/>
      <c r="CY406" s="198"/>
      <c r="CZ406" s="198"/>
      <c r="DA406" s="198"/>
      <c r="DB406" s="198"/>
      <c r="DC406" s="198"/>
      <c r="DD406" s="198"/>
      <c r="DE406" s="198"/>
      <c r="DF406" s="198"/>
      <c r="DG406" s="198"/>
      <c r="DH406" s="198"/>
      <c r="DI406" s="198"/>
      <c r="DJ406" s="198"/>
      <c r="DK406" s="198"/>
      <c r="DL406" s="198"/>
      <c r="DM406" s="198"/>
      <c r="DN406" s="198"/>
      <c r="DO406" s="198"/>
      <c r="DP406" s="198"/>
      <c r="DQ406" s="198"/>
      <c r="DR406" s="198"/>
      <c r="DS406" s="198"/>
      <c r="DT406" s="198"/>
      <c r="DU406" s="198"/>
      <c r="DV406" s="198"/>
      <c r="DW406" s="198"/>
      <c r="DX406" s="198"/>
      <c r="DY406" s="198"/>
      <c r="DZ406" s="198"/>
      <c r="EA406" s="198"/>
      <c r="EB406" s="198"/>
      <c r="EC406" s="198"/>
      <c r="ED406" s="198"/>
      <c r="EE406" s="198"/>
      <c r="EF406" s="198"/>
      <c r="EG406" s="198"/>
      <c r="EH406" s="198"/>
      <c r="EI406" s="198"/>
      <c r="EJ406" s="198"/>
      <c r="EK406" s="198"/>
      <c r="EL406" s="198"/>
      <c r="EM406" s="198"/>
      <c r="EN406" s="198"/>
      <c r="EO406" s="198"/>
      <c r="EP406" s="198"/>
      <c r="EQ406" s="198"/>
      <c r="ER406" s="198"/>
      <c r="ES406" s="198"/>
      <c r="ET406" s="198"/>
      <c r="EU406" s="198"/>
      <c r="EV406" s="198"/>
      <c r="EW406" s="198"/>
      <c r="EX406" s="198"/>
      <c r="EY406" s="198"/>
      <c r="EZ406" s="198"/>
      <c r="FA406" s="198"/>
      <c r="FB406" s="198"/>
      <c r="FC406" s="198"/>
      <c r="FD406" s="198"/>
      <c r="FE406" s="198"/>
      <c r="FF406" s="198"/>
      <c r="FG406" s="198"/>
      <c r="FH406" s="198"/>
    </row>
    <row r="407" spans="10:164" s="173" customFormat="1" x14ac:dyDescent="0.3">
      <c r="J407" s="198"/>
      <c r="K407" s="198"/>
      <c r="L407" s="198"/>
      <c r="M407" s="198"/>
      <c r="N407" s="198"/>
      <c r="O407" s="198"/>
      <c r="P407" s="198"/>
      <c r="Q407" s="198"/>
      <c r="R407" s="198"/>
      <c r="S407" s="198"/>
      <c r="T407" s="198"/>
      <c r="U407" s="198"/>
      <c r="V407" s="198"/>
      <c r="W407" s="198"/>
      <c r="X407" s="198"/>
      <c r="Y407" s="198"/>
      <c r="Z407" s="198"/>
      <c r="AA407" s="198"/>
      <c r="AB407" s="198"/>
      <c r="AC407" s="198"/>
      <c r="AD407" s="198"/>
      <c r="AE407" s="198"/>
      <c r="AF407" s="198"/>
      <c r="AG407" s="198"/>
      <c r="AH407" s="198"/>
      <c r="AI407" s="198"/>
      <c r="AJ407" s="198"/>
      <c r="AK407" s="198"/>
      <c r="AL407" s="198"/>
      <c r="AM407" s="198"/>
      <c r="AN407" s="198"/>
      <c r="AO407" s="198"/>
      <c r="AP407" s="198"/>
      <c r="AQ407" s="198"/>
      <c r="AR407" s="198"/>
      <c r="AS407" s="198"/>
      <c r="AT407" s="198"/>
      <c r="AU407" s="198"/>
      <c r="AV407" s="198"/>
      <c r="AW407" s="198"/>
      <c r="AX407" s="198"/>
      <c r="AY407" s="198"/>
      <c r="AZ407" s="198"/>
      <c r="BA407" s="198"/>
      <c r="BB407" s="198"/>
      <c r="BC407" s="198"/>
      <c r="BD407" s="198"/>
      <c r="BE407" s="198"/>
      <c r="BF407" s="198"/>
      <c r="BG407" s="198"/>
      <c r="BH407" s="198"/>
      <c r="BI407" s="198"/>
      <c r="BJ407" s="198"/>
      <c r="BK407" s="198"/>
      <c r="BL407" s="198"/>
      <c r="BM407" s="198"/>
      <c r="BN407" s="198"/>
      <c r="BO407" s="198"/>
      <c r="BP407" s="198"/>
      <c r="BQ407" s="198"/>
      <c r="BR407" s="198"/>
      <c r="BS407" s="198"/>
      <c r="BT407" s="198"/>
      <c r="BU407" s="198"/>
      <c r="BV407" s="198"/>
      <c r="BW407" s="198"/>
      <c r="BX407" s="198"/>
      <c r="BY407" s="198"/>
      <c r="BZ407" s="198"/>
      <c r="CA407" s="198"/>
      <c r="CB407" s="198"/>
      <c r="CC407" s="198"/>
      <c r="CD407" s="198"/>
      <c r="CE407" s="198"/>
      <c r="CF407" s="198"/>
      <c r="CG407" s="198"/>
      <c r="CH407" s="198"/>
      <c r="CI407" s="198"/>
      <c r="CJ407" s="198"/>
      <c r="CK407" s="198"/>
      <c r="CL407" s="198"/>
      <c r="CM407" s="198"/>
      <c r="CN407" s="198"/>
      <c r="CO407" s="198"/>
      <c r="CP407" s="198"/>
      <c r="CQ407" s="198"/>
      <c r="CR407" s="198"/>
      <c r="CS407" s="198"/>
      <c r="CT407" s="198"/>
      <c r="CU407" s="198"/>
      <c r="CV407" s="198"/>
      <c r="CW407" s="198"/>
      <c r="CX407" s="198"/>
      <c r="CY407" s="198"/>
      <c r="CZ407" s="198"/>
      <c r="DA407" s="198"/>
      <c r="DB407" s="198"/>
      <c r="DC407" s="198"/>
      <c r="DD407" s="198"/>
      <c r="DE407" s="198"/>
      <c r="DF407" s="198"/>
      <c r="DG407" s="198"/>
      <c r="DH407" s="198"/>
      <c r="DI407" s="198"/>
      <c r="DJ407" s="198"/>
      <c r="DK407" s="198"/>
      <c r="DL407" s="198"/>
      <c r="DM407" s="198"/>
      <c r="DN407" s="198"/>
      <c r="DO407" s="198"/>
      <c r="DP407" s="198"/>
      <c r="DQ407" s="198"/>
      <c r="DR407" s="198"/>
      <c r="DS407" s="198"/>
      <c r="DT407" s="198"/>
      <c r="DU407" s="198"/>
      <c r="DV407" s="198"/>
      <c r="DW407" s="198"/>
      <c r="DX407" s="198"/>
      <c r="DY407" s="198"/>
      <c r="DZ407" s="198"/>
      <c r="EA407" s="198"/>
      <c r="EB407" s="198"/>
      <c r="EC407" s="198"/>
      <c r="ED407" s="198"/>
      <c r="EE407" s="198"/>
      <c r="EF407" s="198"/>
      <c r="EG407" s="198"/>
      <c r="EH407" s="198"/>
      <c r="EI407" s="198"/>
      <c r="EJ407" s="198"/>
      <c r="EK407" s="198"/>
      <c r="EL407" s="198"/>
      <c r="EM407" s="198"/>
      <c r="EN407" s="198"/>
      <c r="EO407" s="198"/>
      <c r="EP407" s="198"/>
      <c r="EQ407" s="198"/>
      <c r="ER407" s="198"/>
      <c r="ES407" s="198"/>
      <c r="ET407" s="198"/>
      <c r="EU407" s="198"/>
      <c r="EV407" s="198"/>
      <c r="EW407" s="198"/>
      <c r="EX407" s="198"/>
      <c r="EY407" s="198"/>
      <c r="EZ407" s="198"/>
      <c r="FA407" s="198"/>
      <c r="FB407" s="198"/>
      <c r="FC407" s="198"/>
      <c r="FD407" s="198"/>
      <c r="FE407" s="198"/>
      <c r="FF407" s="198"/>
      <c r="FG407" s="198"/>
      <c r="FH407" s="198"/>
    </row>
    <row r="408" spans="10:164" s="173" customFormat="1" x14ac:dyDescent="0.3">
      <c r="J408" s="198"/>
      <c r="K408" s="198"/>
      <c r="L408" s="198"/>
      <c r="M408" s="198"/>
      <c r="N408" s="198"/>
      <c r="O408" s="198"/>
      <c r="P408" s="198"/>
      <c r="Q408" s="198"/>
      <c r="R408" s="198"/>
      <c r="S408" s="198"/>
      <c r="T408" s="198"/>
      <c r="U408" s="198"/>
      <c r="V408" s="198"/>
      <c r="W408" s="198"/>
      <c r="X408" s="198"/>
      <c r="Y408" s="198"/>
      <c r="Z408" s="198"/>
      <c r="AA408" s="198"/>
      <c r="AB408" s="198"/>
      <c r="AC408" s="198"/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198"/>
      <c r="AQ408" s="198"/>
      <c r="AR408" s="198"/>
      <c r="AS408" s="198"/>
      <c r="AT408" s="198"/>
      <c r="AU408" s="198"/>
      <c r="AV408" s="198"/>
      <c r="AW408" s="198"/>
      <c r="AX408" s="198"/>
      <c r="AY408" s="198"/>
      <c r="AZ408" s="198"/>
      <c r="BA408" s="198"/>
      <c r="BB408" s="198"/>
      <c r="BC408" s="198"/>
      <c r="BD408" s="198"/>
      <c r="BE408" s="198"/>
      <c r="BF408" s="198"/>
      <c r="BG408" s="198"/>
      <c r="BH408" s="198"/>
      <c r="BI408" s="198"/>
      <c r="BJ408" s="198"/>
      <c r="BK408" s="198"/>
      <c r="BL408" s="198"/>
      <c r="BM408" s="198"/>
      <c r="BN408" s="198"/>
      <c r="BO408" s="198"/>
      <c r="BP408" s="198"/>
      <c r="BQ408" s="198"/>
      <c r="BR408" s="198"/>
      <c r="BS408" s="198"/>
      <c r="BT408" s="198"/>
      <c r="BU408" s="198"/>
      <c r="BV408" s="198"/>
      <c r="BW408" s="198"/>
      <c r="BX408" s="198"/>
      <c r="BY408" s="198"/>
      <c r="BZ408" s="198"/>
      <c r="CA408" s="198"/>
      <c r="CB408" s="198"/>
      <c r="CC408" s="198"/>
      <c r="CD408" s="198"/>
      <c r="CE408" s="198"/>
      <c r="CF408" s="198"/>
      <c r="CG408" s="198"/>
      <c r="CH408" s="198"/>
      <c r="CI408" s="198"/>
      <c r="CJ408" s="198"/>
      <c r="CK408" s="198"/>
      <c r="CL408" s="198"/>
      <c r="CM408" s="198"/>
      <c r="CN408" s="198"/>
      <c r="CO408" s="198"/>
      <c r="CP408" s="198"/>
      <c r="CQ408" s="198"/>
      <c r="CR408" s="198"/>
      <c r="CS408" s="198"/>
      <c r="CT408" s="198"/>
      <c r="CU408" s="198"/>
      <c r="CV408" s="198"/>
      <c r="CW408" s="198"/>
      <c r="CX408" s="198"/>
      <c r="CY408" s="198"/>
      <c r="CZ408" s="198"/>
      <c r="DA408" s="198"/>
      <c r="DB408" s="198"/>
      <c r="DC408" s="198"/>
      <c r="DD408" s="198"/>
      <c r="DE408" s="198"/>
      <c r="DF408" s="198"/>
      <c r="DG408" s="198"/>
      <c r="DH408" s="198"/>
      <c r="DI408" s="198"/>
      <c r="DJ408" s="198"/>
      <c r="DK408" s="198"/>
      <c r="DL408" s="198"/>
      <c r="DM408" s="198"/>
      <c r="DN408" s="198"/>
      <c r="DO408" s="198"/>
      <c r="DP408" s="198"/>
      <c r="DQ408" s="198"/>
      <c r="DR408" s="198"/>
      <c r="DS408" s="198"/>
      <c r="DT408" s="198"/>
      <c r="DU408" s="198"/>
      <c r="DV408" s="198"/>
      <c r="DW408" s="198"/>
      <c r="DX408" s="198"/>
      <c r="DY408" s="198"/>
      <c r="DZ408" s="198"/>
      <c r="EA408" s="198"/>
      <c r="EB408" s="198"/>
      <c r="EC408" s="198"/>
      <c r="ED408" s="198"/>
      <c r="EE408" s="198"/>
      <c r="EF408" s="198"/>
      <c r="EG408" s="198"/>
      <c r="EH408" s="198"/>
      <c r="EI408" s="198"/>
      <c r="EJ408" s="198"/>
      <c r="EK408" s="198"/>
      <c r="EL408" s="198"/>
      <c r="EM408" s="198"/>
      <c r="EN408" s="198"/>
      <c r="EO408" s="198"/>
      <c r="EP408" s="198"/>
      <c r="EQ408" s="198"/>
      <c r="ER408" s="198"/>
      <c r="ES408" s="198"/>
      <c r="ET408" s="198"/>
      <c r="EU408" s="198"/>
      <c r="EV408" s="198"/>
      <c r="EW408" s="198"/>
      <c r="EX408" s="198"/>
      <c r="EY408" s="198"/>
      <c r="EZ408" s="198"/>
      <c r="FA408" s="198"/>
      <c r="FB408" s="198"/>
      <c r="FC408" s="198"/>
      <c r="FD408" s="198"/>
      <c r="FE408" s="198"/>
      <c r="FF408" s="198"/>
      <c r="FG408" s="198"/>
      <c r="FH408" s="198"/>
    </row>
    <row r="409" spans="10:164" s="173" customFormat="1" x14ac:dyDescent="0.3">
      <c r="J409" s="198"/>
      <c r="K409" s="198"/>
      <c r="L409" s="198"/>
      <c r="M409" s="198"/>
      <c r="N409" s="198"/>
      <c r="O409" s="198"/>
      <c r="P409" s="198"/>
      <c r="Q409" s="198"/>
      <c r="R409" s="198"/>
      <c r="S409" s="198"/>
      <c r="T409" s="198"/>
      <c r="U409" s="198"/>
      <c r="V409" s="198"/>
      <c r="W409" s="198"/>
      <c r="X409" s="198"/>
      <c r="Y409" s="198"/>
      <c r="Z409" s="198"/>
      <c r="AA409" s="198"/>
      <c r="AB409" s="198"/>
      <c r="AC409" s="198"/>
      <c r="AD409" s="198"/>
      <c r="AE409" s="198"/>
      <c r="AF409" s="198"/>
      <c r="AG409" s="198"/>
      <c r="AH409" s="198"/>
      <c r="AI409" s="198"/>
      <c r="AJ409" s="198"/>
      <c r="AK409" s="198"/>
      <c r="AL409" s="198"/>
      <c r="AM409" s="198"/>
      <c r="AN409" s="198"/>
      <c r="AO409" s="198"/>
      <c r="AP409" s="198"/>
      <c r="AQ409" s="198"/>
      <c r="AR409" s="198"/>
      <c r="AS409" s="198"/>
      <c r="AT409" s="198"/>
      <c r="AU409" s="198"/>
      <c r="AV409" s="198"/>
      <c r="AW409" s="198"/>
      <c r="AX409" s="198"/>
      <c r="AY409" s="198"/>
      <c r="AZ409" s="198"/>
      <c r="BA409" s="198"/>
      <c r="BB409" s="198"/>
      <c r="BC409" s="198"/>
      <c r="BD409" s="198"/>
      <c r="BE409" s="198"/>
      <c r="BF409" s="198"/>
      <c r="BG409" s="198"/>
      <c r="BH409" s="198"/>
      <c r="BI409" s="198"/>
      <c r="BJ409" s="198"/>
      <c r="BK409" s="198"/>
      <c r="BL409" s="198"/>
      <c r="BM409" s="198"/>
      <c r="BN409" s="198"/>
      <c r="BO409" s="198"/>
      <c r="BP409" s="198"/>
      <c r="BQ409" s="198"/>
      <c r="BR409" s="198"/>
      <c r="BS409" s="198"/>
      <c r="BT409" s="198"/>
      <c r="BU409" s="198"/>
      <c r="BV409" s="198"/>
      <c r="BW409" s="198"/>
      <c r="BX409" s="198"/>
      <c r="BY409" s="198"/>
      <c r="BZ409" s="198"/>
      <c r="CA409" s="198"/>
      <c r="CB409" s="198"/>
      <c r="CC409" s="198"/>
      <c r="CD409" s="198"/>
      <c r="CE409" s="198"/>
      <c r="CF409" s="198"/>
      <c r="CG409" s="198"/>
      <c r="CH409" s="198"/>
      <c r="CI409" s="198"/>
      <c r="CJ409" s="198"/>
      <c r="CK409" s="198"/>
      <c r="CL409" s="198"/>
      <c r="CM409" s="198"/>
      <c r="CN409" s="198"/>
      <c r="CO409" s="198"/>
      <c r="CP409" s="198"/>
      <c r="CQ409" s="198"/>
      <c r="CR409" s="198"/>
      <c r="CS409" s="198"/>
      <c r="CT409" s="198"/>
      <c r="CU409" s="198"/>
      <c r="CV409" s="198"/>
      <c r="CW409" s="198"/>
      <c r="CX409" s="198"/>
      <c r="CY409" s="198"/>
      <c r="CZ409" s="198"/>
      <c r="DA409" s="198"/>
      <c r="DB409" s="198"/>
      <c r="DC409" s="198"/>
      <c r="DD409" s="198"/>
      <c r="DE409" s="198"/>
      <c r="DF409" s="198"/>
      <c r="DG409" s="198"/>
      <c r="DH409" s="198"/>
      <c r="DI409" s="198"/>
      <c r="DJ409" s="198"/>
      <c r="DK409" s="198"/>
      <c r="DL409" s="198"/>
      <c r="DM409" s="198"/>
      <c r="DN409" s="198"/>
      <c r="DO409" s="198"/>
      <c r="DP409" s="198"/>
      <c r="DQ409" s="198"/>
      <c r="DR409" s="198"/>
      <c r="DS409" s="198"/>
      <c r="DT409" s="198"/>
      <c r="DU409" s="198"/>
      <c r="DV409" s="198"/>
      <c r="DW409" s="198"/>
      <c r="DX409" s="198"/>
      <c r="DY409" s="198"/>
      <c r="DZ409" s="198"/>
      <c r="EA409" s="198"/>
      <c r="EB409" s="198"/>
      <c r="EC409" s="198"/>
      <c r="ED409" s="198"/>
      <c r="EE409" s="198"/>
      <c r="EF409" s="198"/>
      <c r="EG409" s="198"/>
      <c r="EH409" s="198"/>
      <c r="EI409" s="198"/>
      <c r="EJ409" s="198"/>
      <c r="EK409" s="198"/>
      <c r="EL409" s="198"/>
      <c r="EM409" s="198"/>
      <c r="EN409" s="198"/>
      <c r="EO409" s="198"/>
      <c r="EP409" s="198"/>
      <c r="EQ409" s="198"/>
      <c r="ER409" s="198"/>
      <c r="ES409" s="198"/>
      <c r="ET409" s="198"/>
      <c r="EU409" s="198"/>
      <c r="EV409" s="198"/>
      <c r="EW409" s="198"/>
      <c r="EX409" s="198"/>
      <c r="EY409" s="198"/>
      <c r="EZ409" s="198"/>
      <c r="FA409" s="198"/>
      <c r="FB409" s="198"/>
      <c r="FC409" s="198"/>
      <c r="FD409" s="198"/>
      <c r="FE409" s="198"/>
      <c r="FF409" s="198"/>
      <c r="FG409" s="198"/>
      <c r="FH409" s="198"/>
    </row>
    <row r="410" spans="10:164" s="173" customFormat="1" x14ac:dyDescent="0.3">
      <c r="J410" s="198"/>
      <c r="K410" s="198"/>
      <c r="L410" s="198"/>
      <c r="M410" s="198"/>
      <c r="N410" s="198"/>
      <c r="O410" s="198"/>
      <c r="P410" s="198"/>
      <c r="Q410" s="198"/>
      <c r="R410" s="198"/>
      <c r="S410" s="198"/>
      <c r="T410" s="198"/>
      <c r="U410" s="198"/>
      <c r="V410" s="198"/>
      <c r="W410" s="198"/>
      <c r="X410" s="198"/>
      <c r="Y410" s="198"/>
      <c r="Z410" s="198"/>
      <c r="AA410" s="198"/>
      <c r="AB410" s="198"/>
      <c r="AC410" s="198"/>
      <c r="AD410" s="198"/>
      <c r="AE410" s="198"/>
      <c r="AF410" s="198"/>
      <c r="AG410" s="198"/>
      <c r="AH410" s="198"/>
      <c r="AI410" s="198"/>
      <c r="AJ410" s="198"/>
      <c r="AK410" s="198"/>
      <c r="AL410" s="198"/>
      <c r="AM410" s="198"/>
      <c r="AN410" s="198"/>
      <c r="AO410" s="198"/>
      <c r="AP410" s="198"/>
      <c r="AQ410" s="198"/>
      <c r="AR410" s="198"/>
      <c r="AS410" s="198"/>
      <c r="AT410" s="198"/>
      <c r="AU410" s="198"/>
      <c r="AV410" s="198"/>
      <c r="AW410" s="198"/>
      <c r="AX410" s="198"/>
      <c r="AY410" s="198"/>
      <c r="AZ410" s="198"/>
      <c r="BA410" s="198"/>
      <c r="BB410" s="198"/>
      <c r="BC410" s="198"/>
      <c r="BD410" s="198"/>
      <c r="BE410" s="198"/>
      <c r="BF410" s="198"/>
      <c r="BG410" s="198"/>
      <c r="BH410" s="198"/>
      <c r="BI410" s="198"/>
      <c r="BJ410" s="198"/>
      <c r="BK410" s="198"/>
      <c r="BL410" s="198"/>
      <c r="BM410" s="198"/>
      <c r="BN410" s="198"/>
      <c r="BO410" s="198"/>
      <c r="BP410" s="198"/>
      <c r="BQ410" s="198"/>
      <c r="BR410" s="198"/>
      <c r="BS410" s="198"/>
      <c r="BT410" s="198"/>
      <c r="BU410" s="198"/>
      <c r="BV410" s="198"/>
      <c r="BW410" s="198"/>
      <c r="BX410" s="198"/>
      <c r="BY410" s="198"/>
      <c r="BZ410" s="198"/>
      <c r="CA410" s="198"/>
      <c r="CB410" s="198"/>
      <c r="CC410" s="198"/>
      <c r="CD410" s="198"/>
      <c r="CE410" s="198"/>
      <c r="CF410" s="198"/>
      <c r="CG410" s="198"/>
      <c r="CH410" s="198"/>
      <c r="CI410" s="198"/>
      <c r="CJ410" s="198"/>
      <c r="CK410" s="198"/>
      <c r="CL410" s="198"/>
      <c r="CM410" s="198"/>
      <c r="CN410" s="198"/>
      <c r="CO410" s="198"/>
      <c r="CP410" s="198"/>
      <c r="CQ410" s="198"/>
      <c r="CR410" s="198"/>
      <c r="CS410" s="198"/>
      <c r="CT410" s="198"/>
      <c r="CU410" s="198"/>
      <c r="CV410" s="198"/>
      <c r="CW410" s="198"/>
      <c r="CX410" s="198"/>
      <c r="CY410" s="198"/>
      <c r="CZ410" s="198"/>
      <c r="DA410" s="198"/>
      <c r="DB410" s="198"/>
      <c r="DC410" s="198"/>
      <c r="DD410" s="198"/>
      <c r="DE410" s="198"/>
      <c r="DF410" s="198"/>
      <c r="DG410" s="198"/>
      <c r="DH410" s="198"/>
      <c r="DI410" s="198"/>
      <c r="DJ410" s="198"/>
      <c r="DK410" s="198"/>
      <c r="DL410" s="198"/>
      <c r="DM410" s="198"/>
      <c r="DN410" s="198"/>
      <c r="DO410" s="198"/>
      <c r="DP410" s="198"/>
      <c r="DQ410" s="198"/>
      <c r="DR410" s="198"/>
      <c r="DS410" s="198"/>
      <c r="DT410" s="198"/>
      <c r="DU410" s="198"/>
      <c r="DV410" s="198"/>
      <c r="DW410" s="198"/>
      <c r="DX410" s="198"/>
      <c r="DY410" s="198"/>
      <c r="DZ410" s="198"/>
      <c r="EA410" s="198"/>
      <c r="EB410" s="198"/>
      <c r="EC410" s="198"/>
      <c r="ED410" s="198"/>
      <c r="EE410" s="198"/>
      <c r="EF410" s="198"/>
      <c r="EG410" s="198"/>
      <c r="EH410" s="198"/>
      <c r="EI410" s="198"/>
      <c r="EJ410" s="198"/>
      <c r="EK410" s="198"/>
      <c r="EL410" s="198"/>
      <c r="EM410" s="198"/>
      <c r="EN410" s="198"/>
      <c r="EO410" s="198"/>
      <c r="EP410" s="198"/>
      <c r="EQ410" s="198"/>
      <c r="ER410" s="198"/>
      <c r="ES410" s="198"/>
      <c r="ET410" s="198"/>
      <c r="EU410" s="198"/>
      <c r="EV410" s="198"/>
      <c r="EW410" s="198"/>
      <c r="EX410" s="198"/>
      <c r="EY410" s="198"/>
      <c r="EZ410" s="198"/>
      <c r="FA410" s="198"/>
      <c r="FB410" s="198"/>
      <c r="FC410" s="198"/>
      <c r="FD410" s="198"/>
      <c r="FE410" s="198"/>
      <c r="FF410" s="198"/>
      <c r="FG410" s="198"/>
      <c r="FH410" s="198"/>
    </row>
    <row r="411" spans="10:164" s="173" customFormat="1" x14ac:dyDescent="0.3">
      <c r="J411" s="198"/>
      <c r="K411" s="198"/>
      <c r="L411" s="198"/>
      <c r="M411" s="198"/>
      <c r="N411" s="198"/>
      <c r="O411" s="198"/>
      <c r="P411" s="198"/>
      <c r="Q411" s="198"/>
      <c r="R411" s="198"/>
      <c r="S411" s="198"/>
      <c r="T411" s="198"/>
      <c r="U411" s="198"/>
      <c r="V411" s="198"/>
      <c r="W411" s="198"/>
      <c r="X411" s="198"/>
      <c r="Y411" s="198"/>
      <c r="Z411" s="198"/>
      <c r="AA411" s="198"/>
      <c r="AB411" s="198"/>
      <c r="AC411" s="198"/>
      <c r="AD411" s="198"/>
      <c r="AE411" s="198"/>
      <c r="AF411" s="198"/>
      <c r="AG411" s="198"/>
      <c r="AH411" s="198"/>
      <c r="AI411" s="198"/>
      <c r="AJ411" s="198"/>
      <c r="AK411" s="198"/>
      <c r="AL411" s="198"/>
      <c r="AM411" s="198"/>
      <c r="AN411" s="198"/>
      <c r="AO411" s="198"/>
      <c r="AP411" s="198"/>
      <c r="AQ411" s="198"/>
      <c r="AR411" s="198"/>
      <c r="AS411" s="198"/>
      <c r="AT411" s="198"/>
      <c r="AU411" s="198"/>
      <c r="AV411" s="198"/>
      <c r="AW411" s="198"/>
      <c r="AX411" s="198"/>
      <c r="AY411" s="198"/>
      <c r="AZ411" s="198"/>
      <c r="BA411" s="198"/>
      <c r="BB411" s="198"/>
      <c r="BC411" s="198"/>
      <c r="BD411" s="198"/>
      <c r="BE411" s="198"/>
      <c r="BF411" s="198"/>
      <c r="BG411" s="198"/>
      <c r="BH411" s="198"/>
      <c r="BI411" s="198"/>
      <c r="BJ411" s="198"/>
      <c r="BK411" s="198"/>
      <c r="BL411" s="198"/>
      <c r="BM411" s="198"/>
      <c r="BN411" s="198"/>
      <c r="BO411" s="198"/>
      <c r="BP411" s="198"/>
      <c r="BQ411" s="198"/>
      <c r="BR411" s="198"/>
      <c r="BS411" s="198"/>
      <c r="BT411" s="198"/>
      <c r="BU411" s="198"/>
      <c r="BV411" s="198"/>
      <c r="BW411" s="198"/>
      <c r="BX411" s="198"/>
      <c r="BY411" s="198"/>
      <c r="BZ411" s="198"/>
      <c r="CA411" s="198"/>
      <c r="CB411" s="198"/>
      <c r="CC411" s="198"/>
      <c r="CD411" s="198"/>
      <c r="CE411" s="198"/>
      <c r="CF411" s="198"/>
      <c r="CG411" s="198"/>
      <c r="CH411" s="198"/>
      <c r="CI411" s="198"/>
      <c r="CJ411" s="198"/>
      <c r="CK411" s="198"/>
      <c r="CL411" s="198"/>
      <c r="CM411" s="198"/>
      <c r="CN411" s="198"/>
      <c r="CO411" s="198"/>
      <c r="CP411" s="198"/>
      <c r="CQ411" s="198"/>
      <c r="CR411" s="198"/>
      <c r="CS411" s="198"/>
      <c r="CT411" s="198"/>
      <c r="CU411" s="198"/>
      <c r="CV411" s="198"/>
      <c r="CW411" s="198"/>
      <c r="CX411" s="198"/>
      <c r="CY411" s="198"/>
      <c r="CZ411" s="198"/>
      <c r="DA411" s="198"/>
      <c r="DB411" s="198"/>
      <c r="DC411" s="198"/>
      <c r="DD411" s="198"/>
      <c r="DE411" s="198"/>
      <c r="DF411" s="198"/>
      <c r="DG411" s="198"/>
      <c r="DH411" s="198"/>
      <c r="DI411" s="198"/>
      <c r="DJ411" s="198"/>
      <c r="DK411" s="198"/>
      <c r="DL411" s="198"/>
      <c r="DM411" s="198"/>
      <c r="DN411" s="198"/>
      <c r="DO411" s="198"/>
      <c r="DP411" s="198"/>
      <c r="DQ411" s="198"/>
      <c r="DR411" s="198"/>
      <c r="DS411" s="198"/>
      <c r="DT411" s="198"/>
      <c r="DU411" s="198"/>
      <c r="DV411" s="198"/>
      <c r="DW411" s="198"/>
      <c r="DX411" s="198"/>
      <c r="DY411" s="198"/>
      <c r="DZ411" s="198"/>
      <c r="EA411" s="198"/>
      <c r="EB411" s="198"/>
      <c r="EC411" s="198"/>
      <c r="ED411" s="198"/>
      <c r="EE411" s="198"/>
      <c r="EF411" s="198"/>
      <c r="EG411" s="198"/>
      <c r="EH411" s="198"/>
      <c r="EI411" s="198"/>
      <c r="EJ411" s="198"/>
      <c r="EK411" s="198"/>
      <c r="EL411" s="198"/>
      <c r="EM411" s="198"/>
      <c r="EN411" s="198"/>
      <c r="EO411" s="198"/>
      <c r="EP411" s="198"/>
      <c r="EQ411" s="198"/>
      <c r="ER411" s="198"/>
      <c r="ES411" s="198"/>
      <c r="ET411" s="198"/>
      <c r="EU411" s="198"/>
      <c r="EV411" s="198"/>
      <c r="EW411" s="198"/>
      <c r="EX411" s="198"/>
      <c r="EY411" s="198"/>
      <c r="EZ411" s="198"/>
      <c r="FA411" s="198"/>
      <c r="FB411" s="198"/>
      <c r="FC411" s="198"/>
      <c r="FD411" s="198"/>
      <c r="FE411" s="198"/>
      <c r="FF411" s="198"/>
      <c r="FG411" s="198"/>
      <c r="FH411" s="198"/>
    </row>
    <row r="412" spans="10:164" s="173" customFormat="1" x14ac:dyDescent="0.3">
      <c r="J412" s="198"/>
      <c r="K412" s="198"/>
      <c r="L412" s="198"/>
      <c r="M412" s="198"/>
      <c r="N412" s="198"/>
      <c r="O412" s="198"/>
      <c r="P412" s="198"/>
      <c r="Q412" s="198"/>
      <c r="R412" s="198"/>
      <c r="S412" s="198"/>
      <c r="T412" s="198"/>
      <c r="U412" s="198"/>
      <c r="V412" s="198"/>
      <c r="W412" s="198"/>
      <c r="X412" s="198"/>
      <c r="Y412" s="198"/>
      <c r="Z412" s="198"/>
      <c r="AA412" s="198"/>
      <c r="AB412" s="198"/>
      <c r="AC412" s="198"/>
      <c r="AD412" s="198"/>
      <c r="AE412" s="198"/>
      <c r="AF412" s="198"/>
      <c r="AG412" s="198"/>
      <c r="AH412" s="198"/>
      <c r="AI412" s="198"/>
      <c r="AJ412" s="198"/>
      <c r="AK412" s="198"/>
      <c r="AL412" s="198"/>
      <c r="AM412" s="198"/>
      <c r="AN412" s="198"/>
      <c r="AO412" s="198"/>
      <c r="AP412" s="198"/>
      <c r="AQ412" s="198"/>
      <c r="AR412" s="198"/>
      <c r="AS412" s="198"/>
      <c r="AT412" s="198"/>
      <c r="AU412" s="198"/>
      <c r="AV412" s="198"/>
      <c r="AW412" s="198"/>
      <c r="AX412" s="198"/>
      <c r="AY412" s="198"/>
      <c r="AZ412" s="198"/>
      <c r="BA412" s="198"/>
      <c r="BB412" s="198"/>
      <c r="BC412" s="198"/>
      <c r="BD412" s="198"/>
      <c r="BE412" s="198"/>
      <c r="BF412" s="198"/>
      <c r="BG412" s="198"/>
      <c r="BH412" s="198"/>
      <c r="BI412" s="198"/>
      <c r="BJ412" s="198"/>
      <c r="BK412" s="198"/>
      <c r="BL412" s="198"/>
      <c r="BM412" s="198"/>
      <c r="BN412" s="198"/>
      <c r="BO412" s="198"/>
      <c r="BP412" s="198"/>
      <c r="BQ412" s="198"/>
      <c r="BR412" s="198"/>
      <c r="BS412" s="198"/>
      <c r="BT412" s="198"/>
      <c r="BU412" s="198"/>
      <c r="BV412" s="198"/>
      <c r="BW412" s="198"/>
      <c r="BX412" s="198"/>
      <c r="BY412" s="198"/>
      <c r="BZ412" s="198"/>
      <c r="CA412" s="198"/>
      <c r="CB412" s="198"/>
      <c r="CC412" s="198"/>
      <c r="CD412" s="198"/>
      <c r="CE412" s="198"/>
      <c r="CF412" s="198"/>
      <c r="CG412" s="198"/>
      <c r="CH412" s="198"/>
      <c r="CI412" s="198"/>
      <c r="CJ412" s="198"/>
      <c r="CK412" s="198"/>
      <c r="CL412" s="198"/>
      <c r="CM412" s="198"/>
      <c r="CN412" s="198"/>
      <c r="CO412" s="198"/>
      <c r="CP412" s="198"/>
      <c r="CQ412" s="198"/>
      <c r="CR412" s="198"/>
      <c r="CS412" s="198"/>
      <c r="CT412" s="198"/>
      <c r="CU412" s="198"/>
      <c r="CV412" s="198"/>
      <c r="CW412" s="198"/>
      <c r="CX412" s="198"/>
      <c r="CY412" s="198"/>
      <c r="CZ412" s="198"/>
      <c r="DA412" s="198"/>
      <c r="DB412" s="198"/>
      <c r="DC412" s="198"/>
      <c r="DD412" s="198"/>
      <c r="DE412" s="198"/>
      <c r="DF412" s="198"/>
      <c r="DG412" s="198"/>
      <c r="DH412" s="198"/>
      <c r="DI412" s="198"/>
      <c r="DJ412" s="198"/>
      <c r="DK412" s="198"/>
      <c r="DL412" s="198"/>
      <c r="DM412" s="198"/>
      <c r="DN412" s="198"/>
      <c r="DO412" s="198"/>
      <c r="DP412" s="198"/>
      <c r="DQ412" s="198"/>
      <c r="DR412" s="198"/>
      <c r="DS412" s="198"/>
      <c r="DT412" s="198"/>
      <c r="DU412" s="198"/>
      <c r="DV412" s="198"/>
      <c r="DW412" s="198"/>
      <c r="DX412" s="198"/>
      <c r="DY412" s="198"/>
      <c r="DZ412" s="198"/>
      <c r="EA412" s="198"/>
      <c r="EB412" s="198"/>
      <c r="EC412" s="198"/>
      <c r="ED412" s="198"/>
      <c r="EE412" s="198"/>
      <c r="EF412" s="198"/>
      <c r="EG412" s="198"/>
      <c r="EH412" s="198"/>
      <c r="EI412" s="198"/>
      <c r="EJ412" s="198"/>
      <c r="EK412" s="198"/>
      <c r="EL412" s="198"/>
      <c r="EM412" s="198"/>
      <c r="EN412" s="198"/>
      <c r="EO412" s="198"/>
      <c r="EP412" s="198"/>
      <c r="EQ412" s="198"/>
      <c r="ER412" s="198"/>
      <c r="ES412" s="198"/>
      <c r="ET412" s="198"/>
      <c r="EU412" s="198"/>
      <c r="EV412" s="198"/>
      <c r="EW412" s="198"/>
      <c r="EX412" s="198"/>
      <c r="EY412" s="198"/>
      <c r="EZ412" s="198"/>
      <c r="FA412" s="198"/>
      <c r="FB412" s="198"/>
      <c r="FC412" s="198"/>
      <c r="FD412" s="198"/>
      <c r="FE412" s="198"/>
      <c r="FF412" s="198"/>
      <c r="FG412" s="198"/>
      <c r="FH412" s="198"/>
    </row>
    <row r="413" spans="10:164" s="173" customFormat="1" x14ac:dyDescent="0.3">
      <c r="J413" s="198"/>
      <c r="K413" s="198"/>
      <c r="L413" s="198"/>
      <c r="M413" s="198"/>
      <c r="N413" s="198"/>
      <c r="O413" s="198"/>
      <c r="P413" s="198"/>
      <c r="Q413" s="198"/>
      <c r="R413" s="198"/>
      <c r="S413" s="198"/>
      <c r="T413" s="198"/>
      <c r="U413" s="198"/>
      <c r="V413" s="198"/>
      <c r="W413" s="198"/>
      <c r="X413" s="198"/>
      <c r="Y413" s="198"/>
      <c r="Z413" s="198"/>
      <c r="AA413" s="198"/>
      <c r="AB413" s="198"/>
      <c r="AC413" s="198"/>
      <c r="AD413" s="198"/>
      <c r="AE413" s="198"/>
      <c r="AF413" s="198"/>
      <c r="AG413" s="198"/>
      <c r="AH413" s="198"/>
      <c r="AI413" s="198"/>
      <c r="AJ413" s="198"/>
      <c r="AK413" s="198"/>
      <c r="AL413" s="198"/>
      <c r="AM413" s="198"/>
      <c r="AN413" s="198"/>
      <c r="AO413" s="198"/>
      <c r="AP413" s="198"/>
      <c r="AQ413" s="198"/>
      <c r="AR413" s="198"/>
      <c r="AS413" s="198"/>
      <c r="AT413" s="198"/>
      <c r="AU413" s="198"/>
      <c r="AV413" s="198"/>
      <c r="AW413" s="198"/>
      <c r="AX413" s="198"/>
      <c r="AY413" s="198"/>
      <c r="AZ413" s="198"/>
      <c r="BA413" s="198"/>
      <c r="BB413" s="198"/>
      <c r="BC413" s="198"/>
      <c r="BD413" s="198"/>
      <c r="BE413" s="198"/>
      <c r="BF413" s="198"/>
      <c r="BG413" s="198"/>
      <c r="BH413" s="198"/>
      <c r="BI413" s="198"/>
      <c r="BJ413" s="198"/>
      <c r="BK413" s="198"/>
      <c r="BL413" s="198"/>
      <c r="BM413" s="198"/>
      <c r="BN413" s="198"/>
      <c r="BO413" s="198"/>
      <c r="BP413" s="198"/>
      <c r="BQ413" s="198"/>
      <c r="BR413" s="198"/>
      <c r="BS413" s="198"/>
      <c r="BT413" s="198"/>
      <c r="BU413" s="198"/>
      <c r="BV413" s="198"/>
      <c r="BW413" s="198"/>
      <c r="BX413" s="198"/>
      <c r="BY413" s="198"/>
      <c r="BZ413" s="198"/>
      <c r="CA413" s="198"/>
      <c r="CB413" s="198"/>
      <c r="CC413" s="198"/>
      <c r="CD413" s="198"/>
      <c r="CE413" s="198"/>
      <c r="CF413" s="198"/>
      <c r="CG413" s="198"/>
      <c r="CH413" s="198"/>
      <c r="CI413" s="198"/>
      <c r="CJ413" s="198"/>
      <c r="CK413" s="198"/>
      <c r="CL413" s="198"/>
      <c r="CM413" s="198"/>
      <c r="CN413" s="198"/>
      <c r="CO413" s="198"/>
      <c r="CP413" s="198"/>
      <c r="CQ413" s="198"/>
      <c r="CR413" s="198"/>
      <c r="CS413" s="198"/>
      <c r="CT413" s="198"/>
      <c r="CU413" s="198"/>
      <c r="CV413" s="198"/>
      <c r="CW413" s="198"/>
      <c r="CX413" s="198"/>
      <c r="CY413" s="198"/>
      <c r="CZ413" s="198"/>
      <c r="DA413" s="198"/>
      <c r="DB413" s="198"/>
      <c r="DC413" s="198"/>
      <c r="DD413" s="198"/>
      <c r="DE413" s="198"/>
      <c r="DF413" s="198"/>
      <c r="DG413" s="198"/>
      <c r="DH413" s="198"/>
      <c r="DI413" s="198"/>
      <c r="DJ413" s="198"/>
      <c r="DK413" s="198"/>
      <c r="DL413" s="198"/>
      <c r="DM413" s="198"/>
      <c r="DN413" s="198"/>
      <c r="DO413" s="198"/>
      <c r="DP413" s="198"/>
      <c r="DQ413" s="198"/>
      <c r="DR413" s="198"/>
      <c r="DS413" s="198"/>
      <c r="DT413" s="198"/>
      <c r="DU413" s="198"/>
      <c r="DV413" s="198"/>
      <c r="DW413" s="198"/>
      <c r="DX413" s="198"/>
      <c r="DY413" s="198"/>
      <c r="DZ413" s="198"/>
      <c r="EA413" s="198"/>
      <c r="EB413" s="198"/>
      <c r="EC413" s="198"/>
      <c r="ED413" s="198"/>
      <c r="EE413" s="198"/>
      <c r="EF413" s="198"/>
      <c r="EG413" s="198"/>
      <c r="EH413" s="198"/>
      <c r="EI413" s="198"/>
      <c r="EJ413" s="198"/>
      <c r="EK413" s="198"/>
      <c r="EL413" s="198"/>
      <c r="EM413" s="198"/>
      <c r="EN413" s="198"/>
      <c r="EO413" s="198"/>
      <c r="EP413" s="198"/>
      <c r="EQ413" s="198"/>
      <c r="ER413" s="198"/>
      <c r="ES413" s="198"/>
      <c r="ET413" s="198"/>
      <c r="EU413" s="198"/>
      <c r="EV413" s="198"/>
      <c r="EW413" s="198"/>
      <c r="EX413" s="198"/>
      <c r="EY413" s="198"/>
      <c r="EZ413" s="198"/>
      <c r="FA413" s="198"/>
      <c r="FB413" s="198"/>
      <c r="FC413" s="198"/>
      <c r="FD413" s="198"/>
      <c r="FE413" s="198"/>
      <c r="FF413" s="198"/>
      <c r="FG413" s="198"/>
      <c r="FH413" s="198"/>
    </row>
    <row r="414" spans="10:164" s="173" customFormat="1" x14ac:dyDescent="0.3">
      <c r="J414" s="198"/>
      <c r="K414" s="198"/>
      <c r="L414" s="198"/>
      <c r="M414" s="198"/>
      <c r="N414" s="198"/>
      <c r="O414" s="198"/>
      <c r="P414" s="198"/>
      <c r="Q414" s="198"/>
      <c r="R414" s="198"/>
      <c r="S414" s="198"/>
      <c r="T414" s="198"/>
      <c r="U414" s="198"/>
      <c r="V414" s="198"/>
      <c r="W414" s="198"/>
      <c r="X414" s="198"/>
      <c r="Y414" s="198"/>
      <c r="Z414" s="198"/>
      <c r="AA414" s="198"/>
      <c r="AB414" s="198"/>
      <c r="AC414" s="198"/>
      <c r="AD414" s="198"/>
      <c r="AE414" s="198"/>
      <c r="AF414" s="198"/>
      <c r="AG414" s="198"/>
      <c r="AH414" s="198"/>
      <c r="AI414" s="198"/>
      <c r="AJ414" s="198"/>
      <c r="AK414" s="198"/>
      <c r="AL414" s="198"/>
      <c r="AM414" s="198"/>
      <c r="AN414" s="198"/>
      <c r="AO414" s="198"/>
      <c r="AP414" s="198"/>
      <c r="AQ414" s="198"/>
      <c r="AR414" s="198"/>
      <c r="AS414" s="198"/>
      <c r="AT414" s="198"/>
      <c r="AU414" s="198"/>
      <c r="AV414" s="198"/>
      <c r="AW414" s="198"/>
      <c r="AX414" s="198"/>
      <c r="AY414" s="198"/>
      <c r="AZ414" s="198"/>
      <c r="BA414" s="198"/>
      <c r="BB414" s="198"/>
      <c r="BC414" s="198"/>
      <c r="BD414" s="198"/>
      <c r="BE414" s="198"/>
      <c r="BF414" s="198"/>
      <c r="BG414" s="198"/>
      <c r="BH414" s="198"/>
      <c r="BI414" s="198"/>
      <c r="BJ414" s="198"/>
      <c r="BK414" s="198"/>
      <c r="BL414" s="198"/>
      <c r="BM414" s="198"/>
      <c r="BN414" s="198"/>
      <c r="BO414" s="198"/>
      <c r="BP414" s="198"/>
      <c r="BQ414" s="198"/>
      <c r="BR414" s="198"/>
      <c r="BS414" s="198"/>
      <c r="BT414" s="198"/>
      <c r="BU414" s="198"/>
      <c r="BV414" s="198"/>
      <c r="BW414" s="198"/>
      <c r="BX414" s="198"/>
      <c r="BY414" s="198"/>
      <c r="BZ414" s="198"/>
      <c r="CA414" s="198"/>
      <c r="CB414" s="198"/>
      <c r="CC414" s="198"/>
      <c r="CD414" s="198"/>
      <c r="CE414" s="198"/>
      <c r="CF414" s="198"/>
      <c r="CG414" s="198"/>
      <c r="CH414" s="198"/>
      <c r="CI414" s="198"/>
      <c r="CJ414" s="198"/>
      <c r="CK414" s="198"/>
      <c r="CL414" s="198"/>
      <c r="CM414" s="198"/>
      <c r="CN414" s="198"/>
      <c r="CO414" s="198"/>
      <c r="CP414" s="198"/>
      <c r="CQ414" s="198"/>
      <c r="CR414" s="198"/>
      <c r="CS414" s="198"/>
      <c r="CT414" s="198"/>
      <c r="CU414" s="198"/>
      <c r="CV414" s="198"/>
      <c r="CW414" s="198"/>
      <c r="CX414" s="198"/>
      <c r="CY414" s="198"/>
      <c r="CZ414" s="198"/>
      <c r="DA414" s="198"/>
      <c r="DB414" s="198"/>
      <c r="DC414" s="198"/>
      <c r="DD414" s="198"/>
      <c r="DE414" s="198"/>
      <c r="DF414" s="198"/>
      <c r="DG414" s="198"/>
      <c r="DH414" s="198"/>
      <c r="DI414" s="198"/>
      <c r="DJ414" s="198"/>
      <c r="DK414" s="198"/>
      <c r="DL414" s="198"/>
      <c r="DM414" s="198"/>
      <c r="DN414" s="198"/>
      <c r="DO414" s="198"/>
      <c r="DP414" s="198"/>
      <c r="DQ414" s="198"/>
      <c r="DR414" s="198"/>
      <c r="DS414" s="198"/>
      <c r="DT414" s="198"/>
      <c r="DU414" s="198"/>
      <c r="DV414" s="198"/>
      <c r="DW414" s="198"/>
      <c r="DX414" s="198"/>
      <c r="DY414" s="198"/>
      <c r="DZ414" s="198"/>
      <c r="EA414" s="198"/>
      <c r="EB414" s="198"/>
      <c r="EC414" s="198"/>
      <c r="ED414" s="198"/>
      <c r="EE414" s="198"/>
      <c r="EF414" s="198"/>
      <c r="EG414" s="198"/>
      <c r="EH414" s="198"/>
      <c r="EI414" s="198"/>
      <c r="EJ414" s="198"/>
      <c r="EK414" s="198"/>
      <c r="EL414" s="198"/>
      <c r="EM414" s="198"/>
      <c r="EN414" s="198"/>
      <c r="EO414" s="198"/>
      <c r="EP414" s="198"/>
      <c r="EQ414" s="198"/>
      <c r="ER414" s="198"/>
      <c r="ES414" s="198"/>
      <c r="ET414" s="198"/>
      <c r="EU414" s="198"/>
      <c r="EV414" s="198"/>
      <c r="EW414" s="198"/>
      <c r="EX414" s="198"/>
      <c r="EY414" s="198"/>
      <c r="EZ414" s="198"/>
      <c r="FA414" s="198"/>
      <c r="FB414" s="198"/>
      <c r="FC414" s="198"/>
      <c r="FD414" s="198"/>
      <c r="FE414" s="198"/>
      <c r="FF414" s="198"/>
      <c r="FG414" s="198"/>
      <c r="FH414" s="198"/>
    </row>
    <row r="415" spans="10:164" s="173" customFormat="1" x14ac:dyDescent="0.3">
      <c r="J415" s="198"/>
      <c r="K415" s="198"/>
      <c r="L415" s="198"/>
      <c r="M415" s="198"/>
      <c r="N415" s="198"/>
      <c r="O415" s="198"/>
      <c r="P415" s="198"/>
      <c r="Q415" s="198"/>
      <c r="R415" s="198"/>
      <c r="S415" s="198"/>
      <c r="T415" s="198"/>
      <c r="U415" s="198"/>
      <c r="V415" s="198"/>
      <c r="W415" s="198"/>
      <c r="X415" s="198"/>
      <c r="Y415" s="198"/>
      <c r="Z415" s="198"/>
      <c r="AA415" s="198"/>
      <c r="AB415" s="198"/>
      <c r="AC415" s="198"/>
      <c r="AD415" s="198"/>
      <c r="AE415" s="198"/>
      <c r="AF415" s="198"/>
      <c r="AG415" s="198"/>
      <c r="AH415" s="198"/>
      <c r="AI415" s="198"/>
      <c r="AJ415" s="198"/>
      <c r="AK415" s="198"/>
      <c r="AL415" s="198"/>
      <c r="AM415" s="198"/>
      <c r="AN415" s="198"/>
      <c r="AO415" s="198"/>
      <c r="AP415" s="198"/>
      <c r="AQ415" s="198"/>
      <c r="AR415" s="198"/>
      <c r="AS415" s="198"/>
      <c r="AT415" s="198"/>
      <c r="AU415" s="198"/>
      <c r="AV415" s="198"/>
      <c r="AW415" s="198"/>
      <c r="AX415" s="198"/>
      <c r="AY415" s="198"/>
      <c r="AZ415" s="198"/>
      <c r="BA415" s="198"/>
      <c r="BB415" s="198"/>
      <c r="BC415" s="198"/>
      <c r="BD415" s="198"/>
      <c r="BE415" s="198"/>
      <c r="BF415" s="198"/>
      <c r="BG415" s="198"/>
      <c r="BH415" s="198"/>
      <c r="BI415" s="198"/>
      <c r="BJ415" s="198"/>
      <c r="BK415" s="198"/>
      <c r="BL415" s="198"/>
      <c r="BM415" s="198"/>
      <c r="BN415" s="198"/>
      <c r="BO415" s="198"/>
      <c r="BP415" s="198"/>
      <c r="BQ415" s="198"/>
      <c r="BR415" s="198"/>
      <c r="BS415" s="198"/>
      <c r="BT415" s="198"/>
      <c r="BU415" s="198"/>
      <c r="BV415" s="198"/>
      <c r="BW415" s="198"/>
      <c r="BX415" s="198"/>
      <c r="BY415" s="198"/>
      <c r="BZ415" s="198"/>
      <c r="CA415" s="198"/>
      <c r="CB415" s="198"/>
      <c r="CC415" s="198"/>
      <c r="CD415" s="198"/>
      <c r="CE415" s="198"/>
      <c r="CF415" s="198"/>
      <c r="CG415" s="198"/>
      <c r="CH415" s="198"/>
      <c r="CI415" s="198"/>
      <c r="CJ415" s="198"/>
      <c r="CK415" s="198"/>
      <c r="CL415" s="198"/>
      <c r="CM415" s="198"/>
      <c r="CN415" s="198"/>
      <c r="CO415" s="198"/>
      <c r="CP415" s="198"/>
      <c r="CQ415" s="198"/>
      <c r="CR415" s="198"/>
      <c r="CS415" s="198"/>
      <c r="CT415" s="198"/>
      <c r="CU415" s="198"/>
      <c r="CV415" s="198"/>
      <c r="CW415" s="198"/>
      <c r="CX415" s="198"/>
      <c r="CY415" s="198"/>
      <c r="CZ415" s="198"/>
      <c r="DA415" s="198"/>
      <c r="DB415" s="198"/>
      <c r="DC415" s="198"/>
      <c r="DD415" s="198"/>
      <c r="DE415" s="198"/>
      <c r="DF415" s="198"/>
      <c r="DG415" s="198"/>
      <c r="DH415" s="198"/>
      <c r="DI415" s="198"/>
      <c r="DJ415" s="198"/>
      <c r="DK415" s="198"/>
      <c r="DL415" s="198"/>
      <c r="DM415" s="198"/>
      <c r="DN415" s="198"/>
      <c r="DO415" s="198"/>
      <c r="DP415" s="198"/>
      <c r="DQ415" s="198"/>
      <c r="DR415" s="198"/>
      <c r="DS415" s="198"/>
      <c r="DT415" s="198"/>
      <c r="DU415" s="198"/>
      <c r="DV415" s="198"/>
      <c r="DW415" s="198"/>
      <c r="DX415" s="198"/>
      <c r="DY415" s="198"/>
      <c r="DZ415" s="198"/>
      <c r="EA415" s="198"/>
      <c r="EB415" s="198"/>
      <c r="EC415" s="198"/>
      <c r="ED415" s="198"/>
      <c r="EE415" s="198"/>
      <c r="EF415" s="198"/>
      <c r="EG415" s="198"/>
      <c r="EH415" s="198"/>
      <c r="EI415" s="198"/>
      <c r="EJ415" s="198"/>
      <c r="EK415" s="198"/>
      <c r="EL415" s="198"/>
      <c r="EM415" s="198"/>
      <c r="EN415" s="198"/>
      <c r="EO415" s="198"/>
      <c r="EP415" s="198"/>
      <c r="EQ415" s="198"/>
      <c r="ER415" s="198"/>
      <c r="ES415" s="198"/>
      <c r="ET415" s="198"/>
      <c r="EU415" s="198"/>
      <c r="EV415" s="198"/>
      <c r="EW415" s="198"/>
      <c r="EX415" s="198"/>
      <c r="EY415" s="198"/>
      <c r="EZ415" s="198"/>
      <c r="FA415" s="198"/>
      <c r="FB415" s="198"/>
      <c r="FC415" s="198"/>
      <c r="FD415" s="198"/>
      <c r="FE415" s="198"/>
      <c r="FF415" s="198"/>
      <c r="FG415" s="198"/>
      <c r="FH415" s="198"/>
    </row>
    <row r="416" spans="10:164" s="173" customFormat="1" x14ac:dyDescent="0.3">
      <c r="J416" s="198"/>
      <c r="K416" s="198"/>
      <c r="L416" s="198"/>
      <c r="M416" s="198"/>
      <c r="N416" s="198"/>
      <c r="O416" s="198"/>
      <c r="P416" s="198"/>
      <c r="Q416" s="198"/>
      <c r="R416" s="198"/>
      <c r="S416" s="198"/>
      <c r="T416" s="198"/>
      <c r="U416" s="198"/>
      <c r="V416" s="198"/>
      <c r="W416" s="198"/>
      <c r="X416" s="198"/>
      <c r="Y416" s="198"/>
      <c r="Z416" s="198"/>
      <c r="AA416" s="198"/>
      <c r="AB416" s="198"/>
      <c r="AC416" s="198"/>
      <c r="AD416" s="198"/>
      <c r="AE416" s="198"/>
      <c r="AF416" s="198"/>
      <c r="AG416" s="198"/>
      <c r="AH416" s="198"/>
      <c r="AI416" s="198"/>
      <c r="AJ416" s="198"/>
      <c r="AK416" s="198"/>
      <c r="AL416" s="198"/>
      <c r="AM416" s="198"/>
      <c r="AN416" s="198"/>
      <c r="AO416" s="198"/>
      <c r="AP416" s="198"/>
      <c r="AQ416" s="198"/>
      <c r="AR416" s="198"/>
      <c r="AS416" s="198"/>
      <c r="AT416" s="198"/>
      <c r="AU416" s="198"/>
      <c r="AV416" s="198"/>
      <c r="AW416" s="198"/>
      <c r="AX416" s="198"/>
      <c r="AY416" s="198"/>
      <c r="AZ416" s="198"/>
      <c r="BA416" s="198"/>
      <c r="BB416" s="198"/>
      <c r="BC416" s="198"/>
      <c r="BD416" s="198"/>
      <c r="BE416" s="198"/>
      <c r="BF416" s="198"/>
      <c r="BG416" s="198"/>
      <c r="BH416" s="198"/>
      <c r="BI416" s="198"/>
      <c r="BJ416" s="198"/>
      <c r="BK416" s="198"/>
      <c r="BL416" s="198"/>
      <c r="BM416" s="198"/>
      <c r="BN416" s="198"/>
      <c r="BO416" s="198"/>
      <c r="BP416" s="198"/>
      <c r="BQ416" s="198"/>
      <c r="BR416" s="198"/>
      <c r="BS416" s="198"/>
      <c r="BT416" s="198"/>
      <c r="BU416" s="198"/>
      <c r="BV416" s="198"/>
      <c r="BW416" s="198"/>
      <c r="BX416" s="198"/>
      <c r="BY416" s="198"/>
      <c r="BZ416" s="198"/>
      <c r="CA416" s="198"/>
      <c r="CB416" s="198"/>
      <c r="CC416" s="198"/>
      <c r="CD416" s="198"/>
      <c r="CE416" s="198"/>
      <c r="CF416" s="198"/>
      <c r="CG416" s="198"/>
      <c r="CH416" s="198"/>
      <c r="CI416" s="198"/>
      <c r="CJ416" s="198"/>
      <c r="CK416" s="198"/>
      <c r="CL416" s="198"/>
      <c r="CM416" s="198"/>
      <c r="CN416" s="198"/>
      <c r="CO416" s="198"/>
      <c r="CP416" s="198"/>
      <c r="CQ416" s="198"/>
      <c r="CR416" s="198"/>
      <c r="CS416" s="198"/>
      <c r="CT416" s="198"/>
      <c r="CU416" s="198"/>
      <c r="CV416" s="198"/>
      <c r="CW416" s="198"/>
      <c r="CX416" s="198"/>
      <c r="CY416" s="198"/>
      <c r="CZ416" s="198"/>
      <c r="DA416" s="198"/>
      <c r="DB416" s="198"/>
      <c r="DC416" s="198"/>
      <c r="DD416" s="198"/>
      <c r="DE416" s="198"/>
      <c r="DF416" s="198"/>
      <c r="DG416" s="198"/>
      <c r="DH416" s="198"/>
      <c r="DI416" s="198"/>
      <c r="DJ416" s="198"/>
      <c r="DK416" s="198"/>
      <c r="DL416" s="198"/>
      <c r="DM416" s="198"/>
      <c r="DN416" s="198"/>
      <c r="DO416" s="198"/>
      <c r="DP416" s="198"/>
      <c r="DQ416" s="198"/>
      <c r="DR416" s="198"/>
      <c r="DS416" s="198"/>
      <c r="DT416" s="198"/>
      <c r="DU416" s="198"/>
      <c r="DV416" s="198"/>
      <c r="DW416" s="198"/>
      <c r="DX416" s="198"/>
      <c r="DY416" s="198"/>
      <c r="DZ416" s="198"/>
      <c r="EA416" s="198"/>
      <c r="EB416" s="198"/>
      <c r="EC416" s="198"/>
      <c r="ED416" s="198"/>
      <c r="EE416" s="198"/>
      <c r="EF416" s="198"/>
      <c r="EG416" s="198"/>
      <c r="EH416" s="198"/>
      <c r="EI416" s="198"/>
      <c r="EJ416" s="198"/>
      <c r="EK416" s="198"/>
      <c r="EL416" s="198"/>
      <c r="EM416" s="198"/>
      <c r="EN416" s="198"/>
      <c r="EO416" s="198"/>
      <c r="EP416" s="198"/>
      <c r="EQ416" s="198"/>
      <c r="ER416" s="198"/>
      <c r="ES416" s="198"/>
      <c r="ET416" s="198"/>
      <c r="EU416" s="198"/>
      <c r="EV416" s="198"/>
      <c r="EW416" s="198"/>
      <c r="EX416" s="198"/>
      <c r="EY416" s="198"/>
      <c r="EZ416" s="198"/>
      <c r="FA416" s="198"/>
      <c r="FB416" s="198"/>
      <c r="FC416" s="198"/>
      <c r="FD416" s="198"/>
      <c r="FE416" s="198"/>
      <c r="FF416" s="198"/>
      <c r="FG416" s="198"/>
      <c r="FH416" s="198"/>
    </row>
    <row r="417" spans="10:164" s="173" customFormat="1" x14ac:dyDescent="0.3">
      <c r="J417" s="198"/>
      <c r="K417" s="198"/>
      <c r="L417" s="198"/>
      <c r="M417" s="198"/>
      <c r="N417" s="198"/>
      <c r="O417" s="198"/>
      <c r="P417" s="198"/>
      <c r="Q417" s="198"/>
      <c r="R417" s="198"/>
      <c r="S417" s="198"/>
      <c r="T417" s="198"/>
      <c r="U417" s="198"/>
      <c r="V417" s="198"/>
      <c r="W417" s="198"/>
      <c r="X417" s="198"/>
      <c r="Y417" s="198"/>
      <c r="Z417" s="198"/>
      <c r="AA417" s="198"/>
      <c r="AB417" s="198"/>
      <c r="AC417" s="198"/>
      <c r="AD417" s="198"/>
      <c r="AE417" s="198"/>
      <c r="AF417" s="198"/>
      <c r="AG417" s="198"/>
      <c r="AH417" s="198"/>
      <c r="AI417" s="198"/>
      <c r="AJ417" s="198"/>
      <c r="AK417" s="198"/>
      <c r="AL417" s="198"/>
      <c r="AM417" s="198"/>
      <c r="AN417" s="198"/>
      <c r="AO417" s="198"/>
      <c r="AP417" s="198"/>
      <c r="AQ417" s="198"/>
      <c r="AR417" s="198"/>
      <c r="AS417" s="198"/>
      <c r="AT417" s="198"/>
      <c r="AU417" s="198"/>
      <c r="AV417" s="198"/>
      <c r="AW417" s="198"/>
      <c r="AX417" s="198"/>
      <c r="AY417" s="198"/>
      <c r="AZ417" s="198"/>
      <c r="BA417" s="198"/>
      <c r="BB417" s="198"/>
      <c r="BC417" s="198"/>
      <c r="BD417" s="198"/>
      <c r="BE417" s="198"/>
      <c r="BF417" s="198"/>
      <c r="BG417" s="198"/>
      <c r="BH417" s="198"/>
      <c r="BI417" s="198"/>
      <c r="BJ417" s="198"/>
      <c r="BK417" s="198"/>
      <c r="BL417" s="198"/>
      <c r="BM417" s="198"/>
      <c r="BN417" s="198"/>
      <c r="BO417" s="198"/>
      <c r="BP417" s="198"/>
      <c r="BQ417" s="198"/>
      <c r="BR417" s="198"/>
      <c r="BS417" s="198"/>
      <c r="BT417" s="198"/>
      <c r="BU417" s="198"/>
      <c r="BV417" s="198"/>
      <c r="BW417" s="198"/>
      <c r="BX417" s="198"/>
      <c r="BY417" s="198"/>
      <c r="BZ417" s="198"/>
      <c r="CA417" s="198"/>
      <c r="CB417" s="198"/>
      <c r="CC417" s="198"/>
      <c r="CD417" s="198"/>
      <c r="CE417" s="198"/>
      <c r="CF417" s="198"/>
      <c r="CG417" s="198"/>
      <c r="CH417" s="198"/>
      <c r="CI417" s="198"/>
      <c r="CJ417" s="198"/>
      <c r="CK417" s="198"/>
      <c r="CL417" s="198"/>
      <c r="CM417" s="198"/>
      <c r="CN417" s="198"/>
      <c r="CO417" s="198"/>
      <c r="CP417" s="198"/>
      <c r="CQ417" s="198"/>
      <c r="CR417" s="198"/>
      <c r="CS417" s="198"/>
      <c r="CT417" s="198"/>
      <c r="CU417" s="198"/>
      <c r="CV417" s="198"/>
      <c r="CW417" s="198"/>
      <c r="CX417" s="198"/>
      <c r="CY417" s="198"/>
      <c r="CZ417" s="198"/>
      <c r="DA417" s="198"/>
      <c r="DB417" s="198"/>
      <c r="DC417" s="198"/>
      <c r="DD417" s="198"/>
      <c r="DE417" s="198"/>
      <c r="DF417" s="198"/>
      <c r="DG417" s="198"/>
      <c r="DH417" s="198"/>
      <c r="DI417" s="198"/>
      <c r="DJ417" s="198"/>
      <c r="DK417" s="198"/>
      <c r="DL417" s="198"/>
      <c r="DM417" s="198"/>
      <c r="DN417" s="198"/>
      <c r="DO417" s="198"/>
      <c r="DP417" s="198"/>
      <c r="DQ417" s="198"/>
      <c r="DR417" s="198"/>
      <c r="DS417" s="198"/>
      <c r="DT417" s="198"/>
      <c r="DU417" s="198"/>
      <c r="DV417" s="198"/>
      <c r="DW417" s="198"/>
      <c r="DX417" s="198"/>
      <c r="DY417" s="198"/>
      <c r="DZ417" s="198"/>
      <c r="EA417" s="198"/>
      <c r="EB417" s="198"/>
      <c r="EC417" s="198"/>
      <c r="ED417" s="198"/>
      <c r="EE417" s="198"/>
      <c r="EF417" s="198"/>
      <c r="EG417" s="198"/>
      <c r="EH417" s="198"/>
      <c r="EI417" s="198"/>
      <c r="EJ417" s="198"/>
      <c r="EK417" s="198"/>
      <c r="EL417" s="198"/>
      <c r="EM417" s="198"/>
      <c r="EN417" s="198"/>
      <c r="EO417" s="198"/>
      <c r="EP417" s="198"/>
      <c r="EQ417" s="198"/>
      <c r="ER417" s="198"/>
      <c r="ES417" s="198"/>
      <c r="ET417" s="198"/>
      <c r="EU417" s="198"/>
      <c r="EV417" s="198"/>
      <c r="EW417" s="198"/>
      <c r="EX417" s="198"/>
      <c r="EY417" s="198"/>
      <c r="EZ417" s="198"/>
      <c r="FA417" s="198"/>
      <c r="FB417" s="198"/>
      <c r="FC417" s="198"/>
      <c r="FD417" s="198"/>
      <c r="FE417" s="198"/>
      <c r="FF417" s="198"/>
      <c r="FG417" s="198"/>
      <c r="FH417" s="198"/>
    </row>
    <row r="418" spans="10:164" s="173" customFormat="1" x14ac:dyDescent="0.3">
      <c r="J418" s="198"/>
      <c r="K418" s="198"/>
      <c r="L418" s="198"/>
      <c r="M418" s="198"/>
      <c r="N418" s="198"/>
      <c r="O418" s="198"/>
      <c r="P418" s="198"/>
      <c r="Q418" s="198"/>
      <c r="R418" s="198"/>
      <c r="S418" s="198"/>
      <c r="T418" s="198"/>
      <c r="U418" s="198"/>
      <c r="V418" s="198"/>
      <c r="W418" s="198"/>
      <c r="X418" s="198"/>
      <c r="Y418" s="198"/>
      <c r="Z418" s="198"/>
      <c r="AA418" s="198"/>
      <c r="AB418" s="198"/>
      <c r="AC418" s="198"/>
      <c r="AD418" s="198"/>
      <c r="AE418" s="198"/>
      <c r="AF418" s="198"/>
      <c r="AG418" s="198"/>
      <c r="AH418" s="198"/>
      <c r="AI418" s="198"/>
      <c r="AJ418" s="198"/>
      <c r="AK418" s="198"/>
      <c r="AL418" s="198"/>
      <c r="AM418" s="198"/>
      <c r="AN418" s="198"/>
      <c r="AO418" s="198"/>
      <c r="AP418" s="198"/>
      <c r="AQ418" s="198"/>
      <c r="AR418" s="198"/>
      <c r="AS418" s="198"/>
      <c r="AT418" s="198"/>
      <c r="AU418" s="198"/>
      <c r="AV418" s="198"/>
      <c r="AW418" s="198"/>
      <c r="AX418" s="198"/>
      <c r="AY418" s="198"/>
      <c r="AZ418" s="198"/>
      <c r="BA418" s="198"/>
      <c r="BB418" s="198"/>
      <c r="BC418" s="198"/>
      <c r="BD418" s="198"/>
      <c r="BE418" s="198"/>
      <c r="BF418" s="198"/>
      <c r="BG418" s="198"/>
      <c r="BH418" s="198"/>
      <c r="BI418" s="198"/>
      <c r="BJ418" s="198"/>
      <c r="BK418" s="198"/>
      <c r="BL418" s="198"/>
      <c r="BM418" s="198"/>
      <c r="BN418" s="198"/>
      <c r="BO418" s="198"/>
      <c r="BP418" s="198"/>
      <c r="BQ418" s="198"/>
      <c r="BR418" s="198"/>
      <c r="BS418" s="198"/>
      <c r="BT418" s="198"/>
      <c r="BU418" s="198"/>
      <c r="BV418" s="198"/>
      <c r="BW418" s="198"/>
      <c r="BX418" s="198"/>
      <c r="BY418" s="198"/>
      <c r="BZ418" s="198"/>
      <c r="CA418" s="198"/>
      <c r="CB418" s="198"/>
      <c r="CC418" s="198"/>
      <c r="CD418" s="198"/>
      <c r="CE418" s="198"/>
      <c r="CF418" s="198"/>
      <c r="CG418" s="198"/>
      <c r="CH418" s="198"/>
      <c r="CI418" s="198"/>
      <c r="CJ418" s="198"/>
      <c r="CK418" s="198"/>
      <c r="CL418" s="198"/>
      <c r="CM418" s="198"/>
      <c r="CN418" s="198"/>
      <c r="CO418" s="198"/>
      <c r="CP418" s="198"/>
      <c r="CQ418" s="198"/>
      <c r="CR418" s="198"/>
      <c r="CS418" s="198"/>
      <c r="CT418" s="198"/>
      <c r="CU418" s="198"/>
      <c r="CV418" s="198"/>
      <c r="CW418" s="198"/>
      <c r="CX418" s="198"/>
      <c r="CY418" s="198"/>
      <c r="CZ418" s="198"/>
      <c r="DA418" s="198"/>
      <c r="DB418" s="198"/>
      <c r="DC418" s="198"/>
      <c r="DD418" s="198"/>
      <c r="DE418" s="198"/>
      <c r="DF418" s="198"/>
      <c r="DG418" s="198"/>
      <c r="DH418" s="198"/>
      <c r="DI418" s="198"/>
      <c r="DJ418" s="198"/>
      <c r="DK418" s="198"/>
      <c r="DL418" s="198"/>
      <c r="DM418" s="198"/>
      <c r="DN418" s="198"/>
      <c r="DO418" s="198"/>
      <c r="DP418" s="198"/>
      <c r="DQ418" s="198"/>
      <c r="DR418" s="198"/>
      <c r="DS418" s="198"/>
      <c r="DT418" s="198"/>
      <c r="DU418" s="198"/>
      <c r="DV418" s="198"/>
      <c r="DW418" s="198"/>
      <c r="DX418" s="198"/>
      <c r="DY418" s="198"/>
      <c r="DZ418" s="198"/>
      <c r="EA418" s="198"/>
      <c r="EB418" s="198"/>
      <c r="EC418" s="198"/>
      <c r="ED418" s="198"/>
      <c r="EE418" s="198"/>
      <c r="EF418" s="198"/>
      <c r="EG418" s="198"/>
      <c r="EH418" s="198"/>
      <c r="EI418" s="198"/>
      <c r="EJ418" s="198"/>
      <c r="EK418" s="198"/>
      <c r="EL418" s="198"/>
      <c r="EM418" s="198"/>
      <c r="EN418" s="198"/>
      <c r="EO418" s="198"/>
      <c r="EP418" s="198"/>
      <c r="EQ418" s="198"/>
      <c r="ER418" s="198"/>
      <c r="ES418" s="198"/>
      <c r="ET418" s="198"/>
      <c r="EU418" s="198"/>
      <c r="EV418" s="198"/>
      <c r="EW418" s="198"/>
      <c r="EX418" s="198"/>
      <c r="EY418" s="198"/>
      <c r="EZ418" s="198"/>
      <c r="FA418" s="198"/>
      <c r="FB418" s="198"/>
      <c r="FC418" s="198"/>
      <c r="FD418" s="198"/>
      <c r="FE418" s="198"/>
      <c r="FF418" s="198"/>
      <c r="FG418" s="198"/>
      <c r="FH418" s="198"/>
    </row>
    <row r="419" spans="10:164" s="173" customFormat="1" x14ac:dyDescent="0.3">
      <c r="J419" s="198"/>
      <c r="K419" s="198"/>
      <c r="L419" s="198"/>
      <c r="M419" s="198"/>
      <c r="N419" s="198"/>
      <c r="O419" s="198"/>
      <c r="P419" s="198"/>
      <c r="Q419" s="198"/>
      <c r="R419" s="198"/>
      <c r="S419" s="198"/>
      <c r="T419" s="198"/>
      <c r="U419" s="198"/>
      <c r="V419" s="198"/>
      <c r="W419" s="198"/>
      <c r="X419" s="198"/>
      <c r="Y419" s="198"/>
      <c r="Z419" s="198"/>
      <c r="AA419" s="198"/>
      <c r="AB419" s="198"/>
      <c r="AC419" s="198"/>
      <c r="AD419" s="198"/>
      <c r="AE419" s="198"/>
      <c r="AF419" s="198"/>
      <c r="AG419" s="198"/>
      <c r="AH419" s="198"/>
      <c r="AI419" s="198"/>
      <c r="AJ419" s="198"/>
      <c r="AK419" s="198"/>
      <c r="AL419" s="198"/>
      <c r="AM419" s="198"/>
      <c r="AN419" s="198"/>
      <c r="AO419" s="198"/>
      <c r="AP419" s="198"/>
      <c r="AQ419" s="198"/>
      <c r="AR419" s="198"/>
      <c r="AS419" s="198"/>
      <c r="AT419" s="198"/>
      <c r="AU419" s="198"/>
      <c r="AV419" s="198"/>
      <c r="AW419" s="198"/>
      <c r="AX419" s="198"/>
      <c r="AY419" s="198"/>
      <c r="AZ419" s="198"/>
      <c r="BA419" s="198"/>
      <c r="BB419" s="198"/>
      <c r="BC419" s="198"/>
      <c r="BD419" s="198"/>
      <c r="BE419" s="198"/>
      <c r="BF419" s="198"/>
      <c r="BG419" s="198"/>
      <c r="BH419" s="198"/>
      <c r="BI419" s="198"/>
      <c r="BJ419" s="198"/>
      <c r="BK419" s="198"/>
      <c r="BL419" s="198"/>
      <c r="BM419" s="198"/>
      <c r="BN419" s="198"/>
      <c r="BO419" s="198"/>
      <c r="BP419" s="198"/>
      <c r="BQ419" s="198"/>
      <c r="BR419" s="198"/>
      <c r="BS419" s="198"/>
      <c r="BT419" s="198"/>
      <c r="BU419" s="198"/>
      <c r="BV419" s="198"/>
      <c r="BW419" s="198"/>
      <c r="BX419" s="198"/>
      <c r="BY419" s="198"/>
      <c r="BZ419" s="198"/>
      <c r="CA419" s="198"/>
      <c r="CB419" s="198"/>
      <c r="CC419" s="198"/>
      <c r="CD419" s="198"/>
      <c r="CE419" s="198"/>
      <c r="CF419" s="198"/>
      <c r="CG419" s="198"/>
      <c r="CH419" s="198"/>
      <c r="CI419" s="198"/>
      <c r="CJ419" s="198"/>
      <c r="CK419" s="198"/>
      <c r="CL419" s="198"/>
      <c r="CM419" s="198"/>
      <c r="CN419" s="198"/>
      <c r="CO419" s="198"/>
      <c r="CP419" s="198"/>
      <c r="CQ419" s="198"/>
      <c r="CR419" s="198"/>
      <c r="CS419" s="198"/>
      <c r="CT419" s="198"/>
      <c r="CU419" s="198"/>
      <c r="CV419" s="198"/>
      <c r="CW419" s="198"/>
      <c r="CX419" s="198"/>
      <c r="CY419" s="198"/>
      <c r="CZ419" s="198"/>
      <c r="DA419" s="198"/>
      <c r="DB419" s="198"/>
      <c r="DC419" s="198"/>
      <c r="DD419" s="198"/>
      <c r="DE419" s="198"/>
      <c r="DF419" s="198"/>
      <c r="DG419" s="198"/>
      <c r="DH419" s="198"/>
      <c r="DI419" s="198"/>
      <c r="DJ419" s="198"/>
      <c r="DK419" s="198"/>
      <c r="DL419" s="198"/>
      <c r="DM419" s="198"/>
      <c r="DN419" s="198"/>
      <c r="DO419" s="198"/>
      <c r="DP419" s="198"/>
      <c r="DQ419" s="198"/>
      <c r="DR419" s="198"/>
      <c r="DS419" s="198"/>
      <c r="DT419" s="198"/>
      <c r="DU419" s="198"/>
      <c r="DV419" s="198"/>
      <c r="DW419" s="198"/>
      <c r="DX419" s="198"/>
      <c r="DY419" s="198"/>
      <c r="DZ419" s="198"/>
      <c r="EA419" s="198"/>
      <c r="EB419" s="198"/>
      <c r="EC419" s="198"/>
      <c r="ED419" s="198"/>
      <c r="EE419" s="198"/>
      <c r="EF419" s="198"/>
      <c r="EG419" s="198"/>
      <c r="EH419" s="198"/>
      <c r="EI419" s="198"/>
      <c r="EJ419" s="198"/>
      <c r="EK419" s="198"/>
      <c r="EL419" s="198"/>
      <c r="EM419" s="198"/>
      <c r="EN419" s="198"/>
      <c r="EO419" s="198"/>
      <c r="EP419" s="198"/>
      <c r="EQ419" s="198"/>
      <c r="ER419" s="198"/>
      <c r="ES419" s="198"/>
      <c r="ET419" s="198"/>
      <c r="EU419" s="198"/>
      <c r="EV419" s="198"/>
      <c r="EW419" s="198"/>
      <c r="EX419" s="198"/>
      <c r="EY419" s="198"/>
      <c r="EZ419" s="198"/>
      <c r="FA419" s="198"/>
      <c r="FB419" s="198"/>
      <c r="FC419" s="198"/>
      <c r="FD419" s="198"/>
      <c r="FE419" s="198"/>
      <c r="FF419" s="198"/>
      <c r="FG419" s="198"/>
      <c r="FH419" s="198"/>
    </row>
    <row r="420" spans="10:164" s="173" customFormat="1" x14ac:dyDescent="0.3">
      <c r="J420" s="198"/>
      <c r="K420" s="198"/>
      <c r="L420" s="198"/>
      <c r="M420" s="198"/>
      <c r="N420" s="198"/>
      <c r="O420" s="198"/>
      <c r="P420" s="198"/>
      <c r="Q420" s="198"/>
      <c r="R420" s="198"/>
      <c r="S420" s="198"/>
      <c r="T420" s="198"/>
      <c r="U420" s="198"/>
      <c r="V420" s="198"/>
      <c r="W420" s="198"/>
      <c r="X420" s="198"/>
      <c r="Y420" s="198"/>
      <c r="Z420" s="198"/>
      <c r="AA420" s="198"/>
      <c r="AB420" s="198"/>
      <c r="AC420" s="198"/>
      <c r="AD420" s="198"/>
      <c r="AE420" s="198"/>
      <c r="AF420" s="198"/>
      <c r="AG420" s="198"/>
      <c r="AH420" s="198"/>
      <c r="AI420" s="198"/>
      <c r="AJ420" s="198"/>
      <c r="AK420" s="198"/>
      <c r="AL420" s="198"/>
      <c r="AM420" s="198"/>
      <c r="AN420" s="198"/>
      <c r="AO420" s="198"/>
      <c r="AP420" s="198"/>
      <c r="AQ420" s="198"/>
      <c r="AR420" s="198"/>
      <c r="AS420" s="198"/>
      <c r="AT420" s="198"/>
      <c r="AU420" s="198"/>
      <c r="AV420" s="198"/>
      <c r="AW420" s="198"/>
      <c r="AX420" s="198"/>
      <c r="AY420" s="198"/>
      <c r="AZ420" s="198"/>
      <c r="BA420" s="198"/>
      <c r="BB420" s="198"/>
      <c r="BC420" s="198"/>
      <c r="BD420" s="198"/>
      <c r="BE420" s="198"/>
      <c r="BF420" s="198"/>
      <c r="BG420" s="198"/>
      <c r="BH420" s="198"/>
      <c r="BI420" s="198"/>
      <c r="BJ420" s="198"/>
      <c r="BK420" s="198"/>
      <c r="BL420" s="198"/>
      <c r="BM420" s="198"/>
      <c r="BN420" s="198"/>
      <c r="BO420" s="198"/>
      <c r="BP420" s="198"/>
      <c r="BQ420" s="198"/>
      <c r="BR420" s="198"/>
      <c r="BS420" s="198"/>
      <c r="BT420" s="198"/>
      <c r="BU420" s="198"/>
      <c r="BV420" s="198"/>
      <c r="BW420" s="198"/>
      <c r="BX420" s="198"/>
      <c r="BY420" s="198"/>
      <c r="BZ420" s="198"/>
      <c r="CA420" s="198"/>
      <c r="CB420" s="198"/>
      <c r="CC420" s="198"/>
      <c r="CD420" s="198"/>
      <c r="CE420" s="198"/>
      <c r="CF420" s="198"/>
      <c r="CG420" s="198"/>
      <c r="CH420" s="198"/>
      <c r="CI420" s="198"/>
      <c r="CJ420" s="198"/>
      <c r="CK420" s="198"/>
      <c r="CL420" s="198"/>
      <c r="CM420" s="198"/>
      <c r="CN420" s="198"/>
      <c r="CO420" s="198"/>
      <c r="CP420" s="198"/>
      <c r="CQ420" s="198"/>
      <c r="CR420" s="198"/>
      <c r="CS420" s="198"/>
      <c r="CT420" s="198"/>
      <c r="CU420" s="198"/>
      <c r="CV420" s="198"/>
      <c r="CW420" s="198"/>
      <c r="CX420" s="198"/>
      <c r="CY420" s="198"/>
      <c r="CZ420" s="198"/>
      <c r="DA420" s="198"/>
      <c r="DB420" s="198"/>
      <c r="DC420" s="198"/>
      <c r="DD420" s="198"/>
      <c r="DE420" s="198"/>
      <c r="DF420" s="198"/>
      <c r="DG420" s="198"/>
      <c r="DH420" s="198"/>
      <c r="DI420" s="198"/>
      <c r="DJ420" s="198"/>
      <c r="DK420" s="198"/>
      <c r="DL420" s="198"/>
      <c r="DM420" s="198"/>
      <c r="DN420" s="198"/>
      <c r="DO420" s="198"/>
      <c r="DP420" s="198"/>
      <c r="DQ420" s="198"/>
      <c r="DR420" s="198"/>
      <c r="DS420" s="198"/>
      <c r="DT420" s="198"/>
      <c r="DU420" s="198"/>
      <c r="DV420" s="198"/>
      <c r="DW420" s="198"/>
      <c r="DX420" s="198"/>
      <c r="DY420" s="198"/>
      <c r="DZ420" s="198"/>
      <c r="EA420" s="198"/>
      <c r="EB420" s="198"/>
      <c r="EC420" s="198"/>
      <c r="ED420" s="198"/>
      <c r="EE420" s="198"/>
      <c r="EF420" s="198"/>
      <c r="EG420" s="198"/>
      <c r="EH420" s="198"/>
      <c r="EI420" s="198"/>
      <c r="EJ420" s="198"/>
      <c r="EK420" s="198"/>
      <c r="EL420" s="198"/>
      <c r="EM420" s="198"/>
      <c r="EN420" s="198"/>
      <c r="EO420" s="198"/>
      <c r="EP420" s="198"/>
      <c r="EQ420" s="198"/>
      <c r="ER420" s="198"/>
      <c r="ES420" s="198"/>
      <c r="ET420" s="198"/>
      <c r="EU420" s="198"/>
      <c r="EV420" s="198"/>
      <c r="EW420" s="198"/>
      <c r="EX420" s="198"/>
      <c r="EY420" s="198"/>
      <c r="EZ420" s="198"/>
      <c r="FA420" s="198"/>
      <c r="FB420" s="198"/>
      <c r="FC420" s="198"/>
      <c r="FD420" s="198"/>
      <c r="FE420" s="198"/>
      <c r="FF420" s="198"/>
      <c r="FG420" s="198"/>
      <c r="FH420" s="198"/>
    </row>
    <row r="421" spans="10:164" s="173" customFormat="1" x14ac:dyDescent="0.3">
      <c r="J421" s="198"/>
      <c r="K421" s="198"/>
      <c r="L421" s="198"/>
      <c r="M421" s="198"/>
      <c r="N421" s="198"/>
      <c r="O421" s="198"/>
      <c r="P421" s="198"/>
      <c r="Q421" s="198"/>
      <c r="R421" s="198"/>
      <c r="S421" s="198"/>
      <c r="T421" s="198"/>
      <c r="U421" s="198"/>
      <c r="V421" s="198"/>
      <c r="W421" s="198"/>
      <c r="X421" s="198"/>
      <c r="Y421" s="198"/>
      <c r="Z421" s="198"/>
      <c r="AA421" s="198"/>
      <c r="AB421" s="198"/>
      <c r="AC421" s="198"/>
      <c r="AD421" s="198"/>
      <c r="AE421" s="198"/>
      <c r="AF421" s="198"/>
      <c r="AG421" s="198"/>
      <c r="AH421" s="198"/>
      <c r="AI421" s="198"/>
      <c r="AJ421" s="198"/>
      <c r="AK421" s="198"/>
      <c r="AL421" s="198"/>
      <c r="AM421" s="198"/>
      <c r="AN421" s="198"/>
      <c r="AO421" s="198"/>
      <c r="AP421" s="198"/>
      <c r="AQ421" s="198"/>
      <c r="AR421" s="198"/>
      <c r="AS421" s="198"/>
      <c r="AT421" s="198"/>
      <c r="AU421" s="198"/>
      <c r="AV421" s="198"/>
      <c r="AW421" s="198"/>
      <c r="AX421" s="198"/>
      <c r="AY421" s="198"/>
      <c r="AZ421" s="198"/>
      <c r="BA421" s="198"/>
      <c r="BB421" s="198"/>
      <c r="BC421" s="198"/>
      <c r="BD421" s="198"/>
      <c r="BE421" s="198"/>
      <c r="BF421" s="198"/>
      <c r="BG421" s="198"/>
      <c r="BH421" s="198"/>
      <c r="BI421" s="198"/>
      <c r="BJ421" s="198"/>
      <c r="BK421" s="198"/>
      <c r="BL421" s="198"/>
      <c r="BM421" s="198"/>
      <c r="BN421" s="198"/>
      <c r="BO421" s="198"/>
      <c r="BP421" s="198"/>
      <c r="BQ421" s="198"/>
      <c r="BR421" s="198"/>
      <c r="BS421" s="198"/>
      <c r="BT421" s="198"/>
      <c r="BU421" s="198"/>
      <c r="BV421" s="198"/>
      <c r="BW421" s="198"/>
      <c r="BX421" s="198"/>
      <c r="BY421" s="198"/>
      <c r="BZ421" s="198"/>
      <c r="CA421" s="198"/>
      <c r="CB421" s="198"/>
      <c r="CC421" s="198"/>
      <c r="CD421" s="198"/>
      <c r="CE421" s="198"/>
      <c r="CF421" s="198"/>
      <c r="CG421" s="198"/>
      <c r="CH421" s="198"/>
      <c r="CI421" s="198"/>
      <c r="CJ421" s="198"/>
      <c r="CK421" s="198"/>
      <c r="CL421" s="198"/>
      <c r="CM421" s="198"/>
      <c r="CN421" s="198"/>
      <c r="CO421" s="198"/>
      <c r="CP421" s="198"/>
      <c r="CQ421" s="198"/>
      <c r="CR421" s="198"/>
      <c r="CS421" s="198"/>
      <c r="CT421" s="198"/>
      <c r="CU421" s="198"/>
      <c r="CV421" s="198"/>
      <c r="CW421" s="198"/>
      <c r="CX421" s="198"/>
      <c r="CY421" s="198"/>
      <c r="CZ421" s="198"/>
      <c r="DA421" s="198"/>
      <c r="DB421" s="198"/>
      <c r="DC421" s="198"/>
      <c r="DD421" s="198"/>
      <c r="DE421" s="198"/>
      <c r="DF421" s="198"/>
      <c r="DG421" s="198"/>
      <c r="DH421" s="198"/>
      <c r="DI421" s="198"/>
      <c r="DJ421" s="198"/>
      <c r="DK421" s="198"/>
      <c r="DL421" s="198"/>
      <c r="DM421" s="198"/>
      <c r="DN421" s="198"/>
      <c r="DO421" s="198"/>
      <c r="DP421" s="198"/>
      <c r="DQ421" s="198"/>
      <c r="DR421" s="198"/>
      <c r="DS421" s="198"/>
      <c r="DT421" s="198"/>
      <c r="DU421" s="198"/>
      <c r="DV421" s="198"/>
      <c r="DW421" s="198"/>
      <c r="DX421" s="198"/>
      <c r="DY421" s="198"/>
      <c r="DZ421" s="198"/>
      <c r="EA421" s="198"/>
      <c r="EB421" s="198"/>
      <c r="EC421" s="198"/>
      <c r="ED421" s="198"/>
      <c r="EE421" s="198"/>
      <c r="EF421" s="198"/>
      <c r="EG421" s="198"/>
      <c r="EH421" s="198"/>
      <c r="EI421" s="198"/>
      <c r="EJ421" s="198"/>
      <c r="EK421" s="198"/>
      <c r="EL421" s="198"/>
      <c r="EM421" s="198"/>
      <c r="EN421" s="198"/>
      <c r="EO421" s="198"/>
      <c r="EP421" s="198"/>
      <c r="EQ421" s="198"/>
      <c r="ER421" s="198"/>
      <c r="ES421" s="198"/>
      <c r="ET421" s="198"/>
      <c r="EU421" s="198"/>
      <c r="EV421" s="198"/>
      <c r="EW421" s="198"/>
      <c r="EX421" s="198"/>
      <c r="EY421" s="198"/>
      <c r="EZ421" s="198"/>
      <c r="FA421" s="198"/>
      <c r="FB421" s="198"/>
      <c r="FC421" s="198"/>
      <c r="FD421" s="198"/>
      <c r="FE421" s="198"/>
      <c r="FF421" s="198"/>
      <c r="FG421" s="198"/>
      <c r="FH421" s="198"/>
    </row>
    <row r="422" spans="10:164" s="173" customFormat="1" x14ac:dyDescent="0.3">
      <c r="J422" s="198"/>
      <c r="K422" s="198"/>
      <c r="L422" s="198"/>
      <c r="M422" s="198"/>
      <c r="N422" s="198"/>
      <c r="O422" s="198"/>
      <c r="P422" s="198"/>
      <c r="Q422" s="198"/>
      <c r="R422" s="198"/>
      <c r="S422" s="198"/>
      <c r="T422" s="198"/>
      <c r="U422" s="198"/>
      <c r="V422" s="198"/>
      <c r="W422" s="198"/>
      <c r="X422" s="198"/>
      <c r="Y422" s="198"/>
      <c r="Z422" s="198"/>
      <c r="AA422" s="198"/>
      <c r="AB422" s="198"/>
      <c r="AC422" s="198"/>
      <c r="AD422" s="198"/>
      <c r="AE422" s="198"/>
      <c r="AF422" s="198"/>
      <c r="AG422" s="198"/>
      <c r="AH422" s="198"/>
      <c r="AI422" s="198"/>
      <c r="AJ422" s="198"/>
      <c r="AK422" s="198"/>
      <c r="AL422" s="198"/>
      <c r="AM422" s="198"/>
      <c r="AN422" s="198"/>
      <c r="AO422" s="198"/>
      <c r="AP422" s="198"/>
      <c r="AQ422" s="198"/>
      <c r="AR422" s="198"/>
      <c r="AS422" s="198"/>
      <c r="AT422" s="198"/>
      <c r="AU422" s="198"/>
      <c r="AV422" s="198"/>
      <c r="AW422" s="198"/>
      <c r="AX422" s="198"/>
      <c r="AY422" s="198"/>
      <c r="AZ422" s="198"/>
      <c r="BA422" s="198"/>
      <c r="BB422" s="198"/>
      <c r="BC422" s="198"/>
      <c r="BD422" s="198"/>
      <c r="BE422" s="198"/>
      <c r="BF422" s="198"/>
      <c r="BG422" s="198"/>
      <c r="BH422" s="198"/>
      <c r="BI422" s="198"/>
      <c r="BJ422" s="198"/>
      <c r="BK422" s="198"/>
      <c r="BL422" s="198"/>
      <c r="BM422" s="198"/>
      <c r="BN422" s="198"/>
      <c r="BO422" s="198"/>
      <c r="BP422" s="198"/>
      <c r="BQ422" s="198"/>
      <c r="BR422" s="198"/>
      <c r="BS422" s="198"/>
      <c r="BT422" s="198"/>
      <c r="BU422" s="198"/>
      <c r="BV422" s="198"/>
      <c r="BW422" s="198"/>
      <c r="BX422" s="198"/>
      <c r="BY422" s="198"/>
      <c r="BZ422" s="198"/>
      <c r="CA422" s="198"/>
      <c r="CB422" s="198"/>
      <c r="CC422" s="198"/>
      <c r="CD422" s="198"/>
      <c r="CE422" s="198"/>
      <c r="CF422" s="198"/>
      <c r="CG422" s="198"/>
      <c r="CH422" s="198"/>
      <c r="CI422" s="198"/>
      <c r="CJ422" s="198"/>
      <c r="CK422" s="198"/>
      <c r="CL422" s="198"/>
      <c r="CM422" s="198"/>
      <c r="CN422" s="198"/>
      <c r="CO422" s="198"/>
      <c r="CP422" s="198"/>
      <c r="CQ422" s="198"/>
      <c r="CR422" s="198"/>
      <c r="CS422" s="198"/>
      <c r="CT422" s="198"/>
      <c r="CU422" s="198"/>
      <c r="CV422" s="198"/>
      <c r="CW422" s="198"/>
      <c r="CX422" s="198"/>
      <c r="CY422" s="198"/>
      <c r="CZ422" s="198"/>
      <c r="DA422" s="198"/>
      <c r="DB422" s="198"/>
      <c r="DC422" s="198"/>
      <c r="DD422" s="198"/>
      <c r="DE422" s="198"/>
      <c r="DF422" s="198"/>
      <c r="DG422" s="198"/>
      <c r="DH422" s="198"/>
      <c r="DI422" s="198"/>
      <c r="DJ422" s="198"/>
      <c r="DK422" s="198"/>
      <c r="DL422" s="198"/>
      <c r="DM422" s="198"/>
      <c r="DN422" s="198"/>
      <c r="DO422" s="198"/>
      <c r="DP422" s="198"/>
      <c r="DQ422" s="198"/>
      <c r="DR422" s="198"/>
      <c r="DS422" s="198"/>
      <c r="DT422" s="198"/>
      <c r="DU422" s="198"/>
      <c r="DV422" s="198"/>
      <c r="DW422" s="198"/>
      <c r="DX422" s="198"/>
      <c r="DY422" s="198"/>
      <c r="DZ422" s="198"/>
      <c r="EA422" s="198"/>
      <c r="EB422" s="198"/>
      <c r="EC422" s="198"/>
      <c r="ED422" s="198"/>
      <c r="EE422" s="198"/>
      <c r="EF422" s="198"/>
      <c r="EG422" s="198"/>
      <c r="EH422" s="198"/>
      <c r="EI422" s="198"/>
      <c r="EJ422" s="198"/>
      <c r="EK422" s="198"/>
      <c r="EL422" s="198"/>
      <c r="EM422" s="198"/>
      <c r="EN422" s="198"/>
      <c r="EO422" s="198"/>
      <c r="EP422" s="198"/>
      <c r="EQ422" s="198"/>
      <c r="ER422" s="198"/>
      <c r="ES422" s="198"/>
      <c r="ET422" s="198"/>
      <c r="EU422" s="198"/>
      <c r="EV422" s="198"/>
      <c r="EW422" s="198"/>
      <c r="EX422" s="198"/>
      <c r="EY422" s="198"/>
      <c r="EZ422" s="198"/>
      <c r="FA422" s="198"/>
      <c r="FB422" s="198"/>
      <c r="FC422" s="198"/>
      <c r="FD422" s="198"/>
      <c r="FE422" s="198"/>
      <c r="FF422" s="198"/>
      <c r="FG422" s="198"/>
      <c r="FH422" s="198"/>
    </row>
    <row r="423" spans="10:164" s="173" customFormat="1" x14ac:dyDescent="0.3">
      <c r="J423" s="198"/>
      <c r="K423" s="198"/>
      <c r="L423" s="198"/>
      <c r="M423" s="198"/>
      <c r="N423" s="198"/>
      <c r="O423" s="198"/>
      <c r="P423" s="198"/>
      <c r="Q423" s="198"/>
      <c r="R423" s="198"/>
      <c r="S423" s="198"/>
      <c r="T423" s="198"/>
      <c r="U423" s="198"/>
      <c r="V423" s="198"/>
      <c r="W423" s="198"/>
      <c r="X423" s="198"/>
      <c r="Y423" s="198"/>
      <c r="Z423" s="198"/>
      <c r="AA423" s="198"/>
      <c r="AB423" s="198"/>
      <c r="AC423" s="198"/>
      <c r="AD423" s="198"/>
      <c r="AE423" s="198"/>
      <c r="AF423" s="198"/>
      <c r="AG423" s="198"/>
      <c r="AH423" s="198"/>
      <c r="AI423" s="198"/>
      <c r="AJ423" s="198"/>
      <c r="AK423" s="198"/>
      <c r="AL423" s="198"/>
      <c r="AM423" s="198"/>
      <c r="AN423" s="198"/>
      <c r="AO423" s="198"/>
      <c r="AP423" s="198"/>
      <c r="AQ423" s="198"/>
      <c r="AR423" s="198"/>
      <c r="AS423" s="198"/>
      <c r="AT423" s="198"/>
      <c r="AU423" s="198"/>
      <c r="AV423" s="198"/>
      <c r="AW423" s="198"/>
      <c r="AX423" s="198"/>
      <c r="AY423" s="198"/>
      <c r="AZ423" s="198"/>
      <c r="BA423" s="198"/>
      <c r="BB423" s="198"/>
      <c r="BC423" s="198"/>
      <c r="BD423" s="198"/>
      <c r="BE423" s="198"/>
      <c r="BF423" s="198"/>
      <c r="BG423" s="198"/>
      <c r="BH423" s="198"/>
      <c r="BI423" s="198"/>
      <c r="BJ423" s="198"/>
      <c r="BK423" s="198"/>
      <c r="BL423" s="198"/>
      <c r="BM423" s="198"/>
      <c r="BN423" s="198"/>
      <c r="BO423" s="198"/>
      <c r="BP423" s="198"/>
      <c r="BQ423" s="198"/>
      <c r="BR423" s="198"/>
      <c r="BS423" s="198"/>
      <c r="BT423" s="198"/>
      <c r="BU423" s="198"/>
      <c r="BV423" s="198"/>
      <c r="BW423" s="198"/>
      <c r="BX423" s="198"/>
      <c r="BY423" s="198"/>
      <c r="BZ423" s="198"/>
      <c r="CA423" s="198"/>
      <c r="CB423" s="198"/>
      <c r="CC423" s="198"/>
      <c r="CD423" s="198"/>
      <c r="CE423" s="198"/>
      <c r="CF423" s="198"/>
      <c r="CG423" s="198"/>
      <c r="CH423" s="198"/>
      <c r="CI423" s="198"/>
      <c r="CJ423" s="198"/>
      <c r="CK423" s="198"/>
      <c r="CL423" s="198"/>
      <c r="CM423" s="198"/>
      <c r="CN423" s="198"/>
      <c r="CO423" s="198"/>
      <c r="CP423" s="198"/>
      <c r="CQ423" s="198"/>
      <c r="CR423" s="198"/>
      <c r="CS423" s="198"/>
      <c r="CT423" s="198"/>
      <c r="CU423" s="198"/>
      <c r="CV423" s="198"/>
      <c r="CW423" s="198"/>
      <c r="CX423" s="198"/>
      <c r="CY423" s="198"/>
      <c r="CZ423" s="198"/>
      <c r="DA423" s="198"/>
      <c r="DB423" s="198"/>
      <c r="DC423" s="198"/>
      <c r="DD423" s="198"/>
      <c r="DE423" s="198"/>
      <c r="DF423" s="198"/>
      <c r="DG423" s="198"/>
      <c r="DH423" s="198"/>
      <c r="DI423" s="198"/>
      <c r="DJ423" s="198"/>
      <c r="DK423" s="198"/>
      <c r="DL423" s="198"/>
      <c r="DM423" s="198"/>
      <c r="DN423" s="198"/>
      <c r="DO423" s="198"/>
      <c r="DP423" s="198"/>
      <c r="DQ423" s="198"/>
      <c r="DR423" s="198"/>
      <c r="DS423" s="198"/>
      <c r="DT423" s="198"/>
      <c r="DU423" s="198"/>
      <c r="DV423" s="198"/>
      <c r="DW423" s="198"/>
      <c r="DX423" s="198"/>
      <c r="DY423" s="198"/>
      <c r="DZ423" s="198"/>
      <c r="EA423" s="198"/>
      <c r="EB423" s="198"/>
      <c r="EC423" s="198"/>
      <c r="ED423" s="198"/>
      <c r="EE423" s="198"/>
      <c r="EF423" s="198"/>
      <c r="EG423" s="198"/>
      <c r="EH423" s="198"/>
      <c r="EI423" s="198"/>
      <c r="EJ423" s="198"/>
      <c r="EK423" s="198"/>
      <c r="EL423" s="198"/>
      <c r="EM423" s="198"/>
      <c r="EN423" s="198"/>
      <c r="EO423" s="198"/>
      <c r="EP423" s="198"/>
      <c r="EQ423" s="198"/>
      <c r="ER423" s="198"/>
      <c r="ES423" s="198"/>
      <c r="ET423" s="198"/>
      <c r="EU423" s="198"/>
      <c r="EV423" s="198"/>
      <c r="EW423" s="198"/>
      <c r="EX423" s="198"/>
      <c r="EY423" s="198"/>
      <c r="EZ423" s="198"/>
      <c r="FA423" s="198"/>
      <c r="FB423" s="198"/>
      <c r="FC423" s="198"/>
      <c r="FD423" s="198"/>
      <c r="FE423" s="198"/>
      <c r="FF423" s="198"/>
      <c r="FG423" s="198"/>
      <c r="FH423" s="198"/>
    </row>
    <row r="424" spans="10:164" s="173" customFormat="1" x14ac:dyDescent="0.3">
      <c r="J424" s="198"/>
      <c r="K424" s="198"/>
      <c r="L424" s="198"/>
      <c r="M424" s="198"/>
      <c r="N424" s="198"/>
      <c r="O424" s="198"/>
      <c r="P424" s="198"/>
      <c r="Q424" s="198"/>
      <c r="R424" s="198"/>
      <c r="S424" s="198"/>
      <c r="T424" s="198"/>
      <c r="U424" s="198"/>
      <c r="V424" s="198"/>
      <c r="W424" s="198"/>
      <c r="X424" s="198"/>
      <c r="Y424" s="198"/>
      <c r="Z424" s="198"/>
      <c r="AA424" s="198"/>
      <c r="AB424" s="198"/>
      <c r="AC424" s="198"/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198"/>
      <c r="AQ424" s="198"/>
      <c r="AR424" s="198"/>
      <c r="AS424" s="198"/>
      <c r="AT424" s="198"/>
      <c r="AU424" s="198"/>
      <c r="AV424" s="198"/>
      <c r="AW424" s="198"/>
      <c r="AX424" s="198"/>
      <c r="AY424" s="198"/>
      <c r="AZ424" s="198"/>
      <c r="BA424" s="198"/>
      <c r="BB424" s="198"/>
      <c r="BC424" s="198"/>
      <c r="BD424" s="198"/>
      <c r="BE424" s="198"/>
      <c r="BF424" s="198"/>
      <c r="BG424" s="198"/>
      <c r="BH424" s="198"/>
      <c r="BI424" s="198"/>
      <c r="BJ424" s="198"/>
      <c r="BK424" s="198"/>
      <c r="BL424" s="198"/>
      <c r="BM424" s="198"/>
      <c r="BN424" s="198"/>
      <c r="BO424" s="198"/>
      <c r="BP424" s="198"/>
      <c r="BQ424" s="198"/>
      <c r="BR424" s="198"/>
      <c r="BS424" s="198"/>
      <c r="BT424" s="198"/>
      <c r="BU424" s="198"/>
      <c r="BV424" s="198"/>
      <c r="BW424" s="198"/>
      <c r="BX424" s="198"/>
      <c r="BY424" s="198"/>
      <c r="BZ424" s="198"/>
      <c r="CA424" s="198"/>
      <c r="CB424" s="198"/>
      <c r="CC424" s="198"/>
      <c r="CD424" s="198"/>
      <c r="CE424" s="198"/>
      <c r="CF424" s="198"/>
      <c r="CG424" s="198"/>
      <c r="CH424" s="198"/>
      <c r="CI424" s="198"/>
      <c r="CJ424" s="198"/>
      <c r="CK424" s="198"/>
      <c r="CL424" s="198"/>
      <c r="CM424" s="198"/>
      <c r="CN424" s="198"/>
      <c r="CO424" s="198"/>
      <c r="CP424" s="198"/>
      <c r="CQ424" s="198"/>
      <c r="CR424" s="198"/>
      <c r="CS424" s="198"/>
      <c r="CT424" s="198"/>
      <c r="CU424" s="198"/>
      <c r="CV424" s="198"/>
      <c r="CW424" s="198"/>
      <c r="CX424" s="198"/>
      <c r="CY424" s="198"/>
      <c r="CZ424" s="198"/>
      <c r="DA424" s="198"/>
      <c r="DB424" s="198"/>
      <c r="DC424" s="198"/>
      <c r="DD424" s="198"/>
      <c r="DE424" s="198"/>
      <c r="DF424" s="198"/>
      <c r="DG424" s="198"/>
      <c r="DH424" s="198"/>
      <c r="DI424" s="198"/>
      <c r="DJ424" s="198"/>
      <c r="DK424" s="198"/>
      <c r="DL424" s="198"/>
      <c r="DM424" s="198"/>
      <c r="DN424" s="198"/>
      <c r="DO424" s="198"/>
      <c r="DP424" s="198"/>
      <c r="DQ424" s="198"/>
      <c r="DR424" s="198"/>
      <c r="DS424" s="198"/>
      <c r="DT424" s="198"/>
      <c r="DU424" s="198"/>
      <c r="DV424" s="198"/>
      <c r="DW424" s="198"/>
      <c r="DX424" s="198"/>
      <c r="DY424" s="198"/>
      <c r="DZ424" s="198"/>
      <c r="EA424" s="198"/>
      <c r="EB424" s="198"/>
      <c r="EC424" s="198"/>
      <c r="ED424" s="198"/>
      <c r="EE424" s="198"/>
      <c r="EF424" s="198"/>
      <c r="EG424" s="198"/>
      <c r="EH424" s="198"/>
      <c r="EI424" s="198"/>
      <c r="EJ424" s="198"/>
      <c r="EK424" s="198"/>
      <c r="EL424" s="198"/>
      <c r="EM424" s="198"/>
      <c r="EN424" s="198"/>
      <c r="EO424" s="198"/>
      <c r="EP424" s="198"/>
      <c r="EQ424" s="198"/>
      <c r="ER424" s="198"/>
      <c r="ES424" s="198"/>
      <c r="ET424" s="198"/>
      <c r="EU424" s="198"/>
      <c r="EV424" s="198"/>
      <c r="EW424" s="198"/>
      <c r="EX424" s="198"/>
      <c r="EY424" s="198"/>
      <c r="EZ424" s="198"/>
      <c r="FA424" s="198"/>
      <c r="FB424" s="198"/>
      <c r="FC424" s="198"/>
      <c r="FD424" s="198"/>
      <c r="FE424" s="198"/>
      <c r="FF424" s="198"/>
      <c r="FG424" s="198"/>
      <c r="FH424" s="198"/>
    </row>
    <row r="425" spans="10:164" s="173" customFormat="1" x14ac:dyDescent="0.3">
      <c r="J425" s="198"/>
      <c r="K425" s="198"/>
      <c r="L425" s="198"/>
      <c r="M425" s="198"/>
      <c r="N425" s="198"/>
      <c r="O425" s="198"/>
      <c r="P425" s="198"/>
      <c r="Q425" s="198"/>
      <c r="R425" s="198"/>
      <c r="S425" s="198"/>
      <c r="T425" s="198"/>
      <c r="U425" s="198"/>
      <c r="V425" s="198"/>
      <c r="W425" s="198"/>
      <c r="X425" s="198"/>
      <c r="Y425" s="198"/>
      <c r="Z425" s="198"/>
      <c r="AA425" s="198"/>
      <c r="AB425" s="198"/>
      <c r="AC425" s="198"/>
      <c r="AD425" s="198"/>
      <c r="AE425" s="198"/>
      <c r="AF425" s="198"/>
      <c r="AG425" s="198"/>
      <c r="AH425" s="198"/>
      <c r="AI425" s="198"/>
      <c r="AJ425" s="198"/>
      <c r="AK425" s="198"/>
      <c r="AL425" s="198"/>
      <c r="AM425" s="198"/>
      <c r="AN425" s="198"/>
      <c r="AO425" s="198"/>
      <c r="AP425" s="198"/>
      <c r="AQ425" s="198"/>
      <c r="AR425" s="198"/>
      <c r="AS425" s="198"/>
      <c r="AT425" s="198"/>
      <c r="AU425" s="198"/>
      <c r="AV425" s="198"/>
      <c r="AW425" s="198"/>
      <c r="AX425" s="198"/>
      <c r="AY425" s="198"/>
      <c r="AZ425" s="198"/>
      <c r="BA425" s="198"/>
      <c r="BB425" s="198"/>
      <c r="BC425" s="198"/>
      <c r="BD425" s="198"/>
      <c r="BE425" s="198"/>
      <c r="BF425" s="198"/>
      <c r="BG425" s="198"/>
      <c r="BH425" s="198"/>
      <c r="BI425" s="198"/>
      <c r="BJ425" s="198"/>
      <c r="BK425" s="198"/>
      <c r="BL425" s="198"/>
      <c r="BM425" s="198"/>
      <c r="BN425" s="198"/>
      <c r="BO425" s="198"/>
      <c r="BP425" s="198"/>
      <c r="BQ425" s="198"/>
      <c r="BR425" s="198"/>
      <c r="BS425" s="198"/>
      <c r="BT425" s="198"/>
      <c r="BU425" s="198"/>
      <c r="BV425" s="198"/>
      <c r="BW425" s="198"/>
      <c r="BX425" s="198"/>
      <c r="BY425" s="198"/>
      <c r="BZ425" s="198"/>
      <c r="CA425" s="198"/>
      <c r="CB425" s="198"/>
      <c r="CC425" s="198"/>
      <c r="CD425" s="198"/>
      <c r="CE425" s="198"/>
      <c r="CF425" s="198"/>
      <c r="CG425" s="198"/>
      <c r="CH425" s="198"/>
      <c r="CI425" s="198"/>
      <c r="CJ425" s="198"/>
      <c r="CK425" s="198"/>
      <c r="CL425" s="198"/>
      <c r="CM425" s="198"/>
      <c r="CN425" s="198"/>
      <c r="CO425" s="198"/>
      <c r="CP425" s="198"/>
      <c r="CQ425" s="198"/>
      <c r="CR425" s="198"/>
      <c r="CS425" s="198"/>
      <c r="CT425" s="198"/>
      <c r="CU425" s="198"/>
      <c r="CV425" s="198"/>
      <c r="CW425" s="198"/>
      <c r="CX425" s="198"/>
      <c r="CY425" s="198"/>
      <c r="CZ425" s="198"/>
      <c r="DA425" s="198"/>
      <c r="DB425" s="198"/>
      <c r="DC425" s="198"/>
      <c r="DD425" s="198"/>
      <c r="DE425" s="198"/>
      <c r="DF425" s="198"/>
      <c r="DG425" s="198"/>
      <c r="DH425" s="198"/>
      <c r="DI425" s="198"/>
      <c r="DJ425" s="198"/>
      <c r="DK425" s="198"/>
      <c r="DL425" s="198"/>
      <c r="DM425" s="198"/>
      <c r="DN425" s="198"/>
      <c r="DO425" s="198"/>
      <c r="DP425" s="198"/>
      <c r="DQ425" s="198"/>
      <c r="DR425" s="198"/>
      <c r="DS425" s="198"/>
      <c r="DT425" s="198"/>
      <c r="DU425" s="198"/>
      <c r="DV425" s="198"/>
      <c r="DW425" s="198"/>
      <c r="DX425" s="198"/>
      <c r="DY425" s="198"/>
      <c r="DZ425" s="198"/>
      <c r="EA425" s="198"/>
      <c r="EB425" s="198"/>
      <c r="EC425" s="198"/>
      <c r="ED425" s="198"/>
      <c r="EE425" s="198"/>
      <c r="EF425" s="198"/>
      <c r="EG425" s="198"/>
      <c r="EH425" s="198"/>
      <c r="EI425" s="198"/>
      <c r="EJ425" s="198"/>
      <c r="EK425" s="198"/>
      <c r="EL425" s="198"/>
      <c r="EM425" s="198"/>
      <c r="EN425" s="198"/>
      <c r="EO425" s="198"/>
      <c r="EP425" s="198"/>
      <c r="EQ425" s="198"/>
      <c r="ER425" s="198"/>
      <c r="ES425" s="198"/>
      <c r="ET425" s="198"/>
      <c r="EU425" s="198"/>
      <c r="EV425" s="198"/>
      <c r="EW425" s="198"/>
      <c r="EX425" s="198"/>
      <c r="EY425" s="198"/>
      <c r="EZ425" s="198"/>
      <c r="FA425" s="198"/>
      <c r="FB425" s="198"/>
      <c r="FC425" s="198"/>
      <c r="FD425" s="198"/>
      <c r="FE425" s="198"/>
      <c r="FF425" s="198"/>
      <c r="FG425" s="198"/>
      <c r="FH425" s="198"/>
    </row>
    <row r="426" spans="10:164" s="173" customFormat="1" x14ac:dyDescent="0.3">
      <c r="J426" s="198"/>
      <c r="K426" s="198"/>
      <c r="L426" s="198"/>
      <c r="M426" s="198"/>
      <c r="N426" s="198"/>
      <c r="O426" s="198"/>
      <c r="P426" s="198"/>
      <c r="Q426" s="198"/>
      <c r="R426" s="198"/>
      <c r="S426" s="198"/>
      <c r="T426" s="198"/>
      <c r="U426" s="198"/>
      <c r="V426" s="198"/>
      <c r="W426" s="198"/>
      <c r="X426" s="198"/>
      <c r="Y426" s="198"/>
      <c r="Z426" s="198"/>
      <c r="AA426" s="198"/>
      <c r="AB426" s="198"/>
      <c r="AC426" s="198"/>
      <c r="AD426" s="198"/>
      <c r="AE426" s="198"/>
      <c r="AF426" s="198"/>
      <c r="AG426" s="198"/>
      <c r="AH426" s="198"/>
      <c r="AI426" s="198"/>
      <c r="AJ426" s="198"/>
      <c r="AK426" s="198"/>
      <c r="AL426" s="198"/>
      <c r="AM426" s="198"/>
      <c r="AN426" s="198"/>
      <c r="AO426" s="198"/>
      <c r="AP426" s="198"/>
      <c r="AQ426" s="198"/>
      <c r="AR426" s="198"/>
      <c r="AS426" s="198"/>
      <c r="AT426" s="198"/>
      <c r="AU426" s="198"/>
      <c r="AV426" s="198"/>
      <c r="AW426" s="198"/>
      <c r="AX426" s="198"/>
      <c r="AY426" s="198"/>
      <c r="AZ426" s="198"/>
      <c r="BA426" s="198"/>
      <c r="BB426" s="198"/>
      <c r="BC426" s="198"/>
      <c r="BD426" s="198"/>
      <c r="BE426" s="198"/>
      <c r="BF426" s="198"/>
      <c r="BG426" s="198"/>
      <c r="BH426" s="198"/>
      <c r="BI426" s="198"/>
      <c r="BJ426" s="198"/>
      <c r="BK426" s="198"/>
      <c r="BL426" s="198"/>
      <c r="BM426" s="198"/>
      <c r="BN426" s="198"/>
      <c r="BO426" s="198"/>
      <c r="BP426" s="198"/>
      <c r="BQ426" s="198"/>
      <c r="BR426" s="198"/>
      <c r="BS426" s="198"/>
      <c r="BT426" s="198"/>
      <c r="BU426" s="198"/>
      <c r="BV426" s="198"/>
      <c r="BW426" s="198"/>
      <c r="BX426" s="198"/>
      <c r="BY426" s="198"/>
      <c r="BZ426" s="198"/>
      <c r="CA426" s="198"/>
      <c r="CB426" s="198"/>
      <c r="CC426" s="198"/>
      <c r="CD426" s="198"/>
      <c r="CE426" s="198"/>
      <c r="CF426" s="198"/>
      <c r="CG426" s="198"/>
      <c r="CH426" s="198"/>
      <c r="CI426" s="198"/>
      <c r="CJ426" s="198"/>
      <c r="CK426" s="198"/>
      <c r="CL426" s="198"/>
      <c r="CM426" s="198"/>
      <c r="CN426" s="198"/>
      <c r="CO426" s="198"/>
      <c r="CP426" s="198"/>
      <c r="CQ426" s="198"/>
      <c r="CR426" s="198"/>
      <c r="CS426" s="198"/>
      <c r="CT426" s="198"/>
      <c r="CU426" s="198"/>
      <c r="CV426" s="198"/>
      <c r="CW426" s="198"/>
      <c r="CX426" s="198"/>
      <c r="CY426" s="198"/>
      <c r="CZ426" s="198"/>
      <c r="DA426" s="198"/>
      <c r="DB426" s="198"/>
      <c r="DC426" s="198"/>
      <c r="DD426" s="198"/>
      <c r="DE426" s="198"/>
      <c r="DF426" s="198"/>
      <c r="DG426" s="198"/>
      <c r="DH426" s="198"/>
      <c r="DI426" s="198"/>
      <c r="DJ426" s="198"/>
      <c r="DK426" s="198"/>
      <c r="DL426" s="198"/>
      <c r="DM426" s="198"/>
      <c r="DN426" s="198"/>
      <c r="DO426" s="198"/>
      <c r="DP426" s="198"/>
      <c r="DQ426" s="198"/>
      <c r="DR426" s="198"/>
      <c r="DS426" s="198"/>
      <c r="DT426" s="198"/>
      <c r="DU426" s="198"/>
      <c r="DV426" s="198"/>
      <c r="DW426" s="198"/>
      <c r="DX426" s="198"/>
      <c r="DY426" s="198"/>
      <c r="DZ426" s="198"/>
      <c r="EA426" s="198"/>
      <c r="EB426" s="198"/>
      <c r="EC426" s="198"/>
      <c r="ED426" s="198"/>
      <c r="EE426" s="198"/>
      <c r="EF426" s="198"/>
      <c r="EG426" s="198"/>
      <c r="EH426" s="198"/>
      <c r="EI426" s="198"/>
      <c r="EJ426" s="198"/>
      <c r="EK426" s="198"/>
      <c r="EL426" s="198"/>
      <c r="EM426" s="198"/>
      <c r="EN426" s="198"/>
      <c r="EO426" s="198"/>
      <c r="EP426" s="198"/>
      <c r="EQ426" s="198"/>
      <c r="ER426" s="198"/>
      <c r="ES426" s="198"/>
      <c r="ET426" s="198"/>
      <c r="EU426" s="198"/>
      <c r="EV426" s="198"/>
      <c r="EW426" s="198"/>
      <c r="EX426" s="198"/>
      <c r="EY426" s="198"/>
      <c r="EZ426" s="198"/>
      <c r="FA426" s="198"/>
      <c r="FB426" s="198"/>
      <c r="FC426" s="198"/>
      <c r="FD426" s="198"/>
      <c r="FE426" s="198"/>
      <c r="FF426" s="198"/>
      <c r="FG426" s="198"/>
      <c r="FH426" s="198"/>
    </row>
    <row r="427" spans="10:164" s="173" customFormat="1" x14ac:dyDescent="0.3">
      <c r="J427" s="198"/>
      <c r="K427" s="198"/>
      <c r="L427" s="198"/>
      <c r="M427" s="198"/>
      <c r="N427" s="198"/>
      <c r="O427" s="198"/>
      <c r="P427" s="198"/>
      <c r="Q427" s="198"/>
      <c r="R427" s="198"/>
      <c r="S427" s="198"/>
      <c r="T427" s="198"/>
      <c r="U427" s="198"/>
      <c r="V427" s="198"/>
      <c r="W427" s="198"/>
      <c r="X427" s="198"/>
      <c r="Y427" s="198"/>
      <c r="Z427" s="198"/>
      <c r="AA427" s="198"/>
      <c r="AB427" s="198"/>
      <c r="AC427" s="198"/>
      <c r="AD427" s="198"/>
      <c r="AE427" s="198"/>
      <c r="AF427" s="198"/>
      <c r="AG427" s="198"/>
      <c r="AH427" s="198"/>
      <c r="AI427" s="198"/>
      <c r="AJ427" s="198"/>
      <c r="AK427" s="198"/>
      <c r="AL427" s="198"/>
      <c r="AM427" s="198"/>
      <c r="AN427" s="198"/>
      <c r="AO427" s="198"/>
      <c r="AP427" s="198"/>
      <c r="AQ427" s="198"/>
      <c r="AR427" s="198"/>
      <c r="AS427" s="198"/>
      <c r="AT427" s="198"/>
      <c r="AU427" s="198"/>
      <c r="AV427" s="198"/>
      <c r="AW427" s="198"/>
      <c r="AX427" s="198"/>
      <c r="AY427" s="198"/>
      <c r="AZ427" s="198"/>
      <c r="BA427" s="198"/>
      <c r="BB427" s="198"/>
      <c r="BC427" s="198"/>
      <c r="BD427" s="198"/>
      <c r="BE427" s="198"/>
      <c r="BF427" s="198"/>
      <c r="BG427" s="198"/>
      <c r="BH427" s="198"/>
      <c r="BI427" s="198"/>
      <c r="BJ427" s="198"/>
      <c r="BK427" s="198"/>
      <c r="BL427" s="198"/>
      <c r="BM427" s="198"/>
      <c r="BN427" s="198"/>
      <c r="BO427" s="198"/>
      <c r="BP427" s="198"/>
      <c r="BQ427" s="198"/>
      <c r="BR427" s="198"/>
      <c r="BS427" s="198"/>
      <c r="BT427" s="198"/>
      <c r="BU427" s="198"/>
      <c r="BV427" s="198"/>
      <c r="BW427" s="198"/>
      <c r="BX427" s="198"/>
      <c r="BY427" s="198"/>
      <c r="BZ427" s="198"/>
      <c r="CA427" s="198"/>
      <c r="CB427" s="198"/>
      <c r="CC427" s="198"/>
      <c r="CD427" s="198"/>
      <c r="CE427" s="198"/>
      <c r="CF427" s="198"/>
      <c r="CG427" s="198"/>
      <c r="CH427" s="198"/>
      <c r="CI427" s="198"/>
      <c r="CJ427" s="198"/>
      <c r="CK427" s="198"/>
      <c r="CL427" s="198"/>
      <c r="CM427" s="198"/>
      <c r="CN427" s="198"/>
      <c r="CO427" s="198"/>
      <c r="CP427" s="198"/>
      <c r="CQ427" s="198"/>
      <c r="CR427" s="198"/>
      <c r="CS427" s="198"/>
      <c r="CT427" s="198"/>
      <c r="CU427" s="198"/>
      <c r="CV427" s="198"/>
      <c r="CW427" s="198"/>
      <c r="CX427" s="198"/>
      <c r="CY427" s="198"/>
      <c r="CZ427" s="198"/>
      <c r="DA427" s="198"/>
      <c r="DB427" s="198"/>
      <c r="DC427" s="198"/>
      <c r="DD427" s="198"/>
      <c r="DE427" s="198"/>
      <c r="DF427" s="198"/>
      <c r="DG427" s="198"/>
      <c r="DH427" s="198"/>
      <c r="DI427" s="198"/>
      <c r="DJ427" s="198"/>
      <c r="DK427" s="198"/>
      <c r="DL427" s="198"/>
      <c r="DM427" s="198"/>
      <c r="DN427" s="198"/>
      <c r="DO427" s="198"/>
      <c r="DP427" s="198"/>
      <c r="DQ427" s="198"/>
      <c r="DR427" s="198"/>
      <c r="DS427" s="198"/>
      <c r="DT427" s="198"/>
      <c r="DU427" s="198"/>
      <c r="DV427" s="198"/>
      <c r="DW427" s="198"/>
      <c r="DX427" s="198"/>
      <c r="DY427" s="198"/>
      <c r="DZ427" s="198"/>
      <c r="EA427" s="198"/>
      <c r="EB427" s="198"/>
      <c r="EC427" s="198"/>
      <c r="ED427" s="198"/>
      <c r="EE427" s="198"/>
      <c r="EF427" s="198"/>
      <c r="EG427" s="198"/>
      <c r="EH427" s="198"/>
      <c r="EI427" s="198"/>
      <c r="EJ427" s="198"/>
      <c r="EK427" s="198"/>
      <c r="EL427" s="198"/>
      <c r="EM427" s="198"/>
      <c r="EN427" s="198"/>
      <c r="EO427" s="198"/>
      <c r="EP427" s="198"/>
      <c r="EQ427" s="198"/>
      <c r="ER427" s="198"/>
      <c r="ES427" s="198"/>
      <c r="ET427" s="198"/>
      <c r="EU427" s="198"/>
      <c r="EV427" s="198"/>
      <c r="EW427" s="198"/>
      <c r="EX427" s="198"/>
      <c r="EY427" s="198"/>
      <c r="EZ427" s="198"/>
      <c r="FA427" s="198"/>
      <c r="FB427" s="198"/>
      <c r="FC427" s="198"/>
      <c r="FD427" s="198"/>
      <c r="FE427" s="198"/>
      <c r="FF427" s="198"/>
      <c r="FG427" s="198"/>
      <c r="FH427" s="198"/>
    </row>
    <row r="428" spans="10:164" s="173" customFormat="1" x14ac:dyDescent="0.3">
      <c r="J428" s="198"/>
      <c r="K428" s="198"/>
      <c r="L428" s="198"/>
      <c r="M428" s="198"/>
      <c r="N428" s="198"/>
      <c r="O428" s="198"/>
      <c r="P428" s="198"/>
      <c r="Q428" s="198"/>
      <c r="R428" s="198"/>
      <c r="S428" s="198"/>
      <c r="T428" s="198"/>
      <c r="U428" s="198"/>
      <c r="V428" s="198"/>
      <c r="W428" s="198"/>
      <c r="X428" s="198"/>
      <c r="Y428" s="198"/>
      <c r="Z428" s="198"/>
      <c r="AA428" s="198"/>
      <c r="AB428" s="198"/>
      <c r="AC428" s="198"/>
      <c r="AD428" s="198"/>
      <c r="AE428" s="198"/>
      <c r="AF428" s="198"/>
      <c r="AG428" s="198"/>
      <c r="AH428" s="198"/>
      <c r="AI428" s="198"/>
      <c r="AJ428" s="198"/>
      <c r="AK428" s="198"/>
      <c r="AL428" s="198"/>
      <c r="AM428" s="198"/>
      <c r="AN428" s="198"/>
      <c r="AO428" s="198"/>
      <c r="AP428" s="198"/>
      <c r="AQ428" s="198"/>
      <c r="AR428" s="198"/>
      <c r="AS428" s="198"/>
      <c r="AT428" s="198"/>
      <c r="AU428" s="198"/>
      <c r="AV428" s="198"/>
      <c r="AW428" s="198"/>
      <c r="AX428" s="198"/>
      <c r="AY428" s="198"/>
      <c r="AZ428" s="198"/>
      <c r="BA428" s="198"/>
      <c r="BB428" s="198"/>
      <c r="BC428" s="198"/>
      <c r="BD428" s="198"/>
      <c r="BE428" s="198"/>
      <c r="BF428" s="198"/>
      <c r="BG428" s="198"/>
      <c r="BH428" s="198"/>
      <c r="BI428" s="198"/>
      <c r="BJ428" s="198"/>
      <c r="BK428" s="198"/>
      <c r="BL428" s="198"/>
      <c r="BM428" s="198"/>
      <c r="BN428" s="198"/>
      <c r="BO428" s="198"/>
      <c r="BP428" s="198"/>
      <c r="BQ428" s="198"/>
      <c r="BR428" s="198"/>
      <c r="BS428" s="198"/>
      <c r="BT428" s="198"/>
      <c r="BU428" s="198"/>
      <c r="BV428" s="198"/>
      <c r="BW428" s="198"/>
      <c r="BX428" s="198"/>
      <c r="BY428" s="198"/>
      <c r="BZ428" s="198"/>
      <c r="CA428" s="198"/>
      <c r="CB428" s="198"/>
      <c r="CC428" s="198"/>
      <c r="CD428" s="198"/>
      <c r="CE428" s="198"/>
      <c r="CF428" s="198"/>
      <c r="CG428" s="198"/>
      <c r="CH428" s="198"/>
      <c r="CI428" s="198"/>
      <c r="CJ428" s="198"/>
      <c r="CK428" s="198"/>
      <c r="CL428" s="198"/>
      <c r="CM428" s="198"/>
      <c r="CN428" s="198"/>
      <c r="CO428" s="198"/>
      <c r="CP428" s="198"/>
      <c r="CQ428" s="198"/>
      <c r="CR428" s="198"/>
      <c r="CS428" s="198"/>
      <c r="CT428" s="198"/>
      <c r="CU428" s="198"/>
      <c r="CV428" s="198"/>
      <c r="CW428" s="198"/>
      <c r="CX428" s="198"/>
      <c r="CY428" s="198"/>
      <c r="CZ428" s="198"/>
      <c r="DA428" s="198"/>
      <c r="DB428" s="198"/>
      <c r="DC428" s="198"/>
      <c r="DD428" s="198"/>
      <c r="DE428" s="198"/>
      <c r="DF428" s="198"/>
      <c r="DG428" s="198"/>
      <c r="DH428" s="198"/>
      <c r="DI428" s="198"/>
      <c r="DJ428" s="198"/>
      <c r="DK428" s="198"/>
      <c r="DL428" s="198"/>
      <c r="DM428" s="198"/>
      <c r="DN428" s="198"/>
      <c r="DO428" s="198"/>
      <c r="DP428" s="198"/>
      <c r="DQ428" s="198"/>
      <c r="DR428" s="198"/>
      <c r="DS428" s="198"/>
      <c r="DT428" s="198"/>
      <c r="DU428" s="198"/>
      <c r="DV428" s="198"/>
      <c r="DW428" s="198"/>
      <c r="DX428" s="198"/>
      <c r="DY428" s="198"/>
      <c r="DZ428" s="198"/>
      <c r="EA428" s="198"/>
      <c r="EB428" s="198"/>
      <c r="EC428" s="198"/>
      <c r="ED428" s="198"/>
      <c r="EE428" s="198"/>
      <c r="EF428" s="198"/>
      <c r="EG428" s="198"/>
      <c r="EH428" s="198"/>
      <c r="EI428" s="198"/>
      <c r="EJ428" s="198"/>
      <c r="EK428" s="198"/>
      <c r="EL428" s="198"/>
      <c r="EM428" s="198"/>
      <c r="EN428" s="198"/>
      <c r="EO428" s="198"/>
      <c r="EP428" s="198"/>
      <c r="EQ428" s="198"/>
      <c r="ER428" s="198"/>
      <c r="ES428" s="198"/>
      <c r="ET428" s="198"/>
      <c r="EU428" s="198"/>
      <c r="EV428" s="198"/>
      <c r="EW428" s="198"/>
      <c r="EX428" s="198"/>
      <c r="EY428" s="198"/>
      <c r="EZ428" s="198"/>
      <c r="FA428" s="198"/>
      <c r="FB428" s="198"/>
      <c r="FC428" s="198"/>
      <c r="FD428" s="198"/>
      <c r="FE428" s="198"/>
      <c r="FF428" s="198"/>
      <c r="FG428" s="198"/>
      <c r="FH428" s="198"/>
    </row>
    <row r="429" spans="10:164" s="173" customFormat="1" x14ac:dyDescent="0.3">
      <c r="J429" s="198"/>
      <c r="K429" s="198"/>
      <c r="L429" s="198"/>
      <c r="M429" s="198"/>
      <c r="N429" s="198"/>
      <c r="O429" s="198"/>
      <c r="P429" s="198"/>
      <c r="Q429" s="198"/>
      <c r="R429" s="198"/>
      <c r="S429" s="198"/>
      <c r="T429" s="198"/>
      <c r="U429" s="198"/>
      <c r="V429" s="198"/>
      <c r="W429" s="198"/>
      <c r="X429" s="198"/>
      <c r="Y429" s="198"/>
      <c r="Z429" s="198"/>
      <c r="AA429" s="198"/>
      <c r="AB429" s="198"/>
      <c r="AC429" s="198"/>
      <c r="AD429" s="198"/>
      <c r="AE429" s="198"/>
      <c r="AF429" s="198"/>
      <c r="AG429" s="198"/>
      <c r="AH429" s="198"/>
      <c r="AI429" s="198"/>
      <c r="AJ429" s="198"/>
      <c r="AK429" s="198"/>
      <c r="AL429" s="198"/>
      <c r="AM429" s="198"/>
      <c r="AN429" s="198"/>
      <c r="AO429" s="198"/>
      <c r="AP429" s="198"/>
      <c r="AQ429" s="198"/>
      <c r="AR429" s="198"/>
      <c r="AS429" s="198"/>
      <c r="AT429" s="198"/>
      <c r="AU429" s="198"/>
      <c r="AV429" s="198"/>
      <c r="AW429" s="198"/>
      <c r="AX429" s="198"/>
      <c r="AY429" s="198"/>
      <c r="AZ429" s="198"/>
      <c r="BA429" s="198"/>
      <c r="BB429" s="198"/>
      <c r="BC429" s="198"/>
      <c r="BD429" s="198"/>
      <c r="BE429" s="198"/>
      <c r="BF429" s="198"/>
      <c r="BG429" s="198"/>
      <c r="BH429" s="198"/>
      <c r="BI429" s="198"/>
      <c r="BJ429" s="198"/>
      <c r="BK429" s="198"/>
      <c r="BL429" s="198"/>
      <c r="BM429" s="198"/>
      <c r="BN429" s="198"/>
      <c r="BO429" s="198"/>
      <c r="BP429" s="198"/>
      <c r="BQ429" s="198"/>
      <c r="BR429" s="198"/>
      <c r="BS429" s="198"/>
      <c r="BT429" s="198"/>
      <c r="BU429" s="198"/>
      <c r="BV429" s="198"/>
      <c r="BW429" s="198"/>
      <c r="BX429" s="198"/>
      <c r="BY429" s="198"/>
      <c r="BZ429" s="198"/>
      <c r="CA429" s="198"/>
      <c r="CB429" s="198"/>
      <c r="CC429" s="198"/>
      <c r="CD429" s="198"/>
      <c r="CE429" s="198"/>
      <c r="CF429" s="198"/>
      <c r="CG429" s="198"/>
      <c r="CH429" s="198"/>
      <c r="CI429" s="198"/>
      <c r="CJ429" s="198"/>
      <c r="CK429" s="198"/>
      <c r="CL429" s="198"/>
      <c r="CM429" s="198"/>
      <c r="CN429" s="198"/>
      <c r="CO429" s="198"/>
      <c r="CP429" s="198"/>
      <c r="CQ429" s="198"/>
      <c r="CR429" s="198"/>
      <c r="CS429" s="198"/>
      <c r="CT429" s="198"/>
      <c r="CU429" s="198"/>
      <c r="CV429" s="198"/>
      <c r="CW429" s="198"/>
      <c r="CX429" s="198"/>
      <c r="CY429" s="198"/>
      <c r="CZ429" s="198"/>
      <c r="DA429" s="198"/>
      <c r="DB429" s="198"/>
      <c r="DC429" s="198"/>
      <c r="DD429" s="198"/>
      <c r="DE429" s="198"/>
      <c r="DF429" s="198"/>
      <c r="DG429" s="198"/>
      <c r="DH429" s="198"/>
      <c r="DI429" s="198"/>
      <c r="DJ429" s="198"/>
      <c r="DK429" s="198"/>
      <c r="DL429" s="198"/>
      <c r="DM429" s="198"/>
      <c r="DN429" s="198"/>
      <c r="DO429" s="198"/>
      <c r="DP429" s="198"/>
      <c r="DQ429" s="198"/>
      <c r="DR429" s="198"/>
      <c r="DS429" s="198"/>
      <c r="DT429" s="198"/>
      <c r="DU429" s="198"/>
      <c r="DV429" s="198"/>
      <c r="DW429" s="198"/>
      <c r="DX429" s="198"/>
      <c r="DY429" s="198"/>
      <c r="DZ429" s="198"/>
      <c r="EA429" s="198"/>
      <c r="EB429" s="198"/>
      <c r="EC429" s="198"/>
      <c r="ED429" s="198"/>
      <c r="EE429" s="198"/>
      <c r="EF429" s="198"/>
      <c r="EG429" s="198"/>
      <c r="EH429" s="198"/>
      <c r="EI429" s="198"/>
      <c r="EJ429" s="198"/>
      <c r="EK429" s="198"/>
      <c r="EL429" s="198"/>
      <c r="EM429" s="198"/>
      <c r="EN429" s="198"/>
      <c r="EO429" s="198"/>
      <c r="EP429" s="198"/>
      <c r="EQ429" s="198"/>
      <c r="ER429" s="198"/>
      <c r="ES429" s="198"/>
      <c r="ET429" s="198"/>
      <c r="EU429" s="198"/>
      <c r="EV429" s="198"/>
      <c r="EW429" s="198"/>
      <c r="EX429" s="198"/>
      <c r="EY429" s="198"/>
      <c r="EZ429" s="198"/>
      <c r="FA429" s="198"/>
      <c r="FB429" s="198"/>
      <c r="FC429" s="198"/>
      <c r="FD429" s="198"/>
      <c r="FE429" s="198"/>
      <c r="FF429" s="198"/>
      <c r="FG429" s="198"/>
      <c r="FH429" s="198"/>
    </row>
    <row r="430" spans="10:164" s="173" customFormat="1" x14ac:dyDescent="0.3">
      <c r="J430" s="198"/>
      <c r="K430" s="198"/>
      <c r="L430" s="198"/>
      <c r="M430" s="198"/>
      <c r="N430" s="198"/>
      <c r="O430" s="198"/>
      <c r="P430" s="198"/>
      <c r="Q430" s="198"/>
      <c r="R430" s="198"/>
      <c r="S430" s="198"/>
      <c r="T430" s="198"/>
      <c r="U430" s="198"/>
      <c r="V430" s="198"/>
      <c r="W430" s="198"/>
      <c r="X430" s="198"/>
      <c r="Y430" s="198"/>
      <c r="Z430" s="198"/>
      <c r="AA430" s="198"/>
      <c r="AB430" s="198"/>
      <c r="AC430" s="198"/>
      <c r="AD430" s="198"/>
      <c r="AE430" s="198"/>
      <c r="AF430" s="198"/>
      <c r="AG430" s="198"/>
      <c r="AH430" s="198"/>
      <c r="AI430" s="198"/>
      <c r="AJ430" s="198"/>
      <c r="AK430" s="198"/>
      <c r="AL430" s="198"/>
      <c r="AM430" s="198"/>
      <c r="AN430" s="198"/>
      <c r="AO430" s="198"/>
      <c r="AP430" s="198"/>
      <c r="AQ430" s="198"/>
      <c r="AR430" s="198"/>
      <c r="AS430" s="198"/>
      <c r="AT430" s="198"/>
      <c r="AU430" s="198"/>
      <c r="AV430" s="198"/>
      <c r="AW430" s="198"/>
      <c r="AX430" s="198"/>
      <c r="AY430" s="198"/>
      <c r="AZ430" s="198"/>
      <c r="BA430" s="198"/>
      <c r="BB430" s="198"/>
      <c r="BC430" s="198"/>
      <c r="BD430" s="198"/>
      <c r="BE430" s="198"/>
      <c r="BF430" s="198"/>
      <c r="BG430" s="198"/>
      <c r="BH430" s="198"/>
      <c r="BI430" s="198"/>
      <c r="BJ430" s="198"/>
      <c r="BK430" s="198"/>
      <c r="BL430" s="198"/>
      <c r="BM430" s="198"/>
      <c r="BN430" s="198"/>
      <c r="BO430" s="198"/>
      <c r="BP430" s="198"/>
      <c r="BQ430" s="198"/>
      <c r="BR430" s="198"/>
      <c r="BS430" s="198"/>
      <c r="BT430" s="198"/>
      <c r="BU430" s="198"/>
      <c r="BV430" s="198"/>
      <c r="BW430" s="198"/>
      <c r="BX430" s="198"/>
      <c r="BY430" s="198"/>
      <c r="BZ430" s="198"/>
      <c r="CA430" s="198"/>
      <c r="CB430" s="198"/>
      <c r="CC430" s="198"/>
      <c r="CD430" s="198"/>
      <c r="CE430" s="198"/>
      <c r="CF430" s="198"/>
      <c r="CG430" s="198"/>
      <c r="CH430" s="198"/>
      <c r="CI430" s="198"/>
      <c r="CJ430" s="198"/>
      <c r="CK430" s="198"/>
      <c r="CL430" s="198"/>
      <c r="CM430" s="198"/>
      <c r="CN430" s="198"/>
      <c r="CO430" s="198"/>
      <c r="CP430" s="198"/>
      <c r="CQ430" s="198"/>
      <c r="CR430" s="198"/>
      <c r="CS430" s="198"/>
      <c r="CT430" s="198"/>
      <c r="CU430" s="198"/>
      <c r="CV430" s="198"/>
      <c r="CW430" s="198"/>
      <c r="CX430" s="198"/>
      <c r="CY430" s="198"/>
      <c r="CZ430" s="198"/>
      <c r="DA430" s="198"/>
      <c r="DB430" s="198"/>
      <c r="DC430" s="198"/>
      <c r="DD430" s="198"/>
      <c r="DE430" s="198"/>
      <c r="DF430" s="198"/>
      <c r="DG430" s="198"/>
      <c r="DH430" s="198"/>
      <c r="DI430" s="198"/>
      <c r="DJ430" s="198"/>
      <c r="DK430" s="198"/>
      <c r="DL430" s="198"/>
      <c r="DM430" s="198"/>
      <c r="DN430" s="198"/>
      <c r="DO430" s="198"/>
      <c r="DP430" s="198"/>
      <c r="DQ430" s="198"/>
      <c r="DR430" s="198"/>
      <c r="DS430" s="198"/>
      <c r="DT430" s="198"/>
      <c r="DU430" s="198"/>
      <c r="DV430" s="198"/>
      <c r="DW430" s="198"/>
      <c r="DX430" s="198"/>
      <c r="DY430" s="198"/>
      <c r="DZ430" s="198"/>
      <c r="EA430" s="198"/>
      <c r="EB430" s="198"/>
      <c r="EC430" s="198"/>
      <c r="ED430" s="198"/>
      <c r="EE430" s="198"/>
      <c r="EF430" s="198"/>
      <c r="EG430" s="198"/>
      <c r="EH430" s="198"/>
      <c r="EI430" s="198"/>
      <c r="EJ430" s="198"/>
      <c r="EK430" s="198"/>
      <c r="EL430" s="198"/>
      <c r="EM430" s="198"/>
      <c r="EN430" s="198"/>
      <c r="EO430" s="198"/>
      <c r="EP430" s="198"/>
      <c r="EQ430" s="198"/>
      <c r="ER430" s="198"/>
      <c r="ES430" s="198"/>
      <c r="ET430" s="198"/>
      <c r="EU430" s="198"/>
      <c r="EV430" s="198"/>
      <c r="EW430" s="198"/>
      <c r="EX430" s="198"/>
      <c r="EY430" s="198"/>
      <c r="EZ430" s="198"/>
      <c r="FA430" s="198"/>
      <c r="FB430" s="198"/>
      <c r="FC430" s="198"/>
      <c r="FD430" s="198"/>
      <c r="FE430" s="198"/>
      <c r="FF430" s="198"/>
      <c r="FG430" s="198"/>
      <c r="FH430" s="198"/>
    </row>
    <row r="431" spans="10:164" s="173" customFormat="1" x14ac:dyDescent="0.3">
      <c r="J431" s="198"/>
      <c r="K431" s="198"/>
      <c r="L431" s="198"/>
      <c r="M431" s="198"/>
      <c r="N431" s="198"/>
      <c r="O431" s="198"/>
      <c r="P431" s="198"/>
      <c r="Q431" s="198"/>
      <c r="R431" s="198"/>
      <c r="S431" s="198"/>
      <c r="T431" s="198"/>
      <c r="U431" s="198"/>
      <c r="V431" s="198"/>
      <c r="W431" s="198"/>
      <c r="X431" s="198"/>
      <c r="Y431" s="198"/>
      <c r="Z431" s="198"/>
      <c r="AA431" s="198"/>
      <c r="AB431" s="198"/>
      <c r="AC431" s="198"/>
      <c r="AD431" s="198"/>
      <c r="AE431" s="198"/>
      <c r="AF431" s="198"/>
      <c r="AG431" s="198"/>
      <c r="AH431" s="198"/>
      <c r="AI431" s="198"/>
      <c r="AJ431" s="198"/>
      <c r="AK431" s="198"/>
      <c r="AL431" s="198"/>
      <c r="AM431" s="198"/>
      <c r="AN431" s="198"/>
      <c r="AO431" s="198"/>
      <c r="AP431" s="198"/>
      <c r="AQ431" s="198"/>
      <c r="AR431" s="198"/>
      <c r="AS431" s="198"/>
      <c r="AT431" s="198"/>
      <c r="AU431" s="198"/>
      <c r="AV431" s="198"/>
      <c r="AW431" s="198"/>
      <c r="AX431" s="198"/>
      <c r="AY431" s="198"/>
      <c r="AZ431" s="198"/>
      <c r="BA431" s="198"/>
      <c r="BB431" s="198"/>
      <c r="BC431" s="198"/>
      <c r="BD431" s="198"/>
      <c r="BE431" s="198"/>
      <c r="BF431" s="198"/>
      <c r="BG431" s="198"/>
      <c r="BH431" s="198"/>
      <c r="BI431" s="198"/>
      <c r="BJ431" s="198"/>
      <c r="BK431" s="198"/>
      <c r="BL431" s="198"/>
      <c r="BM431" s="198"/>
      <c r="BN431" s="198"/>
      <c r="BO431" s="198"/>
      <c r="BP431" s="198"/>
      <c r="BQ431" s="198"/>
      <c r="BR431" s="198"/>
      <c r="BS431" s="198"/>
      <c r="BT431" s="198"/>
      <c r="BU431" s="198"/>
      <c r="BV431" s="198"/>
      <c r="BW431" s="198"/>
      <c r="BX431" s="198"/>
      <c r="BY431" s="198"/>
      <c r="BZ431" s="198"/>
      <c r="CA431" s="198"/>
      <c r="CB431" s="198"/>
      <c r="CC431" s="198"/>
      <c r="CD431" s="198"/>
      <c r="CE431" s="198"/>
      <c r="CF431" s="198"/>
      <c r="CG431" s="198"/>
      <c r="CH431" s="198"/>
      <c r="CI431" s="198"/>
      <c r="CJ431" s="198"/>
      <c r="CK431" s="198"/>
      <c r="CL431" s="198"/>
      <c r="CM431" s="198"/>
      <c r="CN431" s="198"/>
      <c r="CO431" s="198"/>
      <c r="CP431" s="198"/>
      <c r="CQ431" s="198"/>
      <c r="CR431" s="198"/>
      <c r="CS431" s="198"/>
      <c r="CT431" s="198"/>
      <c r="CU431" s="198"/>
      <c r="CV431" s="198"/>
      <c r="CW431" s="198"/>
      <c r="CX431" s="198"/>
      <c r="CY431" s="198"/>
      <c r="CZ431" s="198"/>
      <c r="DA431" s="198"/>
      <c r="DB431" s="198"/>
      <c r="DC431" s="198"/>
      <c r="DD431" s="198"/>
      <c r="DE431" s="198"/>
      <c r="DF431" s="198"/>
      <c r="DG431" s="198"/>
      <c r="DH431" s="198"/>
      <c r="DI431" s="198"/>
      <c r="DJ431" s="198"/>
      <c r="DK431" s="198"/>
      <c r="DL431" s="198"/>
      <c r="DM431" s="198"/>
      <c r="DN431" s="198"/>
      <c r="DO431" s="198"/>
      <c r="DP431" s="198"/>
      <c r="DQ431" s="198"/>
      <c r="DR431" s="198"/>
      <c r="DS431" s="198"/>
      <c r="DT431" s="198"/>
      <c r="DU431" s="198"/>
      <c r="DV431" s="198"/>
      <c r="DW431" s="198"/>
      <c r="DX431" s="198"/>
      <c r="DY431" s="198"/>
      <c r="DZ431" s="198"/>
      <c r="EA431" s="198"/>
      <c r="EB431" s="198"/>
      <c r="EC431" s="198"/>
      <c r="ED431" s="198"/>
      <c r="EE431" s="198"/>
      <c r="EF431" s="198"/>
      <c r="EG431" s="198"/>
      <c r="EH431" s="198"/>
      <c r="EI431" s="198"/>
      <c r="EJ431" s="198"/>
      <c r="EK431" s="198"/>
      <c r="EL431" s="198"/>
      <c r="EM431" s="198"/>
      <c r="EN431" s="198"/>
      <c r="EO431" s="198"/>
      <c r="EP431" s="198"/>
      <c r="EQ431" s="198"/>
      <c r="ER431" s="198"/>
      <c r="ES431" s="198"/>
      <c r="ET431" s="198"/>
      <c r="EU431" s="198"/>
      <c r="EV431" s="198"/>
      <c r="EW431" s="198"/>
      <c r="EX431" s="198"/>
      <c r="EY431" s="198"/>
      <c r="EZ431" s="198"/>
      <c r="FA431" s="198"/>
      <c r="FB431" s="198"/>
      <c r="FC431" s="198"/>
      <c r="FD431" s="198"/>
      <c r="FE431" s="198"/>
      <c r="FF431" s="198"/>
      <c r="FG431" s="198"/>
      <c r="FH431" s="198"/>
    </row>
    <row r="432" spans="10:164" s="173" customFormat="1" x14ac:dyDescent="0.3">
      <c r="J432" s="198"/>
      <c r="K432" s="198"/>
      <c r="L432" s="198"/>
      <c r="M432" s="198"/>
      <c r="N432" s="198"/>
      <c r="O432" s="198"/>
      <c r="P432" s="198"/>
      <c r="Q432" s="198"/>
      <c r="R432" s="198"/>
      <c r="S432" s="198"/>
      <c r="T432" s="198"/>
      <c r="U432" s="198"/>
      <c r="V432" s="198"/>
      <c r="W432" s="198"/>
      <c r="X432" s="198"/>
      <c r="Y432" s="198"/>
      <c r="Z432" s="198"/>
      <c r="AA432" s="198"/>
      <c r="AB432" s="198"/>
      <c r="AC432" s="198"/>
      <c r="AD432" s="198"/>
      <c r="AE432" s="198"/>
      <c r="AF432" s="198"/>
      <c r="AG432" s="198"/>
      <c r="AH432" s="198"/>
      <c r="AI432" s="198"/>
      <c r="AJ432" s="198"/>
      <c r="AK432" s="198"/>
      <c r="AL432" s="198"/>
      <c r="AM432" s="198"/>
      <c r="AN432" s="198"/>
      <c r="AO432" s="198"/>
      <c r="AP432" s="198"/>
      <c r="AQ432" s="198"/>
      <c r="AR432" s="198"/>
      <c r="AS432" s="198"/>
      <c r="AT432" s="198"/>
      <c r="AU432" s="198"/>
      <c r="AV432" s="198"/>
      <c r="AW432" s="198"/>
      <c r="AX432" s="198"/>
      <c r="AY432" s="198"/>
      <c r="AZ432" s="198"/>
      <c r="BA432" s="198"/>
      <c r="BB432" s="198"/>
      <c r="BC432" s="198"/>
      <c r="BD432" s="198"/>
      <c r="BE432" s="198"/>
      <c r="BF432" s="198"/>
      <c r="BG432" s="198"/>
      <c r="BH432" s="198"/>
      <c r="BI432" s="198"/>
      <c r="BJ432" s="198"/>
      <c r="BK432" s="198"/>
      <c r="BL432" s="198"/>
      <c r="BM432" s="198"/>
      <c r="BN432" s="198"/>
      <c r="BO432" s="198"/>
      <c r="BP432" s="198"/>
      <c r="BQ432" s="198"/>
      <c r="BR432" s="198"/>
      <c r="BS432" s="198"/>
      <c r="BT432" s="198"/>
      <c r="BU432" s="198"/>
      <c r="BV432" s="198"/>
      <c r="BW432" s="198"/>
      <c r="BX432" s="198"/>
      <c r="BY432" s="198"/>
      <c r="BZ432" s="198"/>
      <c r="CA432" s="198"/>
      <c r="CB432" s="198"/>
      <c r="CC432" s="198"/>
      <c r="CD432" s="198"/>
      <c r="CE432" s="198"/>
      <c r="CF432" s="198"/>
      <c r="CG432" s="198"/>
      <c r="CH432" s="198"/>
      <c r="CI432" s="198"/>
      <c r="CJ432" s="198"/>
      <c r="CK432" s="198"/>
      <c r="CL432" s="198"/>
      <c r="CM432" s="198"/>
      <c r="CN432" s="198"/>
      <c r="CO432" s="198"/>
      <c r="CP432" s="198"/>
      <c r="CQ432" s="198"/>
      <c r="CR432" s="198"/>
      <c r="CS432" s="198"/>
      <c r="CT432" s="198"/>
      <c r="CU432" s="198"/>
      <c r="CV432" s="198"/>
      <c r="CW432" s="198"/>
      <c r="CX432" s="198"/>
      <c r="CY432" s="198"/>
      <c r="CZ432" s="198"/>
      <c r="DA432" s="198"/>
      <c r="DB432" s="198"/>
      <c r="DC432" s="198"/>
      <c r="DD432" s="198"/>
      <c r="DE432" s="198"/>
      <c r="DF432" s="198"/>
      <c r="DG432" s="198"/>
      <c r="DH432" s="198"/>
      <c r="DI432" s="198"/>
      <c r="DJ432" s="198"/>
      <c r="DK432" s="198"/>
      <c r="DL432" s="198"/>
      <c r="DM432" s="198"/>
      <c r="DN432" s="198"/>
      <c r="DO432" s="198"/>
      <c r="DP432" s="198"/>
      <c r="DQ432" s="198"/>
      <c r="DR432" s="198"/>
      <c r="DS432" s="198"/>
      <c r="DT432" s="198"/>
      <c r="DU432" s="198"/>
      <c r="DV432" s="198"/>
      <c r="DW432" s="198"/>
      <c r="DX432" s="198"/>
      <c r="DY432" s="198"/>
      <c r="DZ432" s="198"/>
      <c r="EA432" s="198"/>
      <c r="EB432" s="198"/>
      <c r="EC432" s="198"/>
      <c r="ED432" s="198"/>
      <c r="EE432" s="198"/>
      <c r="EF432" s="198"/>
      <c r="EG432" s="198"/>
      <c r="EH432" s="198"/>
      <c r="EI432" s="198"/>
      <c r="EJ432" s="198"/>
      <c r="EK432" s="198"/>
      <c r="EL432" s="198"/>
      <c r="EM432" s="198"/>
      <c r="EN432" s="198"/>
      <c r="EO432" s="198"/>
      <c r="EP432" s="198"/>
      <c r="EQ432" s="198"/>
      <c r="ER432" s="198"/>
      <c r="ES432" s="198"/>
      <c r="ET432" s="198"/>
      <c r="EU432" s="198"/>
      <c r="EV432" s="198"/>
      <c r="EW432" s="198"/>
      <c r="EX432" s="198"/>
      <c r="EY432" s="198"/>
      <c r="EZ432" s="198"/>
      <c r="FA432" s="198"/>
      <c r="FB432" s="198"/>
      <c r="FC432" s="198"/>
      <c r="FD432" s="198"/>
      <c r="FE432" s="198"/>
      <c r="FF432" s="198"/>
      <c r="FG432" s="198"/>
      <c r="FH432" s="198"/>
    </row>
    <row r="433" spans="10:164" s="173" customFormat="1" x14ac:dyDescent="0.3">
      <c r="J433" s="198"/>
      <c r="K433" s="198"/>
      <c r="L433" s="198"/>
      <c r="M433" s="198"/>
      <c r="N433" s="198"/>
      <c r="O433" s="198"/>
      <c r="P433" s="198"/>
      <c r="Q433" s="198"/>
      <c r="R433" s="198"/>
      <c r="S433" s="198"/>
      <c r="T433" s="198"/>
      <c r="U433" s="198"/>
      <c r="V433" s="198"/>
      <c r="W433" s="198"/>
      <c r="X433" s="198"/>
      <c r="Y433" s="198"/>
      <c r="Z433" s="198"/>
      <c r="AA433" s="198"/>
      <c r="AB433" s="198"/>
      <c r="AC433" s="198"/>
      <c r="AD433" s="198"/>
      <c r="AE433" s="198"/>
      <c r="AF433" s="198"/>
      <c r="AG433" s="198"/>
      <c r="AH433" s="198"/>
      <c r="AI433" s="198"/>
      <c r="AJ433" s="198"/>
      <c r="AK433" s="198"/>
      <c r="AL433" s="198"/>
      <c r="AM433" s="198"/>
      <c r="AN433" s="198"/>
      <c r="AO433" s="198"/>
      <c r="AP433" s="198"/>
      <c r="AQ433" s="198"/>
      <c r="AR433" s="198"/>
      <c r="AS433" s="198"/>
      <c r="AT433" s="198"/>
      <c r="AU433" s="198"/>
      <c r="AV433" s="198"/>
      <c r="AW433" s="198"/>
      <c r="AX433" s="198"/>
      <c r="AY433" s="198"/>
      <c r="AZ433" s="198"/>
      <c r="BA433" s="198"/>
      <c r="BB433" s="198"/>
      <c r="BC433" s="198"/>
      <c r="BD433" s="198"/>
      <c r="BE433" s="198"/>
      <c r="BF433" s="198"/>
      <c r="BG433" s="198"/>
      <c r="BH433" s="198"/>
      <c r="BI433" s="198"/>
      <c r="BJ433" s="198"/>
      <c r="BK433" s="198"/>
      <c r="BL433" s="198"/>
      <c r="BM433" s="198"/>
      <c r="BN433" s="198"/>
      <c r="BO433" s="198"/>
      <c r="BP433" s="198"/>
      <c r="BQ433" s="198"/>
      <c r="BR433" s="198"/>
      <c r="BS433" s="198"/>
      <c r="BT433" s="198"/>
      <c r="BU433" s="198"/>
      <c r="BV433" s="198"/>
      <c r="BW433" s="198"/>
      <c r="BX433" s="198"/>
      <c r="BY433" s="198"/>
      <c r="BZ433" s="198"/>
      <c r="CA433" s="198"/>
      <c r="CB433" s="198"/>
      <c r="CC433" s="198"/>
      <c r="CD433" s="198"/>
      <c r="CE433" s="198"/>
      <c r="CF433" s="198"/>
      <c r="CG433" s="198"/>
      <c r="CH433" s="198"/>
      <c r="CI433" s="198"/>
      <c r="CJ433" s="198"/>
      <c r="CK433" s="198"/>
      <c r="CL433" s="198"/>
      <c r="CM433" s="198"/>
      <c r="CN433" s="198"/>
      <c r="CO433" s="198"/>
      <c r="CP433" s="198"/>
      <c r="CQ433" s="198"/>
      <c r="CR433" s="198"/>
      <c r="CS433" s="198"/>
      <c r="CT433" s="198"/>
      <c r="CU433" s="198"/>
      <c r="CV433" s="198"/>
      <c r="CW433" s="198"/>
      <c r="CX433" s="198"/>
      <c r="CY433" s="198"/>
      <c r="CZ433" s="198"/>
      <c r="DA433" s="198"/>
      <c r="DB433" s="198"/>
      <c r="DC433" s="198"/>
      <c r="DD433" s="198"/>
      <c r="DE433" s="198"/>
      <c r="DF433" s="198"/>
      <c r="DG433" s="198"/>
      <c r="DH433" s="198"/>
      <c r="DI433" s="198"/>
      <c r="DJ433" s="198"/>
      <c r="DK433" s="198"/>
      <c r="DL433" s="198"/>
      <c r="DM433" s="198"/>
      <c r="DN433" s="198"/>
      <c r="DO433" s="198"/>
      <c r="DP433" s="198"/>
      <c r="DQ433" s="198"/>
      <c r="DR433" s="198"/>
      <c r="DS433" s="198"/>
      <c r="DT433" s="198"/>
      <c r="DU433" s="198"/>
      <c r="DV433" s="198"/>
      <c r="DW433" s="198"/>
      <c r="DX433" s="198"/>
      <c r="DY433" s="198"/>
      <c r="DZ433" s="198"/>
      <c r="EA433" s="198"/>
      <c r="EB433" s="198"/>
      <c r="EC433" s="198"/>
      <c r="ED433" s="198"/>
      <c r="EE433" s="198"/>
      <c r="EF433" s="198"/>
      <c r="EG433" s="198"/>
      <c r="EH433" s="198"/>
      <c r="EI433" s="198"/>
      <c r="EJ433" s="198"/>
      <c r="EK433" s="198"/>
      <c r="EL433" s="198"/>
      <c r="EM433" s="198"/>
      <c r="EN433" s="198"/>
      <c r="EO433" s="198"/>
      <c r="EP433" s="198"/>
      <c r="EQ433" s="198"/>
      <c r="ER433" s="198"/>
      <c r="ES433" s="198"/>
      <c r="ET433" s="198"/>
      <c r="EU433" s="198"/>
      <c r="EV433" s="198"/>
      <c r="EW433" s="198"/>
      <c r="EX433" s="198"/>
      <c r="EY433" s="198"/>
      <c r="EZ433" s="198"/>
      <c r="FA433" s="198"/>
      <c r="FB433" s="198"/>
      <c r="FC433" s="198"/>
      <c r="FD433" s="198"/>
      <c r="FE433" s="198"/>
      <c r="FF433" s="198"/>
      <c r="FG433" s="198"/>
      <c r="FH433" s="198"/>
    </row>
    <row r="434" spans="10:164" s="173" customFormat="1" x14ac:dyDescent="0.3">
      <c r="J434" s="198"/>
      <c r="K434" s="198"/>
      <c r="L434" s="198"/>
      <c r="M434" s="198"/>
      <c r="N434" s="198"/>
      <c r="O434" s="198"/>
      <c r="P434" s="198"/>
      <c r="Q434" s="198"/>
      <c r="R434" s="198"/>
      <c r="S434" s="198"/>
      <c r="T434" s="198"/>
      <c r="U434" s="198"/>
      <c r="V434" s="198"/>
      <c r="W434" s="198"/>
      <c r="X434" s="198"/>
      <c r="Y434" s="198"/>
      <c r="Z434" s="198"/>
      <c r="AA434" s="198"/>
      <c r="AB434" s="198"/>
      <c r="AC434" s="198"/>
      <c r="AD434" s="198"/>
      <c r="AE434" s="198"/>
      <c r="AF434" s="198"/>
      <c r="AG434" s="198"/>
      <c r="AH434" s="198"/>
      <c r="AI434" s="198"/>
      <c r="AJ434" s="198"/>
      <c r="AK434" s="198"/>
      <c r="AL434" s="198"/>
      <c r="AM434" s="198"/>
      <c r="AN434" s="198"/>
      <c r="AO434" s="198"/>
      <c r="AP434" s="198"/>
      <c r="AQ434" s="198"/>
      <c r="AR434" s="198"/>
      <c r="AS434" s="198"/>
      <c r="AT434" s="198"/>
      <c r="AU434" s="198"/>
      <c r="AV434" s="198"/>
      <c r="AW434" s="198"/>
      <c r="AX434" s="198"/>
      <c r="AY434" s="198"/>
      <c r="AZ434" s="198"/>
      <c r="BA434" s="198"/>
      <c r="BB434" s="198"/>
      <c r="BC434" s="198"/>
      <c r="BD434" s="198"/>
      <c r="BE434" s="198"/>
      <c r="BF434" s="198"/>
      <c r="BG434" s="198"/>
      <c r="BH434" s="198"/>
      <c r="BI434" s="198"/>
      <c r="BJ434" s="198"/>
      <c r="BK434" s="198"/>
      <c r="BL434" s="198"/>
      <c r="BM434" s="198"/>
      <c r="BN434" s="198"/>
      <c r="BO434" s="198"/>
      <c r="BP434" s="198"/>
      <c r="BQ434" s="198"/>
      <c r="BR434" s="198"/>
      <c r="BS434" s="198"/>
      <c r="BT434" s="198"/>
      <c r="BU434" s="198"/>
      <c r="BV434" s="198"/>
      <c r="BW434" s="198"/>
      <c r="BX434" s="198"/>
      <c r="BY434" s="198"/>
      <c r="BZ434" s="198"/>
      <c r="CA434" s="198"/>
      <c r="CB434" s="198"/>
      <c r="CC434" s="198"/>
      <c r="CD434" s="198"/>
      <c r="CE434" s="198"/>
      <c r="CF434" s="198"/>
      <c r="CG434" s="198"/>
      <c r="CH434" s="198"/>
      <c r="CI434" s="198"/>
      <c r="CJ434" s="198"/>
      <c r="CK434" s="198"/>
      <c r="CL434" s="198"/>
      <c r="CM434" s="198"/>
      <c r="CN434" s="198"/>
      <c r="CO434" s="198"/>
      <c r="CP434" s="198"/>
      <c r="CQ434" s="198"/>
      <c r="CR434" s="198"/>
      <c r="CS434" s="198"/>
      <c r="CT434" s="198"/>
      <c r="CU434" s="198"/>
      <c r="CV434" s="198"/>
      <c r="CW434" s="198"/>
      <c r="CX434" s="198"/>
      <c r="CY434" s="198"/>
      <c r="CZ434" s="198"/>
      <c r="DA434" s="198"/>
      <c r="DB434" s="198"/>
      <c r="DC434" s="198"/>
      <c r="DD434" s="198"/>
      <c r="DE434" s="198"/>
      <c r="DF434" s="198"/>
      <c r="DG434" s="198"/>
      <c r="DH434" s="198"/>
      <c r="DI434" s="198"/>
      <c r="DJ434" s="198"/>
      <c r="DK434" s="198"/>
      <c r="DL434" s="198"/>
      <c r="DM434" s="198"/>
      <c r="DN434" s="198"/>
      <c r="DO434" s="198"/>
      <c r="DP434" s="198"/>
      <c r="DQ434" s="198"/>
      <c r="DR434" s="198"/>
      <c r="DS434" s="198"/>
      <c r="DT434" s="198"/>
      <c r="DU434" s="198"/>
      <c r="DV434" s="198"/>
      <c r="DW434" s="198"/>
      <c r="DX434" s="198"/>
      <c r="DY434" s="198"/>
      <c r="DZ434" s="198"/>
      <c r="EA434" s="198"/>
      <c r="EB434" s="198"/>
      <c r="EC434" s="198"/>
      <c r="ED434" s="198"/>
      <c r="EE434" s="198"/>
      <c r="EF434" s="198"/>
      <c r="EG434" s="198"/>
      <c r="EH434" s="198"/>
      <c r="EI434" s="198"/>
      <c r="EJ434" s="198"/>
      <c r="EK434" s="198"/>
      <c r="EL434" s="198"/>
      <c r="EM434" s="198"/>
      <c r="EN434" s="198"/>
      <c r="EO434" s="198"/>
      <c r="EP434" s="198"/>
      <c r="EQ434" s="198"/>
      <c r="ER434" s="198"/>
      <c r="ES434" s="198"/>
      <c r="ET434" s="198"/>
      <c r="EU434" s="198"/>
      <c r="EV434" s="198"/>
      <c r="EW434" s="198"/>
      <c r="EX434" s="198"/>
      <c r="EY434" s="198"/>
      <c r="EZ434" s="198"/>
      <c r="FA434" s="198"/>
      <c r="FB434" s="198"/>
      <c r="FC434" s="198"/>
      <c r="FD434" s="198"/>
      <c r="FE434" s="198"/>
      <c r="FF434" s="198"/>
      <c r="FG434" s="198"/>
      <c r="FH434" s="198"/>
    </row>
    <row r="435" spans="10:164" s="173" customFormat="1" x14ac:dyDescent="0.3">
      <c r="J435" s="198"/>
      <c r="K435" s="198"/>
      <c r="L435" s="198"/>
      <c r="M435" s="198"/>
      <c r="N435" s="198"/>
      <c r="O435" s="198"/>
      <c r="P435" s="198"/>
      <c r="Q435" s="198"/>
      <c r="R435" s="198"/>
      <c r="S435" s="198"/>
      <c r="T435" s="198"/>
      <c r="U435" s="198"/>
      <c r="V435" s="198"/>
      <c r="W435" s="198"/>
      <c r="X435" s="198"/>
      <c r="Y435" s="198"/>
      <c r="Z435" s="198"/>
      <c r="AA435" s="198"/>
      <c r="AB435" s="198"/>
      <c r="AC435" s="198"/>
      <c r="AD435" s="198"/>
      <c r="AE435" s="198"/>
      <c r="AF435" s="198"/>
      <c r="AG435" s="198"/>
      <c r="AH435" s="198"/>
      <c r="AI435" s="198"/>
      <c r="AJ435" s="198"/>
      <c r="AK435" s="198"/>
      <c r="AL435" s="198"/>
      <c r="AM435" s="198"/>
      <c r="AN435" s="198"/>
      <c r="AO435" s="198"/>
      <c r="AP435" s="198"/>
      <c r="AQ435" s="198"/>
      <c r="AR435" s="198"/>
      <c r="AS435" s="198"/>
      <c r="AT435" s="198"/>
      <c r="AU435" s="198"/>
      <c r="AV435" s="198"/>
      <c r="AW435" s="198"/>
      <c r="AX435" s="198"/>
      <c r="AY435" s="198"/>
      <c r="AZ435" s="198"/>
      <c r="BA435" s="198"/>
      <c r="BB435" s="198"/>
      <c r="BC435" s="198"/>
      <c r="BD435" s="198"/>
      <c r="BE435" s="198"/>
      <c r="BF435" s="198"/>
      <c r="BG435" s="198"/>
      <c r="BH435" s="198"/>
      <c r="BI435" s="198"/>
      <c r="BJ435" s="198"/>
      <c r="BK435" s="198"/>
      <c r="BL435" s="198"/>
      <c r="BM435" s="198"/>
      <c r="BN435" s="198"/>
      <c r="BO435" s="198"/>
      <c r="BP435" s="198"/>
      <c r="BQ435" s="198"/>
      <c r="BR435" s="198"/>
      <c r="BS435" s="198"/>
      <c r="BT435" s="198"/>
      <c r="BU435" s="198"/>
      <c r="BV435" s="198"/>
      <c r="BW435" s="198"/>
      <c r="BX435" s="198"/>
      <c r="BY435" s="198"/>
      <c r="BZ435" s="198"/>
      <c r="CA435" s="198"/>
      <c r="CB435" s="198"/>
      <c r="CC435" s="198"/>
      <c r="CD435" s="198"/>
      <c r="CE435" s="198"/>
      <c r="CF435" s="198"/>
      <c r="CG435" s="198"/>
      <c r="CH435" s="198"/>
      <c r="CI435" s="198"/>
      <c r="CJ435" s="198"/>
      <c r="CK435" s="198"/>
      <c r="CL435" s="198"/>
      <c r="CM435" s="198"/>
      <c r="CN435" s="198"/>
      <c r="CO435" s="198"/>
      <c r="CP435" s="198"/>
      <c r="CQ435" s="198"/>
      <c r="CR435" s="198"/>
      <c r="CS435" s="198"/>
      <c r="CT435" s="198"/>
      <c r="CU435" s="198"/>
      <c r="CV435" s="198"/>
      <c r="CW435" s="198"/>
      <c r="CX435" s="198"/>
      <c r="CY435" s="198"/>
      <c r="CZ435" s="198"/>
      <c r="DA435" s="198"/>
      <c r="DB435" s="198"/>
      <c r="DC435" s="198"/>
      <c r="DD435" s="198"/>
      <c r="DE435" s="198"/>
      <c r="DF435" s="198"/>
      <c r="DG435" s="198"/>
      <c r="DH435" s="198"/>
      <c r="DI435" s="198"/>
      <c r="DJ435" s="198"/>
      <c r="DK435" s="198"/>
      <c r="DL435" s="198"/>
      <c r="DM435" s="198"/>
      <c r="DN435" s="198"/>
      <c r="DO435" s="198"/>
      <c r="DP435" s="198"/>
      <c r="DQ435" s="198"/>
      <c r="DR435" s="198"/>
      <c r="DS435" s="198"/>
      <c r="DT435" s="198"/>
      <c r="DU435" s="198"/>
      <c r="DV435" s="198"/>
      <c r="DW435" s="198"/>
      <c r="DX435" s="198"/>
      <c r="DY435" s="198"/>
      <c r="DZ435" s="198"/>
      <c r="EA435" s="198"/>
      <c r="EB435" s="198"/>
      <c r="EC435" s="198"/>
      <c r="ED435" s="198"/>
      <c r="EE435" s="198"/>
      <c r="EF435" s="198"/>
      <c r="EG435" s="198"/>
      <c r="EH435" s="198"/>
      <c r="EI435" s="198"/>
      <c r="EJ435" s="198"/>
      <c r="EK435" s="198"/>
      <c r="EL435" s="198"/>
      <c r="EM435" s="198"/>
      <c r="EN435" s="198"/>
      <c r="EO435" s="198"/>
      <c r="EP435" s="198"/>
      <c r="EQ435" s="198"/>
      <c r="ER435" s="198"/>
      <c r="ES435" s="198"/>
      <c r="ET435" s="198"/>
      <c r="EU435" s="198"/>
      <c r="EV435" s="198"/>
      <c r="EW435" s="198"/>
      <c r="EX435" s="198"/>
      <c r="EY435" s="198"/>
      <c r="EZ435" s="198"/>
      <c r="FA435" s="198"/>
      <c r="FB435" s="198"/>
      <c r="FC435" s="198"/>
      <c r="FD435" s="198"/>
      <c r="FE435" s="198"/>
      <c r="FF435" s="198"/>
      <c r="FG435" s="198"/>
      <c r="FH435" s="198"/>
    </row>
    <row r="436" spans="10:164" s="173" customFormat="1" x14ac:dyDescent="0.3">
      <c r="J436" s="198"/>
      <c r="K436" s="198"/>
      <c r="L436" s="198"/>
      <c r="M436" s="198"/>
      <c r="N436" s="198"/>
      <c r="O436" s="198"/>
      <c r="P436" s="198"/>
      <c r="Q436" s="198"/>
      <c r="R436" s="198"/>
      <c r="S436" s="198"/>
      <c r="T436" s="198"/>
      <c r="U436" s="198"/>
      <c r="V436" s="198"/>
      <c r="W436" s="198"/>
      <c r="X436" s="198"/>
      <c r="Y436" s="198"/>
      <c r="Z436" s="198"/>
      <c r="AA436" s="198"/>
      <c r="AB436" s="198"/>
      <c r="AC436" s="198"/>
      <c r="AD436" s="198"/>
      <c r="AE436" s="198"/>
      <c r="AF436" s="198"/>
      <c r="AG436" s="198"/>
      <c r="AH436" s="198"/>
      <c r="AI436" s="198"/>
      <c r="AJ436" s="198"/>
      <c r="AK436" s="198"/>
      <c r="AL436" s="198"/>
      <c r="AM436" s="198"/>
      <c r="AN436" s="198"/>
      <c r="AO436" s="198"/>
      <c r="AP436" s="198"/>
      <c r="AQ436" s="198"/>
      <c r="AR436" s="198"/>
      <c r="AS436" s="198"/>
      <c r="AT436" s="198"/>
      <c r="AU436" s="198"/>
      <c r="AV436" s="198"/>
      <c r="AW436" s="198"/>
      <c r="AX436" s="198"/>
      <c r="AY436" s="198"/>
      <c r="AZ436" s="198"/>
      <c r="BA436" s="198"/>
      <c r="BB436" s="198"/>
      <c r="BC436" s="198"/>
      <c r="BD436" s="198"/>
      <c r="BE436" s="198"/>
      <c r="BF436" s="198"/>
      <c r="BG436" s="198"/>
      <c r="BH436" s="198"/>
      <c r="BI436" s="198"/>
      <c r="BJ436" s="198"/>
      <c r="BK436" s="198"/>
      <c r="BL436" s="198"/>
      <c r="BM436" s="198"/>
      <c r="BN436" s="198"/>
      <c r="BO436" s="198"/>
      <c r="BP436" s="198"/>
      <c r="BQ436" s="198"/>
      <c r="BR436" s="198"/>
      <c r="BS436" s="198"/>
      <c r="BT436" s="198"/>
      <c r="BU436" s="198"/>
      <c r="BV436" s="198"/>
      <c r="BW436" s="198"/>
      <c r="BX436" s="198"/>
      <c r="BY436" s="198"/>
      <c r="BZ436" s="198"/>
      <c r="CA436" s="198"/>
      <c r="CB436" s="198"/>
      <c r="CC436" s="198"/>
      <c r="CD436" s="198"/>
      <c r="CE436" s="198"/>
      <c r="CF436" s="198"/>
      <c r="CG436" s="198"/>
      <c r="CH436" s="198"/>
      <c r="CI436" s="198"/>
      <c r="CJ436" s="198"/>
      <c r="CK436" s="198"/>
      <c r="CL436" s="198"/>
      <c r="CM436" s="198"/>
      <c r="CN436" s="198"/>
      <c r="CO436" s="198"/>
      <c r="CP436" s="198"/>
      <c r="CQ436" s="198"/>
      <c r="CR436" s="198"/>
      <c r="CS436" s="198"/>
      <c r="CT436" s="198"/>
      <c r="CU436" s="198"/>
      <c r="CV436" s="198"/>
      <c r="CW436" s="198"/>
      <c r="CX436" s="198"/>
      <c r="CY436" s="198"/>
      <c r="CZ436" s="198"/>
      <c r="DA436" s="198"/>
      <c r="DB436" s="198"/>
      <c r="DC436" s="198"/>
      <c r="DD436" s="198"/>
      <c r="DE436" s="198"/>
      <c r="DF436" s="198"/>
      <c r="DG436" s="198"/>
      <c r="DH436" s="198"/>
      <c r="DI436" s="198"/>
      <c r="DJ436" s="198"/>
      <c r="DK436" s="198"/>
      <c r="DL436" s="198"/>
      <c r="DM436" s="198"/>
      <c r="DN436" s="198"/>
      <c r="DO436" s="198"/>
      <c r="DP436" s="198"/>
      <c r="DQ436" s="198"/>
      <c r="DR436" s="198"/>
      <c r="DS436" s="198"/>
      <c r="DT436" s="198"/>
      <c r="DU436" s="198"/>
      <c r="DV436" s="198"/>
      <c r="DW436" s="198"/>
      <c r="DX436" s="198"/>
      <c r="DY436" s="198"/>
      <c r="DZ436" s="198"/>
      <c r="EA436" s="198"/>
      <c r="EB436" s="198"/>
      <c r="EC436" s="198"/>
      <c r="ED436" s="198"/>
      <c r="EE436" s="198"/>
      <c r="EF436" s="198"/>
      <c r="EG436" s="198"/>
      <c r="EH436" s="198"/>
      <c r="EI436" s="198"/>
      <c r="EJ436" s="198"/>
      <c r="EK436" s="198"/>
      <c r="EL436" s="198"/>
      <c r="EM436" s="198"/>
      <c r="EN436" s="198"/>
      <c r="EO436" s="198"/>
      <c r="EP436" s="198"/>
      <c r="EQ436" s="198"/>
      <c r="ER436" s="198"/>
      <c r="ES436" s="198"/>
      <c r="ET436" s="198"/>
      <c r="EU436" s="198"/>
      <c r="EV436" s="198"/>
      <c r="EW436" s="198"/>
      <c r="EX436" s="198"/>
      <c r="EY436" s="198"/>
      <c r="EZ436" s="198"/>
      <c r="FA436" s="198"/>
      <c r="FB436" s="198"/>
      <c r="FC436" s="198"/>
      <c r="FD436" s="198"/>
      <c r="FE436" s="198"/>
      <c r="FF436" s="198"/>
      <c r="FG436" s="198"/>
      <c r="FH436" s="198"/>
    </row>
    <row r="437" spans="10:164" s="173" customFormat="1" x14ac:dyDescent="0.3">
      <c r="J437" s="198"/>
      <c r="K437" s="198"/>
      <c r="L437" s="198"/>
      <c r="M437" s="198"/>
      <c r="N437" s="198"/>
      <c r="O437" s="198"/>
      <c r="P437" s="198"/>
      <c r="Q437" s="198"/>
      <c r="R437" s="198"/>
      <c r="S437" s="198"/>
      <c r="T437" s="198"/>
      <c r="U437" s="198"/>
      <c r="V437" s="198"/>
      <c r="W437" s="198"/>
      <c r="X437" s="198"/>
      <c r="Y437" s="198"/>
      <c r="Z437" s="198"/>
      <c r="AA437" s="198"/>
      <c r="AB437" s="198"/>
      <c r="AC437" s="198"/>
      <c r="AD437" s="198"/>
      <c r="AE437" s="198"/>
      <c r="AF437" s="198"/>
      <c r="AG437" s="198"/>
      <c r="AH437" s="198"/>
      <c r="AI437" s="198"/>
      <c r="AJ437" s="198"/>
      <c r="AK437" s="198"/>
      <c r="AL437" s="198"/>
      <c r="AM437" s="198"/>
      <c r="AN437" s="198"/>
      <c r="AO437" s="198"/>
      <c r="AP437" s="198"/>
      <c r="AQ437" s="198"/>
      <c r="AR437" s="198"/>
      <c r="AS437" s="198"/>
      <c r="AT437" s="198"/>
      <c r="AU437" s="198"/>
      <c r="AV437" s="198"/>
      <c r="AW437" s="198"/>
      <c r="AX437" s="198"/>
      <c r="AY437" s="198"/>
      <c r="AZ437" s="198"/>
      <c r="BA437" s="198"/>
      <c r="BB437" s="198"/>
      <c r="BC437" s="198"/>
      <c r="BD437" s="198"/>
      <c r="BE437" s="198"/>
      <c r="BF437" s="198"/>
      <c r="BG437" s="198"/>
      <c r="BH437" s="198"/>
      <c r="BI437" s="198"/>
      <c r="BJ437" s="198"/>
      <c r="BK437" s="198"/>
      <c r="BL437" s="198"/>
      <c r="BM437" s="198"/>
      <c r="BN437" s="198"/>
      <c r="BO437" s="198"/>
      <c r="BP437" s="198"/>
      <c r="BQ437" s="198"/>
      <c r="BR437" s="198"/>
      <c r="BS437" s="198"/>
      <c r="BT437" s="198"/>
      <c r="BU437" s="198"/>
      <c r="BV437" s="198"/>
      <c r="BW437" s="198"/>
      <c r="BX437" s="198"/>
      <c r="BY437" s="198"/>
      <c r="BZ437" s="198"/>
      <c r="CA437" s="198"/>
      <c r="CB437" s="198"/>
      <c r="CC437" s="198"/>
      <c r="CD437" s="198"/>
      <c r="CE437" s="198"/>
      <c r="CF437" s="198"/>
      <c r="CG437" s="198"/>
      <c r="CH437" s="198"/>
      <c r="CI437" s="198"/>
      <c r="CJ437" s="198"/>
      <c r="CK437" s="198"/>
      <c r="CL437" s="198"/>
      <c r="CM437" s="198"/>
      <c r="CN437" s="198"/>
      <c r="CO437" s="198"/>
      <c r="CP437" s="198"/>
      <c r="CQ437" s="198"/>
      <c r="CR437" s="198"/>
      <c r="CS437" s="198"/>
      <c r="CT437" s="198"/>
      <c r="CU437" s="198"/>
      <c r="CV437" s="198"/>
      <c r="CW437" s="198"/>
      <c r="CX437" s="198"/>
      <c r="CY437" s="198"/>
      <c r="CZ437" s="198"/>
      <c r="DA437" s="198"/>
      <c r="DB437" s="198"/>
      <c r="DC437" s="198"/>
      <c r="DD437" s="198"/>
      <c r="DE437" s="198"/>
      <c r="DF437" s="198"/>
      <c r="DG437" s="198"/>
      <c r="DH437" s="198"/>
      <c r="DI437" s="198"/>
      <c r="DJ437" s="198"/>
      <c r="DK437" s="198"/>
      <c r="DL437" s="198"/>
      <c r="DM437" s="198"/>
      <c r="DN437" s="198"/>
      <c r="DO437" s="198"/>
      <c r="DP437" s="198"/>
      <c r="DQ437" s="198"/>
      <c r="DR437" s="198"/>
      <c r="DS437" s="198"/>
      <c r="DT437" s="198"/>
      <c r="DU437" s="198"/>
      <c r="DV437" s="198"/>
      <c r="DW437" s="198"/>
      <c r="DX437" s="198"/>
      <c r="DY437" s="198"/>
      <c r="DZ437" s="198"/>
      <c r="EA437" s="198"/>
      <c r="EB437" s="198"/>
      <c r="EC437" s="198"/>
      <c r="ED437" s="198"/>
      <c r="EE437" s="198"/>
      <c r="EF437" s="198"/>
      <c r="EG437" s="198"/>
      <c r="EH437" s="198"/>
      <c r="EI437" s="198"/>
      <c r="EJ437" s="198"/>
      <c r="EK437" s="198"/>
      <c r="EL437" s="198"/>
      <c r="EM437" s="198"/>
      <c r="EN437" s="198"/>
      <c r="EO437" s="198"/>
      <c r="EP437" s="198"/>
      <c r="EQ437" s="198"/>
      <c r="ER437" s="198"/>
      <c r="ES437" s="198"/>
      <c r="ET437" s="198"/>
      <c r="EU437" s="198"/>
      <c r="EV437" s="198"/>
      <c r="EW437" s="198"/>
      <c r="EX437" s="198"/>
      <c r="EY437" s="198"/>
      <c r="EZ437" s="198"/>
      <c r="FA437" s="198"/>
      <c r="FB437" s="198"/>
      <c r="FC437" s="198"/>
      <c r="FD437" s="198"/>
      <c r="FE437" s="198"/>
      <c r="FF437" s="198"/>
      <c r="FG437" s="198"/>
      <c r="FH437" s="198"/>
    </row>
    <row r="438" spans="10:164" s="173" customFormat="1" x14ac:dyDescent="0.3">
      <c r="J438" s="198"/>
      <c r="K438" s="198"/>
      <c r="L438" s="198"/>
      <c r="M438" s="198"/>
      <c r="N438" s="198"/>
      <c r="O438" s="198"/>
      <c r="P438" s="198"/>
      <c r="Q438" s="198"/>
      <c r="R438" s="198"/>
      <c r="S438" s="198"/>
      <c r="T438" s="198"/>
      <c r="U438" s="198"/>
      <c r="V438" s="198"/>
      <c r="W438" s="198"/>
      <c r="X438" s="198"/>
      <c r="Y438" s="198"/>
      <c r="Z438" s="198"/>
      <c r="AA438" s="198"/>
      <c r="AB438" s="198"/>
      <c r="AC438" s="198"/>
      <c r="AD438" s="198"/>
      <c r="AE438" s="198"/>
      <c r="AF438" s="198"/>
      <c r="AG438" s="198"/>
      <c r="AH438" s="198"/>
      <c r="AI438" s="198"/>
      <c r="AJ438" s="198"/>
      <c r="AK438" s="198"/>
      <c r="AL438" s="198"/>
      <c r="AM438" s="198"/>
      <c r="AN438" s="198"/>
      <c r="AO438" s="198"/>
      <c r="AP438" s="198"/>
      <c r="AQ438" s="198"/>
      <c r="AR438" s="198"/>
      <c r="AS438" s="198"/>
      <c r="AT438" s="198"/>
      <c r="AU438" s="198"/>
      <c r="AV438" s="198"/>
      <c r="AW438" s="198"/>
      <c r="AX438" s="198"/>
      <c r="AY438" s="198"/>
      <c r="AZ438" s="198"/>
      <c r="BA438" s="198"/>
      <c r="BB438" s="198"/>
      <c r="BC438" s="198"/>
      <c r="BD438" s="198"/>
      <c r="BE438" s="198"/>
      <c r="BF438" s="198"/>
      <c r="BG438" s="198"/>
      <c r="BH438" s="198"/>
      <c r="BI438" s="198"/>
      <c r="BJ438" s="198"/>
      <c r="BK438" s="198"/>
      <c r="BL438" s="198"/>
      <c r="BM438" s="198"/>
      <c r="BN438" s="198"/>
      <c r="BO438" s="198"/>
      <c r="BP438" s="198"/>
      <c r="BQ438" s="198"/>
      <c r="BR438" s="198"/>
      <c r="BS438" s="198"/>
      <c r="BT438" s="198"/>
      <c r="BU438" s="198"/>
      <c r="BV438" s="198"/>
      <c r="BW438" s="198"/>
      <c r="BX438" s="198"/>
      <c r="BY438" s="198"/>
      <c r="BZ438" s="198"/>
      <c r="CA438" s="198"/>
      <c r="CB438" s="198"/>
      <c r="CC438" s="198"/>
      <c r="CD438" s="198"/>
      <c r="CE438" s="198"/>
      <c r="CF438" s="198"/>
      <c r="CG438" s="198"/>
      <c r="CH438" s="198"/>
      <c r="CI438" s="198"/>
      <c r="CJ438" s="198"/>
      <c r="CK438" s="198"/>
      <c r="CL438" s="198"/>
      <c r="CM438" s="198"/>
      <c r="CN438" s="198"/>
      <c r="CO438" s="198"/>
      <c r="CP438" s="198"/>
      <c r="CQ438" s="198"/>
      <c r="CR438" s="198"/>
      <c r="CS438" s="198"/>
      <c r="CT438" s="198"/>
      <c r="CU438" s="198"/>
      <c r="CV438" s="198"/>
      <c r="CW438" s="198"/>
      <c r="CX438" s="198"/>
      <c r="CY438" s="198"/>
      <c r="CZ438" s="198"/>
      <c r="DA438" s="198"/>
      <c r="DB438" s="198"/>
      <c r="DC438" s="198"/>
      <c r="DD438" s="198"/>
      <c r="DE438" s="198"/>
      <c r="DF438" s="198"/>
      <c r="DG438" s="198"/>
      <c r="DH438" s="198"/>
      <c r="DI438" s="198"/>
      <c r="DJ438" s="198"/>
      <c r="DK438" s="198"/>
      <c r="DL438" s="198"/>
      <c r="DM438" s="198"/>
      <c r="DN438" s="198"/>
      <c r="DO438" s="198"/>
      <c r="DP438" s="198"/>
      <c r="DQ438" s="198"/>
      <c r="DR438" s="198"/>
      <c r="DS438" s="198"/>
      <c r="DT438" s="198"/>
      <c r="DU438" s="198"/>
      <c r="DV438" s="198"/>
      <c r="DW438" s="198"/>
      <c r="DX438" s="198"/>
      <c r="DY438" s="198"/>
      <c r="DZ438" s="198"/>
      <c r="EA438" s="198"/>
      <c r="EB438" s="198"/>
      <c r="EC438" s="198"/>
      <c r="ED438" s="198"/>
      <c r="EE438" s="198"/>
      <c r="EF438" s="198"/>
      <c r="EG438" s="198"/>
      <c r="EH438" s="198"/>
      <c r="EI438" s="198"/>
      <c r="EJ438" s="198"/>
      <c r="EK438" s="198"/>
      <c r="EL438" s="198"/>
      <c r="EM438" s="198"/>
      <c r="EN438" s="198"/>
      <c r="EO438" s="198"/>
      <c r="EP438" s="198"/>
      <c r="EQ438" s="198"/>
      <c r="ER438" s="198"/>
      <c r="ES438" s="198"/>
      <c r="ET438" s="198"/>
      <c r="EU438" s="198"/>
      <c r="EV438" s="198"/>
      <c r="EW438" s="198"/>
      <c r="EX438" s="198"/>
      <c r="EY438" s="198"/>
      <c r="EZ438" s="198"/>
      <c r="FA438" s="198"/>
      <c r="FB438" s="198"/>
      <c r="FC438" s="198"/>
      <c r="FD438" s="198"/>
      <c r="FE438" s="198"/>
      <c r="FF438" s="198"/>
      <c r="FG438" s="198"/>
      <c r="FH438" s="198"/>
    </row>
    <row r="439" spans="10:164" s="173" customFormat="1" x14ac:dyDescent="0.3">
      <c r="J439" s="198"/>
      <c r="K439" s="198"/>
      <c r="L439" s="198"/>
      <c r="M439" s="198"/>
      <c r="N439" s="198"/>
      <c r="O439" s="198"/>
      <c r="P439" s="198"/>
      <c r="Q439" s="198"/>
      <c r="R439" s="198"/>
      <c r="S439" s="198"/>
      <c r="T439" s="198"/>
      <c r="U439" s="198"/>
      <c r="V439" s="198"/>
      <c r="W439" s="198"/>
      <c r="X439" s="198"/>
      <c r="Y439" s="198"/>
      <c r="Z439" s="198"/>
      <c r="AA439" s="198"/>
      <c r="AB439" s="198"/>
      <c r="AC439" s="198"/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198"/>
      <c r="AQ439" s="198"/>
      <c r="AR439" s="198"/>
      <c r="AS439" s="198"/>
      <c r="AT439" s="198"/>
      <c r="AU439" s="198"/>
      <c r="AV439" s="198"/>
      <c r="AW439" s="198"/>
      <c r="AX439" s="198"/>
      <c r="AY439" s="198"/>
      <c r="AZ439" s="198"/>
      <c r="BA439" s="198"/>
      <c r="BB439" s="198"/>
      <c r="BC439" s="198"/>
      <c r="BD439" s="198"/>
      <c r="BE439" s="198"/>
      <c r="BF439" s="198"/>
      <c r="BG439" s="198"/>
      <c r="BH439" s="198"/>
      <c r="BI439" s="198"/>
      <c r="BJ439" s="198"/>
      <c r="BK439" s="198"/>
      <c r="BL439" s="198"/>
      <c r="BM439" s="198"/>
      <c r="BN439" s="198"/>
      <c r="BO439" s="198"/>
      <c r="BP439" s="198"/>
      <c r="BQ439" s="198"/>
      <c r="BR439" s="198"/>
      <c r="BS439" s="198"/>
      <c r="BT439" s="198"/>
      <c r="BU439" s="198"/>
      <c r="BV439" s="198"/>
      <c r="BW439" s="198"/>
      <c r="BX439" s="198"/>
      <c r="BY439" s="198"/>
      <c r="BZ439" s="198"/>
      <c r="CA439" s="198"/>
      <c r="CB439" s="198"/>
      <c r="CC439" s="198"/>
      <c r="CD439" s="198"/>
      <c r="CE439" s="198"/>
      <c r="CF439" s="198"/>
      <c r="CG439" s="198"/>
      <c r="CH439" s="198"/>
      <c r="CI439" s="198"/>
      <c r="CJ439" s="198"/>
      <c r="CK439" s="198"/>
      <c r="CL439" s="198"/>
      <c r="CM439" s="198"/>
      <c r="CN439" s="198"/>
      <c r="CO439" s="198"/>
      <c r="CP439" s="198"/>
      <c r="CQ439" s="198"/>
      <c r="CR439" s="198"/>
      <c r="CS439" s="198"/>
      <c r="CT439" s="198"/>
      <c r="CU439" s="198"/>
      <c r="CV439" s="198"/>
      <c r="CW439" s="198"/>
      <c r="CX439" s="198"/>
      <c r="CY439" s="198"/>
      <c r="CZ439" s="198"/>
      <c r="DA439" s="198"/>
      <c r="DB439" s="198"/>
      <c r="DC439" s="198"/>
      <c r="DD439" s="198"/>
      <c r="DE439" s="198"/>
      <c r="DF439" s="198"/>
      <c r="DG439" s="198"/>
      <c r="DH439" s="198"/>
      <c r="DI439" s="198"/>
      <c r="DJ439" s="198"/>
      <c r="DK439" s="198"/>
      <c r="DL439" s="198"/>
      <c r="DM439" s="198"/>
      <c r="DN439" s="198"/>
      <c r="DO439" s="198"/>
      <c r="DP439" s="198"/>
      <c r="DQ439" s="198"/>
      <c r="DR439" s="198"/>
      <c r="DS439" s="198"/>
      <c r="DT439" s="198"/>
      <c r="DU439" s="198"/>
      <c r="DV439" s="198"/>
      <c r="DW439" s="198"/>
      <c r="DX439" s="198"/>
      <c r="DY439" s="198"/>
      <c r="DZ439" s="198"/>
      <c r="EA439" s="198"/>
      <c r="EB439" s="198"/>
      <c r="EC439" s="198"/>
      <c r="ED439" s="198"/>
      <c r="EE439" s="198"/>
      <c r="EF439" s="198"/>
      <c r="EG439" s="198"/>
      <c r="EH439" s="198"/>
      <c r="EI439" s="198"/>
      <c r="EJ439" s="198"/>
      <c r="EK439" s="198"/>
      <c r="EL439" s="198"/>
      <c r="EM439" s="198"/>
      <c r="EN439" s="198"/>
      <c r="EO439" s="198"/>
      <c r="EP439" s="198"/>
      <c r="EQ439" s="198"/>
      <c r="ER439" s="198"/>
      <c r="ES439" s="198"/>
      <c r="ET439" s="198"/>
      <c r="EU439" s="198"/>
      <c r="EV439" s="198"/>
      <c r="EW439" s="198"/>
      <c r="EX439" s="198"/>
      <c r="EY439" s="198"/>
      <c r="EZ439" s="198"/>
      <c r="FA439" s="198"/>
      <c r="FB439" s="198"/>
      <c r="FC439" s="198"/>
      <c r="FD439" s="198"/>
      <c r="FE439" s="198"/>
      <c r="FF439" s="198"/>
      <c r="FG439" s="198"/>
      <c r="FH439" s="198"/>
    </row>
    <row r="440" spans="10:164" s="173" customFormat="1" x14ac:dyDescent="0.3">
      <c r="J440" s="198"/>
      <c r="K440" s="198"/>
      <c r="L440" s="198"/>
      <c r="M440" s="198"/>
      <c r="N440" s="198"/>
      <c r="O440" s="198"/>
      <c r="P440" s="198"/>
      <c r="Q440" s="198"/>
      <c r="R440" s="198"/>
      <c r="S440" s="198"/>
      <c r="T440" s="198"/>
      <c r="U440" s="198"/>
      <c r="V440" s="198"/>
      <c r="W440" s="198"/>
      <c r="X440" s="198"/>
      <c r="Y440" s="198"/>
      <c r="Z440" s="198"/>
      <c r="AA440" s="198"/>
      <c r="AB440" s="198"/>
      <c r="AC440" s="198"/>
      <c r="AD440" s="198"/>
      <c r="AE440" s="198"/>
      <c r="AF440" s="198"/>
      <c r="AG440" s="198"/>
      <c r="AH440" s="198"/>
      <c r="AI440" s="198"/>
      <c r="AJ440" s="198"/>
      <c r="AK440" s="198"/>
      <c r="AL440" s="198"/>
      <c r="AM440" s="198"/>
      <c r="AN440" s="198"/>
      <c r="AO440" s="198"/>
      <c r="AP440" s="198"/>
      <c r="AQ440" s="198"/>
      <c r="AR440" s="198"/>
      <c r="AS440" s="198"/>
      <c r="AT440" s="198"/>
      <c r="AU440" s="198"/>
      <c r="AV440" s="198"/>
      <c r="AW440" s="198"/>
      <c r="AX440" s="198"/>
      <c r="AY440" s="198"/>
      <c r="AZ440" s="198"/>
      <c r="BA440" s="198"/>
      <c r="BB440" s="198"/>
      <c r="BC440" s="198"/>
      <c r="BD440" s="198"/>
      <c r="BE440" s="198"/>
      <c r="BF440" s="198"/>
      <c r="BG440" s="198"/>
      <c r="BH440" s="198"/>
      <c r="BI440" s="198"/>
      <c r="BJ440" s="198"/>
      <c r="BK440" s="198"/>
      <c r="BL440" s="198"/>
      <c r="BM440" s="198"/>
      <c r="BN440" s="198"/>
      <c r="BO440" s="198"/>
      <c r="BP440" s="198"/>
      <c r="BQ440" s="198"/>
      <c r="BR440" s="198"/>
      <c r="BS440" s="198"/>
      <c r="BT440" s="198"/>
      <c r="BU440" s="198"/>
      <c r="BV440" s="198"/>
      <c r="BW440" s="198"/>
      <c r="BX440" s="198"/>
      <c r="BY440" s="198"/>
      <c r="BZ440" s="198"/>
      <c r="CA440" s="198"/>
      <c r="CB440" s="198"/>
      <c r="CC440" s="198"/>
      <c r="CD440" s="198"/>
      <c r="CE440" s="198"/>
      <c r="CF440" s="198"/>
      <c r="CG440" s="198"/>
      <c r="CH440" s="198"/>
      <c r="CI440" s="198"/>
      <c r="CJ440" s="198"/>
      <c r="CK440" s="198"/>
      <c r="CL440" s="198"/>
      <c r="CM440" s="198"/>
      <c r="CN440" s="198"/>
      <c r="CO440" s="198"/>
      <c r="CP440" s="198"/>
      <c r="CQ440" s="198"/>
      <c r="CR440" s="198"/>
      <c r="CS440" s="198"/>
      <c r="CT440" s="198"/>
      <c r="CU440" s="198"/>
      <c r="CV440" s="198"/>
      <c r="CW440" s="198"/>
      <c r="CX440" s="198"/>
      <c r="CY440" s="198"/>
      <c r="CZ440" s="198"/>
      <c r="DA440" s="198"/>
      <c r="DB440" s="198"/>
      <c r="DC440" s="198"/>
      <c r="DD440" s="198"/>
      <c r="DE440" s="198"/>
      <c r="DF440" s="198"/>
      <c r="DG440" s="198"/>
      <c r="DH440" s="198"/>
      <c r="DI440" s="198"/>
      <c r="DJ440" s="198"/>
      <c r="DK440" s="198"/>
      <c r="DL440" s="198"/>
      <c r="DM440" s="198"/>
      <c r="DN440" s="198"/>
      <c r="DO440" s="198"/>
      <c r="DP440" s="198"/>
      <c r="DQ440" s="198"/>
      <c r="DR440" s="198"/>
      <c r="DS440" s="198"/>
      <c r="DT440" s="198"/>
      <c r="DU440" s="198"/>
      <c r="DV440" s="198"/>
      <c r="DW440" s="198"/>
      <c r="DX440" s="198"/>
      <c r="DY440" s="198"/>
      <c r="DZ440" s="198"/>
      <c r="EA440" s="198"/>
      <c r="EB440" s="198"/>
      <c r="EC440" s="198"/>
      <c r="ED440" s="198"/>
      <c r="EE440" s="198"/>
      <c r="EF440" s="198"/>
      <c r="EG440" s="198"/>
      <c r="EH440" s="198"/>
      <c r="EI440" s="198"/>
      <c r="EJ440" s="198"/>
      <c r="EK440" s="198"/>
      <c r="EL440" s="198"/>
      <c r="EM440" s="198"/>
      <c r="EN440" s="198"/>
      <c r="EO440" s="198"/>
      <c r="EP440" s="198"/>
      <c r="EQ440" s="198"/>
      <c r="ER440" s="198"/>
      <c r="ES440" s="198"/>
      <c r="ET440" s="198"/>
      <c r="EU440" s="198"/>
      <c r="EV440" s="198"/>
      <c r="EW440" s="198"/>
      <c r="EX440" s="198"/>
      <c r="EY440" s="198"/>
      <c r="EZ440" s="198"/>
      <c r="FA440" s="198"/>
      <c r="FB440" s="198"/>
      <c r="FC440" s="198"/>
      <c r="FD440" s="198"/>
      <c r="FE440" s="198"/>
      <c r="FF440" s="198"/>
      <c r="FG440" s="198"/>
      <c r="FH440" s="198"/>
    </row>
    <row r="441" spans="10:164" s="173" customFormat="1" x14ac:dyDescent="0.3">
      <c r="J441" s="198"/>
      <c r="K441" s="198"/>
      <c r="L441" s="198"/>
      <c r="M441" s="198"/>
      <c r="N441" s="198"/>
      <c r="O441" s="198"/>
      <c r="P441" s="198"/>
      <c r="Q441" s="198"/>
      <c r="R441" s="198"/>
      <c r="S441" s="198"/>
      <c r="T441" s="198"/>
      <c r="U441" s="198"/>
      <c r="V441" s="198"/>
      <c r="W441" s="198"/>
      <c r="X441" s="198"/>
      <c r="Y441" s="198"/>
      <c r="Z441" s="198"/>
      <c r="AA441" s="198"/>
      <c r="AB441" s="198"/>
      <c r="AC441" s="198"/>
      <c r="AD441" s="198"/>
      <c r="AE441" s="198"/>
      <c r="AF441" s="198"/>
      <c r="AG441" s="198"/>
      <c r="AH441" s="198"/>
      <c r="AI441" s="198"/>
      <c r="AJ441" s="198"/>
      <c r="AK441" s="198"/>
      <c r="AL441" s="198"/>
      <c r="AM441" s="198"/>
      <c r="AN441" s="198"/>
      <c r="AO441" s="198"/>
      <c r="AP441" s="198"/>
      <c r="AQ441" s="198"/>
      <c r="AR441" s="198"/>
      <c r="AS441" s="198"/>
      <c r="AT441" s="198"/>
      <c r="AU441" s="198"/>
      <c r="AV441" s="198"/>
      <c r="AW441" s="198"/>
      <c r="AX441" s="198"/>
      <c r="AY441" s="198"/>
      <c r="AZ441" s="198"/>
      <c r="BA441" s="198"/>
      <c r="BB441" s="198"/>
      <c r="BC441" s="198"/>
      <c r="BD441" s="198"/>
      <c r="BE441" s="198"/>
      <c r="BF441" s="198"/>
      <c r="BG441" s="198"/>
      <c r="BH441" s="198"/>
      <c r="BI441" s="198"/>
      <c r="BJ441" s="198"/>
      <c r="BK441" s="198"/>
      <c r="BL441" s="198"/>
      <c r="BM441" s="198"/>
      <c r="BN441" s="198"/>
      <c r="BO441" s="198"/>
      <c r="BP441" s="198"/>
      <c r="BQ441" s="198"/>
      <c r="BR441" s="198"/>
      <c r="BS441" s="198"/>
      <c r="BT441" s="198"/>
      <c r="BU441" s="198"/>
      <c r="BV441" s="198"/>
      <c r="BW441" s="198"/>
      <c r="BX441" s="198"/>
      <c r="BY441" s="198"/>
      <c r="BZ441" s="198"/>
      <c r="CA441" s="198"/>
      <c r="CB441" s="198"/>
      <c r="CC441" s="198"/>
      <c r="CD441" s="198"/>
      <c r="CE441" s="198"/>
      <c r="CF441" s="198"/>
      <c r="CG441" s="198"/>
      <c r="CH441" s="198"/>
      <c r="CI441" s="198"/>
      <c r="CJ441" s="198"/>
      <c r="CK441" s="198"/>
      <c r="CL441" s="198"/>
      <c r="CM441" s="198"/>
      <c r="CN441" s="198"/>
      <c r="CO441" s="198"/>
      <c r="CP441" s="198"/>
      <c r="CQ441" s="198"/>
      <c r="CR441" s="198"/>
      <c r="CS441" s="198"/>
      <c r="CT441" s="198"/>
      <c r="CU441" s="198"/>
      <c r="CV441" s="198"/>
      <c r="CW441" s="198"/>
      <c r="CX441" s="198"/>
      <c r="CY441" s="198"/>
      <c r="CZ441" s="198"/>
      <c r="DA441" s="198"/>
      <c r="DB441" s="198"/>
      <c r="DC441" s="198"/>
      <c r="DD441" s="198"/>
      <c r="DE441" s="198"/>
      <c r="DF441" s="198"/>
      <c r="DG441" s="198"/>
      <c r="DH441" s="198"/>
      <c r="DI441" s="198"/>
      <c r="DJ441" s="198"/>
      <c r="DK441" s="198"/>
      <c r="DL441" s="198"/>
      <c r="DM441" s="198"/>
      <c r="DN441" s="198"/>
      <c r="DO441" s="198"/>
      <c r="DP441" s="198"/>
      <c r="DQ441" s="198"/>
      <c r="DR441" s="198"/>
      <c r="DS441" s="198"/>
      <c r="DT441" s="198"/>
      <c r="DU441" s="198"/>
      <c r="DV441" s="198"/>
      <c r="DW441" s="198"/>
      <c r="DX441" s="198"/>
      <c r="DY441" s="198"/>
      <c r="DZ441" s="198"/>
      <c r="EA441" s="198"/>
      <c r="EB441" s="198"/>
      <c r="EC441" s="198"/>
      <c r="ED441" s="198"/>
      <c r="EE441" s="198"/>
      <c r="EF441" s="198"/>
      <c r="EG441" s="198"/>
      <c r="EH441" s="198"/>
      <c r="EI441" s="198"/>
      <c r="EJ441" s="198"/>
      <c r="EK441" s="198"/>
      <c r="EL441" s="198"/>
      <c r="EM441" s="198"/>
      <c r="EN441" s="198"/>
      <c r="EO441" s="198"/>
      <c r="EP441" s="198"/>
      <c r="EQ441" s="198"/>
      <c r="ER441" s="198"/>
      <c r="ES441" s="198"/>
      <c r="ET441" s="198"/>
      <c r="EU441" s="198"/>
      <c r="EV441" s="198"/>
      <c r="EW441" s="198"/>
      <c r="EX441" s="198"/>
      <c r="EY441" s="198"/>
      <c r="EZ441" s="198"/>
      <c r="FA441" s="198"/>
      <c r="FB441" s="198"/>
      <c r="FC441" s="198"/>
      <c r="FD441" s="198"/>
      <c r="FE441" s="198"/>
      <c r="FF441" s="198"/>
      <c r="FG441" s="198"/>
      <c r="FH441" s="198"/>
    </row>
    <row r="442" spans="10:164" s="173" customFormat="1" x14ac:dyDescent="0.3">
      <c r="J442" s="198"/>
      <c r="K442" s="198"/>
      <c r="L442" s="198"/>
      <c r="M442" s="198"/>
      <c r="N442" s="198"/>
      <c r="O442" s="198"/>
      <c r="P442" s="198"/>
      <c r="Q442" s="198"/>
      <c r="R442" s="198"/>
      <c r="S442" s="198"/>
      <c r="T442" s="198"/>
      <c r="U442" s="198"/>
      <c r="V442" s="198"/>
      <c r="W442" s="198"/>
      <c r="X442" s="198"/>
      <c r="Y442" s="198"/>
      <c r="Z442" s="198"/>
      <c r="AA442" s="198"/>
      <c r="AB442" s="198"/>
      <c r="AC442" s="198"/>
      <c r="AD442" s="198"/>
      <c r="AE442" s="198"/>
      <c r="AF442" s="198"/>
      <c r="AG442" s="198"/>
      <c r="AH442" s="198"/>
      <c r="AI442" s="198"/>
      <c r="AJ442" s="198"/>
      <c r="AK442" s="198"/>
      <c r="AL442" s="198"/>
      <c r="AM442" s="198"/>
      <c r="AN442" s="198"/>
      <c r="AO442" s="198"/>
      <c r="AP442" s="198"/>
      <c r="AQ442" s="198"/>
      <c r="AR442" s="198"/>
      <c r="AS442" s="198"/>
      <c r="AT442" s="198"/>
      <c r="AU442" s="198"/>
      <c r="AV442" s="198"/>
      <c r="AW442" s="198"/>
      <c r="AX442" s="198"/>
      <c r="AY442" s="198"/>
      <c r="AZ442" s="198"/>
      <c r="BA442" s="198"/>
      <c r="BB442" s="198"/>
      <c r="BC442" s="198"/>
      <c r="BD442" s="198"/>
      <c r="BE442" s="198"/>
      <c r="BF442" s="198"/>
      <c r="BG442" s="198"/>
      <c r="BH442" s="198"/>
      <c r="BI442" s="198"/>
      <c r="BJ442" s="198"/>
      <c r="BK442" s="198"/>
      <c r="BL442" s="198"/>
      <c r="BM442" s="198"/>
      <c r="BN442" s="198"/>
      <c r="BO442" s="198"/>
      <c r="BP442" s="198"/>
      <c r="BQ442" s="198"/>
      <c r="BR442" s="198"/>
      <c r="BS442" s="198"/>
      <c r="BT442" s="198"/>
      <c r="BU442" s="198"/>
      <c r="BV442" s="198"/>
      <c r="BW442" s="198"/>
      <c r="BX442" s="198"/>
      <c r="BY442" s="198"/>
      <c r="BZ442" s="198"/>
      <c r="CA442" s="198"/>
      <c r="CB442" s="198"/>
      <c r="CC442" s="198"/>
      <c r="CD442" s="198"/>
      <c r="CE442" s="198"/>
      <c r="CF442" s="198"/>
      <c r="CG442" s="198"/>
      <c r="CH442" s="198"/>
      <c r="CI442" s="198"/>
      <c r="CJ442" s="198"/>
      <c r="CK442" s="198"/>
      <c r="CL442" s="198"/>
      <c r="CM442" s="198"/>
      <c r="CN442" s="198"/>
      <c r="CO442" s="198"/>
      <c r="CP442" s="198"/>
      <c r="CQ442" s="198"/>
      <c r="CR442" s="198"/>
      <c r="CS442" s="198"/>
      <c r="CT442" s="198"/>
      <c r="CU442" s="198"/>
      <c r="CV442" s="198"/>
      <c r="CW442" s="198"/>
      <c r="CX442" s="198"/>
      <c r="CY442" s="198"/>
      <c r="CZ442" s="198"/>
      <c r="DA442" s="198"/>
      <c r="DB442" s="198"/>
      <c r="DC442" s="198"/>
      <c r="DD442" s="198"/>
      <c r="DE442" s="198"/>
      <c r="DF442" s="198"/>
      <c r="DG442" s="198"/>
      <c r="DH442" s="198"/>
      <c r="DI442" s="198"/>
      <c r="DJ442" s="198"/>
      <c r="DK442" s="198"/>
      <c r="DL442" s="198"/>
      <c r="DM442" s="198"/>
      <c r="DN442" s="198"/>
      <c r="DO442" s="198"/>
      <c r="DP442" s="198"/>
      <c r="DQ442" s="198"/>
      <c r="DR442" s="198"/>
      <c r="DS442" s="198"/>
      <c r="DT442" s="198"/>
      <c r="DU442" s="198"/>
      <c r="DV442" s="198"/>
      <c r="DW442" s="198"/>
      <c r="DX442" s="198"/>
      <c r="DY442" s="198"/>
      <c r="DZ442" s="198"/>
      <c r="EA442" s="198"/>
      <c r="EB442" s="198"/>
      <c r="EC442" s="198"/>
      <c r="ED442" s="198"/>
      <c r="EE442" s="198"/>
      <c r="EF442" s="198"/>
      <c r="EG442" s="198"/>
      <c r="EH442" s="198"/>
      <c r="EI442" s="198"/>
      <c r="EJ442" s="198"/>
      <c r="EK442" s="198"/>
      <c r="EL442" s="198"/>
      <c r="EM442" s="198"/>
      <c r="EN442" s="198"/>
      <c r="EO442" s="198"/>
      <c r="EP442" s="198"/>
      <c r="EQ442" s="198"/>
      <c r="ER442" s="198"/>
      <c r="ES442" s="198"/>
      <c r="ET442" s="198"/>
      <c r="EU442" s="198"/>
      <c r="EV442" s="198"/>
      <c r="EW442" s="198"/>
      <c r="EX442" s="198"/>
      <c r="EY442" s="198"/>
      <c r="EZ442" s="198"/>
      <c r="FA442" s="198"/>
      <c r="FB442" s="198"/>
      <c r="FC442" s="198"/>
      <c r="FD442" s="198"/>
      <c r="FE442" s="198"/>
      <c r="FF442" s="198"/>
      <c r="FG442" s="198"/>
      <c r="FH442" s="198"/>
    </row>
    <row r="443" spans="10:164" s="173" customFormat="1" x14ac:dyDescent="0.3">
      <c r="J443" s="198"/>
      <c r="K443" s="198"/>
      <c r="L443" s="198"/>
      <c r="M443" s="198"/>
      <c r="N443" s="198"/>
      <c r="O443" s="198"/>
      <c r="P443" s="198"/>
      <c r="Q443" s="198"/>
      <c r="R443" s="198"/>
      <c r="S443" s="198"/>
      <c r="T443" s="198"/>
      <c r="U443" s="198"/>
      <c r="V443" s="198"/>
      <c r="W443" s="198"/>
      <c r="X443" s="198"/>
      <c r="Y443" s="198"/>
      <c r="Z443" s="198"/>
      <c r="AA443" s="198"/>
      <c r="AB443" s="198"/>
      <c r="AC443" s="198"/>
      <c r="AD443" s="198"/>
      <c r="AE443" s="198"/>
      <c r="AF443" s="198"/>
      <c r="AG443" s="198"/>
      <c r="AH443" s="198"/>
      <c r="AI443" s="198"/>
      <c r="AJ443" s="198"/>
      <c r="AK443" s="198"/>
      <c r="AL443" s="198"/>
      <c r="AM443" s="198"/>
      <c r="AN443" s="198"/>
      <c r="AO443" s="198"/>
      <c r="AP443" s="198"/>
      <c r="AQ443" s="198"/>
      <c r="AR443" s="198"/>
      <c r="AS443" s="198"/>
      <c r="AT443" s="198"/>
      <c r="AU443" s="198"/>
      <c r="AV443" s="198"/>
      <c r="AW443" s="198"/>
      <c r="AX443" s="198"/>
      <c r="AY443" s="198"/>
      <c r="AZ443" s="198"/>
      <c r="BA443" s="198"/>
      <c r="BB443" s="198"/>
      <c r="BC443" s="198"/>
      <c r="BD443" s="198"/>
      <c r="BE443" s="198"/>
      <c r="BF443" s="198"/>
      <c r="BG443" s="198"/>
      <c r="BH443" s="198"/>
      <c r="BI443" s="198"/>
      <c r="BJ443" s="198"/>
      <c r="BK443" s="198"/>
      <c r="BL443" s="198"/>
      <c r="BM443" s="198"/>
      <c r="BN443" s="198"/>
      <c r="BO443" s="198"/>
      <c r="BP443" s="198"/>
      <c r="BQ443" s="198"/>
      <c r="BR443" s="198"/>
      <c r="BS443" s="198"/>
      <c r="BT443" s="198"/>
      <c r="BU443" s="198"/>
      <c r="BV443" s="198"/>
      <c r="BW443" s="198"/>
      <c r="BX443" s="198"/>
      <c r="BY443" s="198"/>
      <c r="BZ443" s="198"/>
      <c r="CA443" s="198"/>
      <c r="CB443" s="198"/>
      <c r="CC443" s="198"/>
      <c r="CD443" s="198"/>
      <c r="CE443" s="198"/>
      <c r="CF443" s="198"/>
      <c r="CG443" s="198"/>
      <c r="CH443" s="198"/>
      <c r="CI443" s="198"/>
      <c r="CJ443" s="198"/>
      <c r="CK443" s="198"/>
      <c r="CL443" s="198"/>
      <c r="CM443" s="198"/>
      <c r="CN443" s="198"/>
      <c r="CO443" s="198"/>
      <c r="CP443" s="198"/>
      <c r="CQ443" s="198"/>
      <c r="CR443" s="198"/>
      <c r="CS443" s="198"/>
      <c r="CT443" s="198"/>
      <c r="CU443" s="198"/>
      <c r="CV443" s="198"/>
      <c r="CW443" s="198"/>
      <c r="CX443" s="198"/>
      <c r="CY443" s="198"/>
      <c r="CZ443" s="198"/>
      <c r="DA443" s="198"/>
      <c r="DB443" s="198"/>
      <c r="DC443" s="198"/>
      <c r="DD443" s="198"/>
      <c r="DE443" s="198"/>
      <c r="DF443" s="198"/>
      <c r="DG443" s="198"/>
      <c r="DH443" s="198"/>
      <c r="DI443" s="198"/>
      <c r="DJ443" s="198"/>
      <c r="DK443" s="198"/>
      <c r="DL443" s="198"/>
      <c r="DM443" s="198"/>
      <c r="DN443" s="198"/>
      <c r="DO443" s="198"/>
      <c r="DP443" s="198"/>
      <c r="DQ443" s="198"/>
      <c r="DR443" s="198"/>
      <c r="DS443" s="198"/>
      <c r="DT443" s="198"/>
      <c r="DU443" s="198"/>
      <c r="DV443" s="198"/>
      <c r="DW443" s="198"/>
      <c r="DX443" s="198"/>
      <c r="DY443" s="198"/>
      <c r="DZ443" s="198"/>
      <c r="EA443" s="198"/>
      <c r="EB443" s="198"/>
      <c r="EC443" s="198"/>
      <c r="ED443" s="198"/>
      <c r="EE443" s="198"/>
      <c r="EF443" s="198"/>
      <c r="EG443" s="198"/>
      <c r="EH443" s="198"/>
      <c r="EI443" s="198"/>
      <c r="EJ443" s="198"/>
      <c r="EK443" s="198"/>
      <c r="EL443" s="198"/>
      <c r="EM443" s="198"/>
      <c r="EN443" s="198"/>
      <c r="EO443" s="198"/>
      <c r="EP443" s="198"/>
      <c r="EQ443" s="198"/>
      <c r="ER443" s="198"/>
      <c r="ES443" s="198"/>
      <c r="ET443" s="198"/>
      <c r="EU443" s="198"/>
      <c r="EV443" s="198"/>
      <c r="EW443" s="198"/>
      <c r="EX443" s="198"/>
      <c r="EY443" s="198"/>
      <c r="EZ443" s="198"/>
      <c r="FA443" s="198"/>
      <c r="FB443" s="198"/>
      <c r="FC443" s="198"/>
      <c r="FD443" s="198"/>
      <c r="FE443" s="198"/>
      <c r="FF443" s="198"/>
      <c r="FG443" s="198"/>
      <c r="FH443" s="198"/>
    </row>
    <row r="444" spans="10:164" s="173" customFormat="1" x14ac:dyDescent="0.3">
      <c r="J444" s="198"/>
      <c r="K444" s="198"/>
      <c r="L444" s="198"/>
      <c r="M444" s="198"/>
      <c r="N444" s="198"/>
      <c r="O444" s="198"/>
      <c r="P444" s="198"/>
      <c r="Q444" s="198"/>
      <c r="R444" s="198"/>
      <c r="S444" s="198"/>
      <c r="T444" s="198"/>
      <c r="U444" s="198"/>
      <c r="V444" s="198"/>
      <c r="W444" s="198"/>
      <c r="X444" s="198"/>
      <c r="Y444" s="198"/>
      <c r="Z444" s="198"/>
      <c r="AA444" s="198"/>
      <c r="AB444" s="198"/>
      <c r="AC444" s="198"/>
      <c r="AD444" s="198"/>
      <c r="AE444" s="198"/>
      <c r="AF444" s="198"/>
      <c r="AG444" s="198"/>
      <c r="AH444" s="198"/>
      <c r="AI444" s="198"/>
      <c r="AJ444" s="198"/>
      <c r="AK444" s="198"/>
      <c r="AL444" s="198"/>
      <c r="AM444" s="198"/>
      <c r="AN444" s="198"/>
      <c r="AO444" s="198"/>
      <c r="AP444" s="198"/>
      <c r="AQ444" s="198"/>
      <c r="AR444" s="198"/>
      <c r="AS444" s="198"/>
      <c r="AT444" s="198"/>
      <c r="AU444" s="198"/>
      <c r="AV444" s="198"/>
      <c r="AW444" s="198"/>
      <c r="AX444" s="198"/>
      <c r="AY444" s="198"/>
      <c r="AZ444" s="198"/>
      <c r="BA444" s="198"/>
      <c r="BB444" s="198"/>
      <c r="BC444" s="198"/>
      <c r="BD444" s="198"/>
      <c r="BE444" s="198"/>
      <c r="BF444" s="198"/>
      <c r="BG444" s="198"/>
      <c r="BH444" s="198"/>
      <c r="BI444" s="198"/>
      <c r="BJ444" s="198"/>
      <c r="BK444" s="198"/>
      <c r="BL444" s="198"/>
      <c r="BM444" s="198"/>
      <c r="BN444" s="198"/>
      <c r="BO444" s="198"/>
      <c r="BP444" s="198"/>
      <c r="BQ444" s="198"/>
      <c r="BR444" s="198"/>
      <c r="BS444" s="198"/>
      <c r="BT444" s="198"/>
      <c r="BU444" s="198"/>
      <c r="BV444" s="198"/>
      <c r="BW444" s="198"/>
      <c r="BX444" s="198"/>
      <c r="BY444" s="198"/>
      <c r="BZ444" s="198"/>
      <c r="CA444" s="198"/>
      <c r="CB444" s="198"/>
      <c r="CC444" s="198"/>
      <c r="CD444" s="198"/>
      <c r="CE444" s="198"/>
      <c r="CF444" s="198"/>
      <c r="CG444" s="198"/>
      <c r="CH444" s="198"/>
      <c r="CI444" s="198"/>
      <c r="CJ444" s="198"/>
      <c r="CK444" s="198"/>
      <c r="CL444" s="198"/>
      <c r="CM444" s="198"/>
      <c r="CN444" s="198"/>
      <c r="CO444" s="198"/>
      <c r="CP444" s="198"/>
      <c r="CQ444" s="198"/>
      <c r="CR444" s="198"/>
      <c r="CS444" s="198"/>
      <c r="CT444" s="198"/>
      <c r="CU444" s="198"/>
      <c r="CV444" s="198"/>
      <c r="CW444" s="198"/>
      <c r="CX444" s="198"/>
      <c r="CY444" s="198"/>
      <c r="CZ444" s="198"/>
      <c r="DA444" s="198"/>
      <c r="DB444" s="198"/>
      <c r="DC444" s="198"/>
      <c r="DD444" s="198"/>
      <c r="DE444" s="198"/>
      <c r="DF444" s="198"/>
      <c r="DG444" s="198"/>
      <c r="DH444" s="198"/>
      <c r="DI444" s="198"/>
      <c r="DJ444" s="198"/>
      <c r="DK444" s="198"/>
      <c r="DL444" s="198"/>
      <c r="DM444" s="198"/>
      <c r="DN444" s="198"/>
      <c r="DO444" s="198"/>
      <c r="DP444" s="198"/>
      <c r="DQ444" s="198"/>
      <c r="DR444" s="198"/>
      <c r="DS444" s="198"/>
      <c r="DT444" s="198"/>
      <c r="DU444" s="198"/>
      <c r="DV444" s="198"/>
      <c r="DW444" s="198"/>
      <c r="DX444" s="198"/>
      <c r="DY444" s="198"/>
      <c r="DZ444" s="198"/>
      <c r="EA444" s="198"/>
      <c r="EB444" s="198"/>
      <c r="EC444" s="198"/>
      <c r="ED444" s="198"/>
      <c r="EE444" s="198"/>
      <c r="EF444" s="198"/>
      <c r="EG444" s="198"/>
      <c r="EH444" s="198"/>
      <c r="EI444" s="198"/>
      <c r="EJ444" s="198"/>
      <c r="EK444" s="198"/>
      <c r="EL444" s="198"/>
      <c r="EM444" s="198"/>
      <c r="EN444" s="198"/>
      <c r="EO444" s="198"/>
      <c r="EP444" s="198"/>
      <c r="EQ444" s="198"/>
      <c r="ER444" s="198"/>
      <c r="ES444" s="198"/>
      <c r="ET444" s="198"/>
      <c r="EU444" s="198"/>
      <c r="EV444" s="198"/>
      <c r="EW444" s="198"/>
      <c r="EX444" s="198"/>
      <c r="EY444" s="198"/>
      <c r="EZ444" s="198"/>
      <c r="FA444" s="198"/>
      <c r="FB444" s="198"/>
      <c r="FC444" s="198"/>
      <c r="FD444" s="198"/>
      <c r="FE444" s="198"/>
      <c r="FF444" s="198"/>
      <c r="FG444" s="198"/>
      <c r="FH444" s="198"/>
    </row>
    <row r="445" spans="10:164" s="173" customFormat="1" x14ac:dyDescent="0.3">
      <c r="J445" s="198"/>
      <c r="K445" s="198"/>
      <c r="L445" s="198"/>
      <c r="M445" s="198"/>
      <c r="N445" s="198"/>
      <c r="O445" s="198"/>
      <c r="P445" s="198"/>
      <c r="Q445" s="198"/>
      <c r="R445" s="198"/>
      <c r="S445" s="198"/>
      <c r="T445" s="198"/>
      <c r="U445" s="198"/>
      <c r="V445" s="198"/>
      <c r="W445" s="198"/>
      <c r="X445" s="198"/>
      <c r="Y445" s="198"/>
      <c r="Z445" s="198"/>
      <c r="AA445" s="198"/>
      <c r="AB445" s="198"/>
      <c r="AC445" s="198"/>
      <c r="AD445" s="198"/>
      <c r="AE445" s="198"/>
      <c r="AF445" s="198"/>
      <c r="AG445" s="198"/>
      <c r="AH445" s="198"/>
      <c r="AI445" s="198"/>
      <c r="AJ445" s="198"/>
      <c r="AK445" s="198"/>
      <c r="AL445" s="198"/>
      <c r="AM445" s="198"/>
      <c r="AN445" s="198"/>
      <c r="AO445" s="198"/>
      <c r="AP445" s="198"/>
      <c r="AQ445" s="198"/>
      <c r="AR445" s="198"/>
      <c r="AS445" s="198"/>
      <c r="AT445" s="198"/>
      <c r="AU445" s="198"/>
      <c r="AV445" s="198"/>
      <c r="AW445" s="198"/>
      <c r="AX445" s="198"/>
      <c r="AY445" s="198"/>
      <c r="AZ445" s="198"/>
      <c r="BA445" s="198"/>
      <c r="BB445" s="198"/>
      <c r="BC445" s="198"/>
      <c r="BD445" s="198"/>
      <c r="BE445" s="198"/>
      <c r="BF445" s="198"/>
      <c r="BG445" s="198"/>
      <c r="BH445" s="198"/>
      <c r="BI445" s="198"/>
      <c r="BJ445" s="198"/>
      <c r="BK445" s="198"/>
      <c r="BL445" s="198"/>
      <c r="BM445" s="198"/>
      <c r="BN445" s="198"/>
      <c r="BO445" s="198"/>
      <c r="BP445" s="198"/>
      <c r="BQ445" s="198"/>
      <c r="BR445" s="198"/>
      <c r="BS445" s="198"/>
      <c r="BT445" s="198"/>
      <c r="BU445" s="198"/>
      <c r="BV445" s="198"/>
      <c r="BW445" s="198"/>
      <c r="BX445" s="198"/>
      <c r="BY445" s="198"/>
      <c r="BZ445" s="198"/>
      <c r="CA445" s="198"/>
      <c r="CB445" s="198"/>
      <c r="CC445" s="198"/>
      <c r="CD445" s="198"/>
      <c r="CE445" s="198"/>
      <c r="CF445" s="198"/>
      <c r="CG445" s="198"/>
      <c r="CH445" s="198"/>
      <c r="CI445" s="198"/>
      <c r="CJ445" s="198"/>
      <c r="CK445" s="198"/>
      <c r="CL445" s="198"/>
      <c r="CM445" s="198"/>
      <c r="CN445" s="198"/>
      <c r="CO445" s="198"/>
      <c r="CP445" s="198"/>
      <c r="CQ445" s="198"/>
      <c r="CR445" s="198"/>
      <c r="CS445" s="198"/>
      <c r="CT445" s="198"/>
      <c r="CU445" s="198"/>
      <c r="CV445" s="198"/>
      <c r="CW445" s="198"/>
      <c r="CX445" s="198"/>
      <c r="CY445" s="198"/>
      <c r="CZ445" s="198"/>
      <c r="DA445" s="198"/>
      <c r="DB445" s="198"/>
      <c r="DC445" s="198"/>
      <c r="DD445" s="198"/>
      <c r="DE445" s="198"/>
      <c r="DF445" s="198"/>
      <c r="DG445" s="198"/>
      <c r="DH445" s="198"/>
      <c r="DI445" s="198"/>
      <c r="DJ445" s="198"/>
      <c r="DK445" s="198"/>
      <c r="DL445" s="198"/>
      <c r="DM445" s="198"/>
      <c r="DN445" s="198"/>
      <c r="DO445" s="198"/>
      <c r="DP445" s="198"/>
      <c r="DQ445" s="198"/>
      <c r="DR445" s="198"/>
      <c r="DS445" s="198"/>
      <c r="DT445" s="198"/>
      <c r="DU445" s="198"/>
      <c r="DV445" s="198"/>
      <c r="DW445" s="198"/>
      <c r="DX445" s="198"/>
      <c r="DY445" s="198"/>
      <c r="DZ445" s="198"/>
      <c r="EA445" s="198"/>
      <c r="EB445" s="198"/>
      <c r="EC445" s="198"/>
      <c r="ED445" s="198"/>
      <c r="EE445" s="198"/>
      <c r="EF445" s="198"/>
      <c r="EG445" s="198"/>
      <c r="EH445" s="198"/>
      <c r="EI445" s="198"/>
      <c r="EJ445" s="198"/>
      <c r="EK445" s="198"/>
      <c r="EL445" s="198"/>
      <c r="EM445" s="198"/>
      <c r="EN445" s="198"/>
      <c r="EO445" s="198"/>
      <c r="EP445" s="198"/>
      <c r="EQ445" s="198"/>
      <c r="ER445" s="198"/>
      <c r="ES445" s="198"/>
      <c r="ET445" s="198"/>
      <c r="EU445" s="198"/>
      <c r="EV445" s="198"/>
      <c r="EW445" s="198"/>
      <c r="EX445" s="198"/>
      <c r="EY445" s="198"/>
      <c r="EZ445" s="198"/>
      <c r="FA445" s="198"/>
      <c r="FB445" s="198"/>
      <c r="FC445" s="198"/>
      <c r="FD445" s="198"/>
      <c r="FE445" s="198"/>
      <c r="FF445" s="198"/>
      <c r="FG445" s="198"/>
      <c r="FH445" s="198"/>
    </row>
    <row r="446" spans="10:164" s="173" customFormat="1" x14ac:dyDescent="0.3">
      <c r="J446" s="198"/>
      <c r="K446" s="198"/>
      <c r="L446" s="198"/>
      <c r="M446" s="198"/>
      <c r="N446" s="198"/>
      <c r="O446" s="198"/>
      <c r="P446" s="198"/>
      <c r="Q446" s="198"/>
      <c r="R446" s="198"/>
      <c r="S446" s="198"/>
      <c r="T446" s="198"/>
      <c r="U446" s="198"/>
      <c r="V446" s="198"/>
      <c r="W446" s="198"/>
      <c r="X446" s="198"/>
      <c r="Y446" s="198"/>
      <c r="Z446" s="198"/>
      <c r="AA446" s="198"/>
      <c r="AB446" s="198"/>
      <c r="AC446" s="198"/>
      <c r="AD446" s="198"/>
      <c r="AE446" s="198"/>
      <c r="AF446" s="198"/>
      <c r="AG446" s="198"/>
      <c r="AH446" s="198"/>
      <c r="AI446" s="198"/>
      <c r="AJ446" s="198"/>
      <c r="AK446" s="198"/>
      <c r="AL446" s="198"/>
      <c r="AM446" s="198"/>
      <c r="AN446" s="198"/>
      <c r="AO446" s="198"/>
      <c r="AP446" s="198"/>
      <c r="AQ446" s="198"/>
      <c r="AR446" s="198"/>
      <c r="AS446" s="198"/>
      <c r="AT446" s="198"/>
      <c r="AU446" s="198"/>
      <c r="AV446" s="198"/>
      <c r="AW446" s="198"/>
      <c r="AX446" s="198"/>
      <c r="AY446" s="198"/>
      <c r="AZ446" s="198"/>
      <c r="BA446" s="198"/>
      <c r="BB446" s="198"/>
      <c r="BC446" s="198"/>
      <c r="BD446" s="198"/>
      <c r="BE446" s="198"/>
      <c r="BF446" s="198"/>
      <c r="BG446" s="198"/>
      <c r="BH446" s="198"/>
      <c r="BI446" s="198"/>
      <c r="BJ446" s="198"/>
      <c r="BK446" s="198"/>
      <c r="BL446" s="198"/>
      <c r="BM446" s="198"/>
      <c r="BN446" s="198"/>
      <c r="BO446" s="198"/>
      <c r="BP446" s="198"/>
      <c r="BQ446" s="198"/>
      <c r="BR446" s="198"/>
      <c r="BS446" s="198"/>
      <c r="BT446" s="198"/>
      <c r="BU446" s="198"/>
      <c r="BV446" s="198"/>
      <c r="BW446" s="198"/>
      <c r="BX446" s="198"/>
      <c r="BY446" s="198"/>
      <c r="BZ446" s="198"/>
      <c r="CA446" s="198"/>
      <c r="CB446" s="198"/>
      <c r="CC446" s="198"/>
      <c r="CD446" s="198"/>
      <c r="CE446" s="198"/>
      <c r="CF446" s="198"/>
      <c r="CG446" s="198"/>
      <c r="CH446" s="198"/>
      <c r="CI446" s="198"/>
      <c r="CJ446" s="198"/>
      <c r="CK446" s="198"/>
      <c r="CL446" s="198"/>
      <c r="CM446" s="198"/>
      <c r="CN446" s="198"/>
      <c r="CO446" s="198"/>
      <c r="CP446" s="198"/>
      <c r="CQ446" s="198"/>
      <c r="CR446" s="198"/>
      <c r="CS446" s="198"/>
      <c r="CT446" s="198"/>
      <c r="CU446" s="198"/>
      <c r="CV446" s="198"/>
      <c r="CW446" s="198"/>
      <c r="CX446" s="198"/>
      <c r="CY446" s="198"/>
      <c r="CZ446" s="198"/>
      <c r="DA446" s="198"/>
      <c r="DB446" s="198"/>
      <c r="DC446" s="198"/>
      <c r="DD446" s="198"/>
      <c r="DE446" s="198"/>
      <c r="DF446" s="198"/>
      <c r="DG446" s="198"/>
      <c r="DH446" s="198"/>
      <c r="DI446" s="198"/>
      <c r="DJ446" s="198"/>
      <c r="DK446" s="198"/>
      <c r="DL446" s="198"/>
      <c r="DM446" s="198"/>
      <c r="DN446" s="198"/>
      <c r="DO446" s="198"/>
      <c r="DP446" s="198"/>
      <c r="DQ446" s="198"/>
      <c r="DR446" s="198"/>
      <c r="DS446" s="198"/>
      <c r="DT446" s="198"/>
      <c r="DU446" s="198"/>
      <c r="DV446" s="198"/>
      <c r="DW446" s="198"/>
      <c r="DX446" s="198"/>
      <c r="DY446" s="198"/>
      <c r="DZ446" s="198"/>
      <c r="EA446" s="198"/>
      <c r="EB446" s="198"/>
      <c r="EC446" s="198"/>
      <c r="ED446" s="198"/>
      <c r="EE446" s="198"/>
      <c r="EF446" s="198"/>
      <c r="EG446" s="198"/>
      <c r="EH446" s="198"/>
      <c r="EI446" s="198"/>
      <c r="EJ446" s="198"/>
      <c r="EK446" s="198"/>
      <c r="EL446" s="198"/>
      <c r="EM446" s="198"/>
      <c r="EN446" s="198"/>
      <c r="EO446" s="198"/>
      <c r="EP446" s="198"/>
      <c r="EQ446" s="198"/>
      <c r="ER446" s="198"/>
      <c r="ES446" s="198"/>
      <c r="ET446" s="198"/>
      <c r="EU446" s="198"/>
      <c r="EV446" s="198"/>
      <c r="EW446" s="198"/>
      <c r="EX446" s="198"/>
      <c r="EY446" s="198"/>
      <c r="EZ446" s="198"/>
      <c r="FA446" s="198"/>
      <c r="FB446" s="198"/>
      <c r="FC446" s="198"/>
      <c r="FD446" s="198"/>
      <c r="FE446" s="198"/>
      <c r="FF446" s="198"/>
      <c r="FG446" s="198"/>
      <c r="FH446" s="198"/>
    </row>
    <row r="447" spans="10:164" s="173" customFormat="1" x14ac:dyDescent="0.3">
      <c r="J447" s="198"/>
      <c r="K447" s="198"/>
      <c r="L447" s="198"/>
      <c r="M447" s="198"/>
      <c r="N447" s="198"/>
      <c r="O447" s="198"/>
      <c r="P447" s="198"/>
      <c r="Q447" s="198"/>
      <c r="R447" s="198"/>
      <c r="S447" s="198"/>
      <c r="T447" s="198"/>
      <c r="U447" s="198"/>
      <c r="V447" s="198"/>
      <c r="W447" s="198"/>
      <c r="X447" s="198"/>
      <c r="Y447" s="198"/>
      <c r="Z447" s="198"/>
      <c r="AA447" s="198"/>
      <c r="AB447" s="198"/>
      <c r="AC447" s="198"/>
      <c r="AD447" s="198"/>
      <c r="AE447" s="198"/>
      <c r="AF447" s="198"/>
      <c r="AG447" s="198"/>
      <c r="AH447" s="198"/>
      <c r="AI447" s="198"/>
      <c r="AJ447" s="198"/>
      <c r="AK447" s="198"/>
      <c r="AL447" s="198"/>
      <c r="AM447" s="198"/>
      <c r="AN447" s="198"/>
      <c r="AO447" s="198"/>
      <c r="AP447" s="198"/>
      <c r="AQ447" s="198"/>
      <c r="AR447" s="198"/>
      <c r="AS447" s="198"/>
      <c r="AT447" s="198"/>
      <c r="AU447" s="198"/>
      <c r="AV447" s="198"/>
      <c r="AW447" s="198"/>
      <c r="AX447" s="198"/>
      <c r="AY447" s="198"/>
      <c r="AZ447" s="198"/>
      <c r="BA447" s="198"/>
      <c r="BB447" s="198"/>
      <c r="BC447" s="198"/>
      <c r="BD447" s="198"/>
      <c r="BE447" s="198"/>
      <c r="BF447" s="198"/>
      <c r="BG447" s="198"/>
      <c r="BH447" s="198"/>
      <c r="BI447" s="198"/>
      <c r="BJ447" s="198"/>
      <c r="BK447" s="198"/>
      <c r="BL447" s="198"/>
      <c r="BM447" s="198"/>
      <c r="BN447" s="198"/>
      <c r="BO447" s="198"/>
      <c r="BP447" s="198"/>
      <c r="BQ447" s="198"/>
      <c r="BR447" s="198"/>
      <c r="BS447" s="198"/>
      <c r="BT447" s="198"/>
      <c r="BU447" s="198"/>
      <c r="BV447" s="198"/>
      <c r="BW447" s="198"/>
      <c r="BX447" s="198"/>
      <c r="BY447" s="198"/>
      <c r="BZ447" s="198"/>
      <c r="CA447" s="198"/>
      <c r="CB447" s="198"/>
      <c r="CC447" s="198"/>
      <c r="CD447" s="198"/>
      <c r="CE447" s="198"/>
      <c r="CF447" s="198"/>
      <c r="CG447" s="198"/>
      <c r="CH447" s="198"/>
      <c r="CI447" s="198"/>
      <c r="CJ447" s="198"/>
      <c r="CK447" s="198"/>
      <c r="CL447" s="198"/>
      <c r="CM447" s="198"/>
      <c r="CN447" s="198"/>
      <c r="CO447" s="198"/>
      <c r="CP447" s="198"/>
      <c r="CQ447" s="198"/>
      <c r="CR447" s="198"/>
      <c r="CS447" s="198"/>
      <c r="CT447" s="198"/>
      <c r="CU447" s="198"/>
      <c r="CV447" s="198"/>
      <c r="CW447" s="198"/>
      <c r="CX447" s="198"/>
      <c r="CY447" s="198"/>
      <c r="CZ447" s="198"/>
      <c r="DA447" s="198"/>
      <c r="DB447" s="198"/>
      <c r="DC447" s="198"/>
      <c r="DD447" s="198"/>
      <c r="DE447" s="198"/>
      <c r="DF447" s="198"/>
      <c r="DG447" s="198"/>
      <c r="DH447" s="198"/>
      <c r="DI447" s="198"/>
      <c r="DJ447" s="198"/>
      <c r="DK447" s="198"/>
      <c r="DL447" s="198"/>
      <c r="DM447" s="198"/>
      <c r="DN447" s="198"/>
      <c r="DO447" s="198"/>
      <c r="DP447" s="198"/>
      <c r="DQ447" s="198"/>
      <c r="DR447" s="198"/>
      <c r="DS447" s="198"/>
      <c r="DT447" s="198"/>
      <c r="DU447" s="198"/>
      <c r="DV447" s="198"/>
      <c r="DW447" s="198"/>
      <c r="DX447" s="198"/>
      <c r="DY447" s="198"/>
      <c r="DZ447" s="198"/>
      <c r="EA447" s="198"/>
      <c r="EB447" s="198"/>
      <c r="EC447" s="198"/>
      <c r="ED447" s="198"/>
      <c r="EE447" s="198"/>
      <c r="EF447" s="198"/>
      <c r="EG447" s="198"/>
      <c r="EH447" s="198"/>
      <c r="EI447" s="198"/>
      <c r="EJ447" s="198"/>
      <c r="EK447" s="198"/>
      <c r="EL447" s="198"/>
      <c r="EM447" s="198"/>
      <c r="EN447" s="198"/>
      <c r="EO447" s="198"/>
      <c r="EP447" s="198"/>
      <c r="EQ447" s="198"/>
      <c r="ER447" s="198"/>
      <c r="ES447" s="198"/>
      <c r="ET447" s="198"/>
      <c r="EU447" s="198"/>
      <c r="EV447" s="198"/>
      <c r="EW447" s="198"/>
      <c r="EX447" s="198"/>
      <c r="EY447" s="198"/>
      <c r="EZ447" s="198"/>
      <c r="FA447" s="198"/>
      <c r="FB447" s="198"/>
      <c r="FC447" s="198"/>
      <c r="FD447" s="198"/>
      <c r="FE447" s="198"/>
      <c r="FF447" s="198"/>
      <c r="FG447" s="198"/>
      <c r="FH447" s="198"/>
    </row>
    <row r="448" spans="10:164" s="173" customFormat="1" x14ac:dyDescent="0.3">
      <c r="J448" s="198"/>
      <c r="K448" s="198"/>
      <c r="L448" s="198"/>
      <c r="M448" s="198"/>
      <c r="N448" s="198"/>
      <c r="O448" s="198"/>
      <c r="P448" s="198"/>
      <c r="Q448" s="198"/>
      <c r="R448" s="198"/>
      <c r="S448" s="198"/>
      <c r="T448" s="198"/>
      <c r="U448" s="198"/>
      <c r="V448" s="198"/>
      <c r="W448" s="198"/>
      <c r="X448" s="198"/>
      <c r="Y448" s="198"/>
      <c r="Z448" s="198"/>
      <c r="AA448" s="198"/>
      <c r="AB448" s="198"/>
      <c r="AC448" s="198"/>
      <c r="AD448" s="198"/>
      <c r="AE448" s="198"/>
      <c r="AF448" s="198"/>
      <c r="AG448" s="198"/>
      <c r="AH448" s="198"/>
      <c r="AI448" s="198"/>
      <c r="AJ448" s="198"/>
      <c r="AK448" s="198"/>
      <c r="AL448" s="198"/>
      <c r="AM448" s="198"/>
      <c r="AN448" s="198"/>
      <c r="AO448" s="198"/>
      <c r="AP448" s="198"/>
      <c r="AQ448" s="198"/>
      <c r="AR448" s="198"/>
      <c r="AS448" s="198"/>
      <c r="AT448" s="198"/>
      <c r="AU448" s="198"/>
      <c r="AV448" s="198"/>
      <c r="AW448" s="198"/>
      <c r="AX448" s="198"/>
      <c r="AY448" s="198"/>
      <c r="AZ448" s="198"/>
      <c r="BA448" s="198"/>
      <c r="BB448" s="198"/>
      <c r="BC448" s="198"/>
      <c r="BD448" s="198"/>
      <c r="BE448" s="198"/>
      <c r="BF448" s="198"/>
      <c r="BG448" s="198"/>
      <c r="BH448" s="198"/>
      <c r="BI448" s="198"/>
      <c r="BJ448" s="198"/>
      <c r="BK448" s="198"/>
      <c r="BL448" s="198"/>
      <c r="BM448" s="198"/>
      <c r="BN448" s="198"/>
      <c r="BO448" s="198"/>
      <c r="BP448" s="198"/>
      <c r="BQ448" s="198"/>
      <c r="BR448" s="198"/>
      <c r="BS448" s="198"/>
      <c r="BT448" s="198"/>
      <c r="BU448" s="198"/>
      <c r="BV448" s="198"/>
      <c r="BW448" s="198"/>
      <c r="BX448" s="198"/>
      <c r="BY448" s="198"/>
      <c r="BZ448" s="198"/>
      <c r="CA448" s="198"/>
      <c r="CB448" s="198"/>
      <c r="CC448" s="198"/>
      <c r="CD448" s="198"/>
      <c r="CE448" s="198"/>
      <c r="CF448" s="198"/>
      <c r="CG448" s="198"/>
      <c r="CH448" s="198"/>
      <c r="CI448" s="198"/>
      <c r="CJ448" s="198"/>
      <c r="CK448" s="198"/>
      <c r="CL448" s="198"/>
      <c r="CM448" s="198"/>
      <c r="CN448" s="198"/>
      <c r="CO448" s="198"/>
      <c r="CP448" s="198"/>
      <c r="CQ448" s="198"/>
      <c r="CR448" s="198"/>
      <c r="CS448" s="198"/>
      <c r="CT448" s="198"/>
      <c r="CU448" s="198"/>
      <c r="CV448" s="198"/>
      <c r="CW448" s="198"/>
      <c r="CX448" s="198"/>
      <c r="CY448" s="198"/>
      <c r="CZ448" s="198"/>
      <c r="DA448" s="198"/>
      <c r="DB448" s="198"/>
      <c r="DC448" s="198"/>
      <c r="DD448" s="198"/>
      <c r="DE448" s="198"/>
      <c r="DF448" s="198"/>
      <c r="DG448" s="198"/>
      <c r="DH448" s="198"/>
      <c r="DI448" s="198"/>
      <c r="DJ448" s="198"/>
      <c r="DK448" s="198"/>
      <c r="DL448" s="198"/>
      <c r="DM448" s="198"/>
      <c r="DN448" s="198"/>
      <c r="DO448" s="198"/>
      <c r="DP448" s="198"/>
      <c r="DQ448" s="198"/>
      <c r="DR448" s="198"/>
      <c r="DS448" s="198"/>
      <c r="DT448" s="198"/>
      <c r="DU448" s="198"/>
      <c r="DV448" s="198"/>
      <c r="DW448" s="198"/>
      <c r="DX448" s="198"/>
      <c r="DY448" s="198"/>
      <c r="DZ448" s="198"/>
      <c r="EA448" s="198"/>
      <c r="EB448" s="198"/>
      <c r="EC448" s="198"/>
      <c r="ED448" s="198"/>
      <c r="EE448" s="198"/>
      <c r="EF448" s="198"/>
      <c r="EG448" s="198"/>
      <c r="EH448" s="198"/>
      <c r="EI448" s="198"/>
      <c r="EJ448" s="198"/>
      <c r="EK448" s="198"/>
      <c r="EL448" s="198"/>
      <c r="EM448" s="198"/>
      <c r="EN448" s="198"/>
      <c r="EO448" s="198"/>
      <c r="EP448" s="198"/>
      <c r="EQ448" s="198"/>
      <c r="ER448" s="198"/>
      <c r="ES448" s="198"/>
      <c r="ET448" s="198"/>
      <c r="EU448" s="198"/>
      <c r="EV448" s="198"/>
      <c r="EW448" s="198"/>
      <c r="EX448" s="198"/>
      <c r="EY448" s="198"/>
      <c r="EZ448" s="198"/>
      <c r="FA448" s="198"/>
      <c r="FB448" s="198"/>
      <c r="FC448" s="198"/>
      <c r="FD448" s="198"/>
      <c r="FE448" s="198"/>
      <c r="FF448" s="198"/>
      <c r="FG448" s="198"/>
      <c r="FH448" s="198"/>
    </row>
    <row r="449" spans="10:164" s="173" customFormat="1" x14ac:dyDescent="0.3">
      <c r="J449" s="198"/>
      <c r="K449" s="198"/>
      <c r="L449" s="198"/>
      <c r="M449" s="198"/>
      <c r="N449" s="198"/>
      <c r="O449" s="198"/>
      <c r="P449" s="198"/>
      <c r="Q449" s="198"/>
      <c r="R449" s="198"/>
      <c r="S449" s="198"/>
      <c r="T449" s="198"/>
      <c r="U449" s="198"/>
      <c r="V449" s="198"/>
      <c r="W449" s="198"/>
      <c r="X449" s="198"/>
      <c r="Y449" s="198"/>
      <c r="Z449" s="198"/>
      <c r="AA449" s="198"/>
      <c r="AB449" s="198"/>
      <c r="AC449" s="198"/>
      <c r="AD449" s="198"/>
      <c r="AE449" s="198"/>
      <c r="AF449" s="198"/>
      <c r="AG449" s="198"/>
      <c r="AH449" s="198"/>
      <c r="AI449" s="198"/>
      <c r="AJ449" s="198"/>
      <c r="AK449" s="198"/>
      <c r="AL449" s="198"/>
      <c r="AM449" s="198"/>
      <c r="AN449" s="198"/>
      <c r="AO449" s="198"/>
      <c r="AP449" s="198"/>
      <c r="AQ449" s="198"/>
      <c r="AR449" s="198"/>
      <c r="AS449" s="198"/>
      <c r="AT449" s="198"/>
      <c r="AU449" s="198"/>
      <c r="AV449" s="198"/>
      <c r="AW449" s="198"/>
      <c r="AX449" s="198"/>
      <c r="AY449" s="198"/>
      <c r="AZ449" s="198"/>
      <c r="BA449" s="198"/>
      <c r="BB449" s="198"/>
      <c r="BC449" s="198"/>
      <c r="BD449" s="198"/>
      <c r="BE449" s="198"/>
      <c r="BF449" s="198"/>
      <c r="BG449" s="198"/>
      <c r="BH449" s="198"/>
      <c r="BI449" s="198"/>
      <c r="BJ449" s="198"/>
      <c r="BK449" s="198"/>
      <c r="BL449" s="198"/>
      <c r="BM449" s="198"/>
      <c r="BN449" s="198"/>
      <c r="BO449" s="198"/>
      <c r="BP449" s="198"/>
      <c r="BQ449" s="198"/>
      <c r="BR449" s="198"/>
      <c r="BS449" s="198"/>
      <c r="BT449" s="198"/>
      <c r="BU449" s="198"/>
      <c r="BV449" s="198"/>
      <c r="BW449" s="198"/>
      <c r="BX449" s="198"/>
      <c r="BY449" s="198"/>
      <c r="BZ449" s="198"/>
      <c r="CA449" s="198"/>
      <c r="CB449" s="198"/>
      <c r="CC449" s="198"/>
      <c r="CD449" s="198"/>
      <c r="CE449" s="198"/>
      <c r="CF449" s="198"/>
      <c r="CG449" s="198"/>
      <c r="CH449" s="198"/>
      <c r="CI449" s="198"/>
      <c r="CJ449" s="198"/>
      <c r="CK449" s="198"/>
      <c r="CL449" s="198"/>
      <c r="CM449" s="198"/>
      <c r="CN449" s="198"/>
      <c r="CO449" s="198"/>
      <c r="CP449" s="198"/>
      <c r="CQ449" s="198"/>
      <c r="CR449" s="198"/>
      <c r="CS449" s="198"/>
      <c r="CT449" s="198"/>
      <c r="CU449" s="198"/>
      <c r="CV449" s="198"/>
      <c r="CW449" s="198"/>
      <c r="CX449" s="198"/>
      <c r="CY449" s="198"/>
      <c r="CZ449" s="198"/>
      <c r="DA449" s="198"/>
      <c r="DB449" s="198"/>
      <c r="DC449" s="198"/>
      <c r="DD449" s="198"/>
      <c r="DE449" s="198"/>
      <c r="DF449" s="198"/>
      <c r="DG449" s="198"/>
      <c r="DH449" s="198"/>
      <c r="DI449" s="198"/>
      <c r="DJ449" s="198"/>
      <c r="DK449" s="198"/>
      <c r="DL449" s="198"/>
      <c r="DM449" s="198"/>
      <c r="DN449" s="198"/>
      <c r="DO449" s="198"/>
      <c r="DP449" s="198"/>
      <c r="DQ449" s="198"/>
      <c r="DR449" s="198"/>
      <c r="DS449" s="198"/>
      <c r="DT449" s="198"/>
      <c r="DU449" s="198"/>
      <c r="DV449" s="198"/>
      <c r="DW449" s="198"/>
      <c r="DX449" s="198"/>
      <c r="DY449" s="198"/>
      <c r="DZ449" s="198"/>
      <c r="EA449" s="198"/>
      <c r="EB449" s="198"/>
      <c r="EC449" s="198"/>
      <c r="ED449" s="198"/>
      <c r="EE449" s="198"/>
      <c r="EF449" s="198"/>
      <c r="EG449" s="198"/>
      <c r="EH449" s="198"/>
      <c r="EI449" s="198"/>
      <c r="EJ449" s="198"/>
      <c r="EK449" s="198"/>
      <c r="EL449" s="198"/>
      <c r="EM449" s="198"/>
      <c r="EN449" s="198"/>
      <c r="EO449" s="198"/>
      <c r="EP449" s="198"/>
      <c r="EQ449" s="198"/>
      <c r="ER449" s="198"/>
      <c r="ES449" s="198"/>
      <c r="ET449" s="198"/>
      <c r="EU449" s="198"/>
      <c r="EV449" s="198"/>
      <c r="EW449" s="198"/>
      <c r="EX449" s="198"/>
      <c r="EY449" s="198"/>
      <c r="EZ449" s="198"/>
      <c r="FA449" s="198"/>
      <c r="FB449" s="198"/>
      <c r="FC449" s="198"/>
      <c r="FD449" s="198"/>
      <c r="FE449" s="198"/>
      <c r="FF449" s="198"/>
      <c r="FG449" s="198"/>
      <c r="FH449" s="198"/>
    </row>
    <row r="450" spans="10:164" s="173" customFormat="1" x14ac:dyDescent="0.3">
      <c r="J450" s="198"/>
      <c r="K450" s="198"/>
      <c r="L450" s="198"/>
      <c r="M450" s="198"/>
      <c r="N450" s="198"/>
      <c r="O450" s="198"/>
      <c r="P450" s="198"/>
      <c r="Q450" s="198"/>
      <c r="R450" s="198"/>
      <c r="S450" s="198"/>
      <c r="T450" s="198"/>
      <c r="U450" s="198"/>
      <c r="V450" s="198"/>
      <c r="W450" s="198"/>
      <c r="X450" s="198"/>
      <c r="Y450" s="198"/>
      <c r="Z450" s="198"/>
      <c r="AA450" s="198"/>
      <c r="AB450" s="198"/>
      <c r="AC450" s="198"/>
      <c r="AD450" s="198"/>
      <c r="AE450" s="198"/>
      <c r="AF450" s="198"/>
      <c r="AG450" s="198"/>
      <c r="AH450" s="198"/>
      <c r="AI450" s="198"/>
      <c r="AJ450" s="198"/>
      <c r="AK450" s="198"/>
      <c r="AL450" s="198"/>
      <c r="AM450" s="198"/>
      <c r="AN450" s="198"/>
      <c r="AO450" s="198"/>
      <c r="AP450" s="198"/>
      <c r="AQ450" s="198"/>
      <c r="AR450" s="198"/>
      <c r="AS450" s="198"/>
      <c r="AT450" s="198"/>
      <c r="AU450" s="198"/>
      <c r="AV450" s="198"/>
      <c r="AW450" s="198"/>
      <c r="AX450" s="198"/>
      <c r="AY450" s="198"/>
      <c r="AZ450" s="198"/>
      <c r="BA450" s="198"/>
      <c r="BB450" s="198"/>
      <c r="BC450" s="198"/>
      <c r="BD450" s="198"/>
      <c r="BE450" s="198"/>
      <c r="BF450" s="198"/>
      <c r="BG450" s="198"/>
      <c r="BH450" s="198"/>
      <c r="BI450" s="198"/>
      <c r="BJ450" s="198"/>
      <c r="BK450" s="198"/>
      <c r="BL450" s="198"/>
      <c r="BM450" s="198"/>
      <c r="BN450" s="198"/>
      <c r="BO450" s="198"/>
      <c r="BP450" s="198"/>
      <c r="BQ450" s="198"/>
      <c r="BR450" s="198"/>
      <c r="BS450" s="198"/>
      <c r="BT450" s="198"/>
      <c r="BU450" s="198"/>
      <c r="BV450" s="198"/>
      <c r="BW450" s="198"/>
      <c r="BX450" s="198"/>
      <c r="BY450" s="198"/>
      <c r="BZ450" s="198"/>
      <c r="CA450" s="198"/>
      <c r="CB450" s="198"/>
      <c r="CC450" s="198"/>
      <c r="CD450" s="198"/>
      <c r="CE450" s="198"/>
      <c r="CF450" s="198"/>
      <c r="CG450" s="198"/>
      <c r="CH450" s="198"/>
      <c r="CI450" s="198"/>
      <c r="CJ450" s="198"/>
      <c r="CK450" s="198"/>
      <c r="CL450" s="198"/>
      <c r="CM450" s="198"/>
      <c r="CN450" s="198"/>
      <c r="CO450" s="198"/>
      <c r="CP450" s="198"/>
      <c r="CQ450" s="198"/>
      <c r="CR450" s="198"/>
      <c r="CS450" s="198"/>
      <c r="CT450" s="198"/>
      <c r="CU450" s="198"/>
      <c r="CV450" s="198"/>
      <c r="CW450" s="198"/>
      <c r="CX450" s="198"/>
      <c r="CY450" s="198"/>
      <c r="CZ450" s="198"/>
      <c r="DA450" s="198"/>
      <c r="DB450" s="198"/>
      <c r="DC450" s="198"/>
      <c r="DD450" s="198"/>
      <c r="DE450" s="198"/>
      <c r="DF450" s="198"/>
      <c r="DG450" s="198"/>
      <c r="DH450" s="198"/>
      <c r="DI450" s="198"/>
      <c r="DJ450" s="198"/>
      <c r="DK450" s="198"/>
      <c r="DL450" s="198"/>
      <c r="DM450" s="198"/>
      <c r="DN450" s="198"/>
      <c r="DO450" s="198"/>
      <c r="DP450" s="198"/>
      <c r="DQ450" s="198"/>
      <c r="DR450" s="198"/>
      <c r="DS450" s="198"/>
      <c r="DT450" s="198"/>
      <c r="DU450" s="198"/>
      <c r="DV450" s="198"/>
      <c r="DW450" s="198"/>
      <c r="DX450" s="198"/>
      <c r="DY450" s="198"/>
      <c r="DZ450" s="198"/>
      <c r="EA450" s="198"/>
      <c r="EB450" s="198"/>
      <c r="EC450" s="198"/>
      <c r="ED450" s="198"/>
      <c r="EE450" s="198"/>
      <c r="EF450" s="198"/>
      <c r="EG450" s="198"/>
      <c r="EH450" s="198"/>
      <c r="EI450" s="198"/>
      <c r="EJ450" s="198"/>
      <c r="EK450" s="198"/>
      <c r="EL450" s="198"/>
      <c r="EM450" s="198"/>
      <c r="EN450" s="198"/>
      <c r="EO450" s="198"/>
      <c r="EP450" s="198"/>
      <c r="EQ450" s="198"/>
      <c r="ER450" s="198"/>
      <c r="ES450" s="198"/>
      <c r="ET450" s="198"/>
      <c r="EU450" s="198"/>
      <c r="EV450" s="198"/>
      <c r="EW450" s="198"/>
      <c r="EX450" s="198"/>
      <c r="EY450" s="198"/>
      <c r="EZ450" s="198"/>
      <c r="FA450" s="198"/>
      <c r="FB450" s="198"/>
      <c r="FC450" s="198"/>
      <c r="FD450" s="198"/>
      <c r="FE450" s="198"/>
      <c r="FF450" s="198"/>
      <c r="FG450" s="198"/>
      <c r="FH450" s="198"/>
    </row>
    <row r="451" spans="10:164" s="173" customFormat="1" x14ac:dyDescent="0.3">
      <c r="J451" s="198"/>
      <c r="K451" s="198"/>
      <c r="L451" s="198"/>
      <c r="M451" s="198"/>
      <c r="N451" s="198"/>
      <c r="O451" s="198"/>
      <c r="P451" s="198"/>
      <c r="Q451" s="198"/>
      <c r="R451" s="198"/>
      <c r="S451" s="198"/>
      <c r="T451" s="198"/>
      <c r="U451" s="198"/>
      <c r="V451" s="198"/>
      <c r="W451" s="198"/>
      <c r="X451" s="198"/>
      <c r="Y451" s="198"/>
      <c r="Z451" s="198"/>
      <c r="AA451" s="198"/>
      <c r="AB451" s="198"/>
      <c r="AC451" s="198"/>
      <c r="AD451" s="198"/>
      <c r="AE451" s="198"/>
      <c r="AF451" s="198"/>
      <c r="AG451" s="198"/>
      <c r="AH451" s="198"/>
      <c r="AI451" s="198"/>
      <c r="AJ451" s="198"/>
      <c r="AK451" s="198"/>
      <c r="AL451" s="198"/>
      <c r="AM451" s="198"/>
      <c r="AN451" s="198"/>
      <c r="AO451" s="198"/>
      <c r="AP451" s="198"/>
      <c r="AQ451" s="198"/>
      <c r="AR451" s="198"/>
      <c r="AS451" s="198"/>
      <c r="AT451" s="198"/>
      <c r="AU451" s="198"/>
      <c r="AV451" s="198"/>
      <c r="AW451" s="198"/>
      <c r="AX451" s="198"/>
      <c r="AY451" s="198"/>
      <c r="AZ451" s="198"/>
      <c r="BA451" s="198"/>
      <c r="BB451" s="198"/>
      <c r="BC451" s="198"/>
      <c r="BD451" s="198"/>
      <c r="BE451" s="198"/>
      <c r="BF451" s="198"/>
      <c r="BG451" s="198"/>
      <c r="BH451" s="198"/>
      <c r="BI451" s="198"/>
      <c r="BJ451" s="198"/>
      <c r="BK451" s="198"/>
      <c r="BL451" s="198"/>
      <c r="BM451" s="198"/>
      <c r="BN451" s="198"/>
      <c r="BO451" s="198"/>
      <c r="BP451" s="198"/>
      <c r="BQ451" s="198"/>
      <c r="BR451" s="198"/>
      <c r="BS451" s="198"/>
      <c r="BT451" s="198"/>
      <c r="BU451" s="198"/>
      <c r="BV451" s="198"/>
      <c r="BW451" s="198"/>
      <c r="BX451" s="198"/>
      <c r="BY451" s="198"/>
      <c r="BZ451" s="198"/>
      <c r="CA451" s="198"/>
      <c r="CB451" s="198"/>
      <c r="CC451" s="198"/>
      <c r="CD451" s="198"/>
      <c r="CE451" s="198"/>
      <c r="CF451" s="198"/>
      <c r="CG451" s="198"/>
      <c r="CH451" s="198"/>
      <c r="CI451" s="198"/>
      <c r="CJ451" s="198"/>
      <c r="CK451" s="198"/>
      <c r="CL451" s="198"/>
      <c r="CM451" s="198"/>
      <c r="CN451" s="198"/>
      <c r="CO451" s="198"/>
      <c r="CP451" s="198"/>
      <c r="CQ451" s="198"/>
      <c r="CR451" s="198"/>
      <c r="CS451" s="198"/>
      <c r="CT451" s="198"/>
      <c r="CU451" s="198"/>
      <c r="CV451" s="198"/>
      <c r="CW451" s="198"/>
      <c r="CX451" s="198"/>
      <c r="CY451" s="198"/>
      <c r="CZ451" s="198"/>
      <c r="DA451" s="198"/>
      <c r="DB451" s="198"/>
      <c r="DC451" s="198"/>
      <c r="DD451" s="198"/>
      <c r="DE451" s="198"/>
      <c r="DF451" s="198"/>
      <c r="DG451" s="198"/>
      <c r="DH451" s="198"/>
      <c r="DI451" s="198"/>
      <c r="DJ451" s="198"/>
      <c r="DK451" s="198"/>
      <c r="DL451" s="198"/>
      <c r="DM451" s="198"/>
      <c r="DN451" s="198"/>
      <c r="DO451" s="198"/>
      <c r="DP451" s="198"/>
      <c r="DQ451" s="198"/>
      <c r="DR451" s="198"/>
      <c r="DS451" s="198"/>
      <c r="DT451" s="198"/>
      <c r="DU451" s="198"/>
      <c r="DV451" s="198"/>
      <c r="DW451" s="198"/>
      <c r="DX451" s="198"/>
      <c r="DY451" s="198"/>
      <c r="DZ451" s="198"/>
      <c r="EA451" s="198"/>
      <c r="EB451" s="198"/>
      <c r="EC451" s="198"/>
      <c r="ED451" s="198"/>
      <c r="EE451" s="198"/>
      <c r="EF451" s="198"/>
      <c r="EG451" s="198"/>
      <c r="EH451" s="198"/>
      <c r="EI451" s="198"/>
      <c r="EJ451" s="198"/>
      <c r="EK451" s="198"/>
      <c r="EL451" s="198"/>
      <c r="EM451" s="198"/>
      <c r="EN451" s="198"/>
      <c r="EO451" s="198"/>
      <c r="EP451" s="198"/>
      <c r="EQ451" s="198"/>
      <c r="ER451" s="198"/>
      <c r="ES451" s="198"/>
      <c r="ET451" s="198"/>
      <c r="EU451" s="198"/>
      <c r="EV451" s="198"/>
      <c r="EW451" s="198"/>
      <c r="EX451" s="198"/>
      <c r="EY451" s="198"/>
      <c r="EZ451" s="198"/>
      <c r="FA451" s="198"/>
      <c r="FB451" s="198"/>
      <c r="FC451" s="198"/>
      <c r="FD451" s="198"/>
      <c r="FE451" s="198"/>
      <c r="FF451" s="198"/>
      <c r="FG451" s="198"/>
      <c r="FH451" s="198"/>
    </row>
    <row r="452" spans="10:164" s="173" customFormat="1" x14ac:dyDescent="0.3">
      <c r="J452" s="198"/>
      <c r="K452" s="198"/>
      <c r="L452" s="198"/>
      <c r="M452" s="198"/>
      <c r="N452" s="198"/>
      <c r="O452" s="198"/>
      <c r="P452" s="198"/>
      <c r="Q452" s="198"/>
      <c r="R452" s="198"/>
      <c r="S452" s="198"/>
      <c r="T452" s="198"/>
      <c r="U452" s="198"/>
      <c r="V452" s="198"/>
      <c r="W452" s="198"/>
      <c r="X452" s="198"/>
      <c r="Y452" s="198"/>
      <c r="Z452" s="198"/>
      <c r="AA452" s="198"/>
      <c r="AB452" s="198"/>
      <c r="AC452" s="198"/>
      <c r="AD452" s="198"/>
      <c r="AE452" s="198"/>
      <c r="AF452" s="198"/>
      <c r="AG452" s="198"/>
      <c r="AH452" s="198"/>
      <c r="AI452" s="198"/>
      <c r="AJ452" s="198"/>
      <c r="AK452" s="198"/>
      <c r="AL452" s="198"/>
      <c r="AM452" s="198"/>
      <c r="AN452" s="198"/>
      <c r="AO452" s="198"/>
      <c r="AP452" s="198"/>
      <c r="AQ452" s="198"/>
      <c r="AR452" s="198"/>
      <c r="AS452" s="198"/>
      <c r="AT452" s="198"/>
      <c r="AU452" s="198"/>
      <c r="AV452" s="198"/>
      <c r="AW452" s="198"/>
      <c r="AX452" s="198"/>
      <c r="AY452" s="198"/>
      <c r="AZ452" s="198"/>
      <c r="BA452" s="198"/>
      <c r="BB452" s="198"/>
      <c r="BC452" s="198"/>
      <c r="BD452" s="198"/>
      <c r="BE452" s="198"/>
      <c r="BF452" s="198"/>
      <c r="BG452" s="198"/>
      <c r="BH452" s="198"/>
      <c r="BI452" s="198"/>
      <c r="BJ452" s="198"/>
      <c r="BK452" s="198"/>
      <c r="BL452" s="198"/>
      <c r="BM452" s="198"/>
      <c r="BN452" s="198"/>
      <c r="BO452" s="198"/>
      <c r="BP452" s="198"/>
      <c r="BQ452" s="198"/>
      <c r="BR452" s="198"/>
      <c r="BS452" s="198"/>
      <c r="BT452" s="198"/>
      <c r="BU452" s="198"/>
      <c r="BV452" s="198"/>
      <c r="BW452" s="198"/>
      <c r="BX452" s="198"/>
      <c r="BY452" s="198"/>
      <c r="BZ452" s="198"/>
      <c r="CA452" s="198"/>
      <c r="CB452" s="198"/>
      <c r="CC452" s="198"/>
      <c r="CD452" s="198"/>
      <c r="CE452" s="198"/>
      <c r="CF452" s="198"/>
      <c r="CG452" s="198"/>
      <c r="CH452" s="198"/>
      <c r="CI452" s="198"/>
      <c r="CJ452" s="198"/>
      <c r="CK452" s="198"/>
      <c r="CL452" s="198"/>
      <c r="CM452" s="198"/>
      <c r="CN452" s="198"/>
      <c r="CO452" s="198"/>
      <c r="CP452" s="198"/>
      <c r="CQ452" s="198"/>
      <c r="CR452" s="198"/>
      <c r="CS452" s="198"/>
      <c r="CT452" s="198"/>
      <c r="CU452" s="198"/>
      <c r="CV452" s="198"/>
      <c r="CW452" s="198"/>
      <c r="CX452" s="198"/>
      <c r="CY452" s="198"/>
      <c r="CZ452" s="198"/>
      <c r="DA452" s="198"/>
      <c r="DB452" s="198"/>
      <c r="DC452" s="198"/>
      <c r="DD452" s="198"/>
      <c r="DE452" s="198"/>
      <c r="DF452" s="198"/>
      <c r="DG452" s="198"/>
      <c r="DH452" s="198"/>
      <c r="DI452" s="198"/>
      <c r="DJ452" s="198"/>
      <c r="DK452" s="198"/>
      <c r="DL452" s="198"/>
      <c r="DM452" s="198"/>
      <c r="DN452" s="198"/>
      <c r="DO452" s="198"/>
      <c r="DP452" s="198"/>
      <c r="DQ452" s="198"/>
      <c r="DR452" s="198"/>
      <c r="DS452" s="198"/>
      <c r="DT452" s="198"/>
      <c r="DU452" s="198"/>
      <c r="DV452" s="198"/>
      <c r="DW452" s="198"/>
      <c r="DX452" s="198"/>
      <c r="DY452" s="198"/>
      <c r="DZ452" s="198"/>
      <c r="EA452" s="198"/>
      <c r="EB452" s="198"/>
      <c r="EC452" s="198"/>
      <c r="ED452" s="198"/>
      <c r="EE452" s="198"/>
      <c r="EF452" s="198"/>
      <c r="EG452" s="198"/>
      <c r="EH452" s="198"/>
      <c r="EI452" s="198"/>
      <c r="EJ452" s="198"/>
      <c r="EK452" s="198"/>
      <c r="EL452" s="198"/>
      <c r="EM452" s="198"/>
      <c r="EN452" s="198"/>
      <c r="EO452" s="198"/>
      <c r="EP452" s="198"/>
      <c r="EQ452" s="198"/>
      <c r="ER452" s="198"/>
      <c r="ES452" s="198"/>
      <c r="ET452" s="198"/>
      <c r="EU452" s="198"/>
      <c r="EV452" s="198"/>
      <c r="EW452" s="198"/>
      <c r="EX452" s="198"/>
      <c r="EY452" s="198"/>
      <c r="EZ452" s="198"/>
      <c r="FA452" s="198"/>
      <c r="FB452" s="198"/>
      <c r="FC452" s="198"/>
      <c r="FD452" s="198"/>
      <c r="FE452" s="198"/>
      <c r="FF452" s="198"/>
      <c r="FG452" s="198"/>
      <c r="FH452" s="198"/>
    </row>
    <row r="453" spans="10:164" s="173" customFormat="1" x14ac:dyDescent="0.3">
      <c r="J453" s="198"/>
      <c r="K453" s="198"/>
      <c r="L453" s="198"/>
      <c r="M453" s="198"/>
      <c r="N453" s="198"/>
      <c r="O453" s="198"/>
      <c r="P453" s="198"/>
      <c r="Q453" s="198"/>
      <c r="R453" s="198"/>
      <c r="S453" s="198"/>
      <c r="T453" s="198"/>
      <c r="U453" s="198"/>
      <c r="V453" s="198"/>
      <c r="W453" s="198"/>
      <c r="X453" s="198"/>
      <c r="Y453" s="198"/>
      <c r="Z453" s="198"/>
      <c r="AA453" s="198"/>
      <c r="AB453" s="198"/>
      <c r="AC453" s="198"/>
      <c r="AD453" s="198"/>
      <c r="AE453" s="198"/>
      <c r="AF453" s="198"/>
      <c r="AG453" s="198"/>
      <c r="AH453" s="198"/>
      <c r="AI453" s="198"/>
      <c r="AJ453" s="198"/>
      <c r="AK453" s="198"/>
      <c r="AL453" s="198"/>
      <c r="AM453" s="198"/>
      <c r="AN453" s="198"/>
      <c r="AO453" s="198"/>
      <c r="AP453" s="198"/>
      <c r="AQ453" s="198"/>
      <c r="AR453" s="198"/>
      <c r="AS453" s="198"/>
      <c r="AT453" s="198"/>
      <c r="AU453" s="198"/>
      <c r="AV453" s="198"/>
      <c r="AW453" s="198"/>
      <c r="AX453" s="198"/>
      <c r="AY453" s="198"/>
      <c r="AZ453" s="198"/>
      <c r="BA453" s="198"/>
      <c r="BB453" s="198"/>
      <c r="BC453" s="198"/>
      <c r="BD453" s="198"/>
      <c r="BE453" s="198"/>
      <c r="BF453" s="198"/>
      <c r="BG453" s="198"/>
      <c r="BH453" s="198"/>
      <c r="BI453" s="198"/>
      <c r="BJ453" s="198"/>
      <c r="BK453" s="198"/>
      <c r="BL453" s="198"/>
      <c r="BM453" s="198"/>
      <c r="BN453" s="198"/>
      <c r="BO453" s="198"/>
      <c r="BP453" s="198"/>
      <c r="BQ453" s="198"/>
      <c r="BR453" s="198"/>
      <c r="BS453" s="198"/>
      <c r="BT453" s="198"/>
      <c r="BU453" s="198"/>
      <c r="BV453" s="198"/>
      <c r="BW453" s="198"/>
      <c r="BX453" s="198"/>
      <c r="BY453" s="198"/>
      <c r="BZ453" s="198"/>
      <c r="CA453" s="198"/>
      <c r="CB453" s="198"/>
      <c r="CC453" s="198"/>
      <c r="CD453" s="198"/>
      <c r="CE453" s="198"/>
      <c r="CF453" s="198"/>
      <c r="CG453" s="198"/>
      <c r="CH453" s="198"/>
      <c r="CI453" s="198"/>
      <c r="CJ453" s="198"/>
      <c r="CK453" s="198"/>
      <c r="CL453" s="198"/>
      <c r="CM453" s="198"/>
      <c r="CN453" s="198"/>
      <c r="CO453" s="198"/>
      <c r="CP453" s="198"/>
      <c r="CQ453" s="198"/>
      <c r="CR453" s="198"/>
      <c r="CS453" s="198"/>
      <c r="CT453" s="198"/>
      <c r="CU453" s="198"/>
      <c r="CV453" s="198"/>
      <c r="CW453" s="198"/>
      <c r="CX453" s="198"/>
      <c r="CY453" s="198"/>
      <c r="CZ453" s="198"/>
      <c r="DA453" s="198"/>
      <c r="DB453" s="198"/>
      <c r="DC453" s="198"/>
      <c r="DD453" s="198"/>
      <c r="DE453" s="198"/>
      <c r="DF453" s="198"/>
      <c r="DG453" s="198"/>
      <c r="DH453" s="198"/>
      <c r="DI453" s="198"/>
      <c r="DJ453" s="198"/>
      <c r="DK453" s="198"/>
      <c r="DL453" s="198"/>
      <c r="DM453" s="198"/>
      <c r="DN453" s="198"/>
      <c r="DO453" s="198"/>
      <c r="DP453" s="198"/>
      <c r="DQ453" s="198"/>
      <c r="DR453" s="198"/>
      <c r="DS453" s="198"/>
      <c r="DT453" s="198"/>
      <c r="DU453" s="198"/>
      <c r="DV453" s="198"/>
      <c r="DW453" s="198"/>
      <c r="DX453" s="198"/>
      <c r="DY453" s="198"/>
      <c r="DZ453" s="198"/>
      <c r="EA453" s="198"/>
      <c r="EB453" s="198"/>
      <c r="EC453" s="198"/>
      <c r="ED453" s="198"/>
      <c r="EE453" s="198"/>
      <c r="EF453" s="198"/>
      <c r="EG453" s="198"/>
      <c r="EH453" s="198"/>
      <c r="EI453" s="198"/>
      <c r="EJ453" s="198"/>
      <c r="EK453" s="198"/>
      <c r="EL453" s="198"/>
      <c r="EM453" s="198"/>
      <c r="EN453" s="198"/>
      <c r="EO453" s="198"/>
      <c r="EP453" s="198"/>
      <c r="EQ453" s="198"/>
      <c r="ER453" s="198"/>
      <c r="ES453" s="198"/>
      <c r="ET453" s="198"/>
      <c r="EU453" s="198"/>
      <c r="EV453" s="198"/>
      <c r="EW453" s="198"/>
      <c r="EX453" s="198"/>
      <c r="EY453" s="198"/>
      <c r="EZ453" s="198"/>
      <c r="FA453" s="198"/>
      <c r="FB453" s="198"/>
      <c r="FC453" s="198"/>
      <c r="FD453" s="198"/>
      <c r="FE453" s="198"/>
      <c r="FF453" s="198"/>
      <c r="FG453" s="198"/>
      <c r="FH453" s="198"/>
    </row>
    <row r="454" spans="10:164" s="173" customFormat="1" x14ac:dyDescent="0.3">
      <c r="J454" s="198"/>
      <c r="K454" s="198"/>
      <c r="L454" s="198"/>
      <c r="M454" s="198"/>
      <c r="N454" s="198"/>
      <c r="O454" s="198"/>
      <c r="P454" s="198"/>
      <c r="Q454" s="198"/>
      <c r="R454" s="198"/>
      <c r="S454" s="198"/>
      <c r="T454" s="198"/>
      <c r="U454" s="198"/>
      <c r="V454" s="198"/>
      <c r="W454" s="198"/>
      <c r="X454" s="198"/>
      <c r="Y454" s="198"/>
      <c r="Z454" s="198"/>
      <c r="AA454" s="198"/>
      <c r="AB454" s="198"/>
      <c r="AC454" s="198"/>
      <c r="AD454" s="198"/>
      <c r="AE454" s="198"/>
      <c r="AF454" s="198"/>
      <c r="AG454" s="198"/>
      <c r="AH454" s="198"/>
      <c r="AI454" s="198"/>
      <c r="AJ454" s="198"/>
      <c r="AK454" s="198"/>
      <c r="AL454" s="198"/>
      <c r="AM454" s="198"/>
      <c r="AN454" s="198"/>
      <c r="AO454" s="198"/>
      <c r="AP454" s="198"/>
      <c r="AQ454" s="198"/>
      <c r="AR454" s="198"/>
      <c r="AS454" s="198"/>
      <c r="AT454" s="198"/>
      <c r="AU454" s="198"/>
      <c r="AV454" s="198"/>
      <c r="AW454" s="198"/>
      <c r="AX454" s="198"/>
      <c r="AY454" s="198"/>
      <c r="AZ454" s="198"/>
      <c r="BA454" s="198"/>
      <c r="BB454" s="198"/>
      <c r="BC454" s="198"/>
      <c r="BD454" s="198"/>
      <c r="BE454" s="198"/>
      <c r="BF454" s="198"/>
      <c r="BG454" s="198"/>
      <c r="BH454" s="198"/>
      <c r="BI454" s="198"/>
      <c r="BJ454" s="198"/>
      <c r="BK454" s="198"/>
      <c r="BL454" s="198"/>
      <c r="BM454" s="198"/>
      <c r="BN454" s="198"/>
      <c r="BO454" s="198"/>
      <c r="BP454" s="198"/>
      <c r="BQ454" s="198"/>
      <c r="BR454" s="198"/>
      <c r="BS454" s="198"/>
      <c r="BT454" s="198"/>
      <c r="BU454" s="198"/>
      <c r="BV454" s="198"/>
      <c r="BW454" s="198"/>
      <c r="BX454" s="198"/>
      <c r="BY454" s="198"/>
      <c r="BZ454" s="198"/>
      <c r="CA454" s="198"/>
      <c r="CB454" s="198"/>
      <c r="CC454" s="198"/>
      <c r="CD454" s="198"/>
      <c r="CE454" s="198"/>
      <c r="CF454" s="198"/>
      <c r="CG454" s="198"/>
      <c r="CH454" s="198"/>
      <c r="CI454" s="198"/>
      <c r="CJ454" s="198"/>
      <c r="CK454" s="198"/>
      <c r="CL454" s="198"/>
      <c r="CM454" s="198"/>
      <c r="CN454" s="198"/>
      <c r="CO454" s="198"/>
      <c r="CP454" s="198"/>
      <c r="CQ454" s="198"/>
      <c r="CR454" s="198"/>
      <c r="CS454" s="198"/>
      <c r="CT454" s="198"/>
      <c r="CU454" s="198"/>
      <c r="CV454" s="198"/>
      <c r="CW454" s="198"/>
      <c r="CX454" s="198"/>
      <c r="CY454" s="198"/>
      <c r="CZ454" s="198"/>
      <c r="DA454" s="198"/>
      <c r="DB454" s="198"/>
      <c r="DC454" s="198"/>
      <c r="DD454" s="198"/>
      <c r="DE454" s="198"/>
      <c r="DF454" s="198"/>
      <c r="DG454" s="198"/>
      <c r="DH454" s="198"/>
      <c r="DI454" s="198"/>
      <c r="DJ454" s="198"/>
      <c r="DK454" s="198"/>
      <c r="DL454" s="198"/>
      <c r="DM454" s="198"/>
      <c r="DN454" s="198"/>
      <c r="DO454" s="198"/>
      <c r="DP454" s="198"/>
      <c r="DQ454" s="198"/>
      <c r="DR454" s="198"/>
      <c r="DS454" s="198"/>
      <c r="DT454" s="198"/>
      <c r="DU454" s="198"/>
      <c r="DV454" s="198"/>
      <c r="DW454" s="198"/>
      <c r="DX454" s="198"/>
      <c r="DY454" s="198"/>
      <c r="DZ454" s="198"/>
      <c r="EA454" s="198"/>
      <c r="EB454" s="198"/>
      <c r="EC454" s="198"/>
      <c r="ED454" s="198"/>
      <c r="EE454" s="198"/>
      <c r="EF454" s="198"/>
      <c r="EG454" s="198"/>
      <c r="EH454" s="198"/>
      <c r="EI454" s="198"/>
      <c r="EJ454" s="198"/>
      <c r="EK454" s="198"/>
      <c r="EL454" s="198"/>
      <c r="EM454" s="198"/>
      <c r="EN454" s="198"/>
      <c r="EO454" s="198"/>
      <c r="EP454" s="198"/>
      <c r="EQ454" s="198"/>
      <c r="ER454" s="198"/>
      <c r="ES454" s="198"/>
      <c r="ET454" s="198"/>
      <c r="EU454" s="198"/>
      <c r="EV454" s="198"/>
      <c r="EW454" s="198"/>
      <c r="EX454" s="198"/>
      <c r="EY454" s="198"/>
      <c r="EZ454" s="198"/>
      <c r="FA454" s="198"/>
      <c r="FB454" s="198"/>
      <c r="FC454" s="198"/>
      <c r="FD454" s="198"/>
      <c r="FE454" s="198"/>
      <c r="FF454" s="198"/>
      <c r="FG454" s="198"/>
      <c r="FH454" s="198"/>
    </row>
    <row r="455" spans="10:164" s="173" customFormat="1" x14ac:dyDescent="0.3">
      <c r="J455" s="198"/>
      <c r="K455" s="198"/>
      <c r="L455" s="198"/>
      <c r="M455" s="198"/>
      <c r="N455" s="198"/>
      <c r="O455" s="198"/>
      <c r="P455" s="198"/>
      <c r="Q455" s="198"/>
      <c r="R455" s="198"/>
      <c r="S455" s="198"/>
      <c r="T455" s="198"/>
      <c r="U455" s="198"/>
      <c r="V455" s="198"/>
      <c r="W455" s="198"/>
      <c r="X455" s="198"/>
      <c r="Y455" s="198"/>
      <c r="Z455" s="198"/>
      <c r="AA455" s="198"/>
      <c r="AB455" s="198"/>
      <c r="AC455" s="198"/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198"/>
      <c r="AQ455" s="198"/>
      <c r="AR455" s="198"/>
      <c r="AS455" s="198"/>
      <c r="AT455" s="198"/>
      <c r="AU455" s="198"/>
      <c r="AV455" s="198"/>
      <c r="AW455" s="198"/>
      <c r="AX455" s="198"/>
      <c r="AY455" s="198"/>
      <c r="AZ455" s="198"/>
      <c r="BA455" s="198"/>
      <c r="BB455" s="198"/>
      <c r="BC455" s="198"/>
      <c r="BD455" s="198"/>
      <c r="BE455" s="198"/>
      <c r="BF455" s="198"/>
      <c r="BG455" s="198"/>
      <c r="BH455" s="198"/>
      <c r="BI455" s="198"/>
      <c r="BJ455" s="198"/>
      <c r="BK455" s="198"/>
      <c r="BL455" s="198"/>
      <c r="BM455" s="198"/>
      <c r="BN455" s="198"/>
      <c r="BO455" s="198"/>
      <c r="BP455" s="198"/>
      <c r="BQ455" s="198"/>
      <c r="BR455" s="198"/>
      <c r="BS455" s="198"/>
      <c r="BT455" s="198"/>
      <c r="BU455" s="198"/>
      <c r="BV455" s="198"/>
      <c r="BW455" s="198"/>
      <c r="BX455" s="198"/>
      <c r="BY455" s="198"/>
      <c r="BZ455" s="198"/>
      <c r="CA455" s="198"/>
      <c r="CB455" s="198"/>
      <c r="CC455" s="198"/>
      <c r="CD455" s="198"/>
      <c r="CE455" s="198"/>
      <c r="CF455" s="198"/>
      <c r="CG455" s="198"/>
      <c r="CH455" s="198"/>
      <c r="CI455" s="198"/>
      <c r="CJ455" s="198"/>
      <c r="CK455" s="198"/>
      <c r="CL455" s="198"/>
      <c r="CM455" s="198"/>
      <c r="CN455" s="198"/>
      <c r="CO455" s="198"/>
      <c r="CP455" s="198"/>
      <c r="CQ455" s="198"/>
      <c r="CR455" s="198"/>
      <c r="CS455" s="198"/>
      <c r="CT455" s="198"/>
      <c r="CU455" s="198"/>
      <c r="CV455" s="198"/>
      <c r="CW455" s="198"/>
      <c r="CX455" s="198"/>
      <c r="CY455" s="198"/>
      <c r="CZ455" s="198"/>
      <c r="DA455" s="198"/>
      <c r="DB455" s="198"/>
      <c r="DC455" s="198"/>
      <c r="DD455" s="198"/>
      <c r="DE455" s="198"/>
      <c r="DF455" s="198"/>
      <c r="DG455" s="198"/>
      <c r="DH455" s="198"/>
      <c r="DI455" s="198"/>
      <c r="DJ455" s="198"/>
      <c r="DK455" s="198"/>
      <c r="DL455" s="198"/>
      <c r="DM455" s="198"/>
      <c r="DN455" s="198"/>
      <c r="DO455" s="198"/>
      <c r="DP455" s="198"/>
      <c r="DQ455" s="198"/>
      <c r="DR455" s="198"/>
      <c r="DS455" s="198"/>
      <c r="DT455" s="198"/>
      <c r="DU455" s="198"/>
      <c r="DV455" s="198"/>
      <c r="DW455" s="198"/>
      <c r="DX455" s="198"/>
      <c r="DY455" s="198"/>
      <c r="DZ455" s="198"/>
      <c r="EA455" s="198"/>
      <c r="EB455" s="198"/>
      <c r="EC455" s="198"/>
      <c r="ED455" s="198"/>
      <c r="EE455" s="198"/>
      <c r="EF455" s="198"/>
      <c r="EG455" s="198"/>
      <c r="EH455" s="198"/>
      <c r="EI455" s="198"/>
      <c r="EJ455" s="198"/>
      <c r="EK455" s="198"/>
      <c r="EL455" s="198"/>
      <c r="EM455" s="198"/>
      <c r="EN455" s="198"/>
      <c r="EO455" s="198"/>
      <c r="EP455" s="198"/>
      <c r="EQ455" s="198"/>
      <c r="ER455" s="198"/>
      <c r="ES455" s="198"/>
      <c r="ET455" s="198"/>
      <c r="EU455" s="198"/>
      <c r="EV455" s="198"/>
      <c r="EW455" s="198"/>
      <c r="EX455" s="198"/>
      <c r="EY455" s="198"/>
      <c r="EZ455" s="198"/>
      <c r="FA455" s="198"/>
      <c r="FB455" s="198"/>
      <c r="FC455" s="198"/>
      <c r="FD455" s="198"/>
      <c r="FE455" s="198"/>
      <c r="FF455" s="198"/>
      <c r="FG455" s="198"/>
      <c r="FH455" s="198"/>
    </row>
    <row r="456" spans="10:164" s="173" customFormat="1" x14ac:dyDescent="0.3">
      <c r="J456" s="198"/>
      <c r="K456" s="198"/>
      <c r="L456" s="198"/>
      <c r="M456" s="198"/>
      <c r="N456" s="198"/>
      <c r="O456" s="198"/>
      <c r="P456" s="198"/>
      <c r="Q456" s="198"/>
      <c r="R456" s="198"/>
      <c r="S456" s="198"/>
      <c r="T456" s="198"/>
      <c r="U456" s="198"/>
      <c r="V456" s="198"/>
      <c r="W456" s="198"/>
      <c r="X456" s="198"/>
      <c r="Y456" s="198"/>
      <c r="Z456" s="198"/>
      <c r="AA456" s="198"/>
      <c r="AB456" s="198"/>
      <c r="AC456" s="198"/>
      <c r="AD456" s="198"/>
      <c r="AE456" s="198"/>
      <c r="AF456" s="198"/>
      <c r="AG456" s="198"/>
      <c r="AH456" s="198"/>
      <c r="AI456" s="198"/>
      <c r="AJ456" s="198"/>
      <c r="AK456" s="198"/>
      <c r="AL456" s="198"/>
      <c r="AM456" s="198"/>
      <c r="AN456" s="198"/>
      <c r="AO456" s="198"/>
      <c r="AP456" s="198"/>
      <c r="AQ456" s="198"/>
      <c r="AR456" s="198"/>
      <c r="AS456" s="198"/>
      <c r="AT456" s="198"/>
      <c r="AU456" s="198"/>
      <c r="AV456" s="198"/>
      <c r="AW456" s="198"/>
      <c r="AX456" s="198"/>
      <c r="AY456" s="198"/>
      <c r="AZ456" s="198"/>
      <c r="BA456" s="198"/>
      <c r="BB456" s="198"/>
      <c r="BC456" s="198"/>
      <c r="BD456" s="198"/>
      <c r="BE456" s="198"/>
      <c r="BF456" s="198"/>
      <c r="BG456" s="198"/>
      <c r="BH456" s="198"/>
      <c r="BI456" s="198"/>
      <c r="BJ456" s="198"/>
      <c r="BK456" s="198"/>
      <c r="BL456" s="198"/>
      <c r="BM456" s="198"/>
      <c r="BN456" s="198"/>
      <c r="BO456" s="198"/>
      <c r="BP456" s="198"/>
      <c r="BQ456" s="198"/>
      <c r="BR456" s="198"/>
      <c r="BS456" s="198"/>
      <c r="BT456" s="198"/>
      <c r="BU456" s="198"/>
      <c r="BV456" s="198"/>
      <c r="BW456" s="198"/>
      <c r="BX456" s="198"/>
      <c r="BY456" s="198"/>
      <c r="BZ456" s="198"/>
      <c r="CA456" s="198"/>
      <c r="CB456" s="198"/>
      <c r="CC456" s="198"/>
      <c r="CD456" s="198"/>
      <c r="CE456" s="198"/>
      <c r="CF456" s="198"/>
      <c r="CG456" s="198"/>
      <c r="CH456" s="198"/>
      <c r="CI456" s="198"/>
      <c r="CJ456" s="198"/>
      <c r="CK456" s="198"/>
      <c r="CL456" s="198"/>
      <c r="CM456" s="198"/>
      <c r="CN456" s="198"/>
      <c r="CO456" s="198"/>
      <c r="CP456" s="198"/>
      <c r="CQ456" s="198"/>
      <c r="CR456" s="198"/>
      <c r="CS456" s="198"/>
      <c r="CT456" s="198"/>
      <c r="CU456" s="198"/>
      <c r="CV456" s="198"/>
      <c r="CW456" s="198"/>
      <c r="CX456" s="198"/>
      <c r="CY456" s="198"/>
      <c r="CZ456" s="198"/>
      <c r="DA456" s="198"/>
      <c r="DB456" s="198"/>
      <c r="DC456" s="198"/>
      <c r="DD456" s="198"/>
      <c r="DE456" s="198"/>
      <c r="DF456" s="198"/>
      <c r="DG456" s="198"/>
      <c r="DH456" s="198"/>
      <c r="DI456" s="198"/>
      <c r="DJ456" s="198"/>
      <c r="DK456" s="198"/>
      <c r="DL456" s="198"/>
      <c r="DM456" s="198"/>
      <c r="DN456" s="198"/>
      <c r="DO456" s="198"/>
      <c r="DP456" s="198"/>
      <c r="DQ456" s="198"/>
      <c r="DR456" s="198"/>
      <c r="DS456" s="198"/>
      <c r="DT456" s="198"/>
      <c r="DU456" s="198"/>
      <c r="DV456" s="198"/>
      <c r="DW456" s="198"/>
      <c r="DX456" s="198"/>
      <c r="DY456" s="198"/>
      <c r="DZ456" s="198"/>
      <c r="EA456" s="198"/>
      <c r="EB456" s="198"/>
      <c r="EC456" s="198"/>
      <c r="ED456" s="198"/>
      <c r="EE456" s="198"/>
      <c r="EF456" s="198"/>
      <c r="EG456" s="198"/>
      <c r="EH456" s="198"/>
      <c r="EI456" s="198"/>
      <c r="EJ456" s="198"/>
      <c r="EK456" s="198"/>
      <c r="EL456" s="198"/>
      <c r="EM456" s="198"/>
      <c r="EN456" s="198"/>
      <c r="EO456" s="198"/>
      <c r="EP456" s="198"/>
      <c r="EQ456" s="198"/>
      <c r="ER456" s="198"/>
      <c r="ES456" s="198"/>
      <c r="ET456" s="198"/>
      <c r="EU456" s="198"/>
      <c r="EV456" s="198"/>
      <c r="EW456" s="198"/>
      <c r="EX456" s="198"/>
      <c r="EY456" s="198"/>
      <c r="EZ456" s="198"/>
      <c r="FA456" s="198"/>
      <c r="FB456" s="198"/>
      <c r="FC456" s="198"/>
      <c r="FD456" s="198"/>
      <c r="FE456" s="198"/>
      <c r="FF456" s="198"/>
      <c r="FG456" s="198"/>
      <c r="FH456" s="198"/>
    </row>
    <row r="457" spans="10:164" s="173" customFormat="1" x14ac:dyDescent="0.3">
      <c r="J457" s="198"/>
      <c r="K457" s="198"/>
      <c r="L457" s="198"/>
      <c r="M457" s="198"/>
      <c r="N457" s="198"/>
      <c r="O457" s="198"/>
      <c r="P457" s="198"/>
      <c r="Q457" s="198"/>
      <c r="R457" s="198"/>
      <c r="S457" s="198"/>
      <c r="T457" s="198"/>
      <c r="U457" s="198"/>
      <c r="V457" s="198"/>
      <c r="W457" s="198"/>
      <c r="X457" s="198"/>
      <c r="Y457" s="198"/>
      <c r="Z457" s="198"/>
      <c r="AA457" s="198"/>
      <c r="AB457" s="198"/>
      <c r="AC457" s="198"/>
      <c r="AD457" s="198"/>
      <c r="AE457" s="198"/>
      <c r="AF457" s="198"/>
      <c r="AG457" s="198"/>
      <c r="AH457" s="198"/>
      <c r="AI457" s="198"/>
      <c r="AJ457" s="198"/>
      <c r="AK457" s="198"/>
      <c r="AL457" s="198"/>
      <c r="AM457" s="198"/>
      <c r="AN457" s="198"/>
      <c r="AO457" s="198"/>
      <c r="AP457" s="198"/>
      <c r="AQ457" s="198"/>
      <c r="AR457" s="198"/>
      <c r="AS457" s="198"/>
      <c r="AT457" s="198"/>
      <c r="AU457" s="198"/>
      <c r="AV457" s="198"/>
      <c r="AW457" s="198"/>
      <c r="AX457" s="198"/>
      <c r="AY457" s="198"/>
      <c r="AZ457" s="198"/>
      <c r="BA457" s="198"/>
      <c r="BB457" s="198"/>
      <c r="BC457" s="198"/>
      <c r="BD457" s="198"/>
      <c r="BE457" s="198"/>
      <c r="BF457" s="198"/>
      <c r="BG457" s="198"/>
      <c r="BH457" s="198"/>
      <c r="BI457" s="198"/>
      <c r="BJ457" s="198"/>
      <c r="BK457" s="198"/>
      <c r="BL457" s="198"/>
      <c r="BM457" s="198"/>
      <c r="BN457" s="198"/>
      <c r="BO457" s="198"/>
      <c r="BP457" s="198"/>
      <c r="BQ457" s="198"/>
      <c r="BR457" s="198"/>
      <c r="BS457" s="198"/>
      <c r="BT457" s="198"/>
      <c r="BU457" s="198"/>
      <c r="BV457" s="198"/>
      <c r="BW457" s="198"/>
      <c r="BX457" s="198"/>
      <c r="BY457" s="198"/>
      <c r="BZ457" s="198"/>
      <c r="CA457" s="198"/>
      <c r="CB457" s="198"/>
      <c r="CC457" s="198"/>
      <c r="CD457" s="198"/>
      <c r="CE457" s="198"/>
      <c r="CF457" s="198"/>
      <c r="CG457" s="198"/>
      <c r="CH457" s="198"/>
      <c r="CI457" s="198"/>
      <c r="CJ457" s="198"/>
      <c r="CK457" s="198"/>
      <c r="CL457" s="198"/>
      <c r="CM457" s="198"/>
      <c r="CN457" s="198"/>
      <c r="CO457" s="198"/>
      <c r="CP457" s="198"/>
      <c r="CQ457" s="198"/>
      <c r="CR457" s="198"/>
      <c r="CS457" s="198"/>
      <c r="CT457" s="198"/>
      <c r="CU457" s="198"/>
      <c r="CV457" s="198"/>
      <c r="CW457" s="198"/>
      <c r="CX457" s="198"/>
      <c r="CY457" s="198"/>
      <c r="CZ457" s="198"/>
      <c r="DA457" s="198"/>
      <c r="DB457" s="198"/>
      <c r="DC457" s="198"/>
      <c r="DD457" s="198"/>
      <c r="DE457" s="198"/>
      <c r="DF457" s="198"/>
      <c r="DG457" s="198"/>
      <c r="DH457" s="198"/>
      <c r="DI457" s="198"/>
      <c r="DJ457" s="198"/>
      <c r="DK457" s="198"/>
      <c r="DL457" s="198"/>
      <c r="DM457" s="198"/>
      <c r="DN457" s="198"/>
      <c r="DO457" s="198"/>
      <c r="DP457" s="198"/>
      <c r="DQ457" s="198"/>
      <c r="DR457" s="198"/>
      <c r="DS457" s="198"/>
      <c r="DT457" s="198"/>
      <c r="DU457" s="198"/>
      <c r="DV457" s="198"/>
      <c r="DW457" s="198"/>
      <c r="DX457" s="198"/>
      <c r="DY457" s="198"/>
      <c r="DZ457" s="198"/>
      <c r="EA457" s="198"/>
      <c r="EB457" s="198"/>
      <c r="EC457" s="198"/>
      <c r="ED457" s="198"/>
      <c r="EE457" s="198"/>
      <c r="EF457" s="198"/>
      <c r="EG457" s="198"/>
      <c r="EH457" s="198"/>
      <c r="EI457" s="198"/>
      <c r="EJ457" s="198"/>
      <c r="EK457" s="198"/>
      <c r="EL457" s="198"/>
      <c r="EM457" s="198"/>
      <c r="EN457" s="198"/>
      <c r="EO457" s="198"/>
      <c r="EP457" s="198"/>
      <c r="EQ457" s="198"/>
      <c r="ER457" s="198"/>
      <c r="ES457" s="198"/>
      <c r="ET457" s="198"/>
      <c r="EU457" s="198"/>
      <c r="EV457" s="198"/>
      <c r="EW457" s="198"/>
      <c r="EX457" s="198"/>
      <c r="EY457" s="198"/>
      <c r="EZ457" s="198"/>
      <c r="FA457" s="198"/>
      <c r="FB457" s="198"/>
      <c r="FC457" s="198"/>
      <c r="FD457" s="198"/>
      <c r="FE457" s="198"/>
      <c r="FF457" s="198"/>
      <c r="FG457" s="198"/>
      <c r="FH457" s="198"/>
    </row>
    <row r="458" spans="10:164" s="173" customFormat="1" x14ac:dyDescent="0.3">
      <c r="J458" s="198"/>
      <c r="K458" s="198"/>
      <c r="L458" s="198"/>
      <c r="M458" s="198"/>
      <c r="N458" s="198"/>
      <c r="O458" s="198"/>
      <c r="P458" s="198"/>
      <c r="Q458" s="198"/>
      <c r="R458" s="198"/>
      <c r="S458" s="198"/>
      <c r="T458" s="198"/>
      <c r="U458" s="198"/>
      <c r="V458" s="198"/>
      <c r="W458" s="198"/>
      <c r="X458" s="198"/>
      <c r="Y458" s="198"/>
      <c r="Z458" s="198"/>
      <c r="AA458" s="198"/>
      <c r="AB458" s="198"/>
      <c r="AC458" s="198"/>
      <c r="AD458" s="198"/>
      <c r="AE458" s="198"/>
      <c r="AF458" s="198"/>
      <c r="AG458" s="198"/>
      <c r="AH458" s="198"/>
      <c r="AI458" s="198"/>
      <c r="AJ458" s="198"/>
      <c r="AK458" s="198"/>
      <c r="AL458" s="198"/>
      <c r="AM458" s="198"/>
      <c r="AN458" s="198"/>
      <c r="AO458" s="198"/>
      <c r="AP458" s="198"/>
      <c r="AQ458" s="198"/>
      <c r="AR458" s="198"/>
      <c r="AS458" s="198"/>
      <c r="AT458" s="198"/>
      <c r="AU458" s="198"/>
      <c r="AV458" s="198"/>
      <c r="AW458" s="198"/>
      <c r="AX458" s="198"/>
      <c r="AY458" s="198"/>
      <c r="AZ458" s="198"/>
      <c r="BA458" s="198"/>
      <c r="BB458" s="198"/>
      <c r="BC458" s="198"/>
      <c r="BD458" s="198"/>
      <c r="BE458" s="198"/>
      <c r="BF458" s="198"/>
      <c r="BG458" s="198"/>
      <c r="BH458" s="198"/>
      <c r="BI458" s="198"/>
      <c r="BJ458" s="198"/>
      <c r="BK458" s="198"/>
      <c r="BL458" s="198"/>
      <c r="BM458" s="198"/>
      <c r="BN458" s="198"/>
      <c r="BO458" s="198"/>
      <c r="BP458" s="198"/>
      <c r="BQ458" s="198"/>
      <c r="BR458" s="198"/>
      <c r="BS458" s="198"/>
      <c r="BT458" s="198"/>
      <c r="BU458" s="198"/>
      <c r="BV458" s="198"/>
      <c r="BW458" s="198"/>
      <c r="BX458" s="198"/>
      <c r="BY458" s="198"/>
      <c r="BZ458" s="198"/>
      <c r="CA458" s="198"/>
      <c r="CB458" s="198"/>
      <c r="CC458" s="198"/>
      <c r="CD458" s="198"/>
      <c r="CE458" s="198"/>
      <c r="CF458" s="198"/>
      <c r="CG458" s="198"/>
      <c r="CH458" s="198"/>
      <c r="CI458" s="198"/>
      <c r="CJ458" s="198"/>
      <c r="CK458" s="198"/>
      <c r="CL458" s="198"/>
      <c r="CM458" s="198"/>
      <c r="CN458" s="198"/>
      <c r="CO458" s="198"/>
      <c r="CP458" s="198"/>
      <c r="CQ458" s="198"/>
      <c r="CR458" s="198"/>
      <c r="CS458" s="198"/>
      <c r="CT458" s="198"/>
      <c r="CU458" s="198"/>
      <c r="CV458" s="198"/>
      <c r="CW458" s="198"/>
      <c r="CX458" s="198"/>
      <c r="CY458" s="198"/>
      <c r="CZ458" s="198"/>
      <c r="DA458" s="198"/>
      <c r="DB458" s="198"/>
      <c r="DC458" s="198"/>
      <c r="DD458" s="198"/>
      <c r="DE458" s="198"/>
      <c r="DF458" s="198"/>
      <c r="DG458" s="198"/>
      <c r="DH458" s="198"/>
      <c r="DI458" s="198"/>
      <c r="DJ458" s="198"/>
      <c r="DK458" s="198"/>
      <c r="DL458" s="198"/>
      <c r="DM458" s="198"/>
      <c r="DN458" s="198"/>
      <c r="DO458" s="198"/>
      <c r="DP458" s="198"/>
      <c r="DQ458" s="198"/>
      <c r="DR458" s="198"/>
      <c r="DS458" s="198"/>
      <c r="DT458" s="198"/>
      <c r="DU458" s="198"/>
      <c r="DV458" s="198"/>
      <c r="DW458" s="198"/>
      <c r="DX458" s="198"/>
      <c r="DY458" s="198"/>
      <c r="DZ458" s="198"/>
      <c r="EA458" s="198"/>
      <c r="EB458" s="198"/>
      <c r="EC458" s="198"/>
      <c r="ED458" s="198"/>
      <c r="EE458" s="198"/>
      <c r="EF458" s="198"/>
      <c r="EG458" s="198"/>
      <c r="EH458" s="198"/>
      <c r="EI458" s="198"/>
      <c r="EJ458" s="198"/>
      <c r="EK458" s="198"/>
      <c r="EL458" s="198"/>
      <c r="EM458" s="198"/>
      <c r="EN458" s="198"/>
      <c r="EO458" s="198"/>
      <c r="EP458" s="198"/>
      <c r="EQ458" s="198"/>
      <c r="ER458" s="198"/>
      <c r="ES458" s="198"/>
      <c r="ET458" s="198"/>
      <c r="EU458" s="198"/>
      <c r="EV458" s="198"/>
      <c r="EW458" s="198"/>
      <c r="EX458" s="198"/>
      <c r="EY458" s="198"/>
      <c r="EZ458" s="198"/>
      <c r="FA458" s="198"/>
      <c r="FB458" s="198"/>
      <c r="FC458" s="198"/>
      <c r="FD458" s="198"/>
      <c r="FE458" s="198"/>
      <c r="FF458" s="198"/>
      <c r="FG458" s="198"/>
      <c r="FH458" s="198"/>
    </row>
    <row r="459" spans="10:164" s="173" customFormat="1" x14ac:dyDescent="0.3">
      <c r="J459" s="198"/>
      <c r="K459" s="198"/>
      <c r="L459" s="198"/>
      <c r="M459" s="198"/>
      <c r="N459" s="198"/>
      <c r="O459" s="198"/>
      <c r="P459" s="198"/>
      <c r="Q459" s="198"/>
      <c r="R459" s="198"/>
      <c r="S459" s="198"/>
      <c r="T459" s="198"/>
      <c r="U459" s="198"/>
      <c r="V459" s="198"/>
      <c r="W459" s="198"/>
      <c r="X459" s="198"/>
      <c r="Y459" s="198"/>
      <c r="Z459" s="198"/>
      <c r="AA459" s="198"/>
      <c r="AB459" s="198"/>
      <c r="AC459" s="198"/>
      <c r="AD459" s="198"/>
      <c r="AE459" s="198"/>
      <c r="AF459" s="198"/>
      <c r="AG459" s="198"/>
      <c r="AH459" s="198"/>
      <c r="AI459" s="198"/>
      <c r="AJ459" s="198"/>
      <c r="AK459" s="198"/>
      <c r="AL459" s="198"/>
      <c r="AM459" s="198"/>
      <c r="AN459" s="198"/>
      <c r="AO459" s="198"/>
      <c r="AP459" s="198"/>
      <c r="AQ459" s="198"/>
      <c r="AR459" s="198"/>
      <c r="AS459" s="198"/>
      <c r="AT459" s="198"/>
      <c r="AU459" s="198"/>
      <c r="AV459" s="198"/>
      <c r="AW459" s="198"/>
      <c r="AX459" s="198"/>
      <c r="AY459" s="198"/>
      <c r="AZ459" s="198"/>
      <c r="BA459" s="198"/>
      <c r="BB459" s="198"/>
      <c r="BC459" s="198"/>
      <c r="BD459" s="198"/>
      <c r="BE459" s="198"/>
      <c r="BF459" s="198"/>
      <c r="BG459" s="198"/>
      <c r="BH459" s="198"/>
      <c r="BI459" s="198"/>
      <c r="BJ459" s="198"/>
      <c r="BK459" s="198"/>
      <c r="BL459" s="198"/>
      <c r="BM459" s="198"/>
      <c r="BN459" s="198"/>
      <c r="BO459" s="198"/>
      <c r="BP459" s="198"/>
      <c r="BQ459" s="198"/>
      <c r="BR459" s="198"/>
      <c r="BS459" s="198"/>
      <c r="BT459" s="198"/>
      <c r="BU459" s="198"/>
      <c r="BV459" s="198"/>
      <c r="BW459" s="198"/>
      <c r="BX459" s="198"/>
      <c r="BY459" s="198"/>
      <c r="BZ459" s="198"/>
      <c r="CA459" s="198"/>
      <c r="CB459" s="198"/>
      <c r="CC459" s="198"/>
      <c r="CD459" s="198"/>
      <c r="CE459" s="198"/>
      <c r="CF459" s="198"/>
      <c r="CG459" s="198"/>
      <c r="CH459" s="198"/>
      <c r="CI459" s="198"/>
      <c r="CJ459" s="198"/>
      <c r="CK459" s="198"/>
      <c r="CL459" s="198"/>
      <c r="CM459" s="198"/>
      <c r="CN459" s="198"/>
      <c r="CO459" s="198"/>
      <c r="CP459" s="198"/>
      <c r="CQ459" s="198"/>
      <c r="CR459" s="198"/>
      <c r="CS459" s="198"/>
      <c r="CT459" s="198"/>
      <c r="CU459" s="198"/>
      <c r="CV459" s="198"/>
      <c r="CW459" s="198"/>
      <c r="CX459" s="198"/>
      <c r="CY459" s="198"/>
      <c r="CZ459" s="198"/>
      <c r="DA459" s="198"/>
      <c r="DB459" s="198"/>
      <c r="DC459" s="198"/>
      <c r="DD459" s="198"/>
      <c r="DE459" s="198"/>
      <c r="DF459" s="198"/>
      <c r="DG459" s="198"/>
      <c r="DH459" s="198"/>
      <c r="DI459" s="198"/>
      <c r="DJ459" s="198"/>
      <c r="DK459" s="198"/>
      <c r="DL459" s="198"/>
      <c r="DM459" s="198"/>
      <c r="DN459" s="198"/>
      <c r="DO459" s="198"/>
      <c r="DP459" s="198"/>
      <c r="DQ459" s="198"/>
      <c r="DR459" s="198"/>
      <c r="DS459" s="198"/>
      <c r="DT459" s="198"/>
      <c r="DU459" s="198"/>
      <c r="DV459" s="198"/>
      <c r="DW459" s="198"/>
      <c r="DX459" s="198"/>
      <c r="DY459" s="198"/>
      <c r="DZ459" s="198"/>
      <c r="EA459" s="198"/>
      <c r="EB459" s="198"/>
      <c r="EC459" s="198"/>
      <c r="ED459" s="198"/>
      <c r="EE459" s="198"/>
      <c r="EF459" s="198"/>
      <c r="EG459" s="198"/>
      <c r="EH459" s="198"/>
      <c r="EI459" s="198"/>
      <c r="EJ459" s="198"/>
      <c r="EK459" s="198"/>
      <c r="EL459" s="198"/>
      <c r="EM459" s="198"/>
      <c r="EN459" s="198"/>
      <c r="EO459" s="198"/>
      <c r="EP459" s="198"/>
      <c r="EQ459" s="198"/>
      <c r="ER459" s="198"/>
      <c r="ES459" s="198"/>
      <c r="ET459" s="198"/>
      <c r="EU459" s="198"/>
      <c r="EV459" s="198"/>
      <c r="EW459" s="198"/>
      <c r="EX459" s="198"/>
      <c r="EY459" s="198"/>
      <c r="EZ459" s="198"/>
      <c r="FA459" s="198"/>
      <c r="FB459" s="198"/>
      <c r="FC459" s="198"/>
      <c r="FD459" s="198"/>
      <c r="FE459" s="198"/>
      <c r="FF459" s="198"/>
      <c r="FG459" s="198"/>
      <c r="FH459" s="198"/>
    </row>
    <row r="460" spans="10:164" s="173" customFormat="1" x14ac:dyDescent="0.3">
      <c r="J460" s="198"/>
      <c r="K460" s="198"/>
      <c r="L460" s="198"/>
      <c r="M460" s="198"/>
      <c r="N460" s="198"/>
      <c r="O460" s="198"/>
      <c r="P460" s="198"/>
      <c r="Q460" s="198"/>
      <c r="R460" s="198"/>
      <c r="S460" s="198"/>
      <c r="T460" s="198"/>
      <c r="U460" s="198"/>
      <c r="V460" s="198"/>
      <c r="W460" s="198"/>
      <c r="X460" s="198"/>
      <c r="Y460" s="198"/>
      <c r="Z460" s="198"/>
      <c r="AA460" s="198"/>
      <c r="AB460" s="198"/>
      <c r="AC460" s="198"/>
      <c r="AD460" s="198"/>
      <c r="AE460" s="198"/>
      <c r="AF460" s="198"/>
      <c r="AG460" s="198"/>
      <c r="AH460" s="198"/>
      <c r="AI460" s="198"/>
      <c r="AJ460" s="198"/>
      <c r="AK460" s="198"/>
      <c r="AL460" s="198"/>
      <c r="AM460" s="198"/>
      <c r="AN460" s="198"/>
      <c r="AO460" s="198"/>
      <c r="AP460" s="198"/>
      <c r="AQ460" s="198"/>
      <c r="AR460" s="198"/>
      <c r="AS460" s="198"/>
      <c r="AT460" s="198"/>
      <c r="AU460" s="198"/>
      <c r="AV460" s="198"/>
      <c r="AW460" s="198"/>
      <c r="AX460" s="198"/>
      <c r="AY460" s="198"/>
      <c r="AZ460" s="198"/>
      <c r="BA460" s="198"/>
      <c r="BB460" s="198"/>
      <c r="BC460" s="198"/>
      <c r="BD460" s="198"/>
      <c r="BE460" s="198"/>
      <c r="BF460" s="198"/>
      <c r="BG460" s="198"/>
      <c r="BH460" s="198"/>
      <c r="BI460" s="198"/>
      <c r="BJ460" s="198"/>
      <c r="BK460" s="198"/>
      <c r="BL460" s="198"/>
      <c r="BM460" s="198"/>
      <c r="BN460" s="198"/>
      <c r="BO460" s="198"/>
      <c r="BP460" s="198"/>
      <c r="BQ460" s="198"/>
      <c r="BR460" s="198"/>
      <c r="BS460" s="198"/>
      <c r="BT460" s="198"/>
      <c r="BU460" s="198"/>
      <c r="BV460" s="198"/>
      <c r="BW460" s="198"/>
      <c r="BX460" s="198"/>
      <c r="BY460" s="198"/>
      <c r="BZ460" s="198"/>
      <c r="CA460" s="198"/>
      <c r="CB460" s="198"/>
      <c r="CC460" s="198"/>
      <c r="CD460" s="198"/>
      <c r="CE460" s="198"/>
      <c r="CF460" s="198"/>
      <c r="CG460" s="198"/>
      <c r="CH460" s="198"/>
      <c r="CI460" s="198"/>
      <c r="CJ460" s="198"/>
      <c r="CK460" s="198"/>
      <c r="CL460" s="198"/>
      <c r="CM460" s="198"/>
      <c r="CN460" s="198"/>
      <c r="CO460" s="198"/>
      <c r="CP460" s="198"/>
      <c r="CQ460" s="198"/>
      <c r="CR460" s="198"/>
      <c r="CS460" s="198"/>
      <c r="CT460" s="198"/>
      <c r="CU460" s="198"/>
      <c r="CV460" s="198"/>
      <c r="CW460" s="198"/>
      <c r="CX460" s="198"/>
      <c r="CY460" s="198"/>
      <c r="CZ460" s="198"/>
      <c r="DA460" s="198"/>
      <c r="DB460" s="198"/>
      <c r="DC460" s="198"/>
      <c r="DD460" s="198"/>
      <c r="DE460" s="198"/>
      <c r="DF460" s="198"/>
      <c r="DG460" s="198"/>
      <c r="DH460" s="198"/>
      <c r="DI460" s="198"/>
      <c r="DJ460" s="198"/>
      <c r="DK460" s="198"/>
      <c r="DL460" s="198"/>
      <c r="DM460" s="198"/>
      <c r="DN460" s="198"/>
      <c r="DO460" s="198"/>
      <c r="DP460" s="198"/>
      <c r="DQ460" s="198"/>
      <c r="DR460" s="198"/>
      <c r="DS460" s="198"/>
      <c r="DT460" s="198"/>
      <c r="DU460" s="198"/>
      <c r="DV460" s="198"/>
      <c r="DW460" s="198"/>
      <c r="DX460" s="198"/>
      <c r="DY460" s="198"/>
      <c r="DZ460" s="198"/>
      <c r="EA460" s="198"/>
      <c r="EB460" s="198"/>
      <c r="EC460" s="198"/>
      <c r="ED460" s="198"/>
      <c r="EE460" s="198"/>
      <c r="EF460" s="198"/>
      <c r="EG460" s="198"/>
      <c r="EH460" s="198"/>
      <c r="EI460" s="198"/>
      <c r="EJ460" s="198"/>
      <c r="EK460" s="198"/>
      <c r="EL460" s="198"/>
      <c r="EM460" s="198"/>
      <c r="EN460" s="198"/>
      <c r="EO460" s="198"/>
      <c r="EP460" s="198"/>
      <c r="EQ460" s="198"/>
      <c r="ER460" s="198"/>
      <c r="ES460" s="198"/>
      <c r="ET460" s="198"/>
      <c r="EU460" s="198"/>
      <c r="EV460" s="198"/>
      <c r="EW460" s="198"/>
      <c r="EX460" s="198"/>
      <c r="EY460" s="198"/>
      <c r="EZ460" s="198"/>
      <c r="FA460" s="198"/>
      <c r="FB460" s="198"/>
      <c r="FC460" s="198"/>
      <c r="FD460" s="198"/>
      <c r="FE460" s="198"/>
      <c r="FF460" s="198"/>
      <c r="FG460" s="198"/>
      <c r="FH460" s="198"/>
    </row>
  </sheetData>
  <sheetProtection algorithmName="SHA-512" hashValue="H22nAriUa0zo3n2efYIlwn1MU0UDyakhyRX7kjKSvdTKW1X2I3mrb+EaYsSI+LxvFT10gjDwgQ6GSM2WpWD9jQ==" saltValue="vIUUaB8ODTNEymWhUJ1Hzw==" spinCount="100000" sheet="1" objects="1" scenarios="1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CR519"/>
  <sheetViews>
    <sheetView topLeftCell="A24" workbookViewId="0">
      <selection activeCell="C53" activeCellId="2" sqref="C5 C28:C30 C53:C56"/>
    </sheetView>
  </sheetViews>
  <sheetFormatPr defaultColWidth="10.84375" defaultRowHeight="13.5" x14ac:dyDescent="0.3"/>
  <cols>
    <col min="1" max="1" width="20.3046875" style="26" customWidth="1"/>
    <col min="2" max="2" width="12" style="26" customWidth="1"/>
    <col min="3" max="9" width="12.15234375" style="26" customWidth="1"/>
    <col min="10" max="96" width="10.84375" style="198"/>
    <col min="97" max="16384" width="10.84375" style="26"/>
  </cols>
  <sheetData>
    <row r="1" spans="1:96" s="197" customFormat="1" ht="14" x14ac:dyDescent="0.3">
      <c r="A1" s="197" t="s">
        <v>76</v>
      </c>
    </row>
    <row r="2" spans="1:96" s="197" customFormat="1" ht="14" x14ac:dyDescent="0.3">
      <c r="A2" s="199" t="s">
        <v>99</v>
      </c>
    </row>
    <row r="3" spans="1:96" s="197" customFormat="1" ht="14.5" thickBot="1" x14ac:dyDescent="0.35">
      <c r="F3" s="200"/>
    </row>
    <row r="4" spans="1:96" s="191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7"/>
      <c r="AQ4" s="197"/>
      <c r="AR4" s="197"/>
      <c r="AS4" s="197"/>
      <c r="AT4" s="197"/>
      <c r="AU4" s="197"/>
      <c r="AV4" s="197"/>
      <c r="AW4" s="197"/>
      <c r="AX4" s="197"/>
      <c r="AY4" s="197"/>
      <c r="AZ4" s="197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7"/>
      <c r="BM4" s="197"/>
      <c r="BN4" s="197"/>
      <c r="BO4" s="197"/>
      <c r="BP4" s="197"/>
      <c r="BQ4" s="197"/>
      <c r="BR4" s="197"/>
      <c r="BS4" s="197"/>
      <c r="BT4" s="197"/>
      <c r="BU4" s="197"/>
      <c r="BV4" s="197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7"/>
      <c r="CH4" s="197"/>
      <c r="CI4" s="197"/>
      <c r="CJ4" s="197"/>
      <c r="CK4" s="197"/>
      <c r="CL4" s="197"/>
      <c r="CM4" s="197"/>
      <c r="CN4" s="197"/>
      <c r="CO4" s="197"/>
      <c r="CP4" s="197"/>
      <c r="CQ4" s="197"/>
      <c r="CR4" s="197"/>
    </row>
    <row r="5" spans="1:96" s="191" customFormat="1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  <c r="AF5" s="197"/>
      <c r="AG5" s="197"/>
      <c r="AH5" s="197"/>
      <c r="AI5" s="197"/>
      <c r="AJ5" s="197"/>
      <c r="AK5" s="197"/>
      <c r="AL5" s="197"/>
      <c r="AM5" s="197"/>
      <c r="AN5" s="197"/>
      <c r="AO5" s="197"/>
      <c r="AP5" s="197"/>
      <c r="AQ5" s="197"/>
      <c r="AR5" s="197"/>
      <c r="AS5" s="197"/>
      <c r="AT5" s="197"/>
      <c r="AU5" s="197"/>
      <c r="AV5" s="197"/>
      <c r="AW5" s="197"/>
      <c r="AX5" s="197"/>
      <c r="AY5" s="197"/>
      <c r="AZ5" s="197"/>
      <c r="BA5" s="197"/>
      <c r="BB5" s="197"/>
      <c r="BC5" s="197"/>
      <c r="BD5" s="197"/>
      <c r="BE5" s="197"/>
      <c r="BF5" s="197"/>
      <c r="BG5" s="197"/>
      <c r="BH5" s="197"/>
      <c r="BI5" s="197"/>
      <c r="BJ5" s="197"/>
      <c r="BK5" s="197"/>
      <c r="BL5" s="197"/>
      <c r="BM5" s="197"/>
      <c r="BN5" s="197"/>
      <c r="BO5" s="197"/>
      <c r="BP5" s="197"/>
      <c r="BQ5" s="197"/>
      <c r="BR5" s="197"/>
      <c r="BS5" s="197"/>
      <c r="BT5" s="197"/>
      <c r="BU5" s="197"/>
      <c r="BV5" s="197"/>
      <c r="BW5" s="197"/>
      <c r="BX5" s="197"/>
      <c r="BY5" s="197"/>
      <c r="BZ5" s="197"/>
      <c r="CA5" s="197"/>
      <c r="CB5" s="197"/>
      <c r="CC5" s="197"/>
      <c r="CD5" s="197"/>
      <c r="CE5" s="197"/>
      <c r="CF5" s="197"/>
      <c r="CG5" s="197"/>
      <c r="CH5" s="197"/>
      <c r="CI5" s="197"/>
      <c r="CJ5" s="197"/>
      <c r="CK5" s="197"/>
      <c r="CL5" s="197"/>
      <c r="CM5" s="197"/>
      <c r="CN5" s="197"/>
      <c r="CO5" s="197"/>
      <c r="CP5" s="197"/>
      <c r="CQ5" s="197"/>
      <c r="CR5" s="197"/>
    </row>
    <row r="6" spans="1:96" s="191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</row>
    <row r="7" spans="1:96" s="191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x14ac:dyDescent="0.3">
      <c r="A8" s="179" t="str">
        <f>'AG Jul 2017'!K2</f>
        <v>Energy Locals</v>
      </c>
      <c r="B8" s="180">
        <f>'AG Jul 2017'!G2</f>
        <v>41374</v>
      </c>
      <c r="C8" s="181">
        <f>91*'AG Jul 2017'!M2/100</f>
        <v>86.45</v>
      </c>
      <c r="D8" s="181">
        <f>$C$5*'AG Jul 2017'!N2/100</f>
        <v>414</v>
      </c>
      <c r="E8" s="181">
        <v>0</v>
      </c>
      <c r="F8" s="181">
        <v>0</v>
      </c>
      <c r="G8" s="181">
        <v>0</v>
      </c>
      <c r="H8" s="183">
        <f>SUM(C8:G8)</f>
        <v>500.45</v>
      </c>
      <c r="I8" s="202">
        <f>(H8*4)*1.1</f>
        <v>2201.98</v>
      </c>
    </row>
    <row r="9" spans="1:96" x14ac:dyDescent="0.3">
      <c r="A9" s="179" t="str">
        <f>'AG Jul 2017'!K3</f>
        <v>AGL</v>
      </c>
      <c r="B9" s="180">
        <f>'AG Jul 2017'!G3</f>
        <v>41457</v>
      </c>
      <c r="C9" s="181">
        <f>91*'AG Jul 2017'!M3/100</f>
        <v>76.44</v>
      </c>
      <c r="D9" s="181">
        <f>$C$5*'AG Jul 2017'!N3/100</f>
        <v>522</v>
      </c>
      <c r="E9" s="181">
        <v>0</v>
      </c>
      <c r="F9" s="181">
        <v>0</v>
      </c>
      <c r="G9" s="181">
        <v>0</v>
      </c>
      <c r="H9" s="183">
        <f t="shared" ref="H9:H24" si="0">SUM(C9:G9)</f>
        <v>598.44000000000005</v>
      </c>
      <c r="I9" s="202">
        <f t="shared" ref="I9:I24" si="1">(H9*4)*1.1</f>
        <v>2633.1360000000004</v>
      </c>
    </row>
    <row r="10" spans="1:96" x14ac:dyDescent="0.3">
      <c r="A10" s="179" t="str">
        <f>'AG Jul 2017'!K4</f>
        <v>Alinta Energy</v>
      </c>
      <c r="B10" s="180">
        <f>'AG Jul 2017'!G4</f>
        <v>41477</v>
      </c>
      <c r="C10" s="181">
        <f>91*'AG Jul 2017'!M4/100</f>
        <v>79.770600000000002</v>
      </c>
      <c r="D10" s="181">
        <f>IF($C$5&gt;='AG Jul 2017'!P4,('AG Jul 2017'!P4*'AG Jul 2017'!N4/100),($C$5*'AG Jul 2017'!N4/100))</f>
        <v>291.89999999999998</v>
      </c>
      <c r="E10" s="181">
        <f>IF($C$5&lt;'AG Jul 2017'!P4,0,IF(($C$5)&lt;='AG Jul 2017'!R4,(($C$5-'AG Jul 2017'!P4)*'AG Jul 2017'!Q4/100),(('AG Jul 2017'!R4-'AG Jul 2017'!P4)*'AG Jul 2017'!Q4/100)))</f>
        <v>230.4</v>
      </c>
      <c r="F10" s="181">
        <v>0</v>
      </c>
      <c r="G10" s="181">
        <f>IF(($C$5&lt;'AG Jul 2017'!R4),(0),($C$5-'AG Jul 2017'!R4)*'AG Jul 2017'!S4/100)</f>
        <v>0</v>
      </c>
      <c r="H10" s="183">
        <f t="shared" si="0"/>
        <v>602.07060000000001</v>
      </c>
      <c r="I10" s="202">
        <f t="shared" si="1"/>
        <v>2649.1106400000003</v>
      </c>
    </row>
    <row r="11" spans="1:96" x14ac:dyDescent="0.3">
      <c r="A11" s="179" t="str">
        <f>'AG Jul 2017'!K5</f>
        <v>Click Energy</v>
      </c>
      <c r="B11" s="180">
        <f>'AG Jul 2017'!G5</f>
        <v>41455</v>
      </c>
      <c r="C11" s="181">
        <f>91*'AG Jul 2017'!M5/100</f>
        <v>81.900000000000006</v>
      </c>
      <c r="D11" s="181">
        <f>$C$5*'AG Jul 2017'!N5/100</f>
        <v>689.4</v>
      </c>
      <c r="E11" s="181">
        <v>0</v>
      </c>
      <c r="F11" s="181">
        <v>0</v>
      </c>
      <c r="G11" s="181">
        <v>0</v>
      </c>
      <c r="H11" s="183">
        <f t="shared" si="0"/>
        <v>771.3</v>
      </c>
      <c r="I11" s="202">
        <f t="shared" si="1"/>
        <v>3393.7200000000003</v>
      </c>
    </row>
    <row r="12" spans="1:96" x14ac:dyDescent="0.3">
      <c r="A12" s="179" t="str">
        <f>'AG Jul 2017'!K6</f>
        <v>Commander</v>
      </c>
      <c r="B12" s="180">
        <f>'AG Jul 2017'!G6</f>
        <v>41419</v>
      </c>
      <c r="C12" s="181">
        <f>91*'AG Jul 2017'!M6/100</f>
        <v>83.547100000000015</v>
      </c>
      <c r="D12" s="181">
        <f>IF($C$5&gt;='AG Jul 2017'!P6,('AG Jul 2017'!P6*'AG Jul 2017'!N6/100),($C$5*'AG Jul 2017'!N6/100))</f>
        <v>304.2</v>
      </c>
      <c r="E12" s="181">
        <f>IF($C$5&lt;'AG Jul 2017'!P6,0,IF(($C$5)&lt;='AG Jul 2017'!R6,(($C$5-'AG Jul 2017'!P6)*'AG Jul 2017'!Q6/100),(('AG Jul 2017'!R6-'AG Jul 2017'!P6)*'AG Jul 2017'!Q6/100)))</f>
        <v>243.36</v>
      </c>
      <c r="F12" s="181">
        <v>0</v>
      </c>
      <c r="G12" s="181">
        <f>IF(($C$5&lt;'AG Jul 2017'!R6),(0),($C$5-'AG Jul 2017'!R6)*'AG Jul 2017'!S6/100)</f>
        <v>0</v>
      </c>
      <c r="H12" s="183">
        <f t="shared" si="0"/>
        <v>631.10709999999995</v>
      </c>
      <c r="I12" s="202">
        <f t="shared" si="1"/>
        <v>2776.8712399999999</v>
      </c>
    </row>
    <row r="13" spans="1:96" x14ac:dyDescent="0.3">
      <c r="A13" s="179" t="str">
        <f>'AG Jul 2017'!K7</f>
        <v>CovaU</v>
      </c>
      <c r="B13" s="180">
        <f>'AG Jul 2017'!G7</f>
        <v>41455</v>
      </c>
      <c r="C13" s="181">
        <f>91*'AG Jul 2017'!M7/100</f>
        <v>77.349999999999994</v>
      </c>
      <c r="D13" s="181">
        <f>$C$5*'AG Jul 2017'!N7/100</f>
        <v>525.6</v>
      </c>
      <c r="E13" s="181">
        <v>0</v>
      </c>
      <c r="F13" s="181">
        <v>0</v>
      </c>
      <c r="G13" s="181">
        <v>0</v>
      </c>
      <c r="H13" s="183">
        <f t="shared" si="0"/>
        <v>602.95000000000005</v>
      </c>
      <c r="I13" s="202">
        <f t="shared" si="1"/>
        <v>2652.9800000000005</v>
      </c>
    </row>
    <row r="14" spans="1:96" x14ac:dyDescent="0.3">
      <c r="A14" s="179" t="str">
        <f>'AG Jul 2017'!K8</f>
        <v>Diamond Energy</v>
      </c>
      <c r="B14" s="180">
        <f>'AG Jul 2017'!G8</f>
        <v>41455</v>
      </c>
      <c r="C14" s="181">
        <f>91*'AG Jul 2017'!M8/100</f>
        <v>79.625</v>
      </c>
      <c r="D14" s="181">
        <f>IF($C$5&gt;='AG Jul 2017'!P8,('AG Jul 2017'!P8*'AG Jul 2017'!N8/100),($C$5*'AG Jul 2017'!N8/100))</f>
        <v>79.17</v>
      </c>
      <c r="E14" s="181">
        <f>IF($C$5&lt;'AG Jul 2017'!P8,0,IF(($C$5)&lt;='AG Jul 2017'!R8,(($C$5-'AG Jul 2017'!P8)*'AG Jul 2017'!Q8/100),(('AG Jul 2017'!R8-'AG Jul 2017'!P8)*'AG Jul 2017'!Q8/100)))</f>
        <v>205.27200000000002</v>
      </c>
      <c r="F14" s="181">
        <v>0</v>
      </c>
      <c r="G14" s="181">
        <f>IF(($C$5&lt;'AG Jul 2017'!R8),(0),($C$5-'AG Jul 2017'!R8)*'AG Jul 2017'!S8/100)</f>
        <v>249.21</v>
      </c>
      <c r="H14" s="183">
        <f t="shared" si="0"/>
        <v>613.27700000000004</v>
      </c>
      <c r="I14" s="202">
        <f t="shared" si="1"/>
        <v>2698.4188000000004</v>
      </c>
    </row>
    <row r="15" spans="1:96" x14ac:dyDescent="0.3">
      <c r="A15" s="179" t="str">
        <f>'AG Jul 2017'!K9</f>
        <v>Dodo Power &amp; Gas</v>
      </c>
      <c r="B15" s="180">
        <f>'AG Jul 2017'!G9</f>
        <v>41419</v>
      </c>
      <c r="C15" s="181">
        <f>91*'AG Jul 2017'!M9/100</f>
        <v>82.136600000000001</v>
      </c>
      <c r="D15" s="181">
        <f>IF($C$5&gt;='AG Jul 2017'!P9,('AG Jul 2017'!P9*'AG Jul 2017'!N9/100),($C$5*'AG Jul 2017'!N9/100))</f>
        <v>294.5</v>
      </c>
      <c r="E15" s="181">
        <f>IF($C$5&lt;'AG Jul 2017'!P9,0,IF(($C$5)&lt;='AG Jul 2017'!R9,(($C$5-'AG Jul 2017'!P9)*'AG Jul 2017'!Q9/100),(('AG Jul 2017'!R9-'AG Jul 2017'!P9)*'AG Jul 2017'!Q9/100)))</f>
        <v>235.6</v>
      </c>
      <c r="F15" s="181">
        <v>0</v>
      </c>
      <c r="G15" s="181">
        <f>IF(($C$5&lt;'AG Jul 2017'!R9),(0),($C$5-'AG Jul 2017'!R9)*'AG Jul 2017'!S9/100)</f>
        <v>0</v>
      </c>
      <c r="H15" s="183">
        <f t="shared" si="0"/>
        <v>612.23659999999995</v>
      </c>
      <c r="I15" s="202">
        <f t="shared" si="1"/>
        <v>2693.8410399999998</v>
      </c>
    </row>
    <row r="16" spans="1:96" x14ac:dyDescent="0.3">
      <c r="A16" s="179" t="str">
        <f>'AG Jul 2017'!K10</f>
        <v>EnergyAustralia</v>
      </c>
      <c r="B16" s="180">
        <f>'AG Jul 2017'!G10</f>
        <v>41467</v>
      </c>
      <c r="C16" s="181">
        <f>91*'AG Jul 2017'!M10/100</f>
        <v>76.530999999999992</v>
      </c>
      <c r="D16" s="181">
        <f>$C$5*'AG Jul 2017'!N10/100</f>
        <v>528.29999999999995</v>
      </c>
      <c r="E16" s="181">
        <v>0</v>
      </c>
      <c r="F16" s="181">
        <v>0</v>
      </c>
      <c r="G16" s="181">
        <v>0</v>
      </c>
      <c r="H16" s="183">
        <f t="shared" si="0"/>
        <v>604.8309999999999</v>
      </c>
      <c r="I16" s="202">
        <f t="shared" si="1"/>
        <v>2661.2563999999998</v>
      </c>
    </row>
    <row r="17" spans="1:96" x14ac:dyDescent="0.3">
      <c r="A17" s="179" t="str">
        <f>'AG Jul 2017'!K11</f>
        <v>Mojo Power</v>
      </c>
      <c r="B17" s="180">
        <f>'AG Jul 2017'!G11</f>
        <v>41468</v>
      </c>
      <c r="C17" s="181">
        <f>91*'AG Jul 2017'!M11/100</f>
        <v>176.37619999999998</v>
      </c>
      <c r="D17" s="181">
        <f>$C$5*'AG Jul 2017'!N11/100</f>
        <v>456.3</v>
      </c>
      <c r="E17" s="181">
        <v>0</v>
      </c>
      <c r="F17" s="181">
        <v>0</v>
      </c>
      <c r="G17" s="181">
        <v>0</v>
      </c>
      <c r="H17" s="183">
        <f t="shared" si="0"/>
        <v>632.67619999999999</v>
      </c>
      <c r="I17" s="202">
        <f t="shared" si="1"/>
        <v>2783.7752800000003</v>
      </c>
    </row>
    <row r="18" spans="1:96" x14ac:dyDescent="0.3">
      <c r="A18" s="179" t="str">
        <f>'AG Jul 2017'!K12</f>
        <v>Momentum Energy</v>
      </c>
      <c r="B18" s="180">
        <f>'AG Jul 2017'!G12</f>
        <v>41469</v>
      </c>
      <c r="C18" s="181">
        <f>91*'AG Jul 2017'!M12/100</f>
        <v>76.066900000000004</v>
      </c>
      <c r="D18" s="181">
        <f>IF($C$5&gt;='AG Jul 2017'!P12,('AG Jul 2017'!P12*'AG Jul 2017'!N12/100),($C$5*'AG Jul 2017'!N12/100))</f>
        <v>180.3</v>
      </c>
      <c r="E18" s="181">
        <f>IF($C$5&lt;'AG Jul 2017'!P12,0,IF(($C$5)&lt;='AG Jul 2017'!R12,(($C$5-'AG Jul 2017'!P12)*'AG Jul 2017'!Q12/100),(('AG Jul 2017'!R12-'AG Jul 2017'!P12)*'AG Jul 2017'!Q12/100)))</f>
        <v>353.4</v>
      </c>
      <c r="F18" s="181">
        <v>0</v>
      </c>
      <c r="G18" s="181">
        <f>IF(($C$5&lt;'AG Jul 2017'!R12),(0),($C$5-'AG Jul 2017'!R12)*'AG Jul 2017'!S12/100)</f>
        <v>0</v>
      </c>
      <c r="H18" s="183">
        <f t="shared" si="0"/>
        <v>609.76689999999996</v>
      </c>
      <c r="I18" s="202">
        <f t="shared" si="1"/>
        <v>2682.9743600000002</v>
      </c>
    </row>
    <row r="19" spans="1:96" x14ac:dyDescent="0.3">
      <c r="A19" s="179" t="str">
        <f>'AG Jul 2017'!K13</f>
        <v>Origin Energy</v>
      </c>
      <c r="B19" s="180">
        <f>'AG Jul 2017'!G13</f>
        <v>41455</v>
      </c>
      <c r="C19" s="181">
        <f>91*'AG Jul 2017'!M13/100</f>
        <v>75.884900000000002</v>
      </c>
      <c r="D19" s="181">
        <f>$C$5*'AG Jul 2017'!N13/100</f>
        <v>513.36</v>
      </c>
      <c r="E19" s="181">
        <v>0</v>
      </c>
      <c r="F19" s="181">
        <v>0</v>
      </c>
      <c r="G19" s="181">
        <v>0</v>
      </c>
      <c r="H19" s="183">
        <f t="shared" si="0"/>
        <v>589.24490000000003</v>
      </c>
      <c r="I19" s="202">
        <f t="shared" si="1"/>
        <v>2592.6775600000005</v>
      </c>
    </row>
    <row r="20" spans="1:96" x14ac:dyDescent="0.3">
      <c r="A20" s="179" t="str">
        <f>'AG Jul 2017'!K14</f>
        <v>Powerdirect</v>
      </c>
      <c r="B20" s="180">
        <f>'AG Jul 2017'!G14</f>
        <v>41455</v>
      </c>
      <c r="C20" s="181">
        <f>91*'AG Jul 2017'!M14/100</f>
        <v>76.44</v>
      </c>
      <c r="D20" s="181">
        <f>$C$5*'AG Jul 2017'!N14/100</f>
        <v>522</v>
      </c>
      <c r="E20" s="181">
        <v>0</v>
      </c>
      <c r="F20" s="181">
        <v>0</v>
      </c>
      <c r="G20" s="181">
        <v>0</v>
      </c>
      <c r="H20" s="183">
        <f t="shared" si="0"/>
        <v>598.44000000000005</v>
      </c>
      <c r="I20" s="202">
        <f t="shared" si="1"/>
        <v>2633.1360000000004</v>
      </c>
    </row>
    <row r="21" spans="1:96" x14ac:dyDescent="0.3">
      <c r="A21" s="179" t="str">
        <f>'AG Jul 2017'!K15</f>
        <v>Powershop</v>
      </c>
      <c r="B21" s="180">
        <f>'AG Jul 2017'!G15</f>
        <v>41455</v>
      </c>
      <c r="C21" s="181">
        <f>91*'AG Jul 2017'!M15/100</f>
        <v>84.402500000000003</v>
      </c>
      <c r="D21" s="181">
        <f>C5*'AG Jul 2017'!N15/100</f>
        <v>537.66</v>
      </c>
      <c r="E21" s="181">
        <v>0</v>
      </c>
      <c r="F21" s="181">
        <v>0</v>
      </c>
      <c r="G21" s="181">
        <v>0</v>
      </c>
      <c r="H21" s="183">
        <f t="shared" si="0"/>
        <v>622.0625</v>
      </c>
      <c r="I21" s="202">
        <f t="shared" si="1"/>
        <v>2737.0750000000003</v>
      </c>
    </row>
    <row r="22" spans="1:96" x14ac:dyDescent="0.3">
      <c r="A22" s="179" t="str">
        <f>'AG Jul 2017'!K16</f>
        <v>Red Energy</v>
      </c>
      <c r="B22" s="180">
        <f>'AG Jul 2017'!G16</f>
        <v>41479</v>
      </c>
      <c r="C22" s="181">
        <f>91*'AG Jul 2017'!M16/100</f>
        <v>77.040599999999998</v>
      </c>
      <c r="D22" s="181">
        <f>IF($C$5&gt;='AG Jul 2017'!P16,('AG Jul 2017'!P16*'AG Jul 2017'!N16/100),($C$5*'AG Jul 2017'!N16/100))</f>
        <v>279.5</v>
      </c>
      <c r="E22" s="181">
        <f>IF($C$5&lt;'AG Jul 2017'!P16,0,IF(($C$5)&lt;='AG Jul 2017'!R16,(($C$5-'AG Jul 2017'!P16)*'AG Jul 2017'!Q16/100),(('AG Jul 2017'!R16-'AG Jul 2017'!P16)*'AG Jul 2017'!Q16/100)))</f>
        <v>218.72</v>
      </c>
      <c r="F22" s="181">
        <v>0</v>
      </c>
      <c r="G22" s="181">
        <f>IF(($C$5&lt;'AG Jul 2017'!R16),(0),($C$5-'AG Jul 2017'!R16)*'AG Jul 2017'!S16/100)</f>
        <v>0</v>
      </c>
      <c r="H22" s="183">
        <f t="shared" si="0"/>
        <v>575.26059999999995</v>
      </c>
      <c r="I22" s="202">
        <f t="shared" si="1"/>
        <v>2531.1466399999999</v>
      </c>
    </row>
    <row r="23" spans="1:96" x14ac:dyDescent="0.3">
      <c r="A23" s="179" t="str">
        <f>'AG Jul 2017'!K17</f>
        <v>Simply Energy</v>
      </c>
      <c r="B23" s="180">
        <f>'AG Jul 2017'!G17</f>
        <v>41459</v>
      </c>
      <c r="C23" s="181">
        <f>91*'AG Jul 2017'!M17/100</f>
        <v>62.32589999999999</v>
      </c>
      <c r="D23" s="181">
        <f>IF($C$5&gt;='AG Jul 2017'!P17,('AG Jul 2017'!P17*'AG Jul 2017'!N17/100),($C$5*'AG Jul 2017'!N17/100))</f>
        <v>247.8</v>
      </c>
      <c r="E23" s="181">
        <f>IF($C$5&lt;'AG Jul 2017'!P17,0,IF(($C$5)&lt;='AG Jul 2017'!R17,(($C$5-'AG Jul 2017'!P17)*'AG Jul 2017'!Q17/100),(('AG Jul 2017'!R17-'AG Jul 2017'!P17)*'AG Jul 2017'!Q17/100)))</f>
        <v>195.28</v>
      </c>
      <c r="F23" s="181">
        <v>0</v>
      </c>
      <c r="G23" s="181">
        <f>IF(($C$5&lt;'AG Jul 2017'!R17),(0),($C$5-'AG Jul 2017'!R17)*'AG Jul 2017'!S17/100)</f>
        <v>0</v>
      </c>
      <c r="H23" s="183">
        <f t="shared" si="0"/>
        <v>505.40589999999997</v>
      </c>
      <c r="I23" s="202">
        <f t="shared" si="1"/>
        <v>2223.7859600000002</v>
      </c>
    </row>
    <row r="24" spans="1:96" ht="14" thickBot="1" x14ac:dyDescent="0.35">
      <c r="A24" s="184" t="str">
        <f>'AG Jul 2017'!K18</f>
        <v>Sanctuary Energy</v>
      </c>
      <c r="B24" s="185">
        <f>'AG Jul 2017'!G18</f>
        <v>41455</v>
      </c>
      <c r="C24" s="186">
        <f>91*'AG Jul 2017'!M18/100</f>
        <v>74.301500000000004</v>
      </c>
      <c r="D24" s="186">
        <f>IF($C$5&gt;='AG Jul 2017'!P18,('AG Jul 2017'!P18*'AG Jul 2017'!N18/100),($C$5*'AG Jul 2017'!N18/100))</f>
        <v>286.35000000000002</v>
      </c>
      <c r="E24" s="186">
        <f>IF($C$5&lt;'AG Jul 2017'!P18,0,IF(($C$5)&lt;='AG Jul 2017'!R18,(($C$5-'AG Jul 2017'!P18)*'AG Jul 2017'!Q18/100),(('AG Jul 2017'!R18-'AG Jul 2017'!P18)*'AG Jul 2017'!Q18/100)))</f>
        <v>242.696</v>
      </c>
      <c r="F24" s="186">
        <v>0</v>
      </c>
      <c r="G24" s="186">
        <f>IF(($C$5&lt;'AG Jul 2017'!R18),(0),($C$5-'AG Jul 2017'!R18)*'AG Jul 2017'!S18/100)</f>
        <v>0</v>
      </c>
      <c r="H24" s="188">
        <f t="shared" si="0"/>
        <v>603.34750000000008</v>
      </c>
      <c r="I24" s="203">
        <f t="shared" si="1"/>
        <v>2654.7290000000007</v>
      </c>
    </row>
    <row r="25" spans="1:96" s="198" customFormat="1" x14ac:dyDescent="0.3"/>
    <row r="26" spans="1:96" s="198" customFormat="1" ht="14" thickBot="1" x14ac:dyDescent="0.35"/>
    <row r="27" spans="1:96" s="191" customFormat="1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</row>
    <row r="28" spans="1:96" s="191" customFormat="1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7"/>
      <c r="Y28" s="197"/>
      <c r="Z28" s="197"/>
      <c r="AA28" s="197"/>
      <c r="AB28" s="197"/>
      <c r="AC28" s="197"/>
      <c r="AD28" s="197"/>
      <c r="AE28" s="197"/>
      <c r="AF28" s="197"/>
      <c r="AG28" s="197"/>
      <c r="AH28" s="197"/>
      <c r="AI28" s="197"/>
      <c r="AJ28" s="197"/>
      <c r="AK28" s="197"/>
      <c r="AL28" s="197"/>
      <c r="AM28" s="197"/>
      <c r="AN28" s="197"/>
      <c r="AO28" s="197"/>
      <c r="AP28" s="197"/>
      <c r="AQ28" s="197"/>
      <c r="AR28" s="197"/>
      <c r="AS28" s="197"/>
      <c r="AT28" s="197"/>
      <c r="AU28" s="197"/>
      <c r="AV28" s="197"/>
      <c r="AW28" s="197"/>
      <c r="AX28" s="197"/>
      <c r="AY28" s="197"/>
      <c r="AZ28" s="197"/>
      <c r="BA28" s="197"/>
      <c r="BB28" s="197"/>
      <c r="BC28" s="197"/>
      <c r="BD28" s="197"/>
      <c r="BE28" s="197"/>
      <c r="BF28" s="197"/>
      <c r="BG28" s="197"/>
      <c r="BH28" s="197"/>
      <c r="BI28" s="197"/>
      <c r="BJ28" s="197"/>
      <c r="BK28" s="197"/>
      <c r="BL28" s="197"/>
      <c r="BM28" s="197"/>
      <c r="BN28" s="197"/>
      <c r="BO28" s="197"/>
      <c r="BP28" s="197"/>
      <c r="BQ28" s="197"/>
      <c r="BR28" s="197"/>
      <c r="BS28" s="197"/>
      <c r="BT28" s="197"/>
      <c r="BU28" s="197"/>
      <c r="BV28" s="197"/>
      <c r="BW28" s="197"/>
      <c r="BX28" s="197"/>
      <c r="BY28" s="197"/>
      <c r="BZ28" s="197"/>
      <c r="CA28" s="197"/>
      <c r="CB28" s="197"/>
      <c r="CC28" s="197"/>
      <c r="CD28" s="197"/>
      <c r="CE28" s="197"/>
      <c r="CF28" s="197"/>
      <c r="CG28" s="197"/>
      <c r="CH28" s="197"/>
      <c r="CI28" s="197"/>
      <c r="CJ28" s="197"/>
      <c r="CK28" s="197"/>
      <c r="CL28" s="197"/>
      <c r="CM28" s="197"/>
      <c r="CN28" s="197"/>
      <c r="CO28" s="197"/>
      <c r="CP28" s="197"/>
      <c r="CQ28" s="197"/>
      <c r="CR28" s="197"/>
    </row>
    <row r="29" spans="1:96" s="191" customFormat="1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197"/>
      <c r="BW29" s="197"/>
      <c r="BX29" s="197"/>
      <c r="BY29" s="197"/>
      <c r="BZ29" s="197"/>
      <c r="CA29" s="197"/>
      <c r="CB29" s="197"/>
      <c r="CC29" s="197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</row>
    <row r="30" spans="1:96" s="191" customFormat="1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197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</row>
    <row r="31" spans="1:96" s="191" customFormat="1" ht="14" x14ac:dyDescent="0.3">
      <c r="A31" s="92"/>
      <c r="B31" s="93"/>
      <c r="C31" s="93"/>
      <c r="D31" s="93"/>
      <c r="E31" s="93"/>
      <c r="F31" s="93"/>
      <c r="G31" s="93"/>
      <c r="H31" s="93"/>
      <c r="I31" s="178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91" customFormat="1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" x14ac:dyDescent="0.3">
      <c r="A33" s="179" t="str">
        <f>'AG Jul 2017'!K19</f>
        <v>Energy Locals</v>
      </c>
      <c r="B33" s="180">
        <f>'AG Jul 2017'!G19</f>
        <v>41374</v>
      </c>
      <c r="C33" s="181">
        <f>91*'AG Jul 2017'!M19/100</f>
        <v>86.45</v>
      </c>
      <c r="D33" s="181">
        <f>($C$28*$C$29)*'AG Jul 2017'!N19/100</f>
        <v>322</v>
      </c>
      <c r="E33" s="181">
        <v>0</v>
      </c>
      <c r="F33" s="181">
        <v>0</v>
      </c>
      <c r="G33" s="181">
        <f>($C$28*$C$30)*'AG Jul 2017'!AE19/100</f>
        <v>84</v>
      </c>
      <c r="H33" s="183">
        <f>SUM(C33:G33)</f>
        <v>492.45</v>
      </c>
      <c r="I33" s="202">
        <f>(H33*4)*1.1</f>
        <v>2166.7800000000002</v>
      </c>
    </row>
    <row r="34" spans="1:9" x14ac:dyDescent="0.3">
      <c r="A34" s="179" t="str">
        <f>'AG Jul 2017'!K20</f>
        <v>AGL</v>
      </c>
      <c r="B34" s="180">
        <f>'AG Jul 2017'!G20</f>
        <v>41457</v>
      </c>
      <c r="C34" s="181">
        <f>91*'AG Jul 2017'!M20/100</f>
        <v>76.44</v>
      </c>
      <c r="D34" s="181">
        <f>($C$28*$C$29)*'AG Jul 2017'!N20/100</f>
        <v>406</v>
      </c>
      <c r="E34" s="181">
        <v>0</v>
      </c>
      <c r="F34" s="181">
        <v>0</v>
      </c>
      <c r="G34" s="181">
        <f>($C$28*$C$30)*'AG Jul 2017'!AE20/100</f>
        <v>84</v>
      </c>
      <c r="H34" s="183">
        <f t="shared" ref="H34:H49" si="2">SUM(C34:G34)</f>
        <v>566.44000000000005</v>
      </c>
      <c r="I34" s="202">
        <f t="shared" ref="I34:I49" si="3">(H34*4)*1.1</f>
        <v>2492.3360000000002</v>
      </c>
    </row>
    <row r="35" spans="1:9" x14ac:dyDescent="0.3">
      <c r="A35" s="179" t="str">
        <f>'AG Jul 2017'!K21</f>
        <v>Alinta Energy</v>
      </c>
      <c r="B35" s="180">
        <f>'AG Jul 2017'!G21</f>
        <v>41477</v>
      </c>
      <c r="C35" s="181">
        <f>91*'AG Jul 2017'!M21/100</f>
        <v>84.730100000000007</v>
      </c>
      <c r="D35" s="181">
        <f>IF($C$28*$C$29&gt;='AG Jul 2017'!P21,('AG Jul 2017'!P21*'AG Jul 2017'!N21/100),(($C$28*$C$29)*'AG Jul 2017'!N21/100))</f>
        <v>291.89999999999998</v>
      </c>
      <c r="E35" s="181">
        <f>IF($C$28*$C$29&lt;'AG Jul 2017'!P21,0,IF(($C$28*$C$29)&lt;='AG Jul 2017'!R21,(($C$28*$C$29-'AG Jul 2017'!P21)*'AG Jul 2017'!Q21/100),(('AG Jul 2017'!R21-'AG Jul 2017'!P21)*'AG Jul 2017'!Q21/100)))</f>
        <v>115.2</v>
      </c>
      <c r="F35" s="181">
        <f>IF(($C$28*$C$29&lt;'AG Jul 2017'!R21),(0),($C$28*$C$29-'AG Jul 2017'!R21)*'AG Jul 2017'!S21/100)</f>
        <v>0</v>
      </c>
      <c r="G35" s="181">
        <f>($C$28*$C$30)*'AG Jul 2017'!AE21/100</f>
        <v>65.16</v>
      </c>
      <c r="H35" s="183">
        <f t="shared" si="2"/>
        <v>556.99009999999998</v>
      </c>
      <c r="I35" s="202">
        <f t="shared" si="3"/>
        <v>2450.7564400000001</v>
      </c>
    </row>
    <row r="36" spans="1:9" x14ac:dyDescent="0.3">
      <c r="A36" s="179" t="str">
        <f>'AG Jul 2017'!K22</f>
        <v>Click Energy</v>
      </c>
      <c r="B36" s="180">
        <f>'AG Jul 2017'!G22</f>
        <v>41455</v>
      </c>
      <c r="C36" s="181">
        <f>91*'AG Jul 2017'!M22/100</f>
        <v>85.54</v>
      </c>
      <c r="D36" s="181">
        <f>($C$28*$C$29)*'AG Jul 2017'!N22/100</f>
        <v>536.19999999999993</v>
      </c>
      <c r="E36" s="181">
        <v>0</v>
      </c>
      <c r="F36" s="181">
        <v>0</v>
      </c>
      <c r="G36" s="181">
        <f>($C$28*$C$30)*'AG Jul 2017'!AE22/100</f>
        <v>150</v>
      </c>
      <c r="H36" s="183">
        <f t="shared" si="2"/>
        <v>771.7399999999999</v>
      </c>
      <c r="I36" s="202">
        <f t="shared" si="3"/>
        <v>3395.6559999999999</v>
      </c>
    </row>
    <row r="37" spans="1:9" x14ac:dyDescent="0.3">
      <c r="A37" s="179" t="str">
        <f>'AG Jul 2017'!K23</f>
        <v>Commander</v>
      </c>
      <c r="B37" s="180">
        <f>'AG Jul 2017'!G23</f>
        <v>41419</v>
      </c>
      <c r="C37" s="181">
        <f>91*'AG Jul 2017'!M23/100</f>
        <v>88.55210000000001</v>
      </c>
      <c r="D37" s="181">
        <f>IF($C$28*$C$29&gt;='AG Jul 2017'!P23,('AG Jul 2017'!P23*'AG Jul 2017'!N23/100),(($C$28*$C$29)*'AG Jul 2017'!N23/100))</f>
        <v>304.2</v>
      </c>
      <c r="E37" s="181">
        <f>IF($C$28*$C$29&lt;'AG Jul 2017'!P23,0,IF(($C$28*$C$29)&lt;='AG Jul 2017'!R23,(($C$28*$C$29-'AG Jul 2017'!P23)*'AG Jul 2017'!Q23/100),(('AG Jul 2017'!R23-'AG Jul 2017'!P23)*'AG Jul 2017'!Q23/100)))</f>
        <v>121.68</v>
      </c>
      <c r="F37" s="181">
        <f>IF(($C$28*$C$29&lt;'AG Jul 2017'!R23),(0),($C$28*$C$29-'AG Jul 2017'!R23)*'AG Jul 2017'!S23/100)</f>
        <v>0</v>
      </c>
      <c r="G37" s="181">
        <f>($C$28*$C$30)*'AG Jul 2017'!AE23/100</f>
        <v>76.8</v>
      </c>
      <c r="H37" s="183">
        <f t="shared" si="2"/>
        <v>591.23209999999995</v>
      </c>
      <c r="I37" s="202">
        <f t="shared" si="3"/>
        <v>2601.4212400000001</v>
      </c>
    </row>
    <row r="38" spans="1:9" x14ac:dyDescent="0.3">
      <c r="A38" s="179" t="str">
        <f>'AG Jul 2017'!K24</f>
        <v>CovaU</v>
      </c>
      <c r="B38" s="180">
        <f>'AG Jul 2017'!G24</f>
        <v>41455</v>
      </c>
      <c r="C38" s="181">
        <f>91*'AG Jul 2017'!M24/100</f>
        <v>77.349999999999994</v>
      </c>
      <c r="D38" s="181">
        <f>($C$28*$C$29)*'AG Jul 2017'!N24/100</f>
        <v>408.8</v>
      </c>
      <c r="E38" s="181">
        <v>0</v>
      </c>
      <c r="F38" s="181">
        <v>0</v>
      </c>
      <c r="G38" s="181">
        <f>($C$28*$C$30)*'AG Jul 2017'!AE24/100</f>
        <v>114</v>
      </c>
      <c r="H38" s="183">
        <f t="shared" si="2"/>
        <v>600.15</v>
      </c>
      <c r="I38" s="202">
        <f t="shared" si="3"/>
        <v>2640.6600000000003</v>
      </c>
    </row>
    <row r="39" spans="1:9" x14ac:dyDescent="0.3">
      <c r="A39" s="179" t="str">
        <f>'AG Jul 2017'!K25</f>
        <v>Diamond Energy</v>
      </c>
      <c r="B39" s="180">
        <f>'AG Jul 2017'!G25</f>
        <v>41455</v>
      </c>
      <c r="C39" s="181">
        <f>91*'AG Jul 2017'!M25/100</f>
        <v>83.255899999999997</v>
      </c>
      <c r="D39" s="181">
        <f>IF($C$28*$C$29&gt;='AG Jul 2017'!P25,('AG Jul 2017'!P25*'AG Jul 2017'!N25/100),(($C$28*$C$29)*'AG Jul 2017'!N25/100))</f>
        <v>79.17</v>
      </c>
      <c r="E39" s="181">
        <f>IF($C$28*$C$29&lt;'AG Jul 2017'!P25,0,IF(($C$28*$C$29)&lt;='AG Jul 2017'!R25,(($C$28*$C$29-'AG Jul 2017'!P25)*'AG Jul 2017'!Q25/100),(('AG Jul 2017'!R25-'AG Jul 2017'!P25)*'AG Jul 2017'!Q25/100)))</f>
        <v>205.27200000000002</v>
      </c>
      <c r="F39" s="181">
        <f>IF(($C$28*$C$29&lt;'AG Jul 2017'!R25),(0),($C$28*$C$29-'AG Jul 2017'!R25)*'AG Jul 2017'!S25/100)</f>
        <v>121.41</v>
      </c>
      <c r="G39" s="181">
        <f>($C$28*$C$30)*'AG Jul 2017'!AE25/100</f>
        <v>83.7</v>
      </c>
      <c r="H39" s="183">
        <f t="shared" si="2"/>
        <v>572.80790000000002</v>
      </c>
      <c r="I39" s="202">
        <f t="shared" si="3"/>
        <v>2520.3547600000002</v>
      </c>
    </row>
    <row r="40" spans="1:9" x14ac:dyDescent="0.3">
      <c r="A40" s="179" t="str">
        <f>'AG Jul 2017'!K26</f>
        <v>Dodo Power &amp; Gas</v>
      </c>
      <c r="B40" s="180">
        <f>'AG Jul 2017'!G26</f>
        <v>41419</v>
      </c>
      <c r="C40" s="181">
        <f>91*'AG Jul 2017'!M26/100</f>
        <v>87.141599999999997</v>
      </c>
      <c r="D40" s="181">
        <f>IF($C$28*$C$29&gt;='AG Jul 2017'!P26,('AG Jul 2017'!P26*'AG Jul 2017'!N26/100),(($C$28*$C$29)*'AG Jul 2017'!N26/100))</f>
        <v>294.5</v>
      </c>
      <c r="E40" s="181">
        <f>IF($C$28*$C$29&lt;'AG Jul 2017'!P26,0,IF(($C$28*$C$29)&lt;='AG Jul 2017'!R26,(($C$28*$C$29-'AG Jul 2017'!P26)*'AG Jul 2017'!Q26/100),(('AG Jul 2017'!R26-'AG Jul 2017'!P26)*'AG Jul 2017'!Q26/100)))</f>
        <v>117.8</v>
      </c>
      <c r="F40" s="181">
        <f>IF(($C$28*$C$29&lt;'AG Jul 2017'!R26),(0),($C$28*$C$29-'AG Jul 2017'!R26)*'AG Jul 2017'!S26/100)</f>
        <v>0</v>
      </c>
      <c r="G40" s="181">
        <f>($C$28*$C$30)*'AG Jul 2017'!AE26/100</f>
        <v>82.86</v>
      </c>
      <c r="H40" s="183">
        <f t="shared" si="2"/>
        <v>582.30160000000001</v>
      </c>
      <c r="I40" s="202">
        <f t="shared" si="3"/>
        <v>2562.1270400000003</v>
      </c>
    </row>
    <row r="41" spans="1:9" x14ac:dyDescent="0.3">
      <c r="A41" s="179" t="str">
        <f>'AG Jul 2017'!K27</f>
        <v>EnergyAustralia</v>
      </c>
      <c r="B41" s="180">
        <f>'AG Jul 2017'!G27</f>
        <v>41467</v>
      </c>
      <c r="C41" s="181">
        <f>91*'AG Jul 2017'!M27/100</f>
        <v>79.807000000000002</v>
      </c>
      <c r="D41" s="181">
        <f>($C$28*$C$29)*'AG Jul 2017'!N27/100</f>
        <v>410.9</v>
      </c>
      <c r="E41" s="181">
        <v>0</v>
      </c>
      <c r="F41" s="181">
        <v>0</v>
      </c>
      <c r="G41" s="181">
        <f>($C$28*$C$30)*'AG Jul 2017'!AE27/100</f>
        <v>72.36</v>
      </c>
      <c r="H41" s="183">
        <f t="shared" si="2"/>
        <v>563.06700000000001</v>
      </c>
      <c r="I41" s="202">
        <f t="shared" si="3"/>
        <v>2477.4948000000004</v>
      </c>
    </row>
    <row r="42" spans="1:9" x14ac:dyDescent="0.3">
      <c r="A42" s="179" t="str">
        <f>'AG Jul 2017'!K28</f>
        <v>Mojo Power</v>
      </c>
      <c r="B42" s="180">
        <f>'AG Jul 2017'!G28</f>
        <v>41468</v>
      </c>
      <c r="C42" s="181">
        <f>91*'AG Jul 2017'!M28/100</f>
        <v>179.46110000000002</v>
      </c>
      <c r="D42" s="181">
        <f>($C$28*$C$29)*'AG Jul 2017'!N28/100</f>
        <v>354.9</v>
      </c>
      <c r="E42" s="181">
        <v>0</v>
      </c>
      <c r="F42" s="181">
        <v>0</v>
      </c>
      <c r="G42" s="181">
        <f>($C$28*$C$30)*'AG Jul 2017'!AE28/100</f>
        <v>78.780000000000015</v>
      </c>
      <c r="H42" s="183">
        <f t="shared" si="2"/>
        <v>613.14109999999994</v>
      </c>
      <c r="I42" s="202">
        <f t="shared" si="3"/>
        <v>2697.8208399999999</v>
      </c>
    </row>
    <row r="43" spans="1:9" x14ac:dyDescent="0.3">
      <c r="A43" s="179" t="str">
        <f>'AG Jul 2017'!K29</f>
        <v>Momentum Energy</v>
      </c>
      <c r="B43" s="180">
        <f>'AG Jul 2017'!G29</f>
        <v>41469</v>
      </c>
      <c r="C43" s="181">
        <f>91*'AG Jul 2017'!M29/100</f>
        <v>76.066900000000004</v>
      </c>
      <c r="D43" s="181">
        <f>IF($C$28*$C$29&gt;='AG Jul 2017'!P29,('AG Jul 2017'!P29*'AG Jul 2017'!N29/100),(($C$28*$C$29)*'AG Jul 2017'!N29/100))</f>
        <v>180.3</v>
      </c>
      <c r="E43" s="181">
        <f>IF($C$28*$C$29&lt;'AG Jul 2017'!P29,0,IF(($C$28*$C$29)&lt;='AG Jul 2017'!R29,(($C$28*$C$29-'AG Jul 2017'!P29)*'AG Jul 2017'!Q29/100),(('AG Jul 2017'!R29-'AG Jul 2017'!P29)*'AG Jul 2017'!Q29/100)))</f>
        <v>235.6</v>
      </c>
      <c r="F43" s="181">
        <f>IF(($C$28*$C$29&lt;'AG Jul 2017'!R29),(0),($C$28*$C$29-'AG Jul 2017'!R29)*'AG Jul 2017'!S29/100)</f>
        <v>0</v>
      </c>
      <c r="G43" s="181">
        <f>($C$28*$C$30)*'AG Jul 2017'!AE29/100</f>
        <v>83.58</v>
      </c>
      <c r="H43" s="183">
        <f t="shared" si="2"/>
        <v>575.54690000000005</v>
      </c>
      <c r="I43" s="202">
        <f t="shared" si="3"/>
        <v>2532.4063600000004</v>
      </c>
    </row>
    <row r="44" spans="1:9" x14ac:dyDescent="0.3">
      <c r="A44" s="179" t="str">
        <f>'AG Jul 2017'!K30</f>
        <v>Origin Energy</v>
      </c>
      <c r="B44" s="180">
        <f>'AG Jul 2017'!G30</f>
        <v>41455</v>
      </c>
      <c r="C44" s="181">
        <f>91*'AG Jul 2017'!M30/100</f>
        <v>75.884900000000002</v>
      </c>
      <c r="D44" s="181">
        <f>($C$28*$C$29)*'AG Jul 2017'!N30/100</f>
        <v>399.28</v>
      </c>
      <c r="E44" s="181">
        <v>0</v>
      </c>
      <c r="F44" s="181">
        <v>0</v>
      </c>
      <c r="G44" s="181">
        <f>($C$28*$C$30)*'AG Jul 2017'!AE30/100</f>
        <v>73.739999999999995</v>
      </c>
      <c r="H44" s="183">
        <f t="shared" si="2"/>
        <v>548.9049</v>
      </c>
      <c r="I44" s="202">
        <f t="shared" si="3"/>
        <v>2415.18156</v>
      </c>
    </row>
    <row r="45" spans="1:9" x14ac:dyDescent="0.3">
      <c r="A45" s="179" t="str">
        <f>'AG Jul 2017'!K31</f>
        <v>Powerdirect</v>
      </c>
      <c r="B45" s="180">
        <f>'AG Jul 2017'!G31</f>
        <v>41455</v>
      </c>
      <c r="C45" s="181">
        <f>91*'AG Jul 2017'!M31/100</f>
        <v>76.44</v>
      </c>
      <c r="D45" s="181">
        <f>($C$28*$C$29)*'AG Jul 2017'!N31/100</f>
        <v>406</v>
      </c>
      <c r="E45" s="181">
        <v>0</v>
      </c>
      <c r="F45" s="181">
        <v>0</v>
      </c>
      <c r="G45" s="181">
        <f>($C$28*$C$30)*'AG Jul 2017'!AE31/100</f>
        <v>84</v>
      </c>
      <c r="H45" s="183">
        <f t="shared" si="2"/>
        <v>566.44000000000005</v>
      </c>
      <c r="I45" s="202">
        <f t="shared" si="3"/>
        <v>2492.3360000000002</v>
      </c>
    </row>
    <row r="46" spans="1:9" x14ac:dyDescent="0.3">
      <c r="A46" s="179" t="str">
        <f>'AG Jul 2017'!K32</f>
        <v>Powershop</v>
      </c>
      <c r="B46" s="180">
        <f>'AG Jul 2017'!G32</f>
        <v>41455</v>
      </c>
      <c r="C46" s="181">
        <f>91*'AG Jul 2017'!M32/100</f>
        <v>88.497500000000002</v>
      </c>
      <c r="D46" s="181">
        <f>(C28*C29)*'AG Jul 2017'!N32/100</f>
        <v>418.18</v>
      </c>
      <c r="E46" s="181">
        <v>0</v>
      </c>
      <c r="F46" s="181">
        <v>0</v>
      </c>
      <c r="G46" s="181">
        <f>($C$28*$C$30)*'AG Jul 2017'!AE32/100</f>
        <v>118.56000000000002</v>
      </c>
      <c r="H46" s="183">
        <f t="shared" si="2"/>
        <v>625.23750000000007</v>
      </c>
      <c r="I46" s="202">
        <f t="shared" si="3"/>
        <v>2751.0450000000005</v>
      </c>
    </row>
    <row r="47" spans="1:9" x14ac:dyDescent="0.3">
      <c r="A47" s="179" t="str">
        <f>'AG Jul 2017'!K33</f>
        <v>Red Energy</v>
      </c>
      <c r="B47" s="180">
        <f>'AG Jul 2017'!G33</f>
        <v>41479</v>
      </c>
      <c r="C47" s="181">
        <f>91*'AG Jul 2017'!M33/100</f>
        <v>79.825199999999995</v>
      </c>
      <c r="D47" s="181">
        <f>IF($C$28*$C$29&gt;='AG Jul 2017'!P33,('AG Jul 2017'!P33*'AG Jul 2017'!N33/100),(($C$28*$C$29)*'AG Jul 2017'!N33/100))</f>
        <v>279.5</v>
      </c>
      <c r="E47" s="181">
        <f>IF($C$28*$C$29&lt;'AG Jul 2017'!P33,0,IF(($C$28*$C$29)&lt;='AG Jul 2017'!R33,(($C$28*$C$29-'AG Jul 2017'!P33)*'AG Jul 2017'!Q33/100),(('AG Jul 2017'!R33-'AG Jul 2017'!P33)*'AG Jul 2017'!Q33/100)))</f>
        <v>109.36</v>
      </c>
      <c r="F47" s="181">
        <f>IF(($C$28*$C$29&lt;'AG Jul 2017'!R33),(0),($C$28*$C$29-'AG Jul 2017'!R33)*'AG Jul 2017'!S33/100)</f>
        <v>0</v>
      </c>
      <c r="G47" s="181">
        <f>($C$28*$C$30)*'AG Jul 2017'!AE33/100</f>
        <v>71.64</v>
      </c>
      <c r="H47" s="183">
        <f t="shared" si="2"/>
        <v>540.3252</v>
      </c>
      <c r="I47" s="202">
        <f t="shared" si="3"/>
        <v>2377.4308800000003</v>
      </c>
    </row>
    <row r="48" spans="1:9" x14ac:dyDescent="0.3">
      <c r="A48" s="179" t="str">
        <f>'AG Jul 2017'!K34</f>
        <v>Simply Energy</v>
      </c>
      <c r="B48" s="180">
        <f>'AG Jul 2017'!G34</f>
        <v>41459</v>
      </c>
      <c r="C48" s="181">
        <f>91*'AG Jul 2017'!M34/100</f>
        <v>65.683800000000005</v>
      </c>
      <c r="D48" s="181">
        <f>IF($C$28*$C$29&gt;='AG Jul 2017'!P34,('AG Jul 2017'!P34*'AG Jul 2017'!N34/100),(($C$28*$C$29)*'AG Jul 2017'!N34/100))</f>
        <v>247.8</v>
      </c>
      <c r="E48" s="181">
        <f>IF($C$28*$C$29&lt;'AG Jul 2017'!P34,0,IF(($C$28*$C$29)&lt;='AG Jul 2017'!R34,(($C$28*$C$29-'AG Jul 2017'!P34)*'AG Jul 2017'!Q34/100),(('AG Jul 2017'!R34-'AG Jul 2017'!P34)*'AG Jul 2017'!Q34/100)))</f>
        <v>97.64</v>
      </c>
      <c r="F48" s="181">
        <f>IF(($C$28*$C$29&lt;'AG Jul 2017'!R34),(0),($C$28*$C$29-'AG Jul 2017'!R34)*'AG Jul 2017'!S34/100)</f>
        <v>0</v>
      </c>
      <c r="G48" s="181">
        <f>($C$28*$C$30)*'AG Jul 2017'!AE34/100</f>
        <v>59.4</v>
      </c>
      <c r="H48" s="183">
        <f t="shared" si="2"/>
        <v>470.52379999999999</v>
      </c>
      <c r="I48" s="202">
        <f t="shared" si="3"/>
        <v>2070.3047200000001</v>
      </c>
    </row>
    <row r="49" spans="1:96" ht="14" thickBot="1" x14ac:dyDescent="0.35">
      <c r="A49" s="184" t="str">
        <f>'AG Jul 2017'!K35</f>
        <v>Sanctuary Energy</v>
      </c>
      <c r="B49" s="185">
        <f>'AG Jul 2017'!G35</f>
        <v>41455</v>
      </c>
      <c r="C49" s="186">
        <f>91*'AG Jul 2017'!M35/100</f>
        <v>74.301500000000004</v>
      </c>
      <c r="D49" s="186">
        <f>IF($C$28*$C$29&gt;='AG Jul 2017'!P35,('AG Jul 2017'!P35*'AG Jul 2017'!N35/100),(($C$28*$C$29)*'AG Jul 2017'!N35/100))</f>
        <v>286.35000000000002</v>
      </c>
      <c r="E49" s="186">
        <f>IF($C$28*$C$29&lt;'AG Jul 2017'!P35,0,IF(($C$28*$C$29)&lt;='AG Jul 2017'!R35,(($C$28*$C$29-'AG Jul 2017'!P35)*'AG Jul 2017'!Q35/100),(('AG Jul 2017'!R35-'AG Jul 2017'!P35)*'AG Jul 2017'!Q35/100)))</f>
        <v>121.348</v>
      </c>
      <c r="F49" s="186">
        <f>IF(($C$28*$C$29&lt;'AG Jul 2017'!R35),(0),($C$28*$C$29-'AG Jul 2017'!R35)*'AG Jul 2017'!S35/100)</f>
        <v>0</v>
      </c>
      <c r="G49" s="186">
        <f>($C$28*$C$30)*'AG Jul 2017'!AE35/100</f>
        <v>70.724999999999994</v>
      </c>
      <c r="H49" s="188">
        <f t="shared" si="2"/>
        <v>552.72450000000003</v>
      </c>
      <c r="I49" s="203">
        <f t="shared" si="3"/>
        <v>2431.9878000000003</v>
      </c>
    </row>
    <row r="50" spans="1:96" s="198" customFormat="1" x14ac:dyDescent="0.3"/>
    <row r="51" spans="1:96" s="198" customFormat="1" ht="14" thickBot="1" x14ac:dyDescent="0.35"/>
    <row r="52" spans="1:96" s="191" customFormat="1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  <c r="J52" s="197"/>
      <c r="K52" s="197"/>
      <c r="L52" s="197"/>
      <c r="M52" s="197"/>
      <c r="N52" s="197"/>
      <c r="O52" s="197"/>
      <c r="P52" s="197"/>
      <c r="Q52" s="197"/>
      <c r="R52" s="197"/>
      <c r="S52" s="197"/>
      <c r="T52" s="197"/>
      <c r="U52" s="197"/>
      <c r="V52" s="197"/>
      <c r="W52" s="197"/>
      <c r="X52" s="197"/>
      <c r="Y52" s="197"/>
      <c r="Z52" s="197"/>
      <c r="AA52" s="197"/>
      <c r="AB52" s="197"/>
      <c r="AC52" s="197"/>
      <c r="AD52" s="197"/>
      <c r="AE52" s="197"/>
      <c r="AF52" s="197"/>
      <c r="AG52" s="197"/>
      <c r="AH52" s="197"/>
      <c r="AI52" s="197"/>
      <c r="AJ52" s="197"/>
      <c r="AK52" s="197"/>
      <c r="AL52" s="197"/>
      <c r="AM52" s="197"/>
      <c r="AN52" s="197"/>
      <c r="AO52" s="19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/>
      <c r="AZ52" s="197"/>
      <c r="BA52" s="197"/>
      <c r="BB52" s="197"/>
      <c r="BC52" s="197"/>
      <c r="BD52" s="197"/>
      <c r="BE52" s="197"/>
      <c r="BF52" s="197"/>
      <c r="BG52" s="197"/>
      <c r="BH52" s="197"/>
      <c r="BI52" s="197"/>
      <c r="BJ52" s="197"/>
      <c r="BK52" s="197"/>
      <c r="BL52" s="197"/>
      <c r="BM52" s="197"/>
      <c r="BN52" s="197"/>
      <c r="BO52" s="197"/>
      <c r="BP52" s="197"/>
      <c r="BQ52" s="197"/>
      <c r="BR52" s="197"/>
      <c r="BS52" s="197"/>
      <c r="BT52" s="197"/>
      <c r="BU52" s="197"/>
      <c r="BV52" s="197"/>
      <c r="BW52" s="197"/>
      <c r="BX52" s="197"/>
      <c r="BY52" s="197"/>
      <c r="BZ52" s="197"/>
      <c r="CA52" s="197"/>
      <c r="CB52" s="197"/>
      <c r="CC52" s="197"/>
      <c r="CD52" s="197"/>
      <c r="CE52" s="197"/>
      <c r="CF52" s="197"/>
      <c r="CG52" s="197"/>
      <c r="CH52" s="197"/>
      <c r="CI52" s="197"/>
      <c r="CJ52" s="197"/>
      <c r="CK52" s="197"/>
      <c r="CL52" s="197"/>
      <c r="CM52" s="197"/>
      <c r="CN52" s="197"/>
      <c r="CO52" s="197"/>
      <c r="CP52" s="197"/>
      <c r="CQ52" s="197"/>
      <c r="CR52" s="197"/>
    </row>
    <row r="53" spans="1:96" s="191" customFormat="1" ht="14" x14ac:dyDescent="0.3">
      <c r="A53" s="92" t="s">
        <v>79</v>
      </c>
      <c r="B53" s="93"/>
      <c r="C53" s="189">
        <v>2000</v>
      </c>
      <c r="D53" s="93"/>
      <c r="E53" s="93"/>
      <c r="F53" s="93"/>
      <c r="G53" s="93"/>
      <c r="H53" s="93"/>
      <c r="I53" s="178"/>
      <c r="J53" s="197"/>
      <c r="K53" s="197"/>
      <c r="L53" s="197"/>
      <c r="M53" s="197"/>
      <c r="N53" s="197"/>
      <c r="O53" s="197"/>
      <c r="P53" s="197"/>
      <c r="Q53" s="197"/>
      <c r="R53" s="197"/>
      <c r="S53" s="197"/>
      <c r="T53" s="197"/>
      <c r="U53" s="197"/>
      <c r="V53" s="197"/>
      <c r="W53" s="197"/>
      <c r="X53" s="197"/>
      <c r="Y53" s="197"/>
      <c r="Z53" s="197"/>
      <c r="AA53" s="197"/>
      <c r="AB53" s="197"/>
      <c r="AC53" s="197"/>
      <c r="AD53" s="197"/>
      <c r="AE53" s="197"/>
      <c r="AF53" s="197"/>
      <c r="AG53" s="197"/>
      <c r="AH53" s="197"/>
      <c r="AI53" s="197"/>
      <c r="AJ53" s="197"/>
      <c r="AK53" s="197"/>
      <c r="AL53" s="197"/>
      <c r="AM53" s="197"/>
      <c r="AN53" s="197"/>
      <c r="AO53" s="19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197"/>
      <c r="BE53" s="197"/>
      <c r="BF53" s="197"/>
      <c r="BG53" s="197"/>
      <c r="BH53" s="197"/>
      <c r="BI53" s="197"/>
      <c r="BJ53" s="197"/>
      <c r="BK53" s="197"/>
      <c r="BL53" s="197"/>
      <c r="BM53" s="197"/>
      <c r="BN53" s="197"/>
      <c r="BO53" s="197"/>
      <c r="BP53" s="197"/>
      <c r="BQ53" s="197"/>
      <c r="BR53" s="197"/>
      <c r="BS53" s="197"/>
      <c r="BT53" s="197"/>
      <c r="BU53" s="197"/>
      <c r="BV53" s="197"/>
      <c r="BW53" s="197"/>
      <c r="BX53" s="197"/>
      <c r="BY53" s="197"/>
      <c r="BZ53" s="197"/>
      <c r="CA53" s="197"/>
      <c r="CB53" s="197"/>
      <c r="CC53" s="197"/>
      <c r="CD53" s="197"/>
      <c r="CE53" s="197"/>
      <c r="CF53" s="197"/>
      <c r="CG53" s="197"/>
      <c r="CH53" s="197"/>
      <c r="CI53" s="197"/>
      <c r="CJ53" s="197"/>
      <c r="CK53" s="197"/>
      <c r="CL53" s="197"/>
      <c r="CM53" s="197"/>
      <c r="CN53" s="197"/>
      <c r="CO53" s="197"/>
      <c r="CP53" s="197"/>
      <c r="CQ53" s="197"/>
      <c r="CR53" s="197"/>
    </row>
    <row r="54" spans="1:96" s="191" customFormat="1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  <c r="J54" s="197"/>
      <c r="K54" s="197"/>
      <c r="L54" s="197"/>
      <c r="M54" s="197"/>
      <c r="N54" s="197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  <c r="Z54" s="197"/>
      <c r="AA54" s="197"/>
      <c r="AB54" s="197"/>
      <c r="AC54" s="197"/>
      <c r="AD54" s="197"/>
      <c r="AE54" s="197"/>
      <c r="AF54" s="197"/>
      <c r="AG54" s="197"/>
      <c r="AH54" s="197"/>
      <c r="AI54" s="197"/>
      <c r="AJ54" s="197"/>
      <c r="AK54" s="197"/>
      <c r="AL54" s="197"/>
      <c r="AM54" s="197"/>
      <c r="AN54" s="197"/>
      <c r="AO54" s="19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197"/>
      <c r="BE54" s="197"/>
      <c r="BF54" s="197"/>
      <c r="BG54" s="197"/>
      <c r="BH54" s="197"/>
      <c r="BI54" s="197"/>
      <c r="BJ54" s="197"/>
      <c r="BK54" s="197"/>
      <c r="BL54" s="197"/>
      <c r="BM54" s="197"/>
      <c r="BN54" s="197"/>
      <c r="BO54" s="197"/>
      <c r="BP54" s="197"/>
      <c r="BQ54" s="197"/>
      <c r="BR54" s="197"/>
      <c r="BS54" s="197"/>
      <c r="BT54" s="197"/>
      <c r="BU54" s="197"/>
      <c r="BV54" s="197"/>
      <c r="BW54" s="197"/>
      <c r="BX54" s="197"/>
      <c r="BY54" s="197"/>
      <c r="BZ54" s="197"/>
      <c r="CA54" s="197"/>
      <c r="CB54" s="197"/>
      <c r="CC54" s="197"/>
      <c r="CD54" s="197"/>
      <c r="CE54" s="197"/>
      <c r="CF54" s="197"/>
      <c r="CG54" s="197"/>
      <c r="CH54" s="197"/>
      <c r="CI54" s="197"/>
      <c r="CJ54" s="197"/>
      <c r="CK54" s="197"/>
      <c r="CL54" s="197"/>
      <c r="CM54" s="197"/>
      <c r="CN54" s="197"/>
      <c r="CO54" s="197"/>
      <c r="CP54" s="197"/>
      <c r="CQ54" s="197"/>
      <c r="CR54" s="197"/>
    </row>
    <row r="55" spans="1:96" s="191" customFormat="1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  <c r="J55" s="197"/>
      <c r="K55" s="197"/>
      <c r="L55" s="197"/>
      <c r="M55" s="197"/>
      <c r="N55" s="197"/>
      <c r="O55" s="197"/>
      <c r="P55" s="197"/>
      <c r="Q55" s="197"/>
      <c r="R55" s="197"/>
      <c r="S55" s="197"/>
      <c r="T55" s="197"/>
      <c r="U55" s="197"/>
      <c r="V55" s="197"/>
      <c r="W55" s="197"/>
      <c r="X55" s="197"/>
      <c r="Y55" s="197"/>
      <c r="Z55" s="197"/>
      <c r="AA55" s="197"/>
      <c r="AB55" s="197"/>
      <c r="AC55" s="197"/>
      <c r="AD55" s="197"/>
      <c r="AE55" s="197"/>
      <c r="AF55" s="197"/>
      <c r="AG55" s="197"/>
      <c r="AH55" s="197"/>
      <c r="AI55" s="197"/>
      <c r="AJ55" s="197"/>
      <c r="AK55" s="197"/>
      <c r="AL55" s="197"/>
      <c r="AM55" s="197"/>
      <c r="AN55" s="197"/>
      <c r="AO55" s="19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197"/>
      <c r="BE55" s="197"/>
      <c r="BF55" s="197"/>
      <c r="BG55" s="197"/>
      <c r="BH55" s="197"/>
      <c r="BI55" s="197"/>
      <c r="BJ55" s="197"/>
      <c r="BK55" s="197"/>
      <c r="BL55" s="197"/>
      <c r="BM55" s="197"/>
      <c r="BN55" s="197"/>
      <c r="BO55" s="197"/>
      <c r="BP55" s="197"/>
      <c r="BQ55" s="197"/>
      <c r="BR55" s="197"/>
      <c r="BS55" s="197"/>
      <c r="BT55" s="197"/>
      <c r="BU55" s="197"/>
      <c r="BV55" s="197"/>
      <c r="BW55" s="197"/>
      <c r="BX55" s="197"/>
      <c r="BY55" s="197"/>
      <c r="BZ55" s="197"/>
      <c r="CA55" s="197"/>
      <c r="CB55" s="197"/>
      <c r="CC55" s="197"/>
      <c r="CD55" s="197"/>
      <c r="CE55" s="197"/>
      <c r="CF55" s="197"/>
      <c r="CG55" s="197"/>
      <c r="CH55" s="197"/>
      <c r="CI55" s="197"/>
      <c r="CJ55" s="197"/>
      <c r="CK55" s="197"/>
      <c r="CL55" s="197"/>
      <c r="CM55" s="197"/>
      <c r="CN55" s="197"/>
      <c r="CO55" s="197"/>
      <c r="CP55" s="197"/>
      <c r="CQ55" s="197"/>
      <c r="CR55" s="197"/>
    </row>
    <row r="56" spans="1:96" s="191" customFormat="1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  <c r="J56" s="197"/>
      <c r="K56" s="197"/>
      <c r="L56" s="197"/>
      <c r="M56" s="197"/>
      <c r="N56" s="197"/>
      <c r="O56" s="197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</row>
    <row r="57" spans="1:96" s="191" customFormat="1" ht="14" x14ac:dyDescent="0.3">
      <c r="A57" s="166"/>
      <c r="B57" s="93"/>
      <c r="C57" s="167"/>
      <c r="D57" s="93"/>
      <c r="E57" s="93"/>
      <c r="F57" s="93"/>
      <c r="G57" s="93"/>
      <c r="H57" s="93"/>
      <c r="I57" s="178"/>
      <c r="J57" s="197"/>
      <c r="K57" s="197"/>
      <c r="L57" s="197"/>
      <c r="M57" s="197"/>
      <c r="N57" s="197"/>
      <c r="O57" s="197"/>
      <c r="P57" s="197"/>
      <c r="Q57" s="197"/>
      <c r="R57" s="197"/>
      <c r="S57" s="197"/>
      <c r="T57" s="197"/>
      <c r="U57" s="197"/>
      <c r="V57" s="197"/>
      <c r="W57" s="197"/>
      <c r="X57" s="197"/>
      <c r="Y57" s="197"/>
      <c r="Z57" s="197"/>
      <c r="AA57" s="197"/>
      <c r="AB57" s="197"/>
      <c r="AC57" s="197"/>
      <c r="AD57" s="197"/>
      <c r="AE57" s="197"/>
      <c r="AF57" s="197"/>
      <c r="AG57" s="197"/>
      <c r="AH57" s="197"/>
      <c r="AI57" s="197"/>
      <c r="AJ57" s="197"/>
      <c r="AK57" s="197"/>
      <c r="AL57" s="197"/>
      <c r="AM57" s="197"/>
      <c r="AN57" s="197"/>
      <c r="AO57" s="19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197"/>
      <c r="BE57" s="197"/>
      <c r="BF57" s="197"/>
      <c r="BG57" s="197"/>
      <c r="BH57" s="197"/>
      <c r="BI57" s="197"/>
      <c r="BJ57" s="197"/>
      <c r="BK57" s="197"/>
      <c r="BL57" s="197"/>
      <c r="BM57" s="197"/>
      <c r="BN57" s="197"/>
      <c r="BO57" s="197"/>
      <c r="BP57" s="197"/>
      <c r="BQ57" s="197"/>
      <c r="BR57" s="197"/>
      <c r="BS57" s="197"/>
      <c r="BT57" s="197"/>
      <c r="BU57" s="197"/>
      <c r="BV57" s="197"/>
      <c r="BW57" s="197"/>
      <c r="BX57" s="197"/>
      <c r="BY57" s="197"/>
      <c r="BZ57" s="197"/>
      <c r="CA57" s="197"/>
      <c r="CB57" s="197"/>
      <c r="CC57" s="197"/>
      <c r="CD57" s="197"/>
      <c r="CE57" s="197"/>
      <c r="CF57" s="197"/>
      <c r="CG57" s="197"/>
      <c r="CH57" s="197"/>
      <c r="CI57" s="197"/>
      <c r="CJ57" s="197"/>
      <c r="CK57" s="197"/>
      <c r="CL57" s="197"/>
      <c r="CM57" s="197"/>
      <c r="CN57" s="197"/>
      <c r="CO57" s="197"/>
      <c r="CP57" s="197"/>
      <c r="CQ57" s="197"/>
      <c r="CR57" s="197"/>
    </row>
    <row r="58" spans="1:96" s="191" customFormat="1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  <c r="J58" s="197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7"/>
      <c r="Y58" s="197"/>
      <c r="Z58" s="197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197"/>
      <c r="AN58" s="197"/>
      <c r="AO58" s="19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197"/>
      <c r="BE58" s="197"/>
      <c r="BF58" s="197"/>
      <c r="BG58" s="197"/>
      <c r="BH58" s="197"/>
      <c r="BI58" s="197"/>
      <c r="BJ58" s="197"/>
      <c r="BK58" s="197"/>
      <c r="BL58" s="197"/>
      <c r="BM58" s="197"/>
      <c r="BN58" s="197"/>
      <c r="BO58" s="197"/>
      <c r="BP58" s="197"/>
      <c r="BQ58" s="197"/>
      <c r="BR58" s="197"/>
      <c r="BS58" s="197"/>
      <c r="BT58" s="197"/>
      <c r="BU58" s="197"/>
      <c r="BV58" s="197"/>
      <c r="BW58" s="197"/>
      <c r="BX58" s="197"/>
      <c r="BY58" s="197"/>
      <c r="BZ58" s="197"/>
      <c r="CA58" s="197"/>
      <c r="CB58" s="197"/>
      <c r="CC58" s="197"/>
      <c r="CD58" s="197"/>
      <c r="CE58" s="197"/>
      <c r="CF58" s="197"/>
      <c r="CG58" s="197"/>
      <c r="CH58" s="197"/>
      <c r="CI58" s="197"/>
      <c r="CJ58" s="197"/>
      <c r="CK58" s="197"/>
      <c r="CL58" s="197"/>
      <c r="CM58" s="197"/>
      <c r="CN58" s="197"/>
      <c r="CO58" s="197"/>
      <c r="CP58" s="197"/>
      <c r="CQ58" s="197"/>
      <c r="CR58" s="197"/>
    </row>
    <row r="59" spans="1:96" x14ac:dyDescent="0.3">
      <c r="A59" s="179" t="str">
        <f>'AG Jul 2017'!K36</f>
        <v>Energy Locals</v>
      </c>
      <c r="B59" s="180">
        <f>'AG Jul 2017'!G36</f>
        <v>41374</v>
      </c>
      <c r="C59" s="181">
        <f>91*'AG Jul 2017'!M36/100</f>
        <v>89.18</v>
      </c>
      <c r="D59" s="181">
        <f>($C$53*$C$54)*'AG Jul 2017'!N36/100</f>
        <v>156</v>
      </c>
      <c r="E59" s="181">
        <v>0</v>
      </c>
      <c r="F59" s="181">
        <f>($C$53*$C$55)*'AG Jul 2017'!AH36/100</f>
        <v>180</v>
      </c>
      <c r="G59" s="181">
        <f>($C$53*$C$56)*'AG Jul 2017'!W36/100</f>
        <v>96</v>
      </c>
      <c r="H59" s="183">
        <f>SUM(C59:G59)</f>
        <v>521.18000000000006</v>
      </c>
      <c r="I59" s="202">
        <f t="shared" ref="I59:I75" si="4">(H59*4)*1.1</f>
        <v>2293.1920000000005</v>
      </c>
    </row>
    <row r="60" spans="1:96" x14ac:dyDescent="0.3">
      <c r="A60" s="179" t="str">
        <f>'AG Jul 2017'!K37</f>
        <v>AGL</v>
      </c>
      <c r="B60" s="180">
        <f>'AG Jul 2017'!G37</f>
        <v>41457</v>
      </c>
      <c r="C60" s="181">
        <f>91*'AG Jul 2017'!M37/100</f>
        <v>87.36</v>
      </c>
      <c r="D60" s="181">
        <f>($C$53*$C$54)*'AG Jul 2017'!N37/100</f>
        <v>216</v>
      </c>
      <c r="E60" s="181">
        <v>0</v>
      </c>
      <c r="F60" s="181">
        <f>($C$53*$C$55)*'AG Jul 2017'!AH37/100</f>
        <v>230</v>
      </c>
      <c r="G60" s="181">
        <f>($C$53*$C$56)*'AG Jul 2017'!W37/100</f>
        <v>90</v>
      </c>
      <c r="H60" s="183">
        <f t="shared" ref="H60:H75" si="5">SUM(C60:G60)</f>
        <v>623.36</v>
      </c>
      <c r="I60" s="202">
        <f t="shared" si="4"/>
        <v>2742.7840000000001</v>
      </c>
    </row>
    <row r="61" spans="1:96" x14ac:dyDescent="0.3">
      <c r="A61" s="179" t="str">
        <f>'AG Jul 2017'!K38</f>
        <v>Alinta Energy</v>
      </c>
      <c r="B61" s="180">
        <f>'AG Jul 2017'!G38</f>
        <v>41477</v>
      </c>
      <c r="C61" s="181">
        <f>91*'AG Jul 2017'!M38/100</f>
        <v>93.311400000000006</v>
      </c>
      <c r="D61" s="181">
        <f>($C$53*$C$54)*'AG Jul 2017'!N38/100</f>
        <v>221.68</v>
      </c>
      <c r="E61" s="181">
        <v>0</v>
      </c>
      <c r="F61" s="181">
        <f>($C$53*$C$55)*'AG Jul 2017'!AH38/100</f>
        <v>232.1</v>
      </c>
      <c r="G61" s="181">
        <f>($C$53*$C$56)*'AG Jul 2017'!W38/100</f>
        <v>78.48</v>
      </c>
      <c r="H61" s="183">
        <f t="shared" si="5"/>
        <v>625.57140000000004</v>
      </c>
      <c r="I61" s="202">
        <f t="shared" si="4"/>
        <v>2752.5141600000002</v>
      </c>
    </row>
    <row r="62" spans="1:96" x14ac:dyDescent="0.3">
      <c r="A62" s="179" t="str">
        <f>'AG Jul 2017'!K39</f>
        <v>Click Energy</v>
      </c>
      <c r="B62" s="180">
        <f>'AG Jul 2017'!G39</f>
        <v>41455</v>
      </c>
      <c r="C62" s="181">
        <f>91*'AG Jul 2017'!M39/100</f>
        <v>91.91</v>
      </c>
      <c r="D62" s="181">
        <f>($C$53*$C$54)*'AG Jul 2017'!N39/100</f>
        <v>234.8</v>
      </c>
      <c r="E62" s="181">
        <v>0</v>
      </c>
      <c r="F62" s="181">
        <f>($C$53*$C$55)*'AG Jul 2017'!AH39/100</f>
        <v>313</v>
      </c>
      <c r="G62" s="181">
        <f>($C$53*$C$56)*'AG Jul 2017'!W39/100</f>
        <v>166.8</v>
      </c>
      <c r="H62" s="183">
        <f t="shared" si="5"/>
        <v>806.51</v>
      </c>
      <c r="I62" s="202">
        <f t="shared" si="4"/>
        <v>3548.6440000000002</v>
      </c>
    </row>
    <row r="63" spans="1:96" x14ac:dyDescent="0.3">
      <c r="A63" s="179" t="str">
        <f>'AG Jul 2017'!K40</f>
        <v>Commander</v>
      </c>
      <c r="B63" s="180">
        <f>'AG Jul 2017'!G40</f>
        <v>41419</v>
      </c>
      <c r="C63" s="181">
        <f>91*'AG Jul 2017'!M40/100</f>
        <v>93.074799999999996</v>
      </c>
      <c r="D63" s="181">
        <f>($C$53*$C$54)*'AG Jul 2017'!N40/100</f>
        <v>237.12</v>
      </c>
      <c r="E63" s="181">
        <v>0</v>
      </c>
      <c r="F63" s="181">
        <f>($C$53*$C$55)*'AG Jul 2017'!AH40/100</f>
        <v>253.2</v>
      </c>
      <c r="G63" s="181">
        <f>($C$53*$C$56)*'AG Jul 2017'!W40/100</f>
        <v>92.1</v>
      </c>
      <c r="H63" s="183">
        <f t="shared" si="5"/>
        <v>675.49480000000005</v>
      </c>
      <c r="I63" s="202">
        <f t="shared" si="4"/>
        <v>2972.1771200000003</v>
      </c>
    </row>
    <row r="64" spans="1:96" x14ac:dyDescent="0.3">
      <c r="A64" s="179" t="str">
        <f>'AG Jul 2017'!K41</f>
        <v>CovaU</v>
      </c>
      <c r="B64" s="180">
        <f>'AG Jul 2017'!G41</f>
        <v>41455</v>
      </c>
      <c r="C64" s="181">
        <f>91*'AG Jul 2017'!M41/100</f>
        <v>86.45</v>
      </c>
      <c r="D64" s="181">
        <f>($C$53*$C$54)*'AG Jul 2017'!N41/100</f>
        <v>216.4</v>
      </c>
      <c r="E64" s="181">
        <v>0</v>
      </c>
      <c r="F64" s="181">
        <f>($C$53*$C$55)*'AG Jul 2017'!AH41/100</f>
        <v>230.5</v>
      </c>
      <c r="G64" s="181">
        <f>($C$53*$C$56)*'AG Jul 2017'!W41/100</f>
        <v>105</v>
      </c>
      <c r="H64" s="183">
        <f t="shared" si="5"/>
        <v>638.35</v>
      </c>
      <c r="I64" s="202">
        <f t="shared" si="4"/>
        <v>2808.7400000000002</v>
      </c>
    </row>
    <row r="65" spans="1:9" x14ac:dyDescent="0.3">
      <c r="A65" s="179" t="str">
        <f>'AG Jul 2017'!K42</f>
        <v>Diamond Energy</v>
      </c>
      <c r="B65" s="180">
        <f>'AG Jul 2017'!G42</f>
        <v>41455</v>
      </c>
      <c r="C65" s="181">
        <f>91*'AG Jul 2017'!M42/100</f>
        <v>90.545000000000002</v>
      </c>
      <c r="D65" s="181">
        <f>IF($C$53*$C$54&gt;='AG Jul 2017'!P42,('AG Jul 2017'!P42*'AG Jul 2017'!N42/100),(($C$53*$C$54)*'AG Jul 2017'!N42/100))</f>
        <v>198</v>
      </c>
      <c r="E65" s="181">
        <f>IF(($C$53*$C$54&lt;'AG Jul 2017'!P42),(0),($C$53*$C$54-'AG Jul 2017'!P42)*'AG Jul 2017'!Q42/100)</f>
        <v>0</v>
      </c>
      <c r="F65" s="181">
        <f>($C$53*$C$55)*'AG Jul 2017'!AH42/100</f>
        <v>234.8</v>
      </c>
      <c r="G65" s="181">
        <f>($C$53*$C$56)*'AG Jul 2017'!W42/100</f>
        <v>107.7</v>
      </c>
      <c r="H65" s="183">
        <f t="shared" si="5"/>
        <v>631.04500000000007</v>
      </c>
      <c r="I65" s="202">
        <f t="shared" si="4"/>
        <v>2776.5980000000004</v>
      </c>
    </row>
    <row r="66" spans="1:9" x14ac:dyDescent="0.3">
      <c r="A66" s="179" t="str">
        <f>'AG Jul 2017'!K43</f>
        <v>Dodo Power &amp; Gas</v>
      </c>
      <c r="B66" s="180">
        <f>'AG Jul 2017'!G43</f>
        <v>41419</v>
      </c>
      <c r="C66" s="181">
        <f>91*'AG Jul 2017'!M43/100</f>
        <v>92.028300000000002</v>
      </c>
      <c r="D66" s="181">
        <f>($C$53*$C$54)*'AG Jul 2017'!N43/100</f>
        <v>230.08</v>
      </c>
      <c r="E66" s="181">
        <v>0</v>
      </c>
      <c r="F66" s="181">
        <f>($C$53*$C$55)*'AG Jul 2017'!AH43/100</f>
        <v>243.4</v>
      </c>
      <c r="G66" s="181">
        <f>($C$53*$C$56)*'AG Jul 2017'!W43/100</f>
        <v>90.12</v>
      </c>
      <c r="H66" s="183">
        <f t="shared" si="5"/>
        <v>655.62829999999997</v>
      </c>
      <c r="I66" s="202">
        <f t="shared" si="4"/>
        <v>2884.7645200000002</v>
      </c>
    </row>
    <row r="67" spans="1:9" x14ac:dyDescent="0.3">
      <c r="A67" s="179" t="str">
        <f>'AG Jul 2017'!K44</f>
        <v>EnergyAustralia</v>
      </c>
      <c r="B67" s="180">
        <f>'AG Jul 2017'!G44</f>
        <v>41467</v>
      </c>
      <c r="C67" s="181">
        <f>91*'AG Jul 2017'!M44/100</f>
        <v>87.72399999999999</v>
      </c>
      <c r="D67" s="181">
        <f>($C$53*$C$54)*'AG Jul 2017'!N44/100</f>
        <v>219.6</v>
      </c>
      <c r="E67" s="181">
        <v>0</v>
      </c>
      <c r="F67" s="181">
        <f>($C$53*$C$55)*'AG Jul 2017'!AH44/100</f>
        <v>249.6</v>
      </c>
      <c r="G67" s="181">
        <f>($C$53*$C$56)*'AG Jul 2017'!W44/100</f>
        <v>91.44</v>
      </c>
      <c r="H67" s="183">
        <f t="shared" si="5"/>
        <v>648.36400000000003</v>
      </c>
      <c r="I67" s="202">
        <f t="shared" si="4"/>
        <v>2852.8016000000002</v>
      </c>
    </row>
    <row r="68" spans="1:9" x14ac:dyDescent="0.3">
      <c r="A68" s="179" t="str">
        <f>'AG Jul 2017'!K45</f>
        <v>Mojo Power</v>
      </c>
      <c r="B68" s="180">
        <f>'AG Jul 2017'!G45</f>
        <v>41468</v>
      </c>
      <c r="C68" s="181">
        <f>91*'AG Jul 2017'!M45/100</f>
        <v>188.57929999999999</v>
      </c>
      <c r="D68" s="181">
        <f>($C$53*$C$54)*'AG Jul 2017'!N45/100</f>
        <v>179.36</v>
      </c>
      <c r="E68" s="181">
        <v>0</v>
      </c>
      <c r="F68" s="181">
        <f>($C$53*$C$55)*'AG Jul 2017'!AH45/100</f>
        <v>206.1</v>
      </c>
      <c r="G68" s="181">
        <f>($C$53*$C$56)*'AG Jul 2017'!W45/100</f>
        <v>82.62</v>
      </c>
      <c r="H68" s="183">
        <f t="shared" si="5"/>
        <v>656.65930000000003</v>
      </c>
      <c r="I68" s="202">
        <f t="shared" si="4"/>
        <v>2889.3009200000006</v>
      </c>
    </row>
    <row r="69" spans="1:9" x14ac:dyDescent="0.3">
      <c r="A69" s="179" t="str">
        <f>'AG Jul 2017'!K46</f>
        <v>Momentum Energy</v>
      </c>
      <c r="B69" s="180">
        <f>'AG Jul 2017'!G46</f>
        <v>41469</v>
      </c>
      <c r="C69" s="181">
        <f>91*'AG Jul 2017'!M46/100</f>
        <v>87.696700000000007</v>
      </c>
      <c r="D69" s="181">
        <f>IF($C$53*$C$54&gt;='AG Jul 2017'!P46,('AG Jul 2017'!P46*'AG Jul 2017'!N46/100),(($C$53*$C$54)*'AG Jul 2017'!N46/100))</f>
        <v>214.92</v>
      </c>
      <c r="E69" s="181">
        <f>IF(($C$53*$C$54&lt;'AG Jul 2017'!P46),(0),($C$53*$C$54-'AG Jul 2017'!P46)*'AG Jul 2017'!Q46/100)</f>
        <v>0</v>
      </c>
      <c r="F69" s="181">
        <f>($C$53*$C$55)*'AG Jul 2017'!AH46/100</f>
        <v>236.7</v>
      </c>
      <c r="G69" s="181">
        <f>($C$53*$C$56)*'AG Jul 2017'!W46/100</f>
        <v>89.58</v>
      </c>
      <c r="H69" s="183">
        <f t="shared" si="5"/>
        <v>628.89670000000001</v>
      </c>
      <c r="I69" s="202">
        <f t="shared" si="4"/>
        <v>2767.1454800000001</v>
      </c>
    </row>
    <row r="70" spans="1:9" x14ac:dyDescent="0.3">
      <c r="A70" s="179" t="str">
        <f>'AG Jul 2017'!K47</f>
        <v>Origin Energy</v>
      </c>
      <c r="B70" s="180">
        <f>'AG Jul 2017'!G47</f>
        <v>41455</v>
      </c>
      <c r="C70" s="181">
        <f>91*'AG Jul 2017'!M47/100</f>
        <v>88.133499999999998</v>
      </c>
      <c r="D70" s="181">
        <f>($C$53*$C$54)*'AG Jul 2017'!N47/100</f>
        <v>212.04</v>
      </c>
      <c r="E70" s="181">
        <v>0</v>
      </c>
      <c r="F70" s="181">
        <f>($C$53*$C$55)*'AG Jul 2017'!AH47/100</f>
        <v>237.9</v>
      </c>
      <c r="G70" s="181">
        <f>($C$53*$C$56)*'AG Jul 2017'!W47/100</f>
        <v>86.52</v>
      </c>
      <c r="H70" s="183">
        <f t="shared" si="5"/>
        <v>624.59349999999995</v>
      </c>
      <c r="I70" s="202">
        <f t="shared" si="4"/>
        <v>2748.2114000000001</v>
      </c>
    </row>
    <row r="71" spans="1:9" x14ac:dyDescent="0.3">
      <c r="A71" s="179" t="str">
        <f>'AG Jul 2017'!K48</f>
        <v>Powerdirect</v>
      </c>
      <c r="B71" s="180">
        <f>'AG Jul 2017'!G48</f>
        <v>41455</v>
      </c>
      <c r="C71" s="181">
        <f>91*'AG Jul 2017'!M48/100</f>
        <v>87.36</v>
      </c>
      <c r="D71" s="181">
        <f>($C$53*$C$54)*'AG Jul 2017'!N48/100</f>
        <v>216</v>
      </c>
      <c r="E71" s="181">
        <v>0</v>
      </c>
      <c r="F71" s="181">
        <f>($C$53*$C$55)*'AG Jul 2017'!AH48/100</f>
        <v>230</v>
      </c>
      <c r="G71" s="181">
        <f>($C$53*$C$56)*'AG Jul 2017'!W48/100</f>
        <v>90</v>
      </c>
      <c r="H71" s="183">
        <f t="shared" si="5"/>
        <v>623.36</v>
      </c>
      <c r="I71" s="202">
        <f t="shared" si="4"/>
        <v>2742.7840000000001</v>
      </c>
    </row>
    <row r="72" spans="1:9" x14ac:dyDescent="0.3">
      <c r="A72" s="179" t="str">
        <f>'AG Jul 2017'!K49</f>
        <v>Powershop</v>
      </c>
      <c r="B72" s="180">
        <f>'AG Jul 2017'!G49</f>
        <v>41455</v>
      </c>
      <c r="C72" s="181">
        <f>91*'AG Jul 2017'!M49/100</f>
        <v>98.734999999999999</v>
      </c>
      <c r="D72" s="181">
        <f>($C$53*$C$54)*'AG Jul 2017'!N49/100</f>
        <v>185.8</v>
      </c>
      <c r="E72" s="181">
        <v>0</v>
      </c>
      <c r="F72" s="181">
        <f>($C$53*$C$55)*'AG Jul 2017'!AH49/100</f>
        <v>226</v>
      </c>
      <c r="G72" s="181">
        <f>($C$53*$C$56)*'AG Jul 2017'!W49/100</f>
        <v>123.72</v>
      </c>
      <c r="H72" s="183">
        <f t="shared" si="5"/>
        <v>634.255</v>
      </c>
      <c r="I72" s="202">
        <f t="shared" si="4"/>
        <v>2790.7220000000002</v>
      </c>
    </row>
    <row r="73" spans="1:9" x14ac:dyDescent="0.3">
      <c r="A73" s="179" t="str">
        <f>'AG Jul 2017'!K50</f>
        <v>Red Energy</v>
      </c>
      <c r="B73" s="180">
        <f>'AG Jul 2017'!G50</f>
        <v>41479</v>
      </c>
      <c r="C73" s="181">
        <f>91*'AG Jul 2017'!M50/100</f>
        <v>83.537999999999997</v>
      </c>
      <c r="D73" s="181">
        <f>($C$53*$C$54)*'AG Jul 2017'!N50/100</f>
        <v>218.28</v>
      </c>
      <c r="E73" s="181">
        <v>0</v>
      </c>
      <c r="F73" s="181">
        <f>($C$53*$C$55)*'AG Jul 2017'!AH50/100</f>
        <v>246.9</v>
      </c>
      <c r="G73" s="181">
        <f>($C$53*$C$56)*'AG Jul 2017'!W50/100</f>
        <v>98.58</v>
      </c>
      <c r="H73" s="183">
        <f t="shared" si="5"/>
        <v>647.298</v>
      </c>
      <c r="I73" s="202">
        <f t="shared" si="4"/>
        <v>2848.1112000000003</v>
      </c>
    </row>
    <row r="74" spans="1:9" x14ac:dyDescent="0.3">
      <c r="A74" s="179" t="str">
        <f>'AG Jul 2017'!K51</f>
        <v>Simply Energy</v>
      </c>
      <c r="B74" s="180">
        <f>'AG Jul 2017'!G51</f>
        <v>41459</v>
      </c>
      <c r="C74" s="181">
        <f>91*'AG Jul 2017'!M51/100</f>
        <v>74.720100000000002</v>
      </c>
      <c r="D74" s="181">
        <f>($C$53*$C$54)*'AG Jul 2017'!N51/100</f>
        <v>187.92</v>
      </c>
      <c r="E74" s="181">
        <v>0</v>
      </c>
      <c r="F74" s="181">
        <f>($C$53*$C$55)*'AG Jul 2017'!AH51/100</f>
        <v>178.3</v>
      </c>
      <c r="G74" s="181">
        <f>($C$53*$C$56)*'AG Jul 2017'!W51/100</f>
        <v>72.36</v>
      </c>
      <c r="H74" s="183">
        <f t="shared" si="5"/>
        <v>513.30009999999993</v>
      </c>
      <c r="I74" s="202">
        <f t="shared" si="4"/>
        <v>2258.5204399999998</v>
      </c>
    </row>
    <row r="75" spans="1:9" ht="14" thickBot="1" x14ac:dyDescent="0.35">
      <c r="A75" s="184" t="str">
        <f>'AG Jul 2017'!K52</f>
        <v>Sanctuary Energy</v>
      </c>
      <c r="B75" s="185">
        <f>'AG Jul 2017'!G52</f>
        <v>41455</v>
      </c>
      <c r="C75" s="186">
        <f>91*'AG Jul 2017'!M52/100</f>
        <v>82.935125000000014</v>
      </c>
      <c r="D75" s="186">
        <f>($C$53*$C$54)*'AG Jul 2017'!N52/100</f>
        <v>219.74200000000002</v>
      </c>
      <c r="E75" s="186">
        <v>0</v>
      </c>
      <c r="F75" s="186">
        <f>($C$53*$C$55)*'AG Jul 2017'!AH52/100</f>
        <v>228.39</v>
      </c>
      <c r="G75" s="186">
        <f>($C$53*$C$56)*'AG Jul 2017'!W52/100</f>
        <v>82.592999999999989</v>
      </c>
      <c r="H75" s="188">
        <f t="shared" si="5"/>
        <v>613.66012499999999</v>
      </c>
      <c r="I75" s="203">
        <f t="shared" si="4"/>
        <v>2700.10455</v>
      </c>
    </row>
    <row r="76" spans="1:9" s="198" customFormat="1" x14ac:dyDescent="0.3"/>
    <row r="77" spans="1:9" s="198" customFormat="1" x14ac:dyDescent="0.3"/>
    <row r="78" spans="1:9" s="198" customFormat="1" x14ac:dyDescent="0.3"/>
    <row r="79" spans="1:9" s="198" customFormat="1" x14ac:dyDescent="0.3"/>
    <row r="80" spans="1:9" s="198" customFormat="1" x14ac:dyDescent="0.3"/>
    <row r="81" s="198" customFormat="1" x14ac:dyDescent="0.3"/>
    <row r="82" s="198" customFormat="1" x14ac:dyDescent="0.3"/>
    <row r="83" s="198" customFormat="1" x14ac:dyDescent="0.3"/>
    <row r="84" s="198" customFormat="1" x14ac:dyDescent="0.3"/>
    <row r="85" s="198" customFormat="1" x14ac:dyDescent="0.3"/>
    <row r="86" s="198" customFormat="1" x14ac:dyDescent="0.3"/>
    <row r="87" s="198" customFormat="1" x14ac:dyDescent="0.3"/>
    <row r="88" s="198" customFormat="1" x14ac:dyDescent="0.3"/>
    <row r="89" s="198" customFormat="1" x14ac:dyDescent="0.3"/>
    <row r="90" s="198" customFormat="1" x14ac:dyDescent="0.3"/>
    <row r="91" s="198" customFormat="1" x14ac:dyDescent="0.3"/>
    <row r="92" s="198" customFormat="1" x14ac:dyDescent="0.3"/>
    <row r="93" s="198" customFormat="1" x14ac:dyDescent="0.3"/>
    <row r="94" s="198" customFormat="1" x14ac:dyDescent="0.3"/>
    <row r="95" s="198" customFormat="1" x14ac:dyDescent="0.3"/>
    <row r="96" s="198" customFormat="1" x14ac:dyDescent="0.3"/>
    <row r="97" s="198" customFormat="1" x14ac:dyDescent="0.3"/>
    <row r="98" s="198" customFormat="1" x14ac:dyDescent="0.3"/>
    <row r="99" s="198" customFormat="1" x14ac:dyDescent="0.3"/>
    <row r="100" s="198" customFormat="1" x14ac:dyDescent="0.3"/>
    <row r="101" s="198" customFormat="1" x14ac:dyDescent="0.3"/>
    <row r="102" s="198" customFormat="1" x14ac:dyDescent="0.3"/>
    <row r="103" s="198" customFormat="1" x14ac:dyDescent="0.3"/>
    <row r="104" s="198" customFormat="1" x14ac:dyDescent="0.3"/>
    <row r="105" s="198" customFormat="1" x14ac:dyDescent="0.3"/>
    <row r="106" s="198" customFormat="1" x14ac:dyDescent="0.3"/>
    <row r="107" s="198" customFormat="1" x14ac:dyDescent="0.3"/>
    <row r="108" s="198" customFormat="1" x14ac:dyDescent="0.3"/>
    <row r="109" s="198" customFormat="1" x14ac:dyDescent="0.3"/>
    <row r="110" s="198" customFormat="1" x14ac:dyDescent="0.3"/>
    <row r="111" s="198" customFormat="1" x14ac:dyDescent="0.3"/>
    <row r="112" s="198" customFormat="1" x14ac:dyDescent="0.3"/>
    <row r="113" s="198" customFormat="1" x14ac:dyDescent="0.3"/>
    <row r="114" s="198" customFormat="1" x14ac:dyDescent="0.3"/>
    <row r="115" s="198" customFormat="1" x14ac:dyDescent="0.3"/>
    <row r="116" s="198" customFormat="1" x14ac:dyDescent="0.3"/>
    <row r="117" s="198" customFormat="1" x14ac:dyDescent="0.3"/>
    <row r="118" s="198" customFormat="1" x14ac:dyDescent="0.3"/>
    <row r="119" s="198" customFormat="1" x14ac:dyDescent="0.3"/>
    <row r="120" s="198" customFormat="1" x14ac:dyDescent="0.3"/>
    <row r="121" s="198" customFormat="1" x14ac:dyDescent="0.3"/>
    <row r="122" s="198" customFormat="1" x14ac:dyDescent="0.3"/>
    <row r="123" s="198" customFormat="1" x14ac:dyDescent="0.3"/>
    <row r="124" s="198" customFormat="1" x14ac:dyDescent="0.3"/>
    <row r="125" s="198" customFormat="1" x14ac:dyDescent="0.3"/>
    <row r="126" s="198" customFormat="1" x14ac:dyDescent="0.3"/>
    <row r="127" s="198" customFormat="1" x14ac:dyDescent="0.3"/>
    <row r="128" s="198" customFormat="1" x14ac:dyDescent="0.3"/>
    <row r="129" s="198" customFormat="1" x14ac:dyDescent="0.3"/>
    <row r="130" s="198" customFormat="1" x14ac:dyDescent="0.3"/>
    <row r="131" s="198" customFormat="1" x14ac:dyDescent="0.3"/>
    <row r="132" s="198" customFormat="1" x14ac:dyDescent="0.3"/>
    <row r="133" s="198" customFormat="1" x14ac:dyDescent="0.3"/>
    <row r="134" s="198" customFormat="1" x14ac:dyDescent="0.3"/>
    <row r="135" s="198" customFormat="1" x14ac:dyDescent="0.3"/>
    <row r="136" s="198" customFormat="1" x14ac:dyDescent="0.3"/>
    <row r="137" s="198" customFormat="1" x14ac:dyDescent="0.3"/>
    <row r="138" s="198" customFormat="1" x14ac:dyDescent="0.3"/>
    <row r="139" s="198" customFormat="1" x14ac:dyDescent="0.3"/>
    <row r="140" s="198" customFormat="1" x14ac:dyDescent="0.3"/>
    <row r="141" s="198" customFormat="1" x14ac:dyDescent="0.3"/>
    <row r="142" s="198" customFormat="1" x14ac:dyDescent="0.3"/>
    <row r="143" s="198" customFormat="1" x14ac:dyDescent="0.3"/>
    <row r="144" s="198" customFormat="1" x14ac:dyDescent="0.3"/>
    <row r="145" s="198" customFormat="1" x14ac:dyDescent="0.3"/>
    <row r="146" s="198" customFormat="1" x14ac:dyDescent="0.3"/>
    <row r="147" s="198" customFormat="1" x14ac:dyDescent="0.3"/>
    <row r="148" s="198" customFormat="1" x14ac:dyDescent="0.3"/>
    <row r="149" s="198" customFormat="1" x14ac:dyDescent="0.3"/>
    <row r="150" s="198" customFormat="1" x14ac:dyDescent="0.3"/>
    <row r="151" s="198" customFormat="1" x14ac:dyDescent="0.3"/>
    <row r="152" s="198" customFormat="1" x14ac:dyDescent="0.3"/>
    <row r="153" s="198" customFormat="1" x14ac:dyDescent="0.3"/>
    <row r="154" s="198" customFormat="1" x14ac:dyDescent="0.3"/>
    <row r="155" s="198" customFormat="1" x14ac:dyDescent="0.3"/>
    <row r="156" s="198" customFormat="1" x14ac:dyDescent="0.3"/>
    <row r="157" s="198" customFormat="1" x14ac:dyDescent="0.3"/>
    <row r="158" s="198" customFormat="1" x14ac:dyDescent="0.3"/>
    <row r="159" s="198" customFormat="1" x14ac:dyDescent="0.3"/>
    <row r="160" s="198" customFormat="1" x14ac:dyDescent="0.3"/>
    <row r="161" s="198" customFormat="1" x14ac:dyDescent="0.3"/>
    <row r="162" s="198" customFormat="1" x14ac:dyDescent="0.3"/>
    <row r="163" s="198" customFormat="1" x14ac:dyDescent="0.3"/>
    <row r="164" s="198" customFormat="1" x14ac:dyDescent="0.3"/>
    <row r="165" s="198" customFormat="1" x14ac:dyDescent="0.3"/>
    <row r="166" s="198" customFormat="1" x14ac:dyDescent="0.3"/>
    <row r="167" s="198" customFormat="1" x14ac:dyDescent="0.3"/>
    <row r="168" s="198" customFormat="1" x14ac:dyDescent="0.3"/>
    <row r="169" s="198" customFormat="1" x14ac:dyDescent="0.3"/>
    <row r="170" s="198" customFormat="1" x14ac:dyDescent="0.3"/>
    <row r="171" s="198" customFormat="1" x14ac:dyDescent="0.3"/>
    <row r="172" s="198" customFormat="1" x14ac:dyDescent="0.3"/>
    <row r="173" s="198" customFormat="1" x14ac:dyDescent="0.3"/>
    <row r="174" s="198" customFormat="1" x14ac:dyDescent="0.3"/>
    <row r="175" s="198" customFormat="1" x14ac:dyDescent="0.3"/>
    <row r="176" s="198" customFormat="1" x14ac:dyDescent="0.3"/>
    <row r="177" s="198" customFormat="1" x14ac:dyDescent="0.3"/>
    <row r="178" s="198" customFormat="1" x14ac:dyDescent="0.3"/>
    <row r="179" s="198" customFormat="1" x14ac:dyDescent="0.3"/>
    <row r="180" s="198" customFormat="1" x14ac:dyDescent="0.3"/>
    <row r="181" s="198" customFormat="1" x14ac:dyDescent="0.3"/>
    <row r="182" s="198" customFormat="1" x14ac:dyDescent="0.3"/>
    <row r="183" s="198" customFormat="1" x14ac:dyDescent="0.3"/>
    <row r="184" s="198" customFormat="1" x14ac:dyDescent="0.3"/>
    <row r="185" s="198" customFormat="1" x14ac:dyDescent="0.3"/>
    <row r="186" s="198" customFormat="1" x14ac:dyDescent="0.3"/>
    <row r="187" s="198" customFormat="1" x14ac:dyDescent="0.3"/>
    <row r="188" s="198" customFormat="1" x14ac:dyDescent="0.3"/>
    <row r="189" s="198" customFormat="1" x14ac:dyDescent="0.3"/>
    <row r="190" s="198" customFormat="1" x14ac:dyDescent="0.3"/>
    <row r="191" s="198" customFormat="1" x14ac:dyDescent="0.3"/>
    <row r="192" s="198" customFormat="1" x14ac:dyDescent="0.3"/>
    <row r="193" s="198" customFormat="1" x14ac:dyDescent="0.3"/>
    <row r="194" s="198" customFormat="1" x14ac:dyDescent="0.3"/>
    <row r="195" s="198" customFormat="1" x14ac:dyDescent="0.3"/>
    <row r="196" s="198" customFormat="1" x14ac:dyDescent="0.3"/>
    <row r="197" s="198" customFormat="1" x14ac:dyDescent="0.3"/>
    <row r="198" s="198" customFormat="1" x14ac:dyDescent="0.3"/>
    <row r="199" s="198" customFormat="1" x14ac:dyDescent="0.3"/>
    <row r="200" s="198" customFormat="1" x14ac:dyDescent="0.3"/>
    <row r="201" s="198" customFormat="1" x14ac:dyDescent="0.3"/>
    <row r="202" s="198" customFormat="1" x14ac:dyDescent="0.3"/>
    <row r="203" s="198" customFormat="1" x14ac:dyDescent="0.3"/>
    <row r="204" s="198" customFormat="1" x14ac:dyDescent="0.3"/>
    <row r="205" s="198" customFormat="1" x14ac:dyDescent="0.3"/>
    <row r="206" s="198" customFormat="1" x14ac:dyDescent="0.3"/>
    <row r="207" s="198" customFormat="1" x14ac:dyDescent="0.3"/>
    <row r="208" s="198" customFormat="1" x14ac:dyDescent="0.3"/>
    <row r="209" s="198" customFormat="1" x14ac:dyDescent="0.3"/>
    <row r="210" s="198" customFormat="1" x14ac:dyDescent="0.3"/>
    <row r="211" s="198" customFormat="1" x14ac:dyDescent="0.3"/>
    <row r="212" s="198" customFormat="1" x14ac:dyDescent="0.3"/>
    <row r="213" s="198" customFormat="1" x14ac:dyDescent="0.3"/>
    <row r="214" s="198" customFormat="1" x14ac:dyDescent="0.3"/>
    <row r="215" s="198" customFormat="1" x14ac:dyDescent="0.3"/>
    <row r="216" s="198" customFormat="1" x14ac:dyDescent="0.3"/>
    <row r="217" s="198" customFormat="1" x14ac:dyDescent="0.3"/>
    <row r="218" s="198" customFormat="1" x14ac:dyDescent="0.3"/>
    <row r="219" s="198" customFormat="1" x14ac:dyDescent="0.3"/>
    <row r="220" s="198" customFormat="1" x14ac:dyDescent="0.3"/>
    <row r="221" s="198" customFormat="1" x14ac:dyDescent="0.3"/>
    <row r="222" s="198" customFormat="1" x14ac:dyDescent="0.3"/>
    <row r="223" s="198" customFormat="1" x14ac:dyDescent="0.3"/>
    <row r="224" s="198" customFormat="1" x14ac:dyDescent="0.3"/>
    <row r="225" s="198" customFormat="1" x14ac:dyDescent="0.3"/>
    <row r="226" s="198" customFormat="1" x14ac:dyDescent="0.3"/>
    <row r="227" s="198" customFormat="1" x14ac:dyDescent="0.3"/>
    <row r="228" s="198" customFormat="1" x14ac:dyDescent="0.3"/>
    <row r="229" s="198" customFormat="1" x14ac:dyDescent="0.3"/>
    <row r="230" s="198" customFormat="1" x14ac:dyDescent="0.3"/>
    <row r="231" s="198" customFormat="1" x14ac:dyDescent="0.3"/>
    <row r="232" s="198" customFormat="1" x14ac:dyDescent="0.3"/>
    <row r="233" s="198" customFormat="1" x14ac:dyDescent="0.3"/>
    <row r="234" s="198" customFormat="1" x14ac:dyDescent="0.3"/>
    <row r="235" s="198" customFormat="1" x14ac:dyDescent="0.3"/>
    <row r="236" s="198" customFormat="1" x14ac:dyDescent="0.3"/>
    <row r="237" s="198" customFormat="1" x14ac:dyDescent="0.3"/>
    <row r="238" s="198" customFormat="1" x14ac:dyDescent="0.3"/>
    <row r="239" s="198" customFormat="1" x14ac:dyDescent="0.3"/>
    <row r="240" s="198" customFormat="1" x14ac:dyDescent="0.3"/>
    <row r="241" s="198" customFormat="1" x14ac:dyDescent="0.3"/>
    <row r="242" s="198" customFormat="1" x14ac:dyDescent="0.3"/>
    <row r="243" s="198" customFormat="1" x14ac:dyDescent="0.3"/>
    <row r="244" s="198" customFormat="1" x14ac:dyDescent="0.3"/>
    <row r="245" s="198" customFormat="1" x14ac:dyDescent="0.3"/>
    <row r="246" s="198" customFormat="1" x14ac:dyDescent="0.3"/>
    <row r="247" s="198" customFormat="1" x14ac:dyDescent="0.3"/>
    <row r="248" s="198" customFormat="1" x14ac:dyDescent="0.3"/>
    <row r="249" s="198" customFormat="1" x14ac:dyDescent="0.3"/>
    <row r="250" s="198" customFormat="1" x14ac:dyDescent="0.3"/>
    <row r="251" s="198" customFormat="1" x14ac:dyDescent="0.3"/>
    <row r="252" s="198" customFormat="1" x14ac:dyDescent="0.3"/>
    <row r="253" s="198" customFormat="1" x14ac:dyDescent="0.3"/>
    <row r="254" s="198" customFormat="1" x14ac:dyDescent="0.3"/>
    <row r="255" s="198" customFormat="1" x14ac:dyDescent="0.3"/>
    <row r="256" s="198" customFormat="1" x14ac:dyDescent="0.3"/>
    <row r="257" s="198" customFormat="1" x14ac:dyDescent="0.3"/>
    <row r="258" s="198" customFormat="1" x14ac:dyDescent="0.3"/>
    <row r="259" s="198" customFormat="1" x14ac:dyDescent="0.3"/>
    <row r="260" s="198" customFormat="1" x14ac:dyDescent="0.3"/>
    <row r="261" s="198" customFormat="1" x14ac:dyDescent="0.3"/>
    <row r="262" s="198" customFormat="1" x14ac:dyDescent="0.3"/>
    <row r="263" s="198" customFormat="1" x14ac:dyDescent="0.3"/>
    <row r="264" s="198" customFormat="1" x14ac:dyDescent="0.3"/>
    <row r="265" s="198" customFormat="1" x14ac:dyDescent="0.3"/>
    <row r="266" s="198" customFormat="1" x14ac:dyDescent="0.3"/>
    <row r="267" s="198" customFormat="1" x14ac:dyDescent="0.3"/>
    <row r="268" s="198" customFormat="1" x14ac:dyDescent="0.3"/>
    <row r="269" s="198" customFormat="1" x14ac:dyDescent="0.3"/>
    <row r="270" s="198" customFormat="1" x14ac:dyDescent="0.3"/>
    <row r="271" s="198" customFormat="1" x14ac:dyDescent="0.3"/>
    <row r="272" s="198" customFormat="1" x14ac:dyDescent="0.3"/>
    <row r="273" s="198" customFormat="1" x14ac:dyDescent="0.3"/>
    <row r="274" s="198" customFormat="1" x14ac:dyDescent="0.3"/>
    <row r="275" s="198" customFormat="1" x14ac:dyDescent="0.3"/>
    <row r="276" s="198" customFormat="1" x14ac:dyDescent="0.3"/>
    <row r="277" s="198" customFormat="1" x14ac:dyDescent="0.3"/>
    <row r="278" s="198" customFormat="1" x14ac:dyDescent="0.3"/>
    <row r="279" s="198" customFormat="1" x14ac:dyDescent="0.3"/>
    <row r="280" s="198" customFormat="1" x14ac:dyDescent="0.3"/>
    <row r="281" s="198" customFormat="1" x14ac:dyDescent="0.3"/>
    <row r="282" s="198" customFormat="1" x14ac:dyDescent="0.3"/>
    <row r="283" s="198" customFormat="1" x14ac:dyDescent="0.3"/>
    <row r="284" s="198" customFormat="1" x14ac:dyDescent="0.3"/>
    <row r="285" s="198" customFormat="1" x14ac:dyDescent="0.3"/>
    <row r="286" s="198" customFormat="1" x14ac:dyDescent="0.3"/>
    <row r="287" s="198" customFormat="1" x14ac:dyDescent="0.3"/>
    <row r="288" s="198" customFormat="1" x14ac:dyDescent="0.3"/>
    <row r="289" s="198" customFormat="1" x14ac:dyDescent="0.3"/>
    <row r="290" s="198" customFormat="1" x14ac:dyDescent="0.3"/>
    <row r="291" s="198" customFormat="1" x14ac:dyDescent="0.3"/>
    <row r="292" s="198" customFormat="1" x14ac:dyDescent="0.3"/>
    <row r="293" s="198" customFormat="1" x14ac:dyDescent="0.3"/>
    <row r="294" s="198" customFormat="1" x14ac:dyDescent="0.3"/>
    <row r="295" s="198" customFormat="1" x14ac:dyDescent="0.3"/>
    <row r="296" s="198" customFormat="1" x14ac:dyDescent="0.3"/>
    <row r="297" s="198" customFormat="1" x14ac:dyDescent="0.3"/>
    <row r="298" s="198" customFormat="1" x14ac:dyDescent="0.3"/>
    <row r="299" s="198" customFormat="1" x14ac:dyDescent="0.3"/>
    <row r="300" s="198" customFormat="1" x14ac:dyDescent="0.3"/>
    <row r="301" s="198" customFormat="1" x14ac:dyDescent="0.3"/>
    <row r="302" s="198" customFormat="1" x14ac:dyDescent="0.3"/>
    <row r="303" s="198" customFormat="1" x14ac:dyDescent="0.3"/>
    <row r="304" s="198" customFormat="1" x14ac:dyDescent="0.3"/>
    <row r="305" s="198" customFormat="1" x14ac:dyDescent="0.3"/>
    <row r="306" s="198" customFormat="1" x14ac:dyDescent="0.3"/>
    <row r="307" s="198" customFormat="1" x14ac:dyDescent="0.3"/>
    <row r="308" s="198" customFormat="1" x14ac:dyDescent="0.3"/>
    <row r="309" s="198" customFormat="1" x14ac:dyDescent="0.3"/>
    <row r="310" s="198" customFormat="1" x14ac:dyDescent="0.3"/>
    <row r="311" s="198" customFormat="1" x14ac:dyDescent="0.3"/>
    <row r="312" s="198" customFormat="1" x14ac:dyDescent="0.3"/>
    <row r="313" s="198" customFormat="1" x14ac:dyDescent="0.3"/>
    <row r="314" s="198" customFormat="1" x14ac:dyDescent="0.3"/>
    <row r="315" s="198" customFormat="1" x14ac:dyDescent="0.3"/>
    <row r="316" s="198" customFormat="1" x14ac:dyDescent="0.3"/>
    <row r="317" s="198" customFormat="1" x14ac:dyDescent="0.3"/>
    <row r="318" s="198" customFormat="1" x14ac:dyDescent="0.3"/>
    <row r="319" s="198" customFormat="1" x14ac:dyDescent="0.3"/>
    <row r="320" s="198" customFormat="1" x14ac:dyDescent="0.3"/>
    <row r="321" s="198" customFormat="1" x14ac:dyDescent="0.3"/>
    <row r="322" s="198" customFormat="1" x14ac:dyDescent="0.3"/>
    <row r="323" s="198" customFormat="1" x14ac:dyDescent="0.3"/>
    <row r="324" s="198" customFormat="1" x14ac:dyDescent="0.3"/>
    <row r="325" s="198" customFormat="1" x14ac:dyDescent="0.3"/>
    <row r="326" s="198" customFormat="1" x14ac:dyDescent="0.3"/>
    <row r="327" s="198" customFormat="1" x14ac:dyDescent="0.3"/>
    <row r="328" s="198" customFormat="1" x14ac:dyDescent="0.3"/>
    <row r="329" s="198" customFormat="1" x14ac:dyDescent="0.3"/>
    <row r="330" s="198" customFormat="1" x14ac:dyDescent="0.3"/>
    <row r="331" s="198" customFormat="1" x14ac:dyDescent="0.3"/>
    <row r="332" s="198" customFormat="1" x14ac:dyDescent="0.3"/>
    <row r="333" s="198" customFormat="1" x14ac:dyDescent="0.3"/>
    <row r="334" s="198" customFormat="1" x14ac:dyDescent="0.3"/>
    <row r="335" s="198" customFormat="1" x14ac:dyDescent="0.3"/>
    <row r="336" s="198" customFormat="1" x14ac:dyDescent="0.3"/>
    <row r="337" s="198" customFormat="1" x14ac:dyDescent="0.3"/>
    <row r="338" s="198" customFormat="1" x14ac:dyDescent="0.3"/>
    <row r="339" s="198" customFormat="1" x14ac:dyDescent="0.3"/>
    <row r="340" s="198" customFormat="1" x14ac:dyDescent="0.3"/>
    <row r="341" s="198" customFormat="1" x14ac:dyDescent="0.3"/>
    <row r="342" s="198" customFormat="1" x14ac:dyDescent="0.3"/>
    <row r="343" s="198" customFormat="1" x14ac:dyDescent="0.3"/>
    <row r="344" s="198" customFormat="1" x14ac:dyDescent="0.3"/>
    <row r="345" s="198" customFormat="1" x14ac:dyDescent="0.3"/>
    <row r="346" s="198" customFormat="1" x14ac:dyDescent="0.3"/>
    <row r="347" s="198" customFormat="1" x14ac:dyDescent="0.3"/>
    <row r="348" s="198" customFormat="1" x14ac:dyDescent="0.3"/>
    <row r="349" s="198" customFormat="1" x14ac:dyDescent="0.3"/>
    <row r="350" s="198" customFormat="1" x14ac:dyDescent="0.3"/>
    <row r="351" s="198" customFormat="1" x14ac:dyDescent="0.3"/>
    <row r="352" s="198" customFormat="1" x14ac:dyDescent="0.3"/>
    <row r="353" s="198" customFormat="1" x14ac:dyDescent="0.3"/>
    <row r="354" s="198" customFormat="1" x14ac:dyDescent="0.3"/>
    <row r="355" s="198" customFormat="1" x14ac:dyDescent="0.3"/>
    <row r="356" s="198" customFormat="1" x14ac:dyDescent="0.3"/>
    <row r="357" s="198" customFormat="1" x14ac:dyDescent="0.3"/>
    <row r="358" s="198" customFormat="1" x14ac:dyDescent="0.3"/>
    <row r="359" s="198" customFormat="1" x14ac:dyDescent="0.3"/>
    <row r="360" s="198" customFormat="1" x14ac:dyDescent="0.3"/>
    <row r="361" s="198" customFormat="1" x14ac:dyDescent="0.3"/>
    <row r="362" s="198" customFormat="1" x14ac:dyDescent="0.3"/>
    <row r="363" s="198" customFormat="1" x14ac:dyDescent="0.3"/>
    <row r="364" s="198" customFormat="1" x14ac:dyDescent="0.3"/>
    <row r="365" s="198" customFormat="1" x14ac:dyDescent="0.3"/>
    <row r="366" s="198" customFormat="1" x14ac:dyDescent="0.3"/>
    <row r="367" s="198" customFormat="1" x14ac:dyDescent="0.3"/>
    <row r="368" s="198" customFormat="1" x14ac:dyDescent="0.3"/>
    <row r="369" s="198" customFormat="1" x14ac:dyDescent="0.3"/>
    <row r="370" s="198" customFormat="1" x14ac:dyDescent="0.3"/>
    <row r="371" s="198" customFormat="1" x14ac:dyDescent="0.3"/>
    <row r="372" s="198" customFormat="1" x14ac:dyDescent="0.3"/>
    <row r="373" s="198" customFormat="1" x14ac:dyDescent="0.3"/>
    <row r="374" s="198" customFormat="1" x14ac:dyDescent="0.3"/>
    <row r="375" s="198" customFormat="1" x14ac:dyDescent="0.3"/>
    <row r="376" s="198" customFormat="1" x14ac:dyDescent="0.3"/>
    <row r="377" s="198" customFormat="1" x14ac:dyDescent="0.3"/>
    <row r="378" s="198" customFormat="1" x14ac:dyDescent="0.3"/>
    <row r="379" s="198" customFormat="1" x14ac:dyDescent="0.3"/>
    <row r="380" s="198" customFormat="1" x14ac:dyDescent="0.3"/>
    <row r="381" s="198" customFormat="1" x14ac:dyDescent="0.3"/>
    <row r="382" s="198" customFormat="1" x14ac:dyDescent="0.3"/>
    <row r="383" s="198" customFormat="1" x14ac:dyDescent="0.3"/>
    <row r="384" s="198" customFormat="1" x14ac:dyDescent="0.3"/>
    <row r="385" s="198" customFormat="1" x14ac:dyDescent="0.3"/>
    <row r="386" s="198" customFormat="1" x14ac:dyDescent="0.3"/>
    <row r="387" s="198" customFormat="1" x14ac:dyDescent="0.3"/>
    <row r="388" s="198" customFormat="1" x14ac:dyDescent="0.3"/>
    <row r="389" s="198" customFormat="1" x14ac:dyDescent="0.3"/>
    <row r="390" s="198" customFormat="1" x14ac:dyDescent="0.3"/>
    <row r="391" s="198" customFormat="1" x14ac:dyDescent="0.3"/>
    <row r="392" s="198" customFormat="1" x14ac:dyDescent="0.3"/>
    <row r="393" s="198" customFormat="1" x14ac:dyDescent="0.3"/>
    <row r="394" s="198" customFormat="1" x14ac:dyDescent="0.3"/>
    <row r="395" s="198" customFormat="1" x14ac:dyDescent="0.3"/>
    <row r="396" s="198" customFormat="1" x14ac:dyDescent="0.3"/>
    <row r="397" s="198" customFormat="1" x14ac:dyDescent="0.3"/>
    <row r="398" s="198" customFormat="1" x14ac:dyDescent="0.3"/>
    <row r="399" s="198" customFormat="1" x14ac:dyDescent="0.3"/>
    <row r="400" s="198" customFormat="1" x14ac:dyDescent="0.3"/>
    <row r="401" s="198" customFormat="1" x14ac:dyDescent="0.3"/>
    <row r="402" s="198" customFormat="1" x14ac:dyDescent="0.3"/>
    <row r="403" s="198" customFormat="1" x14ac:dyDescent="0.3"/>
    <row r="404" s="198" customFormat="1" x14ac:dyDescent="0.3"/>
    <row r="405" s="198" customFormat="1" x14ac:dyDescent="0.3"/>
    <row r="406" s="198" customFormat="1" x14ac:dyDescent="0.3"/>
    <row r="407" s="198" customFormat="1" x14ac:dyDescent="0.3"/>
    <row r="408" s="198" customFormat="1" x14ac:dyDescent="0.3"/>
    <row r="409" s="198" customFormat="1" x14ac:dyDescent="0.3"/>
    <row r="410" s="198" customFormat="1" x14ac:dyDescent="0.3"/>
    <row r="411" s="198" customFormat="1" x14ac:dyDescent="0.3"/>
    <row r="412" s="198" customFormat="1" x14ac:dyDescent="0.3"/>
    <row r="413" s="198" customFormat="1" x14ac:dyDescent="0.3"/>
    <row r="414" s="198" customFormat="1" x14ac:dyDescent="0.3"/>
    <row r="415" s="198" customFormat="1" x14ac:dyDescent="0.3"/>
    <row r="416" s="198" customFormat="1" x14ac:dyDescent="0.3"/>
    <row r="417" s="198" customFormat="1" x14ac:dyDescent="0.3"/>
    <row r="418" s="198" customFormat="1" x14ac:dyDescent="0.3"/>
    <row r="419" s="198" customFormat="1" x14ac:dyDescent="0.3"/>
    <row r="420" s="198" customFormat="1" x14ac:dyDescent="0.3"/>
    <row r="421" s="198" customFormat="1" x14ac:dyDescent="0.3"/>
    <row r="422" s="198" customFormat="1" x14ac:dyDescent="0.3"/>
    <row r="423" s="198" customFormat="1" x14ac:dyDescent="0.3"/>
    <row r="424" s="198" customFormat="1" x14ac:dyDescent="0.3"/>
    <row r="425" s="198" customFormat="1" x14ac:dyDescent="0.3"/>
    <row r="426" s="198" customFormat="1" x14ac:dyDescent="0.3"/>
    <row r="427" s="198" customFormat="1" x14ac:dyDescent="0.3"/>
    <row r="428" s="198" customFormat="1" x14ac:dyDescent="0.3"/>
    <row r="429" s="198" customFormat="1" x14ac:dyDescent="0.3"/>
    <row r="430" s="198" customFormat="1" x14ac:dyDescent="0.3"/>
    <row r="431" s="198" customFormat="1" x14ac:dyDescent="0.3"/>
    <row r="432" s="198" customFormat="1" x14ac:dyDescent="0.3"/>
    <row r="433" s="198" customFormat="1" x14ac:dyDescent="0.3"/>
    <row r="434" s="198" customFormat="1" x14ac:dyDescent="0.3"/>
    <row r="435" s="198" customFormat="1" x14ac:dyDescent="0.3"/>
    <row r="436" s="198" customFormat="1" x14ac:dyDescent="0.3"/>
    <row r="437" s="198" customFormat="1" x14ac:dyDescent="0.3"/>
    <row r="438" s="198" customFormat="1" x14ac:dyDescent="0.3"/>
    <row r="439" s="198" customFormat="1" x14ac:dyDescent="0.3"/>
    <row r="440" s="198" customFormat="1" x14ac:dyDescent="0.3"/>
    <row r="441" s="198" customFormat="1" x14ac:dyDescent="0.3"/>
    <row r="442" s="198" customFormat="1" x14ac:dyDescent="0.3"/>
    <row r="443" s="198" customFormat="1" x14ac:dyDescent="0.3"/>
    <row r="444" s="198" customFormat="1" x14ac:dyDescent="0.3"/>
    <row r="445" s="198" customFormat="1" x14ac:dyDescent="0.3"/>
    <row r="446" s="198" customFormat="1" x14ac:dyDescent="0.3"/>
    <row r="447" s="198" customFormat="1" x14ac:dyDescent="0.3"/>
    <row r="448" s="198" customFormat="1" x14ac:dyDescent="0.3"/>
    <row r="449" s="198" customFormat="1" x14ac:dyDescent="0.3"/>
    <row r="450" s="198" customFormat="1" x14ac:dyDescent="0.3"/>
    <row r="451" s="198" customFormat="1" x14ac:dyDescent="0.3"/>
    <row r="452" s="198" customFormat="1" x14ac:dyDescent="0.3"/>
    <row r="453" s="198" customFormat="1" x14ac:dyDescent="0.3"/>
    <row r="454" s="198" customFormat="1" x14ac:dyDescent="0.3"/>
    <row r="455" s="198" customFormat="1" x14ac:dyDescent="0.3"/>
    <row r="456" s="198" customFormat="1" x14ac:dyDescent="0.3"/>
    <row r="457" s="198" customFormat="1" x14ac:dyDescent="0.3"/>
    <row r="458" s="198" customFormat="1" x14ac:dyDescent="0.3"/>
    <row r="459" s="198" customFormat="1" x14ac:dyDescent="0.3"/>
    <row r="460" s="198" customFormat="1" x14ac:dyDescent="0.3"/>
    <row r="461" s="198" customFormat="1" x14ac:dyDescent="0.3"/>
    <row r="462" s="198" customFormat="1" x14ac:dyDescent="0.3"/>
    <row r="463" s="198" customFormat="1" x14ac:dyDescent="0.3"/>
    <row r="464" s="198" customFormat="1" x14ac:dyDescent="0.3"/>
    <row r="465" s="198" customFormat="1" x14ac:dyDescent="0.3"/>
    <row r="466" s="198" customFormat="1" x14ac:dyDescent="0.3"/>
    <row r="467" s="198" customFormat="1" x14ac:dyDescent="0.3"/>
    <row r="468" s="198" customFormat="1" x14ac:dyDescent="0.3"/>
    <row r="469" s="198" customFormat="1" x14ac:dyDescent="0.3"/>
    <row r="470" s="198" customFormat="1" x14ac:dyDescent="0.3"/>
    <row r="471" s="198" customFormat="1" x14ac:dyDescent="0.3"/>
    <row r="472" s="198" customFormat="1" x14ac:dyDescent="0.3"/>
    <row r="473" s="198" customFormat="1" x14ac:dyDescent="0.3"/>
    <row r="474" s="198" customFormat="1" x14ac:dyDescent="0.3"/>
    <row r="475" s="198" customFormat="1" x14ac:dyDescent="0.3"/>
    <row r="476" s="198" customFormat="1" x14ac:dyDescent="0.3"/>
    <row r="477" s="198" customFormat="1" x14ac:dyDescent="0.3"/>
    <row r="478" s="198" customFormat="1" x14ac:dyDescent="0.3"/>
    <row r="479" s="198" customFormat="1" x14ac:dyDescent="0.3"/>
    <row r="480" s="198" customFormat="1" x14ac:dyDescent="0.3"/>
    <row r="481" s="198" customFormat="1" x14ac:dyDescent="0.3"/>
    <row r="482" s="198" customFormat="1" x14ac:dyDescent="0.3"/>
    <row r="483" s="198" customFormat="1" x14ac:dyDescent="0.3"/>
    <row r="484" s="198" customFormat="1" x14ac:dyDescent="0.3"/>
    <row r="485" s="198" customFormat="1" x14ac:dyDescent="0.3"/>
    <row r="486" s="198" customFormat="1" x14ac:dyDescent="0.3"/>
    <row r="487" s="198" customFormat="1" x14ac:dyDescent="0.3"/>
    <row r="488" s="198" customFormat="1" x14ac:dyDescent="0.3"/>
    <row r="489" s="198" customFormat="1" x14ac:dyDescent="0.3"/>
    <row r="490" s="198" customFormat="1" x14ac:dyDescent="0.3"/>
    <row r="491" s="198" customFormat="1" x14ac:dyDescent="0.3"/>
    <row r="492" s="198" customFormat="1" x14ac:dyDescent="0.3"/>
    <row r="493" s="198" customFormat="1" x14ac:dyDescent="0.3"/>
    <row r="494" s="198" customFormat="1" x14ac:dyDescent="0.3"/>
    <row r="495" s="198" customFormat="1" x14ac:dyDescent="0.3"/>
    <row r="496" s="198" customFormat="1" x14ac:dyDescent="0.3"/>
    <row r="497" s="198" customFormat="1" x14ac:dyDescent="0.3"/>
    <row r="498" s="198" customFormat="1" x14ac:dyDescent="0.3"/>
    <row r="499" s="198" customFormat="1" x14ac:dyDescent="0.3"/>
    <row r="500" s="198" customFormat="1" x14ac:dyDescent="0.3"/>
    <row r="501" s="198" customFormat="1" x14ac:dyDescent="0.3"/>
    <row r="502" s="198" customFormat="1" x14ac:dyDescent="0.3"/>
    <row r="503" s="198" customFormat="1" x14ac:dyDescent="0.3"/>
    <row r="504" s="198" customFormat="1" x14ac:dyDescent="0.3"/>
    <row r="505" s="198" customFormat="1" x14ac:dyDescent="0.3"/>
    <row r="506" s="198" customFormat="1" x14ac:dyDescent="0.3"/>
    <row r="507" s="198" customFormat="1" x14ac:dyDescent="0.3"/>
    <row r="508" s="198" customFormat="1" x14ac:dyDescent="0.3"/>
    <row r="509" s="198" customFormat="1" x14ac:dyDescent="0.3"/>
    <row r="510" s="198" customFormat="1" x14ac:dyDescent="0.3"/>
    <row r="511" s="198" customFormat="1" x14ac:dyDescent="0.3"/>
    <row r="512" s="198" customFormat="1" x14ac:dyDescent="0.3"/>
    <row r="513" s="198" customFormat="1" x14ac:dyDescent="0.3"/>
    <row r="514" s="198" customFormat="1" x14ac:dyDescent="0.3"/>
    <row r="515" s="198" customFormat="1" x14ac:dyDescent="0.3"/>
    <row r="516" s="198" customFormat="1" x14ac:dyDescent="0.3"/>
    <row r="517" s="198" customFormat="1" x14ac:dyDescent="0.3"/>
    <row r="518" s="198" customFormat="1" x14ac:dyDescent="0.3"/>
    <row r="519" s="198" customFormat="1" x14ac:dyDescent="0.3"/>
  </sheetData>
  <sheetProtection algorithmName="SHA-512" hashValue="FJjee3tUewzR82OEboQ4AskgTpqxnFGJ1BNuzZfWwNoPXKQfkLO2FoqBOcDYeHOF+0BJ4ac2zWMVmj3wKv0IHg==" saltValue="nud8abNfPjtRJp6Zsj/+Iw==" spinCount="100000" sheet="1" objects="1" scenarios="1"/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I479"/>
  <sheetViews>
    <sheetView topLeftCell="A32" workbookViewId="0">
      <selection activeCell="C53" activeCellId="2" sqref="C5 C28:C30 C53:C56"/>
    </sheetView>
  </sheetViews>
  <sheetFormatPr defaultColWidth="10.84375" defaultRowHeight="13.5" x14ac:dyDescent="0.3"/>
  <cols>
    <col min="1" max="1" width="19.3046875" style="26" customWidth="1"/>
    <col min="2" max="2" width="11.4609375" style="26" customWidth="1"/>
    <col min="3" max="9" width="12.15234375" style="26" customWidth="1"/>
    <col min="10" max="16384" width="10.84375" style="198"/>
  </cols>
  <sheetData>
    <row r="1" spans="1:9" ht="14" x14ac:dyDescent="0.3">
      <c r="A1" s="197" t="s">
        <v>76</v>
      </c>
      <c r="B1" s="197"/>
      <c r="C1" s="197"/>
      <c r="D1" s="197"/>
      <c r="E1" s="197"/>
      <c r="F1" s="197"/>
      <c r="G1" s="197"/>
      <c r="H1" s="197"/>
      <c r="I1" s="197"/>
    </row>
    <row r="2" spans="1:9" ht="14" x14ac:dyDescent="0.3">
      <c r="A2" s="199" t="s">
        <v>101</v>
      </c>
      <c r="B2" s="197"/>
      <c r="C2" s="197"/>
      <c r="D2" s="197"/>
      <c r="E2" s="197"/>
      <c r="F2" s="197"/>
      <c r="G2" s="197"/>
      <c r="H2" s="197"/>
      <c r="I2" s="197"/>
    </row>
    <row r="3" spans="1:9" ht="14.5" thickBot="1" x14ac:dyDescent="0.35">
      <c r="A3" s="197"/>
      <c r="B3" s="197"/>
      <c r="C3" s="197"/>
      <c r="D3" s="197"/>
      <c r="E3" s="197"/>
      <c r="F3" s="200"/>
      <c r="G3" s="197"/>
      <c r="H3" s="197"/>
      <c r="I3" s="197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'END Jul 2017'!K2</f>
        <v>Energy Locals</v>
      </c>
      <c r="B8" s="180">
        <f>'END Jul 2017'!G2</f>
        <v>41374</v>
      </c>
      <c r="C8" s="181">
        <f>91*'END Jul 2017'!M2/100</f>
        <v>77.349999999999994</v>
      </c>
      <c r="D8" s="181">
        <f>$C$5*'END Jul 2017'!N2/100</f>
        <v>414</v>
      </c>
      <c r="E8" s="182">
        <v>0</v>
      </c>
      <c r="F8" s="181">
        <v>0</v>
      </c>
      <c r="G8" s="181">
        <f>IF(($C$5&lt;'END Jul 2017'!R2),(0),($C$5-'END Jul 2017'!R2)*'END Jul 2017'!S2/100)</f>
        <v>0</v>
      </c>
      <c r="H8" s="183">
        <f>SUM(C8:G8)</f>
        <v>491.35</v>
      </c>
      <c r="I8" s="202">
        <f>(H8*4)*1.1</f>
        <v>2161.94</v>
      </c>
    </row>
    <row r="9" spans="1:9" x14ac:dyDescent="0.3">
      <c r="A9" s="179" t="str">
        <f>'END Jul 2017'!K3</f>
        <v>AGL</v>
      </c>
      <c r="B9" s="180">
        <f>'END Jul 2017'!G3</f>
        <v>41457</v>
      </c>
      <c r="C9" s="181">
        <f>91*'END Jul 2017'!M3/100</f>
        <v>76.44</v>
      </c>
      <c r="D9" s="181">
        <f>$C$5*'END Jul 2017'!N3/100</f>
        <v>522</v>
      </c>
      <c r="E9" s="182">
        <v>0</v>
      </c>
      <c r="F9" s="181">
        <v>0</v>
      </c>
      <c r="G9" s="181">
        <f>IF(($C$5&lt;'END Jul 2017'!R3),(0),($C$5-'END Jul 2017'!R3)*'END Jul 2017'!S3/100)</f>
        <v>0</v>
      </c>
      <c r="H9" s="183">
        <f t="shared" ref="H9:H24" si="0">SUM(C9:G9)</f>
        <v>598.44000000000005</v>
      </c>
      <c r="I9" s="202">
        <f t="shared" ref="I9:I24" si="1">(H9*4)*1.1</f>
        <v>2633.1360000000004</v>
      </c>
    </row>
    <row r="10" spans="1:9" x14ac:dyDescent="0.3">
      <c r="A10" s="179" t="str">
        <f>'END Jul 2017'!K4</f>
        <v>Alinta Energy</v>
      </c>
      <c r="B10" s="180">
        <f>'END Jul 2017'!G4</f>
        <v>41477</v>
      </c>
      <c r="C10" s="181">
        <f>91*'END Jul 2017'!M4/100</f>
        <v>85.285200000000003</v>
      </c>
      <c r="D10" s="181">
        <f>IF($C$5&gt;='END Jul 2017'!P4,('END Jul 2017'!P4*'END Jul 2017'!N4/100),($C$5*'END Jul 2017'!N4/100))</f>
        <v>275</v>
      </c>
      <c r="E10" s="182">
        <f>IF($C$5&lt;'END Jul 2017'!P4,0,IF(($C$5)&lt;='END Jul 2017'!R4,(($C$5-'END Jul 2017'!P4)*'END Jul 2017'!Q4/100),(('END Jul 2017'!R4-'END Jul 2017'!P4)*'END Jul 2017'!Q4/100)))</f>
        <v>200.7</v>
      </c>
      <c r="F10" s="181">
        <v>0</v>
      </c>
      <c r="G10" s="181">
        <f>IF(($C$5&lt;'END Jul 2017'!R4),(0),($C$5-'END Jul 2017'!R4)*'END Jul 2017'!S4/100)</f>
        <v>12.895</v>
      </c>
      <c r="H10" s="183">
        <f t="shared" si="0"/>
        <v>573.88020000000006</v>
      </c>
      <c r="I10" s="202">
        <f t="shared" si="1"/>
        <v>2525.0728800000006</v>
      </c>
    </row>
    <row r="11" spans="1:9" x14ac:dyDescent="0.3">
      <c r="A11" s="179" t="str">
        <f>'END Jul 2017'!K5</f>
        <v>Click Energy</v>
      </c>
      <c r="B11" s="180">
        <f>'END Jul 2017'!G5</f>
        <v>41455</v>
      </c>
      <c r="C11" s="181">
        <f>91*'END Jul 2017'!M5/100</f>
        <v>78.260000000000005</v>
      </c>
      <c r="D11" s="181">
        <f>$C$5*'END Jul 2017'!N5/100</f>
        <v>678.6</v>
      </c>
      <c r="E11" s="182">
        <v>0</v>
      </c>
      <c r="F11" s="181">
        <v>0</v>
      </c>
      <c r="G11" s="181">
        <f>IF(($C$5&lt;'END Jul 2017'!R5),(0),($C$5-'END Jul 2017'!R5)*'END Jul 2017'!S5/100)</f>
        <v>0</v>
      </c>
      <c r="H11" s="183">
        <f t="shared" si="0"/>
        <v>756.86</v>
      </c>
      <c r="I11" s="202">
        <f t="shared" si="1"/>
        <v>3330.1840000000002</v>
      </c>
    </row>
    <row r="12" spans="1:9" x14ac:dyDescent="0.3">
      <c r="A12" s="179" t="str">
        <f>'END Jul 2017'!K6</f>
        <v>Commander</v>
      </c>
      <c r="B12" s="180">
        <f>'END Jul 2017'!G6</f>
        <v>41419</v>
      </c>
      <c r="C12" s="181">
        <f>91*'END Jul 2017'!M6/100</f>
        <v>82.819099999999992</v>
      </c>
      <c r="D12" s="181">
        <f>IF($C$5&gt;='END Jul 2017'!P6,('END Jul 2017'!P6*'END Jul 2017'!N6/100),($C$5*'END Jul 2017'!N6/100))</f>
        <v>522.72500000000002</v>
      </c>
      <c r="E12" s="182">
        <f>IF($C$5&lt;'END Jul 2017'!P6,0,IF(($C$5)&lt;='END Jul 2017'!R6,(($C$5-'END Jul 2017'!P6)*'END Jul 2017'!Q6/100),(('END Jul 2017'!R6-'END Jul 2017'!P6)*'END Jul 2017'!Q6/100)))</f>
        <v>0</v>
      </c>
      <c r="F12" s="181">
        <v>0</v>
      </c>
      <c r="G12" s="181">
        <f>IF(($C$5&lt;'END Jul 2017'!R6),(0),($C$5-'END Jul 2017'!R6)*'END Jul 2017'!S6/100)</f>
        <v>14.605</v>
      </c>
      <c r="H12" s="183">
        <f t="shared" si="0"/>
        <v>620.14910000000009</v>
      </c>
      <c r="I12" s="202">
        <f t="shared" si="1"/>
        <v>2728.6560400000008</v>
      </c>
    </row>
    <row r="13" spans="1:9" x14ac:dyDescent="0.3">
      <c r="A13" s="179" t="str">
        <f>'END Jul 2017'!K7</f>
        <v>CovaU</v>
      </c>
      <c r="B13" s="180">
        <f>'END Jul 2017'!G7</f>
        <v>41455</v>
      </c>
      <c r="C13" s="181">
        <f>91*'END Jul 2017'!M7/100</f>
        <v>75.53</v>
      </c>
      <c r="D13" s="181">
        <f>$C$5*'END Jul 2017'!N7/100</f>
        <v>525.6</v>
      </c>
      <c r="E13" s="182">
        <v>0</v>
      </c>
      <c r="F13" s="181">
        <v>0</v>
      </c>
      <c r="G13" s="181">
        <f>IF(($C$5&lt;'END Jul 2017'!R7),(0),($C$5-'END Jul 2017'!R7)*'END Jul 2017'!S7/100)</f>
        <v>0</v>
      </c>
      <c r="H13" s="183">
        <f t="shared" si="0"/>
        <v>601.13</v>
      </c>
      <c r="I13" s="202">
        <f t="shared" si="1"/>
        <v>2644.9720000000002</v>
      </c>
    </row>
    <row r="14" spans="1:9" x14ac:dyDescent="0.3">
      <c r="A14" s="179" t="str">
        <f>'END Jul 2017'!K8</f>
        <v>Diamond Energy</v>
      </c>
      <c r="B14" s="180">
        <f>'END Jul 2017'!G8</f>
        <v>41455</v>
      </c>
      <c r="C14" s="181">
        <f>91*'END Jul 2017'!M8/100</f>
        <v>81.444999999999993</v>
      </c>
      <c r="D14" s="181">
        <f>IF($C$5&gt;='END Jul 2017'!P8,('END Jul 2017'!P8*'END Jul 2017'!N8/100),($C$5*'END Jul 2017'!N8/100))</f>
        <v>76.98</v>
      </c>
      <c r="E14" s="182">
        <f>IF($C$5&lt;'END Jul 2017'!P8,0,IF(($C$5)&lt;='END Jul 2017'!R8,(($C$5-'END Jul 2017'!P8)*'END Jul 2017'!Q8/100),(('END Jul 2017'!R8-'END Jul 2017'!P8)*'END Jul 2017'!Q8/100)))</f>
        <v>194.25599999999997</v>
      </c>
      <c r="F14" s="181">
        <v>0</v>
      </c>
      <c r="G14" s="181">
        <f>IF(($C$5&lt;'END Jul 2017'!R8),(0),($C$5-'END Jul 2017'!R8)*'END Jul 2017'!S8/100)</f>
        <v>222.22199999999998</v>
      </c>
      <c r="H14" s="183">
        <f t="shared" si="0"/>
        <v>574.90300000000002</v>
      </c>
      <c r="I14" s="202">
        <f t="shared" si="1"/>
        <v>2529.5732000000003</v>
      </c>
    </row>
    <row r="15" spans="1:9" x14ac:dyDescent="0.3">
      <c r="A15" s="179" t="str">
        <f>'END Jul 2017'!K9</f>
        <v>Dodo Power &amp; Gas</v>
      </c>
      <c r="B15" s="180">
        <f>'END Jul 2017'!G9</f>
        <v>41419</v>
      </c>
      <c r="C15" s="181">
        <f>91*'END Jul 2017'!M9/100</f>
        <v>82.291300000000007</v>
      </c>
      <c r="D15" s="181">
        <f>IF($C$5&gt;='END Jul 2017'!P9,('END Jul 2017'!P9*'END Jul 2017'!N9/100),($C$5*'END Jul 2017'!N9/100))</f>
        <v>503.65</v>
      </c>
      <c r="E15" s="182">
        <f>IF($C$5&lt;'END Jul 2017'!P9,0,IF(($C$5)&lt;='END Jul 2017'!R9,(($C$5-'END Jul 2017'!P9)*'END Jul 2017'!Q9/100),(('END Jul 2017'!R9-'END Jul 2017'!P9)*'END Jul 2017'!Q9/100)))</f>
        <v>0</v>
      </c>
      <c r="F15" s="181">
        <v>0</v>
      </c>
      <c r="G15" s="181">
        <f>IF(($C$5&lt;'END Jul 2017'!R9),(0),($C$5-'END Jul 2017'!R9)*'END Jul 2017'!S9/100)</f>
        <v>13.92</v>
      </c>
      <c r="H15" s="183">
        <f t="shared" si="0"/>
        <v>599.86129999999991</v>
      </c>
      <c r="I15" s="202">
        <f t="shared" si="1"/>
        <v>2639.3897199999997</v>
      </c>
    </row>
    <row r="16" spans="1:9" x14ac:dyDescent="0.3">
      <c r="A16" s="179" t="str">
        <f>'END Jul 2017'!K10</f>
        <v>EnergyAustralia</v>
      </c>
      <c r="B16" s="180">
        <f>'END Jul 2017'!G10</f>
        <v>41467</v>
      </c>
      <c r="C16" s="181">
        <f>91*'END Jul 2017'!M10/100</f>
        <v>79.442999999999998</v>
      </c>
      <c r="D16" s="181">
        <f>$C$5*'END Jul 2017'!N10/100</f>
        <v>536.04</v>
      </c>
      <c r="E16" s="182">
        <v>0</v>
      </c>
      <c r="F16" s="181">
        <v>0</v>
      </c>
      <c r="G16" s="181">
        <f>IF(($C$5&lt;'END Jul 2017'!R10),(0),($C$5-'END Jul 2017'!R10)*'END Jul 2017'!S10/100)</f>
        <v>0</v>
      </c>
      <c r="H16" s="183">
        <f t="shared" si="0"/>
        <v>615.48299999999995</v>
      </c>
      <c r="I16" s="202">
        <f t="shared" si="1"/>
        <v>2708.1251999999999</v>
      </c>
    </row>
    <row r="17" spans="1:9" x14ac:dyDescent="0.3">
      <c r="A17" s="179" t="str">
        <f>'END Jul 2017'!K11</f>
        <v>Mojo Power</v>
      </c>
      <c r="B17" s="180">
        <f>'END Jul 2017'!G11</f>
        <v>41468</v>
      </c>
      <c r="C17" s="181">
        <f>91*'END Jul 2017'!M11/100</f>
        <v>171.0436</v>
      </c>
      <c r="D17" s="181">
        <f>$C$5*'END Jul 2017'!N11/100</f>
        <v>436.32</v>
      </c>
      <c r="E17" s="182">
        <v>0</v>
      </c>
      <c r="F17" s="181">
        <v>0</v>
      </c>
      <c r="G17" s="181">
        <f>IF(($C$5&lt;'END Jul 2017'!R11),(0),($C$5-'END Jul 2017'!R11)*'END Jul 2017'!S11/100)</f>
        <v>0</v>
      </c>
      <c r="H17" s="183">
        <f t="shared" si="0"/>
        <v>607.36360000000002</v>
      </c>
      <c r="I17" s="202">
        <f t="shared" si="1"/>
        <v>2672.3998400000005</v>
      </c>
    </row>
    <row r="18" spans="1:9" x14ac:dyDescent="0.3">
      <c r="A18" s="179" t="str">
        <f>'END Jul 2017'!K12</f>
        <v>Momentum Energy</v>
      </c>
      <c r="B18" s="180">
        <f>'END Jul 2017'!G12</f>
        <v>40738</v>
      </c>
      <c r="C18" s="181">
        <f>91*'END Jul 2017'!M12/100</f>
        <v>76.066900000000004</v>
      </c>
      <c r="D18" s="181">
        <f>IF($C$5&gt;='END Jul 2017'!P12,('END Jul 2017'!P12*'END Jul 2017'!N12/100),($C$5*'END Jul 2017'!N12/100))</f>
        <v>173.16</v>
      </c>
      <c r="E18" s="182">
        <f>IF($C$5&lt;'END Jul 2017'!P12,0,IF(($C$5)&lt;='END Jul 2017'!R12,(($C$5-'END Jul 2017'!P12)*'END Jul 2017'!Q12/100),(('END Jul 2017'!R12-'END Jul 2017'!P12)*'END Jul 2017'!Q12/100)))</f>
        <v>0</v>
      </c>
      <c r="F18" s="181">
        <v>0</v>
      </c>
      <c r="G18" s="181">
        <f>IF(($C$5&lt;'END Jul 2017'!R12),(0),($C$5-'END Jul 2017'!R12)*'END Jul 2017'!S12/100)</f>
        <v>339.36</v>
      </c>
      <c r="H18" s="183">
        <f t="shared" si="0"/>
        <v>588.58690000000001</v>
      </c>
      <c r="I18" s="202">
        <f t="shared" si="1"/>
        <v>2589.7823600000002</v>
      </c>
    </row>
    <row r="19" spans="1:9" x14ac:dyDescent="0.3">
      <c r="A19" s="179" t="str">
        <f>'END Jul 2017'!K13</f>
        <v>Origin Energy</v>
      </c>
      <c r="B19" s="180">
        <f>'END Jul 2017'!G13</f>
        <v>41455</v>
      </c>
      <c r="C19" s="181">
        <f>91*'END Jul 2017'!M13/100</f>
        <v>75.429900000000004</v>
      </c>
      <c r="D19" s="181">
        <f>$C$5*'END Jul 2017'!N13/100</f>
        <v>487.62</v>
      </c>
      <c r="E19" s="182">
        <v>0</v>
      </c>
      <c r="F19" s="181">
        <v>0</v>
      </c>
      <c r="G19" s="181">
        <v>0</v>
      </c>
      <c r="H19" s="183">
        <f t="shared" si="0"/>
        <v>563.04989999999998</v>
      </c>
      <c r="I19" s="202">
        <f t="shared" si="1"/>
        <v>2477.4195600000003</v>
      </c>
    </row>
    <row r="20" spans="1:9" x14ac:dyDescent="0.3">
      <c r="A20" s="179" t="str">
        <f>'END Jul 2017'!K14</f>
        <v>Powerdirect</v>
      </c>
      <c r="B20" s="180">
        <f>'END Jul 2017'!G14</f>
        <v>41455</v>
      </c>
      <c r="C20" s="181">
        <f>91*'END Jul 2017'!M14/100</f>
        <v>76.44</v>
      </c>
      <c r="D20" s="181">
        <f>$C$5*'END Jul 2017'!N14/100</f>
        <v>522</v>
      </c>
      <c r="E20" s="182">
        <v>0</v>
      </c>
      <c r="F20" s="181">
        <v>0</v>
      </c>
      <c r="G20" s="181">
        <f>IF(($C$5&lt;'END Jul 2017'!R14),(0),($C$5-'END Jul 2017'!R14)*'END Jul 2017'!S14/100)</f>
        <v>0</v>
      </c>
      <c r="H20" s="183">
        <f t="shared" si="0"/>
        <v>598.44000000000005</v>
      </c>
      <c r="I20" s="202">
        <f t="shared" si="1"/>
        <v>2633.1360000000004</v>
      </c>
    </row>
    <row r="21" spans="1:9" x14ac:dyDescent="0.3">
      <c r="A21" s="179" t="str">
        <f>'END Jul 2017'!K15</f>
        <v>Powershop</v>
      </c>
      <c r="B21" s="180">
        <f>'END Jul 2017'!G15</f>
        <v>41455</v>
      </c>
      <c r="C21" s="181">
        <f>91*'END Jul 2017'!M15/100</f>
        <v>86.813999999999993</v>
      </c>
      <c r="D21" s="181">
        <f>C5*'END Jul 2017'!N15/100</f>
        <v>508.68</v>
      </c>
      <c r="E21" s="182">
        <v>0</v>
      </c>
      <c r="F21" s="181">
        <v>0</v>
      </c>
      <c r="G21" s="181">
        <v>0</v>
      </c>
      <c r="H21" s="183">
        <f t="shared" si="0"/>
        <v>595.49400000000003</v>
      </c>
      <c r="I21" s="202">
        <f t="shared" si="1"/>
        <v>2620.1736000000005</v>
      </c>
    </row>
    <row r="22" spans="1:9" x14ac:dyDescent="0.3">
      <c r="A22" s="179" t="str">
        <f>'END Jul 2017'!K16</f>
        <v>Red Energy</v>
      </c>
      <c r="B22" s="180">
        <f>'END Jul 2017'!G16</f>
        <v>41479</v>
      </c>
      <c r="C22" s="181">
        <f>91*'END Jul 2017'!M16/100</f>
        <v>73.573499999999996</v>
      </c>
      <c r="D22" s="181">
        <f>IF($C$5&gt;='END Jul 2017'!P16,('END Jul 2017'!P16*'END Jul 2017'!N16/100),($C$5*'END Jul 2017'!N16/100))</f>
        <v>280.5</v>
      </c>
      <c r="E22" s="182">
        <f>IF($C$5&lt;'END Jul 2017'!P16,0,IF(($C$5)&lt;='END Jul 2017'!R16,(($C$5-'END Jul 2017'!P16)*'END Jul 2017'!Q16/100),(('END Jul 2017'!R16-'END Jul 2017'!P16)*'END Jul 2017'!Q16/100)))</f>
        <v>205.05</v>
      </c>
      <c r="F22" s="181">
        <v>0</v>
      </c>
      <c r="G22" s="181">
        <f>IF(($C$5&lt;'END Jul 2017'!R16),(0),($C$5-'END Jul 2017'!R16)*'END Jul 2017'!S16/100)</f>
        <v>13.62</v>
      </c>
      <c r="H22" s="183">
        <f t="shared" si="0"/>
        <v>572.74349999999993</v>
      </c>
      <c r="I22" s="202">
        <f t="shared" si="1"/>
        <v>2520.0713999999998</v>
      </c>
    </row>
    <row r="23" spans="1:9" x14ac:dyDescent="0.3">
      <c r="A23" s="179" t="str">
        <f>'END Jul 2017'!K17</f>
        <v>Simply Energy</v>
      </c>
      <c r="B23" s="180">
        <f>'END Jul 2017'!G17</f>
        <v>41459</v>
      </c>
      <c r="C23" s="181">
        <f>91*'END Jul 2017'!M17/100</f>
        <v>58.540299999999995</v>
      </c>
      <c r="D23" s="181">
        <f>IF($C$5&gt;='END Jul 2017'!P17,('END Jul 2017'!P17*'END Jul 2017'!N17/100),($C$5*'END Jul 2017'!N17/100))</f>
        <v>244.6</v>
      </c>
      <c r="E23" s="182">
        <f>IF($C$5&lt;'END Jul 2017'!P17,0,IF(($C$5)&lt;='END Jul 2017'!R17,(($C$5-'END Jul 2017'!P17)*'END Jul 2017'!Q17/100),(('END Jul 2017'!R17-'END Jul 2017'!P17)*'END Jul 2017'!Q17/100)))</f>
        <v>165.62</v>
      </c>
      <c r="F23" s="181">
        <v>0</v>
      </c>
      <c r="G23" s="181">
        <f>IF(($C$5&lt;'END Jul 2017'!R17),(0),($C$5-'END Jul 2017'!R17)*'END Jul 2017'!S17/100)</f>
        <v>22.18</v>
      </c>
      <c r="H23" s="183">
        <f t="shared" si="0"/>
        <v>490.94029999999998</v>
      </c>
      <c r="I23" s="202">
        <f t="shared" si="1"/>
        <v>2160.1373200000003</v>
      </c>
    </row>
    <row r="24" spans="1:9" ht="14" thickBot="1" x14ac:dyDescent="0.35">
      <c r="A24" s="184" t="str">
        <f>'END Jul 2017'!K18</f>
        <v>Sanctuary Energy</v>
      </c>
      <c r="B24" s="185">
        <f>'END Jul 2017'!G18</f>
        <v>41455</v>
      </c>
      <c r="C24" s="186">
        <f>91*'END Jul 2017'!M18/100</f>
        <v>73.129419999999996</v>
      </c>
      <c r="D24" s="186">
        <f>IF($C$5&gt;='END Jul 2017'!P18,('END Jul 2017'!P18*'END Jul 2017'!N18/100),($C$5*'END Jul 2017'!N18/100))</f>
        <v>496.28250000000003</v>
      </c>
      <c r="E24" s="187">
        <f>IF($C$5&lt;'END Jul 2017'!P18,0,IF(($C$5)&lt;='END Jul 2017'!R18,(($C$5-'END Jul 2017'!P18)*'END Jul 2017'!Q18/100),(('END Jul 2017'!R18-'END Jul 2017'!P18)*'END Jul 2017'!Q18/100)))</f>
        <v>0</v>
      </c>
      <c r="F24" s="186">
        <v>0</v>
      </c>
      <c r="G24" s="186">
        <f>IF(($C$5&lt;'END Jul 2017'!R18),(0),($C$5-'END Jul 2017'!R18)*'END Jul 2017'!S18/100)</f>
        <v>15.76075</v>
      </c>
      <c r="H24" s="188">
        <f t="shared" si="0"/>
        <v>585.17267000000004</v>
      </c>
      <c r="I24" s="203">
        <f t="shared" si="1"/>
        <v>2574.7597480000004</v>
      </c>
    </row>
    <row r="25" spans="1:9" x14ac:dyDescent="0.3">
      <c r="A25" s="198"/>
      <c r="B25" s="198"/>
      <c r="C25" s="198"/>
      <c r="D25" s="198"/>
      <c r="E25" s="198"/>
      <c r="F25" s="198"/>
      <c r="G25" s="198"/>
      <c r="H25" s="198"/>
      <c r="I25" s="198"/>
    </row>
    <row r="26" spans="1:9" ht="14" thickBot="1" x14ac:dyDescent="0.35">
      <c r="A26" s="198"/>
      <c r="B26" s="198"/>
      <c r="C26" s="198"/>
      <c r="D26" s="198"/>
      <c r="E26" s="198"/>
      <c r="F26" s="198"/>
      <c r="G26" s="198"/>
      <c r="H26" s="198"/>
      <c r="I26" s="198"/>
    </row>
    <row r="27" spans="1:9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</row>
    <row r="28" spans="1:9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</row>
    <row r="29" spans="1:9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</row>
    <row r="30" spans="1:9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</row>
    <row r="31" spans="1:9" ht="14" x14ac:dyDescent="0.3">
      <c r="A31" s="92"/>
      <c r="B31" s="93"/>
      <c r="C31" s="93"/>
      <c r="D31" s="93"/>
      <c r="E31" s="93"/>
      <c r="F31" s="93"/>
      <c r="G31" s="93"/>
      <c r="H31" s="93"/>
      <c r="I31" s="178"/>
    </row>
    <row r="32" spans="1:9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</row>
    <row r="33" spans="1:9" x14ac:dyDescent="0.3">
      <c r="A33" s="179" t="str">
        <f>'END Jul 2017'!K19</f>
        <v>Energy Locals</v>
      </c>
      <c r="B33" s="180">
        <f>'END Jul 2017'!G19</f>
        <v>41374</v>
      </c>
      <c r="C33" s="181">
        <f>91*'END Jul 2017'!M19/100</f>
        <v>86.45</v>
      </c>
      <c r="D33" s="181">
        <f>($C$28*$C$29)*'END Jul 2017'!N19/100</f>
        <v>322</v>
      </c>
      <c r="E33" s="182">
        <v>0</v>
      </c>
      <c r="F33" s="181">
        <v>0</v>
      </c>
      <c r="G33" s="181">
        <f>($C$28*$C$30)*'END Jul 2017'!AE19/100</f>
        <v>78</v>
      </c>
      <c r="H33" s="183">
        <f>SUM(C33:G33)</f>
        <v>486.45</v>
      </c>
      <c r="I33" s="202">
        <f>(H33*4)*1.1</f>
        <v>2140.38</v>
      </c>
    </row>
    <row r="34" spans="1:9" x14ac:dyDescent="0.3">
      <c r="A34" s="179" t="str">
        <f>'END Jul 2017'!K20</f>
        <v>AGL</v>
      </c>
      <c r="B34" s="180">
        <f>'END Jul 2017'!G20</f>
        <v>41457</v>
      </c>
      <c r="C34" s="181">
        <f>91*'END Jul 2017'!M20/100</f>
        <v>81.900000000000006</v>
      </c>
      <c r="D34" s="181">
        <f>($C$28*$C$29)*'END Jul 2017'!N20/100</f>
        <v>406</v>
      </c>
      <c r="E34" s="182">
        <v>0</v>
      </c>
      <c r="F34" s="181">
        <v>0</v>
      </c>
      <c r="G34" s="181">
        <f>($C$28*$C$30)*'END Jul 2017'!AE20/100</f>
        <v>72</v>
      </c>
      <c r="H34" s="183">
        <f t="shared" ref="H34:H49" si="2">SUM(C34:G34)</f>
        <v>559.9</v>
      </c>
      <c r="I34" s="202">
        <f t="shared" ref="I34:I49" si="3">(H34*4)*1.1</f>
        <v>2463.56</v>
      </c>
    </row>
    <row r="35" spans="1:9" x14ac:dyDescent="0.3">
      <c r="A35" s="179" t="str">
        <f>'END Jul 2017'!K21</f>
        <v>Alinta Energy</v>
      </c>
      <c r="B35" s="180">
        <f>'END Jul 2017'!G21</f>
        <v>41477</v>
      </c>
      <c r="C35" s="181">
        <f>91*'END Jul 2017'!M21/100</f>
        <v>90.872600000000006</v>
      </c>
      <c r="D35" s="181">
        <f>IF($C$28*$C$29&gt;='END Jul 2017'!P21,('END Jul 2017'!P21*'END Jul 2017'!N21/100),(($C$28*$C$29)*'END Jul 2017'!N21/100))</f>
        <v>275</v>
      </c>
      <c r="E35" s="182">
        <f>IF($C$28*$C$29&lt;'END Jul 2017'!P21,0,IF(($C$28*$C$29)&lt;='END Jul 2017'!R21,(($C$28*$C$29-'END Jul 2017'!P21)*'END Jul 2017'!Q21/100),(('END Jul 2017'!R21-'END Jul 2017'!P21)*'END Jul 2017'!Q21/100)))</f>
        <v>107.04</v>
      </c>
      <c r="F35" s="181">
        <f>IF(($C$28*$C$29&lt;'END Jul 2017'!R21),(0),($C$28*$C$29-'END Jul 2017'!R21)*'END Jul 2017'!S21/100)</f>
        <v>0</v>
      </c>
      <c r="G35" s="181">
        <f>($C$28*$C$30)*'END Jul 2017'!AE21/100</f>
        <v>57.66</v>
      </c>
      <c r="H35" s="183">
        <f t="shared" si="2"/>
        <v>530.57260000000008</v>
      </c>
      <c r="I35" s="202">
        <f t="shared" si="3"/>
        <v>2334.5194400000005</v>
      </c>
    </row>
    <row r="36" spans="1:9" x14ac:dyDescent="0.3">
      <c r="A36" s="179" t="str">
        <f>'END Jul 2017'!K22</f>
        <v>Click Energy</v>
      </c>
      <c r="B36" s="180">
        <f>'END Jul 2017'!G22</f>
        <v>41455</v>
      </c>
      <c r="C36" s="181">
        <f>91*'END Jul 2017'!M22/100</f>
        <v>83.72</v>
      </c>
      <c r="D36" s="181">
        <f>($C$28*$C$29)*'END Jul 2017'!N22/100</f>
        <v>527.80000000000007</v>
      </c>
      <c r="E36" s="182">
        <v>0</v>
      </c>
      <c r="F36" s="181">
        <v>0</v>
      </c>
      <c r="G36" s="181">
        <f>($C$28*$C$30)*'END Jul 2017'!AE22/100</f>
        <v>141.6</v>
      </c>
      <c r="H36" s="183">
        <f t="shared" si="2"/>
        <v>753.12000000000012</v>
      </c>
      <c r="I36" s="202">
        <f t="shared" si="3"/>
        <v>3313.728000000001</v>
      </c>
    </row>
    <row r="37" spans="1:9" x14ac:dyDescent="0.3">
      <c r="A37" s="179" t="str">
        <f>'END Jul 2017'!K23</f>
        <v>Commander</v>
      </c>
      <c r="B37" s="180">
        <f>'END Jul 2017'!G23</f>
        <v>41419</v>
      </c>
      <c r="C37" s="181">
        <f>91*'END Jul 2017'!M23/100</f>
        <v>87.824100000000001</v>
      </c>
      <c r="D37" s="181">
        <f>IF($C$28*$C$29&gt;='END Jul 2017'!P23,('END Jul 2017'!P23*'END Jul 2017'!N23/100),(($C$28*$C$29)*'END Jul 2017'!N23/100))</f>
        <v>418.18</v>
      </c>
      <c r="E37" s="182">
        <f>IF($C$28*$C$29&lt;'END Jul 2017'!P23,0,IF(($C$28*$C$29)&lt;='END Jul 2017'!R23,(($C$28*$C$29-'END Jul 2017'!P23)*'END Jul 2017'!Q23/100),(('END Jul 2017'!R23-'END Jul 2017'!P23)*'END Jul 2017'!Q23/100)))</f>
        <v>0</v>
      </c>
      <c r="F37" s="181">
        <f>IF(($C$28*$C$29&lt;'END Jul 2017'!R23),(0),($C$28*$C$29-'END Jul 2017'!R23)*'END Jul 2017'!S23/100)</f>
        <v>0</v>
      </c>
      <c r="G37" s="181">
        <f>($C$28*$C$30)*'END Jul 2017'!AE23/100</f>
        <v>77.219999999999985</v>
      </c>
      <c r="H37" s="183">
        <f t="shared" si="2"/>
        <v>583.22410000000002</v>
      </c>
      <c r="I37" s="202">
        <f t="shared" si="3"/>
        <v>2566.1860400000005</v>
      </c>
    </row>
    <row r="38" spans="1:9" x14ac:dyDescent="0.3">
      <c r="A38" s="179" t="str">
        <f>'END Jul 2017'!K24</f>
        <v>CovaU</v>
      </c>
      <c r="B38" s="180">
        <f>'END Jul 2017'!G24</f>
        <v>41455</v>
      </c>
      <c r="C38" s="181">
        <f>91*'END Jul 2017'!M24/100</f>
        <v>81.900000000000006</v>
      </c>
      <c r="D38" s="181">
        <f>($C$28*$C$29)*'END Jul 2017'!N24/100</f>
        <v>408.8</v>
      </c>
      <c r="E38" s="182">
        <v>0</v>
      </c>
      <c r="F38" s="181">
        <v>0</v>
      </c>
      <c r="G38" s="181">
        <f>($C$28*$C$30)*'END Jul 2017'!AE24/100</f>
        <v>104.4</v>
      </c>
      <c r="H38" s="183">
        <f t="shared" si="2"/>
        <v>595.1</v>
      </c>
      <c r="I38" s="202">
        <f t="shared" si="3"/>
        <v>2618.4400000000005</v>
      </c>
    </row>
    <row r="39" spans="1:9" x14ac:dyDescent="0.3">
      <c r="A39" s="179" t="str">
        <f>'END Jul 2017'!K25</f>
        <v>Diamond Energy</v>
      </c>
      <c r="B39" s="180">
        <f>'END Jul 2017'!G25</f>
        <v>41455</v>
      </c>
      <c r="C39" s="181">
        <f>91*'END Jul 2017'!M25/100</f>
        <v>89.635000000000005</v>
      </c>
      <c r="D39" s="181">
        <f>IF($C$28*$C$29&gt;='END Jul 2017'!P25,('END Jul 2017'!P25*'END Jul 2017'!N25/100),(($C$28*$C$29)*'END Jul 2017'!N25/100))</f>
        <v>76.98</v>
      </c>
      <c r="E39" s="182">
        <f>IF($C$28*$C$29&lt;'END Jul 2017'!P25,0,IF(($C$28*$C$29)&lt;='END Jul 2017'!R25,(($C$28*$C$29-'END Jul 2017'!P25)*'END Jul 2017'!Q25/100),(('END Jul 2017'!R25-'END Jul 2017'!P25)*'END Jul 2017'!Q25/100)))</f>
        <v>194.25599999999997</v>
      </c>
      <c r="F39" s="181">
        <f>IF(($C$28*$C$29&lt;'END Jul 2017'!R25),(0),($C$28*$C$29-'END Jul 2017'!R25)*'END Jul 2017'!S25/100)</f>
        <v>108.26199999999999</v>
      </c>
      <c r="G39" s="181">
        <f>($C$28*$C$30)*'END Jul 2017'!AE25/100</f>
        <v>76.5</v>
      </c>
      <c r="H39" s="183">
        <f t="shared" si="2"/>
        <v>545.63300000000004</v>
      </c>
      <c r="I39" s="202">
        <f t="shared" si="3"/>
        <v>2400.7852000000003</v>
      </c>
    </row>
    <row r="40" spans="1:9" x14ac:dyDescent="0.3">
      <c r="A40" s="179" t="str">
        <f>'END Jul 2017'!K26</f>
        <v>Dodo Power &amp; Gas</v>
      </c>
      <c r="B40" s="180">
        <f>'END Jul 2017'!G26</f>
        <v>41419</v>
      </c>
      <c r="C40" s="181">
        <f>91*'END Jul 2017'!M26/100</f>
        <v>87.296300000000016</v>
      </c>
      <c r="D40" s="181">
        <f>IF($C$28*$C$29&gt;='END Jul 2017'!P26,('END Jul 2017'!P26*'END Jul 2017'!N26/100),(($C$28*$C$29)*'END Jul 2017'!N26/100))</f>
        <v>402.92</v>
      </c>
      <c r="E40" s="182">
        <f>IF($C$28*$C$29&lt;'END Jul 2017'!P26,0,IF(($C$28*$C$29)&lt;='END Jul 2017'!R26,(($C$28*$C$29-'END Jul 2017'!P26)*'END Jul 2017'!Q26/100),(('END Jul 2017'!R26-'END Jul 2017'!P26)*'END Jul 2017'!Q26/100)))</f>
        <v>0</v>
      </c>
      <c r="F40" s="181">
        <f>IF(($C$28*$C$29&lt;'END Jul 2017'!R26),(0),($C$28*$C$29-'END Jul 2017'!R26)*'END Jul 2017'!S26/100)</f>
        <v>0</v>
      </c>
      <c r="G40" s="181">
        <f>($C$28*$C$30)*'END Jul 2017'!AE26/100</f>
        <v>75.900000000000006</v>
      </c>
      <c r="H40" s="183">
        <f t="shared" si="2"/>
        <v>566.11630000000002</v>
      </c>
      <c r="I40" s="202">
        <f t="shared" si="3"/>
        <v>2490.9117200000005</v>
      </c>
    </row>
    <row r="41" spans="1:9" x14ac:dyDescent="0.3">
      <c r="A41" s="179" t="str">
        <f>'END Jul 2017'!K27</f>
        <v>EnergyAustralia</v>
      </c>
      <c r="B41" s="180">
        <f>'END Jul 2017'!G27</f>
        <v>41467</v>
      </c>
      <c r="C41" s="181">
        <f>91*'END Jul 2017'!M27/100</f>
        <v>83.537999999999997</v>
      </c>
      <c r="D41" s="181">
        <f>($C$28*$C$29)*'END Jul 2017'!N27/100</f>
        <v>416.92</v>
      </c>
      <c r="E41" s="182">
        <v>0</v>
      </c>
      <c r="F41" s="181">
        <v>0</v>
      </c>
      <c r="G41" s="181">
        <f>($C$28*$C$30)*'END Jul 2017'!AE27/100</f>
        <v>71.88</v>
      </c>
      <c r="H41" s="183">
        <f t="shared" si="2"/>
        <v>572.33799999999997</v>
      </c>
      <c r="I41" s="202">
        <f t="shared" si="3"/>
        <v>2518.2872000000002</v>
      </c>
    </row>
    <row r="42" spans="1:9" x14ac:dyDescent="0.3">
      <c r="A42" s="179" t="str">
        <f>'END Jul 2017'!K28</f>
        <v>Mojo Power</v>
      </c>
      <c r="B42" s="180">
        <f>'END Jul 2017'!G28</f>
        <v>41468</v>
      </c>
      <c r="C42" s="181">
        <f>91*'END Jul 2017'!M28/100</f>
        <v>174.87469999999996</v>
      </c>
      <c r="D42" s="181">
        <f>($C$28*$C$29)*'END Jul 2017'!N28/100</f>
        <v>339.36</v>
      </c>
      <c r="E42" s="182">
        <v>0</v>
      </c>
      <c r="F42" s="181">
        <v>0</v>
      </c>
      <c r="G42" s="181">
        <f>($C$28*$C$30)*'END Jul 2017'!AE28/100</f>
        <v>69.599999999999994</v>
      </c>
      <c r="H42" s="183">
        <f t="shared" si="2"/>
        <v>583.8347</v>
      </c>
      <c r="I42" s="202">
        <f t="shared" si="3"/>
        <v>2568.8726800000004</v>
      </c>
    </row>
    <row r="43" spans="1:9" x14ac:dyDescent="0.3">
      <c r="A43" s="179" t="str">
        <f>'END Jul 2017'!K29</f>
        <v>Momentum Energy</v>
      </c>
      <c r="B43" s="180">
        <f>'END Jul 2017'!G29</f>
        <v>40738</v>
      </c>
      <c r="C43" s="181">
        <f>91*'END Jul 2017'!M29/100</f>
        <v>81.499600000000001</v>
      </c>
      <c r="D43" s="181">
        <f>IF($C$28*$C$29&gt;='END Jul 2017'!P29,('END Jul 2017'!P29*'END Jul 2017'!N29/100),(($C$28*$C$29)*'END Jul 2017'!N29/100))</f>
        <v>173.16</v>
      </c>
      <c r="E43" s="182">
        <f>IF($C$28*$C$29&lt;'END Jul 2017'!P29,0,IF(($C$28*$C$29)&lt;='END Jul 2017'!R29,(($C$28*$C$29-'END Jul 2017'!P29)*'END Jul 2017'!Q29/100),(('END Jul 2017'!R29-'END Jul 2017'!P29)*'END Jul 2017'!Q29/100)))</f>
        <v>0</v>
      </c>
      <c r="F43" s="181">
        <f>IF(($C$28*$C$29&lt;'END Jul 2017'!R29),(0),($C$28*$C$29-'END Jul 2017'!R29)*'END Jul 2017'!S29/100)</f>
        <v>226.24</v>
      </c>
      <c r="G43" s="181">
        <f>($C$28*$C$30)*'END Jul 2017'!AE29/100</f>
        <v>71.64</v>
      </c>
      <c r="H43" s="183">
        <f t="shared" si="2"/>
        <v>552.53960000000006</v>
      </c>
      <c r="I43" s="202">
        <f t="shared" si="3"/>
        <v>2431.1742400000003</v>
      </c>
    </row>
    <row r="44" spans="1:9" x14ac:dyDescent="0.3">
      <c r="A44" s="179" t="str">
        <f>'END Jul 2017'!K30</f>
        <v>Origin Energy</v>
      </c>
      <c r="B44" s="180">
        <f>'END Jul 2017'!G30</f>
        <v>41455</v>
      </c>
      <c r="C44" s="181">
        <f>91*'END Jul 2017'!M30/100</f>
        <v>81.099199999999996</v>
      </c>
      <c r="D44" s="181">
        <f>($C$28*$C$29)*'END Jul 2017'!N30/100</f>
        <v>379.26</v>
      </c>
      <c r="E44" s="182">
        <v>0</v>
      </c>
      <c r="F44" s="181">
        <v>0</v>
      </c>
      <c r="G44" s="181">
        <f>($C$28*$C$30)*'END Jul 2017'!AE30/100</f>
        <v>62.7</v>
      </c>
      <c r="H44" s="183">
        <f t="shared" si="2"/>
        <v>523.05920000000003</v>
      </c>
      <c r="I44" s="202">
        <f t="shared" si="3"/>
        <v>2301.4604800000002</v>
      </c>
    </row>
    <row r="45" spans="1:9" x14ac:dyDescent="0.3">
      <c r="A45" s="179" t="str">
        <f>'END Jul 2017'!K31</f>
        <v>Powerdirect</v>
      </c>
      <c r="B45" s="180">
        <f>'END Jul 2017'!G31</f>
        <v>41455</v>
      </c>
      <c r="C45" s="181">
        <f>91*'END Jul 2017'!M31/100</f>
        <v>81.900000000000006</v>
      </c>
      <c r="D45" s="181">
        <f>($C$28*$C$29)*'END Jul 2017'!N31/100</f>
        <v>406</v>
      </c>
      <c r="E45" s="182">
        <v>0</v>
      </c>
      <c r="F45" s="181">
        <v>0</v>
      </c>
      <c r="G45" s="181">
        <f>($C$28*$C$30)*'END Jul 2017'!AE31/100</f>
        <v>72</v>
      </c>
      <c r="H45" s="183">
        <f t="shared" si="2"/>
        <v>559.9</v>
      </c>
      <c r="I45" s="202">
        <f t="shared" si="3"/>
        <v>2463.56</v>
      </c>
    </row>
    <row r="46" spans="1:9" x14ac:dyDescent="0.3">
      <c r="A46" s="179" t="str">
        <f>'END Jul 2017'!K32</f>
        <v>Powershop</v>
      </c>
      <c r="B46" s="180">
        <f>'END Jul 2017'!G32</f>
        <v>41455</v>
      </c>
      <c r="C46" s="181">
        <f>91*'END Jul 2017'!M32/100</f>
        <v>91.382199999999997</v>
      </c>
      <c r="D46" s="181">
        <f>(C28*C29)*'END Jul 2017'!N32/100</f>
        <v>395.64</v>
      </c>
      <c r="E46" s="182">
        <v>0</v>
      </c>
      <c r="F46" s="181">
        <v>0</v>
      </c>
      <c r="G46" s="181">
        <f>($C$28*$C$30)*'END Jul 2017'!AE32/100</f>
        <v>105.72</v>
      </c>
      <c r="H46" s="183">
        <f t="shared" si="2"/>
        <v>592.74220000000003</v>
      </c>
      <c r="I46" s="202">
        <f t="shared" si="3"/>
        <v>2608.0656800000002</v>
      </c>
    </row>
    <row r="47" spans="1:9" x14ac:dyDescent="0.3">
      <c r="A47" s="179" t="str">
        <f>'END Jul 2017'!K33</f>
        <v>Red Energy</v>
      </c>
      <c r="B47" s="180">
        <f>'END Jul 2017'!G33</f>
        <v>41479</v>
      </c>
      <c r="C47" s="181">
        <f>91*'END Jul 2017'!M33/100</f>
        <v>78.214500000000001</v>
      </c>
      <c r="D47" s="181">
        <f>IF($C$28*$C$29&gt;='END Jul 2017'!P33,('END Jul 2017'!P33*'END Jul 2017'!N33/100),(($C$28*$C$29)*'END Jul 2017'!N33/100))</f>
        <v>280.5</v>
      </c>
      <c r="E47" s="182">
        <f>IF($C$28*$C$29&lt;'END Jul 2017'!P33,0,IF(($C$28*$C$29)&lt;='END Jul 2017'!R33,(($C$28*$C$29-'END Jul 2017'!P33)*'END Jul 2017'!Q33/100),(('END Jul 2017'!R33-'END Jul 2017'!P33)*'END Jul 2017'!Q33/100)))</f>
        <v>109.36</v>
      </c>
      <c r="F47" s="181">
        <f>IF(($C$28*$C$29&lt;'END Jul 2017'!R33),(0),($C$28*$C$29-'END Jul 2017'!R33)*'END Jul 2017'!S33/100)</f>
        <v>0</v>
      </c>
      <c r="G47" s="181">
        <f>($C$28*$C$30)*'END Jul 2017'!AE33/100</f>
        <v>83.88</v>
      </c>
      <c r="H47" s="183">
        <f t="shared" si="2"/>
        <v>551.95450000000005</v>
      </c>
      <c r="I47" s="202">
        <f t="shared" si="3"/>
        <v>2428.5998000000004</v>
      </c>
    </row>
    <row r="48" spans="1:9" x14ac:dyDescent="0.3">
      <c r="A48" s="179" t="str">
        <f>'END Jul 2017'!K34</f>
        <v>Simply Energy</v>
      </c>
      <c r="B48" s="180">
        <f>'END Jul 2017'!G34</f>
        <v>41459</v>
      </c>
      <c r="C48" s="181">
        <f>91*'END Jul 2017'!M34/100</f>
        <v>62.617100000000001</v>
      </c>
      <c r="D48" s="181">
        <f>IF($C$28*$C$29&gt;='END Jul 2017'!P34,('END Jul 2017'!P34*'END Jul 2017'!N34/100),(($C$28*$C$29)*'END Jul 2017'!N34/100))</f>
        <v>244.6</v>
      </c>
      <c r="E48" s="182">
        <f>IF($C$28*$C$29&lt;'END Jul 2017'!P34,0,IF(($C$28*$C$29)&lt;='END Jul 2017'!R34,(($C$28*$C$29-'END Jul 2017'!P34)*'END Jul 2017'!Q34/100),(('END Jul 2017'!R34-'END Jul 2017'!P34)*'END Jul 2017'!Q34/100)))</f>
        <v>94.64</v>
      </c>
      <c r="F48" s="181">
        <f>IF(($C$28*$C$29&lt;'END Jul 2017'!R34),(0),($C$28*$C$29-'END Jul 2017'!R34)*'END Jul 2017'!S34/100)</f>
        <v>0</v>
      </c>
      <c r="G48" s="181">
        <f>($C$28*$C$30)*'END Jul 2017'!AE34/100</f>
        <v>50.16</v>
      </c>
      <c r="H48" s="183">
        <f t="shared" si="2"/>
        <v>452.01710000000003</v>
      </c>
      <c r="I48" s="202">
        <f t="shared" si="3"/>
        <v>1988.8752400000003</v>
      </c>
    </row>
    <row r="49" spans="1:9" ht="14" thickBot="1" x14ac:dyDescent="0.35">
      <c r="A49" s="184" t="str">
        <f>'END Jul 2017'!K35</f>
        <v>Sanctuary Energy</v>
      </c>
      <c r="B49" s="185">
        <f>'END Jul 2017'!G35</f>
        <v>41455</v>
      </c>
      <c r="C49" s="186">
        <f>91*'END Jul 2017'!M35/100</f>
        <v>78.089830000000006</v>
      </c>
      <c r="D49" s="186">
        <f>IF($C$28*$C$29&gt;='END Jul 2017'!P35,('END Jul 2017'!P35*'END Jul 2017'!N35/100),(($C$28*$C$29)*'END Jul 2017'!N35/100))</f>
        <v>397.02600000000007</v>
      </c>
      <c r="E49" s="187">
        <f>IF($C$28*$C$29&lt;'END Jul 2017'!P35,0,IF(($C$28*$C$29)&lt;='END Jul 2017'!R35,(($C$28*$C$29-'END Jul 2017'!P35)*'END Jul 2017'!Q35/100),(('END Jul 2017'!R35-'END Jul 2017'!P35)*'END Jul 2017'!Q35/100)))</f>
        <v>0</v>
      </c>
      <c r="F49" s="186">
        <f>IF(($C$28*$C$29&lt;'END Jul 2017'!R35),(0),($C$28*$C$29-'END Jul 2017'!R35)*'END Jul 2017'!S35/100)</f>
        <v>0</v>
      </c>
      <c r="G49" s="186">
        <f>($C$28*$C$30)*'END Jul 2017'!AE35/100</f>
        <v>59.34</v>
      </c>
      <c r="H49" s="188">
        <f t="shared" si="2"/>
        <v>534.45583000000011</v>
      </c>
      <c r="I49" s="203">
        <f t="shared" si="3"/>
        <v>2351.6056520000006</v>
      </c>
    </row>
    <row r="50" spans="1:9" x14ac:dyDescent="0.3">
      <c r="A50" s="198"/>
      <c r="B50" s="198"/>
      <c r="C50" s="198"/>
      <c r="D50" s="198"/>
      <c r="E50" s="198"/>
      <c r="F50" s="198"/>
      <c r="G50" s="198"/>
      <c r="H50" s="198"/>
      <c r="I50" s="198"/>
    </row>
    <row r="51" spans="1:9" ht="14" thickBot="1" x14ac:dyDescent="0.35">
      <c r="A51" s="198"/>
      <c r="B51" s="198"/>
      <c r="C51" s="198"/>
      <c r="D51" s="198"/>
      <c r="E51" s="198"/>
      <c r="F51" s="198"/>
      <c r="G51" s="198"/>
      <c r="H51" s="198"/>
      <c r="I51" s="198"/>
    </row>
    <row r="52" spans="1:9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</row>
    <row r="53" spans="1:9" ht="14" x14ac:dyDescent="0.3">
      <c r="A53" s="92" t="s">
        <v>79</v>
      </c>
      <c r="B53" s="93"/>
      <c r="C53" s="189">
        <v>2000</v>
      </c>
      <c r="D53" s="93"/>
      <c r="E53" s="93"/>
      <c r="F53" s="93"/>
      <c r="G53" s="93"/>
      <c r="H53" s="93"/>
      <c r="I53" s="178"/>
    </row>
    <row r="54" spans="1:9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</row>
    <row r="55" spans="1:9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</row>
    <row r="56" spans="1:9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</row>
    <row r="57" spans="1:9" ht="14" x14ac:dyDescent="0.3">
      <c r="A57" s="92"/>
      <c r="B57" s="93"/>
      <c r="C57" s="93"/>
      <c r="D57" s="93"/>
      <c r="E57" s="93"/>
      <c r="F57" s="93"/>
      <c r="G57" s="93"/>
      <c r="H57" s="93"/>
      <c r="I57" s="178"/>
    </row>
    <row r="58" spans="1:9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</row>
    <row r="59" spans="1:9" x14ac:dyDescent="0.3">
      <c r="A59" s="179" t="str">
        <f>'END Jul 2017'!K36</f>
        <v>Energy Locals</v>
      </c>
      <c r="B59" s="180">
        <f>'END Jul 2017'!G36</f>
        <v>41374</v>
      </c>
      <c r="C59" s="181">
        <f>91*'END Jul 2017'!M36/100</f>
        <v>94.64</v>
      </c>
      <c r="D59" s="181">
        <f>($C$53*$C$54)*'END Jul 2017'!N36/100</f>
        <v>116</v>
      </c>
      <c r="E59" s="181">
        <v>0</v>
      </c>
      <c r="F59" s="181">
        <f>($C$53*$C$55)*'END Jul 2017'!AH36/100</f>
        <v>240</v>
      </c>
      <c r="G59" s="181">
        <f>($C$53*$C$56)*'END Jul 2017'!W36/100</f>
        <v>120</v>
      </c>
      <c r="H59" s="183">
        <f>SUM(C59:G59)</f>
        <v>570.64</v>
      </c>
      <c r="I59" s="202">
        <f t="shared" ref="I59:I75" si="4">(H59*4)*1.1</f>
        <v>2510.8160000000003</v>
      </c>
    </row>
    <row r="60" spans="1:9" x14ac:dyDescent="0.3">
      <c r="A60" s="179" t="str">
        <f>'END Jul 2017'!K37</f>
        <v>AGL</v>
      </c>
      <c r="B60" s="180">
        <f>'END Jul 2017'!G37</f>
        <v>41457</v>
      </c>
      <c r="C60" s="181">
        <f>91*'END Jul 2017'!M37/100</f>
        <v>80.989999999999995</v>
      </c>
      <c r="D60" s="181">
        <f>($C$53*$C$54)*'END Jul 2017'!N37/100</f>
        <v>152</v>
      </c>
      <c r="E60" s="181">
        <v>0</v>
      </c>
      <c r="F60" s="181">
        <f>($C$53*$C$55)*'END Jul 2017'!AH37/100</f>
        <v>320</v>
      </c>
      <c r="G60" s="181">
        <f>($C$53*$C$56)*'END Jul 2017'!W37/100</f>
        <v>96</v>
      </c>
      <c r="H60" s="183">
        <f t="shared" ref="H60:H75" si="5">SUM(C60:G60)</f>
        <v>648.99</v>
      </c>
      <c r="I60" s="202">
        <f t="shared" si="4"/>
        <v>2855.5560000000005</v>
      </c>
    </row>
    <row r="61" spans="1:9" x14ac:dyDescent="0.3">
      <c r="A61" s="179" t="str">
        <f>'END Jul 2017'!K38</f>
        <v>Alinta Energy</v>
      </c>
      <c r="B61" s="180">
        <f>'END Jul 2017'!G38</f>
        <v>41477</v>
      </c>
      <c r="C61" s="181">
        <f>91*'END Jul 2017'!M38/100</f>
        <v>112.0574</v>
      </c>
      <c r="D61" s="181">
        <f>($C$53*$C$54)*'END Jul 2017'!N38/100</f>
        <v>150.80000000000001</v>
      </c>
      <c r="E61" s="181">
        <v>0</v>
      </c>
      <c r="F61" s="181">
        <f>($C$53*$C$55)*'END Jul 2017'!AH38/100</f>
        <v>308.2</v>
      </c>
      <c r="G61" s="181">
        <f>($C$53*$C$56)*'END Jul 2017'!W38/100</f>
        <v>94.2</v>
      </c>
      <c r="H61" s="183">
        <f t="shared" si="5"/>
        <v>665.25739999999996</v>
      </c>
      <c r="I61" s="202">
        <f t="shared" si="4"/>
        <v>2927.13256</v>
      </c>
    </row>
    <row r="62" spans="1:9" x14ac:dyDescent="0.3">
      <c r="A62" s="179" t="str">
        <f>'END Jul 2017'!K39</f>
        <v>Click Energy</v>
      </c>
      <c r="B62" s="180">
        <f>'END Jul 2017'!G39</f>
        <v>41455</v>
      </c>
      <c r="C62" s="181">
        <f>91*'END Jul 2017'!M39/100</f>
        <v>85.54</v>
      </c>
      <c r="D62" s="181">
        <f>($C$53*$C$54)*'END Jul 2017'!N39/100</f>
        <v>186</v>
      </c>
      <c r="E62" s="181">
        <v>0</v>
      </c>
      <c r="F62" s="181">
        <f>($C$53*$C$55)*'END Jul 2017'!AH39/100</f>
        <v>401</v>
      </c>
      <c r="G62" s="181">
        <f>($C$53*$C$56)*'END Jul 2017'!W39/100</f>
        <v>192</v>
      </c>
      <c r="H62" s="183">
        <f t="shared" si="5"/>
        <v>864.54</v>
      </c>
      <c r="I62" s="202">
        <f t="shared" si="4"/>
        <v>3803.9760000000001</v>
      </c>
    </row>
    <row r="63" spans="1:9" x14ac:dyDescent="0.3">
      <c r="A63" s="179" t="str">
        <f>'END Jul 2017'!K40</f>
        <v>Commander</v>
      </c>
      <c r="B63" s="180">
        <f>'END Jul 2017'!G40</f>
        <v>41419</v>
      </c>
      <c r="C63" s="181">
        <f>91*'END Jul 2017'!M40/100</f>
        <v>102.8027</v>
      </c>
      <c r="D63" s="181">
        <f>($C$53*$C$54)*'END Jul 2017'!N40/100</f>
        <v>169.52</v>
      </c>
      <c r="E63" s="181">
        <v>0</v>
      </c>
      <c r="F63" s="181">
        <f>($C$53*$C$55)*'END Jul 2017'!AH40/100</f>
        <v>323.60000000000002</v>
      </c>
      <c r="G63" s="181">
        <f>($C$53*$C$56)*'END Jul 2017'!W40/100</f>
        <v>96.42</v>
      </c>
      <c r="H63" s="183">
        <f t="shared" si="5"/>
        <v>692.34270000000004</v>
      </c>
      <c r="I63" s="202">
        <f t="shared" si="4"/>
        <v>3046.3078800000003</v>
      </c>
    </row>
    <row r="64" spans="1:9" x14ac:dyDescent="0.3">
      <c r="A64" s="179" t="str">
        <f>'END Jul 2017'!K41</f>
        <v>CovaU</v>
      </c>
      <c r="B64" s="180">
        <f>'END Jul 2017'!G41</f>
        <v>41455</v>
      </c>
      <c r="C64" s="181">
        <f>91*'END Jul 2017'!M41/100</f>
        <v>81.900000000000006</v>
      </c>
      <c r="D64" s="181">
        <f>($C$53*$C$54)*'END Jul 2017'!N41/100</f>
        <v>152</v>
      </c>
      <c r="E64" s="181">
        <v>0</v>
      </c>
      <c r="F64" s="181">
        <f>($C$53*$C$55)*'END Jul 2017'!AH41/100</f>
        <v>310</v>
      </c>
      <c r="G64" s="181">
        <f>($C$53*$C$56)*'END Jul 2017'!W41/100</f>
        <v>126</v>
      </c>
      <c r="H64" s="183">
        <f t="shared" si="5"/>
        <v>669.9</v>
      </c>
      <c r="I64" s="202">
        <f t="shared" si="4"/>
        <v>2947.56</v>
      </c>
    </row>
    <row r="65" spans="1:9" x14ac:dyDescent="0.3">
      <c r="A65" s="179" t="str">
        <f>'END Jul 2017'!K42</f>
        <v>Diamond Energy</v>
      </c>
      <c r="B65" s="180">
        <f>'END Jul 2017'!G42</f>
        <v>41455</v>
      </c>
      <c r="C65" s="181">
        <f>91*'END Jul 2017'!M42/100</f>
        <v>95.504500000000007</v>
      </c>
      <c r="D65" s="181">
        <f>IF($C$53*$C$54&gt;='END Jul 2017'!P42,('END Jul 2017'!P42*'END Jul 2017'!N42/100),(($C$53*$C$54)*'END Jul 2017'!N42/100))</f>
        <v>139.6</v>
      </c>
      <c r="E65" s="181">
        <f>IF(($C$53*$C$54&lt;'END Jul 2017'!P42),(0),($C$53*$C$54-'END Jul 2017'!P42)*'END Jul 2017'!Q42/100)</f>
        <v>0</v>
      </c>
      <c r="F65" s="181">
        <f>($C$53*$C$55)*'END Jul 2017'!AH42/100</f>
        <v>279.7</v>
      </c>
      <c r="G65" s="181">
        <f>($C$53*$C$56)*'END Jul 2017'!W42/100</f>
        <v>107.4</v>
      </c>
      <c r="H65" s="183">
        <f t="shared" si="5"/>
        <v>622.20449999999994</v>
      </c>
      <c r="I65" s="202">
        <f t="shared" si="4"/>
        <v>2737.6997999999999</v>
      </c>
    </row>
    <row r="66" spans="1:9" x14ac:dyDescent="0.3">
      <c r="A66" s="179" t="str">
        <f>'END Jul 2017'!K43</f>
        <v>Dodo Power &amp; Gas</v>
      </c>
      <c r="B66" s="180">
        <f>'END Jul 2017'!G43</f>
        <v>41419</v>
      </c>
      <c r="C66" s="181">
        <f>91*'END Jul 2017'!M43/100</f>
        <v>101.8017</v>
      </c>
      <c r="D66" s="181">
        <f>($C$53*$C$54)*'END Jul 2017'!N43/100</f>
        <v>163.52000000000001</v>
      </c>
      <c r="E66" s="181">
        <v>0</v>
      </c>
      <c r="F66" s="181">
        <f>($C$53*$C$55)*'END Jul 2017'!AH43/100</f>
        <v>294.7</v>
      </c>
      <c r="G66" s="181">
        <f>($C$53*$C$56)*'END Jul 2017'!W43/100</f>
        <v>94.08</v>
      </c>
      <c r="H66" s="183">
        <f t="shared" si="5"/>
        <v>654.10170000000005</v>
      </c>
      <c r="I66" s="202">
        <f t="shared" si="4"/>
        <v>2878.0474800000006</v>
      </c>
    </row>
    <row r="67" spans="1:9" x14ac:dyDescent="0.3">
      <c r="A67" s="179" t="str">
        <f>'END Jul 2017'!K44</f>
        <v>EnergyAustralia</v>
      </c>
      <c r="B67" s="180">
        <f>'END Jul 2017'!G44</f>
        <v>41467</v>
      </c>
      <c r="C67" s="181">
        <f>91*'END Jul 2017'!M44/100</f>
        <v>88.452000000000012</v>
      </c>
      <c r="D67" s="181">
        <f>($C$53*$C$54)*'END Jul 2017'!N44/100</f>
        <v>168.2</v>
      </c>
      <c r="E67" s="181">
        <v>0</v>
      </c>
      <c r="F67" s="181">
        <f>($C$53*$C$55)*'END Jul 2017'!AH44/100</f>
        <v>322.8</v>
      </c>
      <c r="G67" s="181">
        <f>($C$53*$C$56)*'END Jul 2017'!W44/100</f>
        <v>106.5</v>
      </c>
      <c r="H67" s="183">
        <f t="shared" si="5"/>
        <v>685.952</v>
      </c>
      <c r="I67" s="202">
        <f t="shared" si="4"/>
        <v>3018.1888000000004</v>
      </c>
    </row>
    <row r="68" spans="1:9" x14ac:dyDescent="0.3">
      <c r="A68" s="179" t="str">
        <f>'END Jul 2017'!K45</f>
        <v>Mojo Power</v>
      </c>
      <c r="B68" s="180">
        <f>'END Jul 2017'!G45</f>
        <v>41468</v>
      </c>
      <c r="C68" s="181">
        <f>91*'END Jul 2017'!M45/100</f>
        <v>179.85239999999999</v>
      </c>
      <c r="D68" s="181">
        <f>($C$53*$C$54)*'END Jul 2017'!N45/100</f>
        <v>136.32</v>
      </c>
      <c r="E68" s="181">
        <v>0</v>
      </c>
      <c r="F68" s="181">
        <f>($C$53*$C$55)*'END Jul 2017'!AH45/100</f>
        <v>255</v>
      </c>
      <c r="G68" s="181">
        <f>($C$53*$C$56)*'END Jul 2017'!W45/100</f>
        <v>99.78</v>
      </c>
      <c r="H68" s="183">
        <f t="shared" si="5"/>
        <v>670.9523999999999</v>
      </c>
      <c r="I68" s="202">
        <f t="shared" si="4"/>
        <v>2952.19056</v>
      </c>
    </row>
    <row r="69" spans="1:9" x14ac:dyDescent="0.3">
      <c r="A69" s="179" t="str">
        <f>'END Jul 2017'!K46</f>
        <v>Momentum Energy</v>
      </c>
      <c r="B69" s="180">
        <f>'END Jul 2017'!G46</f>
        <v>40738</v>
      </c>
      <c r="C69" s="181">
        <f>91*'END Jul 2017'!M46/100</f>
        <v>90.326599999999999</v>
      </c>
      <c r="D69" s="181">
        <f>IF($C$53*$C$54&gt;='END Jul 2017'!P46,('END Jul 2017'!P46*'END Jul 2017'!N46/100),(($C$53*$C$54)*'END Jul 2017'!N46/100))</f>
        <v>167.88</v>
      </c>
      <c r="E69" s="181">
        <f>IF(($C$53*$C$54&lt;'END Jul 2017'!P46),(0),($C$53*$C$54-'END Jul 2017'!P46)*'END Jul 2017'!Q46/100)</f>
        <v>0</v>
      </c>
      <c r="F69" s="181">
        <f>($C$53*$C$55)*'END Jul 2017'!AH46/100</f>
        <v>333.2</v>
      </c>
      <c r="G69" s="181">
        <f>($C$53*$C$56)*'END Jul 2017'!W46/100</f>
        <v>106.74</v>
      </c>
      <c r="H69" s="183">
        <f t="shared" si="5"/>
        <v>698.14660000000003</v>
      </c>
      <c r="I69" s="202">
        <f t="shared" si="4"/>
        <v>3071.8450400000006</v>
      </c>
    </row>
    <row r="70" spans="1:9" x14ac:dyDescent="0.3">
      <c r="A70" s="179" t="str">
        <f>'END Jul 2017'!K47</f>
        <v>Origin Energy</v>
      </c>
      <c r="B70" s="180">
        <f>'END Jul 2017'!G47</f>
        <v>41455</v>
      </c>
      <c r="C70" s="181">
        <f>91*'END Jul 2017'!M47/100</f>
        <v>90.772499999999994</v>
      </c>
      <c r="D70" s="181">
        <f>($C$53*$C$54)*'END Jul 2017'!N47/100</f>
        <v>163.92</v>
      </c>
      <c r="E70" s="181">
        <v>0</v>
      </c>
      <c r="F70" s="181">
        <f>($C$53*$C$55)*'END Jul 2017'!AH47/100</f>
        <v>334.9</v>
      </c>
      <c r="G70" s="181">
        <f>($C$53*$C$56)*'END Jul 2017'!W47/100</f>
        <v>107.28</v>
      </c>
      <c r="H70" s="183">
        <f t="shared" si="5"/>
        <v>696.87249999999995</v>
      </c>
      <c r="I70" s="202">
        <f t="shared" si="4"/>
        <v>3066.239</v>
      </c>
    </row>
    <row r="71" spans="1:9" x14ac:dyDescent="0.3">
      <c r="A71" s="179" t="str">
        <f>'END Jul 2017'!K48</f>
        <v>Powerdirect</v>
      </c>
      <c r="B71" s="180">
        <f>'END Jul 2017'!G48</f>
        <v>41455</v>
      </c>
      <c r="C71" s="181">
        <f>91*'END Jul 2017'!M48/100</f>
        <v>80.989999999999995</v>
      </c>
      <c r="D71" s="181">
        <f>($C$53*$C$54)*'END Jul 2017'!N48/100</f>
        <v>152</v>
      </c>
      <c r="E71" s="181">
        <v>0</v>
      </c>
      <c r="F71" s="181">
        <f>($C$53*$C$55)*'END Jul 2017'!AH48/100</f>
        <v>320</v>
      </c>
      <c r="G71" s="181">
        <f>($C$53*$C$56)*'END Jul 2017'!W48/100</f>
        <v>96</v>
      </c>
      <c r="H71" s="183">
        <f t="shared" si="5"/>
        <v>648.99</v>
      </c>
      <c r="I71" s="202">
        <f t="shared" si="4"/>
        <v>2855.5560000000005</v>
      </c>
    </row>
    <row r="72" spans="1:9" x14ac:dyDescent="0.3">
      <c r="A72" s="179" t="str">
        <f>'END Jul 2017'!K49</f>
        <v>Powershop</v>
      </c>
      <c r="B72" s="180">
        <f>'END Jul 2017'!G49</f>
        <v>41455</v>
      </c>
      <c r="C72" s="181">
        <f>91*'END Jul 2017'!M49/100</f>
        <v>98.507499999999993</v>
      </c>
      <c r="D72" s="181">
        <f>($C$53*$C$54)*'END Jul 2017'!N49/100</f>
        <v>139.08000000000001</v>
      </c>
      <c r="E72" s="181">
        <v>0</v>
      </c>
      <c r="F72" s="181">
        <f>($C$53*$C$55)*'END Jul 2017'!AH49/100</f>
        <v>295.5</v>
      </c>
      <c r="G72" s="181">
        <f>($C$53*$C$56)*'END Jul 2017'!W49/100</f>
        <v>146.1</v>
      </c>
      <c r="H72" s="183">
        <f t="shared" si="5"/>
        <v>679.1875</v>
      </c>
      <c r="I72" s="202">
        <f t="shared" si="4"/>
        <v>2988.4250000000002</v>
      </c>
    </row>
    <row r="73" spans="1:9" x14ac:dyDescent="0.3">
      <c r="A73" s="179" t="str">
        <f>'END Jul 2017'!K50</f>
        <v>Red Energy</v>
      </c>
      <c r="B73" s="180">
        <f>'END Jul 2017'!G50</f>
        <v>41479</v>
      </c>
      <c r="C73" s="181">
        <f>91*'END Jul 2017'!M50/100</f>
        <v>85.394400000000005</v>
      </c>
      <c r="D73" s="181">
        <f>($C$53*$C$54)*'END Jul 2017'!N50/100</f>
        <v>146.88</v>
      </c>
      <c r="E73" s="181">
        <v>0</v>
      </c>
      <c r="F73" s="181">
        <f>($C$53*$C$55)*'END Jul 2017'!AH50/100</f>
        <v>307.10000000000002</v>
      </c>
      <c r="G73" s="181">
        <f>($C$53*$C$56)*'END Jul 2017'!W50/100</f>
        <v>105.9</v>
      </c>
      <c r="H73" s="183">
        <f t="shared" si="5"/>
        <v>645.27440000000001</v>
      </c>
      <c r="I73" s="202">
        <f t="shared" si="4"/>
        <v>2839.2073600000003</v>
      </c>
    </row>
    <row r="74" spans="1:9" x14ac:dyDescent="0.3">
      <c r="A74" s="179" t="str">
        <f>'END Jul 2017'!K51</f>
        <v>Simply Energy</v>
      </c>
      <c r="B74" s="180">
        <f>'END Jul 2017'!G51</f>
        <v>41459</v>
      </c>
      <c r="C74" s="181">
        <f>91*'END Jul 2017'!M51/100</f>
        <v>79.242800000000003</v>
      </c>
      <c r="D74" s="181">
        <f>($C$53*$C$54)*'END Jul 2017'!N51/100</f>
        <v>128.63999999999999</v>
      </c>
      <c r="E74" s="181">
        <v>0</v>
      </c>
      <c r="F74" s="181">
        <f>($C$53*$C$55)*'END Jul 2017'!AH51/100</f>
        <v>234.9</v>
      </c>
      <c r="G74" s="181">
        <f>($C$53*$C$56)*'END Jul 2017'!W51/100</f>
        <v>90.96</v>
      </c>
      <c r="H74" s="183">
        <f t="shared" si="5"/>
        <v>533.74279999999999</v>
      </c>
      <c r="I74" s="202">
        <f t="shared" si="4"/>
        <v>2348.4683199999999</v>
      </c>
    </row>
    <row r="75" spans="1:9" ht="14" thickBot="1" x14ac:dyDescent="0.35">
      <c r="A75" s="184" t="str">
        <f>'END Jul 2017'!K52</f>
        <v>Sanctuary Energy</v>
      </c>
      <c r="B75" s="185">
        <f>'END Jul 2017'!G52</f>
        <v>41455</v>
      </c>
      <c r="C75" s="186">
        <f>91*'END Jul 2017'!M52/100</f>
        <v>73.129419999999996</v>
      </c>
      <c r="D75" s="186">
        <f>($C$53*$C$54)*'END Jul 2017'!N52/100</f>
        <v>164.542</v>
      </c>
      <c r="E75" s="186">
        <v>0</v>
      </c>
      <c r="F75" s="186">
        <f>($C$53*$C$55)*'END Jul 2017'!AH52/100</f>
        <v>316.36500000000001</v>
      </c>
      <c r="G75" s="186">
        <f>($C$53*$C$56)*'END Jul 2017'!W52/100</f>
        <v>95.772000000000006</v>
      </c>
      <c r="H75" s="188">
        <f t="shared" si="5"/>
        <v>649.80842000000007</v>
      </c>
      <c r="I75" s="203">
        <f t="shared" si="4"/>
        <v>2859.1570480000005</v>
      </c>
    </row>
    <row r="76" spans="1:9" x14ac:dyDescent="0.3">
      <c r="A76" s="198"/>
      <c r="B76" s="198"/>
      <c r="C76" s="198"/>
      <c r="D76" s="198"/>
      <c r="E76" s="198"/>
      <c r="F76" s="198"/>
      <c r="G76" s="198"/>
      <c r="H76" s="198"/>
      <c r="I76" s="198"/>
    </row>
    <row r="77" spans="1:9" x14ac:dyDescent="0.3">
      <c r="A77" s="198"/>
      <c r="B77" s="198"/>
      <c r="C77" s="198"/>
      <c r="D77" s="198"/>
      <c r="E77" s="198"/>
      <c r="F77" s="198"/>
      <c r="G77" s="198"/>
      <c r="H77" s="198"/>
      <c r="I77" s="198"/>
    </row>
    <row r="78" spans="1:9" x14ac:dyDescent="0.3">
      <c r="A78" s="198"/>
      <c r="B78" s="198"/>
      <c r="C78" s="198"/>
      <c r="D78" s="198"/>
      <c r="E78" s="198"/>
      <c r="F78" s="198"/>
      <c r="G78" s="198"/>
      <c r="H78" s="198"/>
      <c r="I78" s="198"/>
    </row>
    <row r="79" spans="1:9" x14ac:dyDescent="0.3">
      <c r="A79" s="198"/>
      <c r="B79" s="198"/>
      <c r="C79" s="198"/>
      <c r="D79" s="198"/>
      <c r="E79" s="198"/>
      <c r="F79" s="198"/>
      <c r="G79" s="198"/>
      <c r="H79" s="198"/>
      <c r="I79" s="198"/>
    </row>
    <row r="80" spans="1:9" x14ac:dyDescent="0.3">
      <c r="A80" s="198"/>
      <c r="B80" s="198"/>
      <c r="C80" s="198"/>
      <c r="D80" s="198"/>
      <c r="E80" s="198"/>
      <c r="F80" s="198"/>
      <c r="G80" s="198"/>
      <c r="H80" s="198"/>
      <c r="I80" s="198"/>
    </row>
    <row r="81" s="198" customFormat="1" x14ac:dyDescent="0.3"/>
    <row r="82" s="198" customFormat="1" x14ac:dyDescent="0.3"/>
    <row r="83" s="198" customFormat="1" x14ac:dyDescent="0.3"/>
    <row r="84" s="198" customFormat="1" x14ac:dyDescent="0.3"/>
    <row r="85" s="198" customFormat="1" x14ac:dyDescent="0.3"/>
    <row r="86" s="198" customFormat="1" x14ac:dyDescent="0.3"/>
    <row r="87" s="198" customFormat="1" x14ac:dyDescent="0.3"/>
    <row r="88" s="198" customFormat="1" x14ac:dyDescent="0.3"/>
    <row r="89" s="198" customFormat="1" x14ac:dyDescent="0.3"/>
    <row r="90" s="198" customFormat="1" x14ac:dyDescent="0.3"/>
    <row r="91" s="198" customFormat="1" x14ac:dyDescent="0.3"/>
    <row r="92" s="198" customFormat="1" x14ac:dyDescent="0.3"/>
    <row r="93" s="198" customFormat="1" x14ac:dyDescent="0.3"/>
    <row r="94" s="198" customFormat="1" x14ac:dyDescent="0.3"/>
    <row r="95" s="198" customFormat="1" x14ac:dyDescent="0.3"/>
    <row r="96" s="198" customFormat="1" x14ac:dyDescent="0.3"/>
    <row r="97" s="198" customFormat="1" x14ac:dyDescent="0.3"/>
    <row r="98" s="198" customFormat="1" x14ac:dyDescent="0.3"/>
    <row r="99" s="198" customFormat="1" x14ac:dyDescent="0.3"/>
    <row r="100" s="198" customFormat="1" x14ac:dyDescent="0.3"/>
    <row r="101" s="198" customFormat="1" x14ac:dyDescent="0.3"/>
    <row r="102" s="198" customFormat="1" x14ac:dyDescent="0.3"/>
    <row r="103" s="198" customFormat="1" x14ac:dyDescent="0.3"/>
    <row r="104" s="198" customFormat="1" x14ac:dyDescent="0.3"/>
    <row r="105" s="198" customFormat="1" x14ac:dyDescent="0.3"/>
    <row r="106" s="198" customFormat="1" x14ac:dyDescent="0.3"/>
    <row r="107" s="198" customFormat="1" x14ac:dyDescent="0.3"/>
    <row r="108" s="198" customFormat="1" x14ac:dyDescent="0.3"/>
    <row r="109" s="198" customFormat="1" x14ac:dyDescent="0.3"/>
    <row r="110" s="198" customFormat="1" x14ac:dyDescent="0.3"/>
    <row r="111" s="198" customFormat="1" x14ac:dyDescent="0.3"/>
    <row r="112" s="198" customFormat="1" x14ac:dyDescent="0.3"/>
    <row r="113" s="198" customFormat="1" x14ac:dyDescent="0.3"/>
    <row r="114" s="198" customFormat="1" x14ac:dyDescent="0.3"/>
    <row r="115" s="198" customFormat="1" x14ac:dyDescent="0.3"/>
    <row r="116" s="198" customFormat="1" x14ac:dyDescent="0.3"/>
    <row r="117" s="198" customFormat="1" x14ac:dyDescent="0.3"/>
    <row r="118" s="198" customFormat="1" x14ac:dyDescent="0.3"/>
    <row r="119" s="198" customFormat="1" x14ac:dyDescent="0.3"/>
    <row r="120" s="198" customFormat="1" x14ac:dyDescent="0.3"/>
    <row r="121" s="198" customFormat="1" x14ac:dyDescent="0.3"/>
    <row r="122" s="198" customFormat="1" x14ac:dyDescent="0.3"/>
    <row r="123" s="198" customFormat="1" x14ac:dyDescent="0.3"/>
    <row r="124" s="198" customFormat="1" x14ac:dyDescent="0.3"/>
    <row r="125" s="198" customFormat="1" x14ac:dyDescent="0.3"/>
    <row r="126" s="198" customFormat="1" x14ac:dyDescent="0.3"/>
    <row r="127" s="198" customFormat="1" x14ac:dyDescent="0.3"/>
    <row r="128" s="198" customFormat="1" x14ac:dyDescent="0.3"/>
    <row r="129" s="198" customFormat="1" x14ac:dyDescent="0.3"/>
    <row r="130" s="198" customFormat="1" x14ac:dyDescent="0.3"/>
    <row r="131" s="198" customFormat="1" x14ac:dyDescent="0.3"/>
    <row r="132" s="198" customFormat="1" x14ac:dyDescent="0.3"/>
    <row r="133" s="198" customFormat="1" x14ac:dyDescent="0.3"/>
    <row r="134" s="198" customFormat="1" x14ac:dyDescent="0.3"/>
    <row r="135" s="198" customFormat="1" x14ac:dyDescent="0.3"/>
    <row r="136" s="198" customFormat="1" x14ac:dyDescent="0.3"/>
    <row r="137" s="198" customFormat="1" x14ac:dyDescent="0.3"/>
    <row r="138" s="198" customFormat="1" x14ac:dyDescent="0.3"/>
    <row r="139" s="198" customFormat="1" x14ac:dyDescent="0.3"/>
    <row r="140" s="198" customFormat="1" x14ac:dyDescent="0.3"/>
    <row r="141" s="198" customFormat="1" x14ac:dyDescent="0.3"/>
    <row r="142" s="198" customFormat="1" x14ac:dyDescent="0.3"/>
    <row r="143" s="198" customFormat="1" x14ac:dyDescent="0.3"/>
    <row r="144" s="198" customFormat="1" x14ac:dyDescent="0.3"/>
    <row r="145" s="198" customFormat="1" x14ac:dyDescent="0.3"/>
    <row r="146" s="198" customFormat="1" x14ac:dyDescent="0.3"/>
    <row r="147" s="198" customFormat="1" x14ac:dyDescent="0.3"/>
    <row r="148" s="198" customFormat="1" x14ac:dyDescent="0.3"/>
    <row r="149" s="198" customFormat="1" x14ac:dyDescent="0.3"/>
    <row r="150" s="198" customFormat="1" x14ac:dyDescent="0.3"/>
    <row r="151" s="198" customFormat="1" x14ac:dyDescent="0.3"/>
    <row r="152" s="198" customFormat="1" x14ac:dyDescent="0.3"/>
    <row r="153" s="198" customFormat="1" x14ac:dyDescent="0.3"/>
    <row r="154" s="198" customFormat="1" x14ac:dyDescent="0.3"/>
    <row r="155" s="198" customFormat="1" x14ac:dyDescent="0.3"/>
    <row r="156" s="198" customFormat="1" x14ac:dyDescent="0.3"/>
    <row r="157" s="198" customFormat="1" x14ac:dyDescent="0.3"/>
    <row r="158" s="198" customFormat="1" x14ac:dyDescent="0.3"/>
    <row r="159" s="198" customFormat="1" x14ac:dyDescent="0.3"/>
    <row r="160" s="198" customFormat="1" x14ac:dyDescent="0.3"/>
    <row r="161" s="198" customFormat="1" x14ac:dyDescent="0.3"/>
    <row r="162" s="198" customFormat="1" x14ac:dyDescent="0.3"/>
    <row r="163" s="198" customFormat="1" x14ac:dyDescent="0.3"/>
    <row r="164" s="198" customFormat="1" x14ac:dyDescent="0.3"/>
    <row r="165" s="198" customFormat="1" x14ac:dyDescent="0.3"/>
    <row r="166" s="198" customFormat="1" x14ac:dyDescent="0.3"/>
    <row r="167" s="198" customFormat="1" x14ac:dyDescent="0.3"/>
    <row r="168" s="198" customFormat="1" x14ac:dyDescent="0.3"/>
    <row r="169" s="198" customFormat="1" x14ac:dyDescent="0.3"/>
    <row r="170" s="198" customFormat="1" x14ac:dyDescent="0.3"/>
    <row r="171" s="198" customFormat="1" x14ac:dyDescent="0.3"/>
    <row r="172" s="198" customFormat="1" x14ac:dyDescent="0.3"/>
    <row r="173" s="198" customFormat="1" x14ac:dyDescent="0.3"/>
    <row r="174" s="198" customFormat="1" x14ac:dyDescent="0.3"/>
    <row r="175" s="198" customFormat="1" x14ac:dyDescent="0.3"/>
    <row r="176" s="198" customFormat="1" x14ac:dyDescent="0.3"/>
    <row r="177" s="198" customFormat="1" x14ac:dyDescent="0.3"/>
    <row r="178" s="198" customFormat="1" x14ac:dyDescent="0.3"/>
    <row r="179" s="198" customFormat="1" x14ac:dyDescent="0.3"/>
    <row r="180" s="198" customFormat="1" x14ac:dyDescent="0.3"/>
    <row r="181" s="198" customFormat="1" x14ac:dyDescent="0.3"/>
    <row r="182" s="198" customFormat="1" x14ac:dyDescent="0.3"/>
    <row r="183" s="198" customFormat="1" x14ac:dyDescent="0.3"/>
    <row r="184" s="198" customFormat="1" x14ac:dyDescent="0.3"/>
    <row r="185" s="198" customFormat="1" x14ac:dyDescent="0.3"/>
    <row r="186" s="198" customFormat="1" x14ac:dyDescent="0.3"/>
    <row r="187" s="198" customFormat="1" x14ac:dyDescent="0.3"/>
    <row r="188" s="198" customFormat="1" x14ac:dyDescent="0.3"/>
    <row r="189" s="198" customFormat="1" x14ac:dyDescent="0.3"/>
    <row r="190" s="198" customFormat="1" x14ac:dyDescent="0.3"/>
    <row r="191" s="198" customFormat="1" x14ac:dyDescent="0.3"/>
    <row r="192" s="198" customFormat="1" x14ac:dyDescent="0.3"/>
    <row r="193" s="198" customFormat="1" x14ac:dyDescent="0.3"/>
    <row r="194" s="198" customFormat="1" x14ac:dyDescent="0.3"/>
    <row r="195" s="198" customFormat="1" x14ac:dyDescent="0.3"/>
    <row r="196" s="198" customFormat="1" x14ac:dyDescent="0.3"/>
    <row r="197" s="198" customFormat="1" x14ac:dyDescent="0.3"/>
    <row r="198" s="198" customFormat="1" x14ac:dyDescent="0.3"/>
    <row r="199" s="198" customFormat="1" x14ac:dyDescent="0.3"/>
    <row r="200" s="198" customFormat="1" x14ac:dyDescent="0.3"/>
    <row r="201" s="198" customFormat="1" x14ac:dyDescent="0.3"/>
    <row r="202" s="198" customFormat="1" x14ac:dyDescent="0.3"/>
    <row r="203" s="198" customFormat="1" x14ac:dyDescent="0.3"/>
    <row r="204" s="198" customFormat="1" x14ac:dyDescent="0.3"/>
    <row r="205" s="198" customFormat="1" x14ac:dyDescent="0.3"/>
    <row r="206" s="198" customFormat="1" x14ac:dyDescent="0.3"/>
    <row r="207" s="198" customFormat="1" x14ac:dyDescent="0.3"/>
    <row r="208" s="198" customFormat="1" x14ac:dyDescent="0.3"/>
    <row r="209" s="198" customFormat="1" x14ac:dyDescent="0.3"/>
    <row r="210" s="198" customFormat="1" x14ac:dyDescent="0.3"/>
    <row r="211" s="198" customFormat="1" x14ac:dyDescent="0.3"/>
    <row r="212" s="198" customFormat="1" x14ac:dyDescent="0.3"/>
    <row r="213" s="198" customFormat="1" x14ac:dyDescent="0.3"/>
    <row r="214" s="198" customFormat="1" x14ac:dyDescent="0.3"/>
    <row r="215" s="198" customFormat="1" x14ac:dyDescent="0.3"/>
    <row r="216" s="198" customFormat="1" x14ac:dyDescent="0.3"/>
    <row r="217" s="198" customFormat="1" x14ac:dyDescent="0.3"/>
    <row r="218" s="198" customFormat="1" x14ac:dyDescent="0.3"/>
    <row r="219" s="198" customFormat="1" x14ac:dyDescent="0.3"/>
    <row r="220" s="198" customFormat="1" x14ac:dyDescent="0.3"/>
    <row r="221" s="198" customFormat="1" x14ac:dyDescent="0.3"/>
    <row r="222" s="198" customFormat="1" x14ac:dyDescent="0.3"/>
    <row r="223" s="198" customFormat="1" x14ac:dyDescent="0.3"/>
    <row r="224" s="198" customFormat="1" x14ac:dyDescent="0.3"/>
    <row r="225" s="198" customFormat="1" x14ac:dyDescent="0.3"/>
    <row r="226" s="198" customFormat="1" x14ac:dyDescent="0.3"/>
    <row r="227" s="198" customFormat="1" x14ac:dyDescent="0.3"/>
    <row r="228" s="198" customFormat="1" x14ac:dyDescent="0.3"/>
    <row r="229" s="198" customFormat="1" x14ac:dyDescent="0.3"/>
    <row r="230" s="198" customFormat="1" x14ac:dyDescent="0.3"/>
    <row r="231" s="198" customFormat="1" x14ac:dyDescent="0.3"/>
    <row r="232" s="198" customFormat="1" x14ac:dyDescent="0.3"/>
    <row r="233" s="198" customFormat="1" x14ac:dyDescent="0.3"/>
    <row r="234" s="198" customFormat="1" x14ac:dyDescent="0.3"/>
    <row r="235" s="198" customFormat="1" x14ac:dyDescent="0.3"/>
    <row r="236" s="198" customFormat="1" x14ac:dyDescent="0.3"/>
    <row r="237" s="198" customFormat="1" x14ac:dyDescent="0.3"/>
    <row r="238" s="198" customFormat="1" x14ac:dyDescent="0.3"/>
    <row r="239" s="198" customFormat="1" x14ac:dyDescent="0.3"/>
    <row r="240" s="198" customFormat="1" x14ac:dyDescent="0.3"/>
    <row r="241" s="198" customFormat="1" x14ac:dyDescent="0.3"/>
    <row r="242" s="198" customFormat="1" x14ac:dyDescent="0.3"/>
    <row r="243" s="198" customFormat="1" x14ac:dyDescent="0.3"/>
    <row r="244" s="198" customFormat="1" x14ac:dyDescent="0.3"/>
    <row r="245" s="198" customFormat="1" x14ac:dyDescent="0.3"/>
    <row r="246" s="198" customFormat="1" x14ac:dyDescent="0.3"/>
    <row r="247" s="198" customFormat="1" x14ac:dyDescent="0.3"/>
    <row r="248" s="198" customFormat="1" x14ac:dyDescent="0.3"/>
    <row r="249" s="198" customFormat="1" x14ac:dyDescent="0.3"/>
    <row r="250" s="198" customFormat="1" x14ac:dyDescent="0.3"/>
    <row r="251" s="198" customFormat="1" x14ac:dyDescent="0.3"/>
    <row r="252" s="198" customFormat="1" x14ac:dyDescent="0.3"/>
    <row r="253" s="198" customFormat="1" x14ac:dyDescent="0.3"/>
    <row r="254" s="198" customFormat="1" x14ac:dyDescent="0.3"/>
    <row r="255" s="198" customFormat="1" x14ac:dyDescent="0.3"/>
    <row r="256" s="198" customFormat="1" x14ac:dyDescent="0.3"/>
    <row r="257" s="198" customFormat="1" x14ac:dyDescent="0.3"/>
    <row r="258" s="198" customFormat="1" x14ac:dyDescent="0.3"/>
    <row r="259" s="198" customFormat="1" x14ac:dyDescent="0.3"/>
    <row r="260" s="198" customFormat="1" x14ac:dyDescent="0.3"/>
    <row r="261" s="198" customFormat="1" x14ac:dyDescent="0.3"/>
    <row r="262" s="198" customFormat="1" x14ac:dyDescent="0.3"/>
    <row r="263" s="198" customFormat="1" x14ac:dyDescent="0.3"/>
    <row r="264" s="198" customFormat="1" x14ac:dyDescent="0.3"/>
    <row r="265" s="198" customFormat="1" x14ac:dyDescent="0.3"/>
    <row r="266" s="198" customFormat="1" x14ac:dyDescent="0.3"/>
    <row r="267" s="198" customFormat="1" x14ac:dyDescent="0.3"/>
    <row r="268" s="198" customFormat="1" x14ac:dyDescent="0.3"/>
    <row r="269" s="198" customFormat="1" x14ac:dyDescent="0.3"/>
    <row r="270" s="198" customFormat="1" x14ac:dyDescent="0.3"/>
    <row r="271" s="198" customFormat="1" x14ac:dyDescent="0.3"/>
    <row r="272" s="198" customFormat="1" x14ac:dyDescent="0.3"/>
    <row r="273" s="198" customFormat="1" x14ac:dyDescent="0.3"/>
    <row r="274" s="198" customFormat="1" x14ac:dyDescent="0.3"/>
    <row r="275" s="198" customFormat="1" x14ac:dyDescent="0.3"/>
    <row r="276" s="198" customFormat="1" x14ac:dyDescent="0.3"/>
    <row r="277" s="198" customFormat="1" x14ac:dyDescent="0.3"/>
    <row r="278" s="198" customFormat="1" x14ac:dyDescent="0.3"/>
    <row r="279" s="198" customFormat="1" x14ac:dyDescent="0.3"/>
    <row r="280" s="198" customFormat="1" x14ac:dyDescent="0.3"/>
    <row r="281" s="198" customFormat="1" x14ac:dyDescent="0.3"/>
    <row r="282" s="198" customFormat="1" x14ac:dyDescent="0.3"/>
    <row r="283" s="198" customFormat="1" x14ac:dyDescent="0.3"/>
    <row r="284" s="198" customFormat="1" x14ac:dyDescent="0.3"/>
    <row r="285" s="198" customFormat="1" x14ac:dyDescent="0.3"/>
    <row r="286" s="198" customFormat="1" x14ac:dyDescent="0.3"/>
    <row r="287" s="198" customFormat="1" x14ac:dyDescent="0.3"/>
    <row r="288" s="198" customFormat="1" x14ac:dyDescent="0.3"/>
    <row r="289" s="198" customFormat="1" x14ac:dyDescent="0.3"/>
    <row r="290" s="198" customFormat="1" x14ac:dyDescent="0.3"/>
    <row r="291" s="198" customFormat="1" x14ac:dyDescent="0.3"/>
    <row r="292" s="198" customFormat="1" x14ac:dyDescent="0.3"/>
    <row r="293" s="198" customFormat="1" x14ac:dyDescent="0.3"/>
    <row r="294" s="198" customFormat="1" x14ac:dyDescent="0.3"/>
    <row r="295" s="198" customFormat="1" x14ac:dyDescent="0.3"/>
    <row r="296" s="198" customFormat="1" x14ac:dyDescent="0.3"/>
    <row r="297" s="198" customFormat="1" x14ac:dyDescent="0.3"/>
    <row r="298" s="198" customFormat="1" x14ac:dyDescent="0.3"/>
    <row r="299" s="198" customFormat="1" x14ac:dyDescent="0.3"/>
    <row r="300" s="198" customFormat="1" x14ac:dyDescent="0.3"/>
    <row r="301" s="198" customFormat="1" x14ac:dyDescent="0.3"/>
    <row r="302" s="198" customFormat="1" x14ac:dyDescent="0.3"/>
    <row r="303" s="198" customFormat="1" x14ac:dyDescent="0.3"/>
    <row r="304" s="198" customFormat="1" x14ac:dyDescent="0.3"/>
    <row r="305" s="198" customFormat="1" x14ac:dyDescent="0.3"/>
    <row r="306" s="198" customFormat="1" x14ac:dyDescent="0.3"/>
    <row r="307" s="198" customFormat="1" x14ac:dyDescent="0.3"/>
    <row r="308" s="198" customFormat="1" x14ac:dyDescent="0.3"/>
    <row r="309" s="198" customFormat="1" x14ac:dyDescent="0.3"/>
    <row r="310" s="198" customFormat="1" x14ac:dyDescent="0.3"/>
    <row r="311" s="198" customFormat="1" x14ac:dyDescent="0.3"/>
    <row r="312" s="198" customFormat="1" x14ac:dyDescent="0.3"/>
    <row r="313" s="198" customFormat="1" x14ac:dyDescent="0.3"/>
    <row r="314" s="198" customFormat="1" x14ac:dyDescent="0.3"/>
    <row r="315" s="198" customFormat="1" x14ac:dyDescent="0.3"/>
    <row r="316" s="198" customFormat="1" x14ac:dyDescent="0.3"/>
    <row r="317" s="198" customFormat="1" x14ac:dyDescent="0.3"/>
    <row r="318" s="198" customFormat="1" x14ac:dyDescent="0.3"/>
    <row r="319" s="198" customFormat="1" x14ac:dyDescent="0.3"/>
    <row r="320" s="198" customFormat="1" x14ac:dyDescent="0.3"/>
    <row r="321" s="198" customFormat="1" x14ac:dyDescent="0.3"/>
    <row r="322" s="198" customFormat="1" x14ac:dyDescent="0.3"/>
    <row r="323" s="198" customFormat="1" x14ac:dyDescent="0.3"/>
    <row r="324" s="198" customFormat="1" x14ac:dyDescent="0.3"/>
    <row r="325" s="198" customFormat="1" x14ac:dyDescent="0.3"/>
    <row r="326" s="198" customFormat="1" x14ac:dyDescent="0.3"/>
    <row r="327" s="198" customFormat="1" x14ac:dyDescent="0.3"/>
    <row r="328" s="198" customFormat="1" x14ac:dyDescent="0.3"/>
    <row r="329" s="198" customFormat="1" x14ac:dyDescent="0.3"/>
    <row r="330" s="198" customFormat="1" x14ac:dyDescent="0.3"/>
    <row r="331" s="198" customFormat="1" x14ac:dyDescent="0.3"/>
    <row r="332" s="198" customFormat="1" x14ac:dyDescent="0.3"/>
    <row r="333" s="198" customFormat="1" x14ac:dyDescent="0.3"/>
    <row r="334" s="198" customFormat="1" x14ac:dyDescent="0.3"/>
    <row r="335" s="198" customFormat="1" x14ac:dyDescent="0.3"/>
    <row r="336" s="198" customFormat="1" x14ac:dyDescent="0.3"/>
    <row r="337" s="198" customFormat="1" x14ac:dyDescent="0.3"/>
    <row r="338" s="198" customFormat="1" x14ac:dyDescent="0.3"/>
    <row r="339" s="198" customFormat="1" x14ac:dyDescent="0.3"/>
    <row r="340" s="198" customFormat="1" x14ac:dyDescent="0.3"/>
    <row r="341" s="198" customFormat="1" x14ac:dyDescent="0.3"/>
    <row r="342" s="198" customFormat="1" x14ac:dyDescent="0.3"/>
    <row r="343" s="198" customFormat="1" x14ac:dyDescent="0.3"/>
    <row r="344" s="198" customFormat="1" x14ac:dyDescent="0.3"/>
    <row r="345" s="198" customFormat="1" x14ac:dyDescent="0.3"/>
    <row r="346" s="198" customFormat="1" x14ac:dyDescent="0.3"/>
    <row r="347" s="198" customFormat="1" x14ac:dyDescent="0.3"/>
    <row r="348" s="198" customFormat="1" x14ac:dyDescent="0.3"/>
    <row r="349" s="198" customFormat="1" x14ac:dyDescent="0.3"/>
    <row r="350" s="198" customFormat="1" x14ac:dyDescent="0.3"/>
    <row r="351" s="198" customFormat="1" x14ac:dyDescent="0.3"/>
    <row r="352" s="198" customFormat="1" x14ac:dyDescent="0.3"/>
    <row r="353" s="198" customFormat="1" x14ac:dyDescent="0.3"/>
    <row r="354" s="198" customFormat="1" x14ac:dyDescent="0.3"/>
    <row r="355" s="198" customFormat="1" x14ac:dyDescent="0.3"/>
    <row r="356" s="198" customFormat="1" x14ac:dyDescent="0.3"/>
    <row r="357" s="198" customFormat="1" x14ac:dyDescent="0.3"/>
    <row r="358" s="198" customFormat="1" x14ac:dyDescent="0.3"/>
    <row r="359" s="198" customFormat="1" x14ac:dyDescent="0.3"/>
    <row r="360" s="198" customFormat="1" x14ac:dyDescent="0.3"/>
    <row r="361" s="198" customFormat="1" x14ac:dyDescent="0.3"/>
    <row r="362" s="198" customFormat="1" x14ac:dyDescent="0.3"/>
    <row r="363" s="198" customFormat="1" x14ac:dyDescent="0.3"/>
    <row r="364" s="198" customFormat="1" x14ac:dyDescent="0.3"/>
    <row r="365" s="198" customFormat="1" x14ac:dyDescent="0.3"/>
    <row r="366" s="198" customFormat="1" x14ac:dyDescent="0.3"/>
    <row r="367" s="198" customFormat="1" x14ac:dyDescent="0.3"/>
    <row r="368" s="198" customFormat="1" x14ac:dyDescent="0.3"/>
    <row r="369" s="198" customFormat="1" x14ac:dyDescent="0.3"/>
    <row r="370" s="198" customFormat="1" x14ac:dyDescent="0.3"/>
    <row r="371" s="198" customFormat="1" x14ac:dyDescent="0.3"/>
    <row r="372" s="198" customFormat="1" x14ac:dyDescent="0.3"/>
    <row r="373" s="198" customFormat="1" x14ac:dyDescent="0.3"/>
    <row r="374" s="198" customFormat="1" x14ac:dyDescent="0.3"/>
    <row r="375" s="198" customFormat="1" x14ac:dyDescent="0.3"/>
    <row r="376" s="198" customFormat="1" x14ac:dyDescent="0.3"/>
    <row r="377" s="198" customFormat="1" x14ac:dyDescent="0.3"/>
    <row r="378" s="198" customFormat="1" x14ac:dyDescent="0.3"/>
    <row r="379" s="198" customFormat="1" x14ac:dyDescent="0.3"/>
    <row r="380" s="198" customFormat="1" x14ac:dyDescent="0.3"/>
    <row r="381" s="198" customFormat="1" x14ac:dyDescent="0.3"/>
    <row r="382" s="198" customFormat="1" x14ac:dyDescent="0.3"/>
    <row r="383" s="198" customFormat="1" x14ac:dyDescent="0.3"/>
    <row r="384" s="198" customFormat="1" x14ac:dyDescent="0.3"/>
    <row r="385" s="198" customFormat="1" x14ac:dyDescent="0.3"/>
    <row r="386" s="198" customFormat="1" x14ac:dyDescent="0.3"/>
    <row r="387" s="198" customFormat="1" x14ac:dyDescent="0.3"/>
    <row r="388" s="198" customFormat="1" x14ac:dyDescent="0.3"/>
    <row r="389" s="198" customFormat="1" x14ac:dyDescent="0.3"/>
    <row r="390" s="198" customFormat="1" x14ac:dyDescent="0.3"/>
    <row r="391" s="198" customFormat="1" x14ac:dyDescent="0.3"/>
    <row r="392" s="198" customFormat="1" x14ac:dyDescent="0.3"/>
    <row r="393" s="198" customFormat="1" x14ac:dyDescent="0.3"/>
    <row r="394" s="198" customFormat="1" x14ac:dyDescent="0.3"/>
    <row r="395" s="198" customFormat="1" x14ac:dyDescent="0.3"/>
    <row r="396" s="198" customFormat="1" x14ac:dyDescent="0.3"/>
    <row r="397" s="198" customFormat="1" x14ac:dyDescent="0.3"/>
    <row r="398" s="198" customFormat="1" x14ac:dyDescent="0.3"/>
    <row r="399" s="198" customFormat="1" x14ac:dyDescent="0.3"/>
    <row r="400" s="198" customFormat="1" x14ac:dyDescent="0.3"/>
    <row r="401" s="198" customFormat="1" x14ac:dyDescent="0.3"/>
    <row r="402" s="198" customFormat="1" x14ac:dyDescent="0.3"/>
    <row r="403" s="198" customFormat="1" x14ac:dyDescent="0.3"/>
    <row r="404" s="198" customFormat="1" x14ac:dyDescent="0.3"/>
    <row r="405" s="198" customFormat="1" x14ac:dyDescent="0.3"/>
    <row r="406" s="198" customFormat="1" x14ac:dyDescent="0.3"/>
    <row r="407" s="198" customFormat="1" x14ac:dyDescent="0.3"/>
    <row r="408" s="198" customFormat="1" x14ac:dyDescent="0.3"/>
    <row r="409" s="198" customFormat="1" x14ac:dyDescent="0.3"/>
    <row r="410" s="198" customFormat="1" x14ac:dyDescent="0.3"/>
    <row r="411" s="198" customFormat="1" x14ac:dyDescent="0.3"/>
    <row r="412" s="198" customFormat="1" x14ac:dyDescent="0.3"/>
    <row r="413" s="198" customFormat="1" x14ac:dyDescent="0.3"/>
    <row r="414" s="198" customFormat="1" x14ac:dyDescent="0.3"/>
    <row r="415" s="198" customFormat="1" x14ac:dyDescent="0.3"/>
    <row r="416" s="198" customFormat="1" x14ac:dyDescent="0.3"/>
    <row r="417" s="198" customFormat="1" x14ac:dyDescent="0.3"/>
    <row r="418" s="198" customFormat="1" x14ac:dyDescent="0.3"/>
    <row r="419" s="198" customFormat="1" x14ac:dyDescent="0.3"/>
    <row r="420" s="198" customFormat="1" x14ac:dyDescent="0.3"/>
    <row r="421" s="198" customFormat="1" x14ac:dyDescent="0.3"/>
    <row r="422" s="198" customFormat="1" x14ac:dyDescent="0.3"/>
    <row r="423" s="198" customFormat="1" x14ac:dyDescent="0.3"/>
    <row r="424" s="198" customFormat="1" x14ac:dyDescent="0.3"/>
    <row r="425" s="198" customFormat="1" x14ac:dyDescent="0.3"/>
    <row r="426" s="198" customFormat="1" x14ac:dyDescent="0.3"/>
    <row r="427" s="198" customFormat="1" x14ac:dyDescent="0.3"/>
    <row r="428" s="198" customFormat="1" x14ac:dyDescent="0.3"/>
    <row r="429" s="198" customFormat="1" x14ac:dyDescent="0.3"/>
    <row r="430" s="198" customFormat="1" x14ac:dyDescent="0.3"/>
    <row r="431" s="198" customFormat="1" x14ac:dyDescent="0.3"/>
    <row r="432" s="198" customFormat="1" x14ac:dyDescent="0.3"/>
    <row r="433" s="198" customFormat="1" x14ac:dyDescent="0.3"/>
    <row r="434" s="198" customFormat="1" x14ac:dyDescent="0.3"/>
    <row r="435" s="198" customFormat="1" x14ac:dyDescent="0.3"/>
    <row r="436" s="198" customFormat="1" x14ac:dyDescent="0.3"/>
    <row r="437" s="198" customFormat="1" x14ac:dyDescent="0.3"/>
    <row r="438" s="198" customFormat="1" x14ac:dyDescent="0.3"/>
    <row r="439" s="198" customFormat="1" x14ac:dyDescent="0.3"/>
    <row r="440" s="198" customFormat="1" x14ac:dyDescent="0.3"/>
    <row r="441" s="198" customFormat="1" x14ac:dyDescent="0.3"/>
    <row r="442" s="198" customFormat="1" x14ac:dyDescent="0.3"/>
    <row r="443" s="198" customFormat="1" x14ac:dyDescent="0.3"/>
    <row r="444" s="198" customFormat="1" x14ac:dyDescent="0.3"/>
    <row r="445" s="198" customFormat="1" x14ac:dyDescent="0.3"/>
    <row r="446" s="198" customFormat="1" x14ac:dyDescent="0.3"/>
    <row r="447" s="198" customFormat="1" x14ac:dyDescent="0.3"/>
    <row r="448" s="198" customFormat="1" x14ac:dyDescent="0.3"/>
    <row r="449" s="198" customFormat="1" x14ac:dyDescent="0.3"/>
    <row r="450" s="198" customFormat="1" x14ac:dyDescent="0.3"/>
    <row r="451" s="198" customFormat="1" x14ac:dyDescent="0.3"/>
    <row r="452" s="198" customFormat="1" x14ac:dyDescent="0.3"/>
    <row r="453" s="198" customFormat="1" x14ac:dyDescent="0.3"/>
    <row r="454" s="198" customFormat="1" x14ac:dyDescent="0.3"/>
    <row r="455" s="198" customFormat="1" x14ac:dyDescent="0.3"/>
    <row r="456" s="198" customFormat="1" x14ac:dyDescent="0.3"/>
    <row r="457" s="198" customFormat="1" x14ac:dyDescent="0.3"/>
    <row r="458" s="198" customFormat="1" x14ac:dyDescent="0.3"/>
    <row r="459" s="198" customFormat="1" x14ac:dyDescent="0.3"/>
    <row r="460" s="198" customFormat="1" x14ac:dyDescent="0.3"/>
    <row r="461" s="198" customFormat="1" x14ac:dyDescent="0.3"/>
    <row r="462" s="198" customFormat="1" x14ac:dyDescent="0.3"/>
    <row r="463" s="198" customFormat="1" x14ac:dyDescent="0.3"/>
    <row r="464" s="198" customFormat="1" x14ac:dyDescent="0.3"/>
    <row r="465" s="198" customFormat="1" x14ac:dyDescent="0.3"/>
    <row r="466" s="198" customFormat="1" x14ac:dyDescent="0.3"/>
    <row r="467" s="198" customFormat="1" x14ac:dyDescent="0.3"/>
    <row r="468" s="198" customFormat="1" x14ac:dyDescent="0.3"/>
    <row r="469" s="198" customFormat="1" x14ac:dyDescent="0.3"/>
    <row r="470" s="198" customFormat="1" x14ac:dyDescent="0.3"/>
    <row r="471" s="198" customFormat="1" x14ac:dyDescent="0.3"/>
    <row r="472" s="198" customFormat="1" x14ac:dyDescent="0.3"/>
    <row r="473" s="198" customFormat="1" x14ac:dyDescent="0.3"/>
    <row r="474" s="198" customFormat="1" x14ac:dyDescent="0.3"/>
    <row r="475" s="198" customFormat="1" x14ac:dyDescent="0.3"/>
    <row r="476" s="198" customFormat="1" x14ac:dyDescent="0.3"/>
    <row r="477" s="198" customFormat="1" x14ac:dyDescent="0.3"/>
    <row r="478" s="198" customFormat="1" x14ac:dyDescent="0.3"/>
    <row r="479" s="198" customFormat="1" x14ac:dyDescent="0.3"/>
  </sheetData>
  <sheetProtection algorithmName="SHA-512" hashValue="CGlEJnyY5JiL88OO+RxR5/eerYHeUY5eXZmoCxuTpTmf9sVVbkgiD0ZVWySw6+MP5IZjGajp6lgpSvQNiM0LGw==" saltValue="pUVt/xK+mKU1SRldZ1omjA==" spinCount="100000" sheet="1" objects="1" scenarios="1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EC342-4FA9-D849-9504-6BDEF500E5ED}">
  <sheetPr codeName="Sheet61"/>
  <dimension ref="A1:ANJ7899"/>
  <sheetViews>
    <sheetView zoomScaleNormal="100" workbookViewId="0">
      <selection activeCell="A8" sqref="A8:A26"/>
    </sheetView>
  </sheetViews>
  <sheetFormatPr defaultColWidth="10.84375" defaultRowHeight="13.5" x14ac:dyDescent="0.3"/>
  <cols>
    <col min="1" max="1" width="17.4609375" style="263" customWidth="1"/>
    <col min="2" max="2" width="12.4609375" style="263" customWidth="1"/>
    <col min="3" max="9" width="12.15234375" style="263" customWidth="1"/>
    <col min="1051" max="16384" width="10.84375" style="263"/>
  </cols>
  <sheetData>
    <row r="1" spans="1:33" customFormat="1" x14ac:dyDescent="0.3">
      <c r="A1" s="331" t="s">
        <v>76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</row>
    <row r="2" spans="1:33" customFormat="1" x14ac:dyDescent="0.3">
      <c r="A2" s="332" t="s">
        <v>77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</row>
    <row r="3" spans="1:33" customFormat="1" ht="14" thickBot="1" x14ac:dyDescent="0.3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</row>
    <row r="4" spans="1:33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</row>
    <row r="5" spans="1:33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</row>
    <row r="6" spans="1:33" ht="14" x14ac:dyDescent="0.3">
      <c r="A6" s="92"/>
      <c r="B6" s="93"/>
      <c r="C6" s="93"/>
      <c r="D6" s="93"/>
      <c r="E6" s="93"/>
      <c r="F6" s="93"/>
      <c r="G6" s="93"/>
      <c r="H6" s="93"/>
      <c r="I6" s="178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</row>
    <row r="7" spans="1:33" ht="28" x14ac:dyDescent="0.3">
      <c r="A7" s="301" t="s">
        <v>80</v>
      </c>
      <c r="B7" s="297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9" t="s">
        <v>86</v>
      </c>
      <c r="H7" s="298" t="s">
        <v>87</v>
      </c>
      <c r="I7" s="300" t="s">
        <v>88</v>
      </c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</row>
    <row r="8" spans="1:33" x14ac:dyDescent="0.3">
      <c r="A8" s="179" t="str">
        <f>'ESS Jul 2022'!K2</f>
        <v>AGL</v>
      </c>
      <c r="B8" s="180">
        <f>'ESS Jul 2022'!G2</f>
        <v>43284</v>
      </c>
      <c r="C8" s="181">
        <f>91*'ESS Jul 2022'!M2/100</f>
        <v>145.66618181818183</v>
      </c>
      <c r="D8" s="181">
        <f>$C$5*'ESS Jul 2022'!N2/100</f>
        <v>515.45454545454538</v>
      </c>
      <c r="E8" s="182">
        <v>0</v>
      </c>
      <c r="F8" s="181">
        <v>0</v>
      </c>
      <c r="G8" s="181">
        <v>0</v>
      </c>
      <c r="H8" s="183">
        <f t="shared" ref="H8:H18" si="0">SUM(C8:G8)</f>
        <v>661.12072727272721</v>
      </c>
      <c r="I8" s="202">
        <f t="shared" ref="I8:I26" si="1">(H8*4)*1.1</f>
        <v>2908.9312</v>
      </c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</row>
    <row r="9" spans="1:33" x14ac:dyDescent="0.3">
      <c r="A9" s="179" t="str">
        <f>'ESS Jul 2022'!K3</f>
        <v>Alinta Energy</v>
      </c>
      <c r="B9" s="180">
        <f>'ESS Jul 2022'!G3</f>
        <v>43281</v>
      </c>
      <c r="C9" s="181">
        <f>91*'ESS Jul 2022'!M3/100</f>
        <v>135.92090909090911</v>
      </c>
      <c r="D9" s="181">
        <f>$C$5*'ESS Jul 2022'!N3/100</f>
        <v>530.18181818181813</v>
      </c>
      <c r="E9" s="182">
        <v>0</v>
      </c>
      <c r="F9" s="181">
        <v>0</v>
      </c>
      <c r="G9" s="181">
        <v>0</v>
      </c>
      <c r="H9" s="183">
        <f t="shared" si="0"/>
        <v>666.10272727272718</v>
      </c>
      <c r="I9" s="202">
        <f t="shared" si="1"/>
        <v>2930.8519999999999</v>
      </c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</row>
    <row r="10" spans="1:33" x14ac:dyDescent="0.3">
      <c r="A10" s="179" t="str">
        <f>'ESS Jul 2022'!K4</f>
        <v>CovaU</v>
      </c>
      <c r="B10" s="180">
        <f>'ESS Jul 2022'!G4</f>
        <v>43281</v>
      </c>
      <c r="C10" s="181">
        <f>91*'ESS Jul 2022'!M4/100</f>
        <v>109.19999999999999</v>
      </c>
      <c r="D10" s="181">
        <f>$C$5*'ESS Jul 2022'!N4/100</f>
        <v>572.56363636363631</v>
      </c>
      <c r="E10" s="182">
        <v>0</v>
      </c>
      <c r="F10" s="181">
        <v>0</v>
      </c>
      <c r="G10" s="181">
        <v>0</v>
      </c>
      <c r="H10" s="183">
        <f>SUM(C10:G10)</f>
        <v>681.76363636363635</v>
      </c>
      <c r="I10" s="202">
        <f t="shared" si="1"/>
        <v>2999.76</v>
      </c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</row>
    <row r="11" spans="1:33" x14ac:dyDescent="0.3">
      <c r="A11" s="179" t="str">
        <f>'ESS Jul 2022'!K5</f>
        <v>Diamond Energy</v>
      </c>
      <c r="B11" s="180">
        <f>'ESS Jul 2022'!G5</f>
        <v>43281</v>
      </c>
      <c r="C11" s="181">
        <f>91*'ESS Jul 2022'!M5/100</f>
        <v>122.85</v>
      </c>
      <c r="D11" s="181">
        <f>IF($C$5&gt;='ESS Jul 2022'!P5,('ESS Jul 2022'!P5*'ESS Jul 2022'!N5/100),($C$5*'ESS Jul 2022'!N5/100))</f>
        <v>73.499999999999986</v>
      </c>
      <c r="E11" s="182">
        <v>0</v>
      </c>
      <c r="F11" s="181">
        <v>0</v>
      </c>
      <c r="G11" s="181">
        <f>IF(($C$5&lt;'ESS Jul 2022'!R5),(0),($C$5-'ESS Jul 2022'!R5)*'ESS Jul 2022'!S5/100)</f>
        <v>491.72727272727275</v>
      </c>
      <c r="H11" s="183">
        <f>SUM(C11:G11)</f>
        <v>688.07727272727266</v>
      </c>
      <c r="I11" s="202">
        <f t="shared" ref="I11" si="2">(H11*4)*1.1</f>
        <v>3027.54</v>
      </c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</row>
    <row r="12" spans="1:33" x14ac:dyDescent="0.3">
      <c r="A12" s="179" t="str">
        <f>'ESS Jul 2022'!K6</f>
        <v>Dodo Power &amp; Gas</v>
      </c>
      <c r="B12" s="180">
        <f>'ESS Jul 2022'!G6</f>
        <v>43281</v>
      </c>
      <c r="C12" s="181">
        <f>91*'ESS Jul 2022'!M6/100</f>
        <v>173.4129090909091</v>
      </c>
      <c r="D12" s="181">
        <f>$C$5*'ESS Jul 2022'!N6/100</f>
        <v>469.4727272727273</v>
      </c>
      <c r="E12" s="182">
        <v>0</v>
      </c>
      <c r="F12" s="181">
        <v>0</v>
      </c>
      <c r="G12" s="181">
        <v>0</v>
      </c>
      <c r="H12" s="183">
        <f>SUM(C12:G12)</f>
        <v>642.88563636363642</v>
      </c>
      <c r="I12" s="202">
        <f t="shared" si="1"/>
        <v>2828.6968000000006</v>
      </c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</row>
    <row r="13" spans="1:33" x14ac:dyDescent="0.3">
      <c r="A13" s="179" t="str">
        <f>'ESS Jul 2022'!K7</f>
        <v>EnergyAustralia</v>
      </c>
      <c r="B13" s="180">
        <f>'ESS Jul 2022'!G7</f>
        <v>43281</v>
      </c>
      <c r="C13" s="181">
        <f>91*'ESS Jul 2022'!M7/100</f>
        <v>129.67500000000001</v>
      </c>
      <c r="D13" s="181">
        <f>$C$5*'ESS Jul 2022'!N7/100</f>
        <v>540.65454545454531</v>
      </c>
      <c r="E13" s="182">
        <v>0</v>
      </c>
      <c r="F13" s="181">
        <v>0</v>
      </c>
      <c r="G13" s="181">
        <v>0</v>
      </c>
      <c r="H13" s="183">
        <f t="shared" si="0"/>
        <v>670.32954545454527</v>
      </c>
      <c r="I13" s="202">
        <f t="shared" si="1"/>
        <v>2949.4499999999994</v>
      </c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</row>
    <row r="14" spans="1:33" x14ac:dyDescent="0.3">
      <c r="A14" s="179" t="str">
        <f>'ESS Jul 2022'!K8</f>
        <v>Momentum Energy</v>
      </c>
      <c r="B14" s="180">
        <f>'ESS Jul 2022'!G8</f>
        <v>43281</v>
      </c>
      <c r="C14" s="181">
        <f>91*'ESS Jul 2022'!M8/100</f>
        <v>107.54545454545455</v>
      </c>
      <c r="D14" s="181">
        <f>$C$5*'ESS Jul 2022'!N8/100</f>
        <v>574.69090909090892</v>
      </c>
      <c r="E14" s="182">
        <v>0</v>
      </c>
      <c r="F14" s="181">
        <v>0</v>
      </c>
      <c r="G14" s="181">
        <v>0</v>
      </c>
      <c r="H14" s="183">
        <f t="shared" si="0"/>
        <v>682.23636363636342</v>
      </c>
      <c r="I14" s="202">
        <f t="shared" si="1"/>
        <v>3001.8399999999992</v>
      </c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</row>
    <row r="15" spans="1:33" x14ac:dyDescent="0.3">
      <c r="A15" s="179" t="str">
        <f>'ESS Jul 2022'!K9</f>
        <v>Origin Energy</v>
      </c>
      <c r="B15" s="180">
        <f>'ESS Jul 2022'!G9</f>
        <v>43281</v>
      </c>
      <c r="C15" s="181">
        <f>91*'ESS Jul 2022'!M9/100</f>
        <v>135.60654545454545</v>
      </c>
      <c r="D15" s="181">
        <f>$C$5*'ESS Jul 2022'!N9/100</f>
        <v>531</v>
      </c>
      <c r="E15" s="182">
        <v>0</v>
      </c>
      <c r="F15" s="181">
        <v>0</v>
      </c>
      <c r="G15" s="181">
        <v>0</v>
      </c>
      <c r="H15" s="183">
        <f t="shared" si="0"/>
        <v>666.60654545454543</v>
      </c>
      <c r="I15" s="202">
        <f t="shared" si="1"/>
        <v>2933.0688</v>
      </c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</row>
    <row r="16" spans="1:33" x14ac:dyDescent="0.3">
      <c r="A16" s="179" t="str">
        <f>'ESS Jul 2022'!K10</f>
        <v>Powerdirect</v>
      </c>
      <c r="B16" s="180">
        <f>'ESS Jul 2022'!G10</f>
        <v>43284</v>
      </c>
      <c r="C16" s="181">
        <f>91*'ESS Jul 2022'!M10/100</f>
        <v>145.66618181818183</v>
      </c>
      <c r="D16" s="181">
        <f>$C$5*'ESS Jul 2022'!N10/100</f>
        <v>515.45454545454538</v>
      </c>
      <c r="E16" s="182">
        <v>0</v>
      </c>
      <c r="F16" s="181">
        <v>0</v>
      </c>
      <c r="G16" s="181">
        <v>0</v>
      </c>
      <c r="H16" s="183">
        <f t="shared" si="0"/>
        <v>661.12072727272721</v>
      </c>
      <c r="I16" s="202">
        <f t="shared" si="1"/>
        <v>2908.9312</v>
      </c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</row>
    <row r="17" spans="1:33" x14ac:dyDescent="0.3">
      <c r="A17" s="179" t="str">
        <f>'ESS Jul 2022'!K11</f>
        <v>Powershop</v>
      </c>
      <c r="B17" s="180">
        <f>'ESS Jul 2022'!G11</f>
        <v>43281</v>
      </c>
      <c r="C17" s="181">
        <f>91*'ESS Jul 2022'!M11/100</f>
        <v>153.18609090909089</v>
      </c>
      <c r="D17" s="181">
        <f>$C$5*'ESS Jul 2022'!N11/100</f>
        <v>503.50909090909079</v>
      </c>
      <c r="E17" s="182">
        <v>0</v>
      </c>
      <c r="F17" s="181">
        <v>0</v>
      </c>
      <c r="G17" s="181">
        <v>0</v>
      </c>
      <c r="H17" s="183">
        <f t="shared" si="0"/>
        <v>656.69518181818171</v>
      </c>
      <c r="I17" s="202">
        <f t="shared" si="1"/>
        <v>2889.4587999999999</v>
      </c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</row>
    <row r="18" spans="1:33" x14ac:dyDescent="0.3">
      <c r="A18" s="179" t="str">
        <f>'ESS Jul 2022'!K12</f>
        <v>Red Energy</v>
      </c>
      <c r="B18" s="180">
        <f>'ESS Jul 2022'!G12</f>
        <v>43281</v>
      </c>
      <c r="C18" s="181">
        <f>91*'ESS Jul 2022'!M12/100</f>
        <v>146.51</v>
      </c>
      <c r="D18" s="181">
        <f>$C$5*'ESS Jul 2022'!N12/100</f>
        <v>509.39999999999992</v>
      </c>
      <c r="E18" s="182">
        <v>0</v>
      </c>
      <c r="F18" s="181">
        <v>0</v>
      </c>
      <c r="G18" s="181">
        <v>0</v>
      </c>
      <c r="H18" s="183">
        <f t="shared" si="0"/>
        <v>655.90999999999985</v>
      </c>
      <c r="I18" s="202">
        <f t="shared" si="1"/>
        <v>2886.0039999999995</v>
      </c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</row>
    <row r="19" spans="1:33" x14ac:dyDescent="0.3">
      <c r="A19" s="179" t="str">
        <f>'ESS Jul 2022'!K13</f>
        <v>Simply Energy</v>
      </c>
      <c r="B19" s="180">
        <f>'ESS Jul 2022'!G13</f>
        <v>43281</v>
      </c>
      <c r="C19" s="181">
        <f>91*'ESS Jul 2022'!M13/100</f>
        <v>127.79709090909087</v>
      </c>
      <c r="D19" s="181">
        <f>IF($C$5&gt;='ESS Jul 2022'!P13,('ESS Jul 2022'!P13*'ESS Jul 2022'!N13/100),($C$5*'ESS Jul 2022'!N13/100))</f>
        <v>357.26599999999996</v>
      </c>
      <c r="E19" s="182">
        <v>0</v>
      </c>
      <c r="F19" s="181">
        <v>0</v>
      </c>
      <c r="G19" s="181">
        <f>IF(($C$5&lt;'ESS Jul 2022'!R13),(0),($C$5-'ESS Jul 2022'!R13)*'ESS Jul 2022'!S13/100)</f>
        <v>195.58899999999997</v>
      </c>
      <c r="H19" s="183">
        <f>SUM(C19:G19)</f>
        <v>680.65209090909082</v>
      </c>
      <c r="I19" s="202">
        <f t="shared" si="1"/>
        <v>2994.8691999999996</v>
      </c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</row>
    <row r="20" spans="1:33" x14ac:dyDescent="0.3">
      <c r="A20" s="179" t="str">
        <f>'ESS Jul 2022'!K14</f>
        <v>1st Energy</v>
      </c>
      <c r="B20" s="180">
        <f>'ESS Jul 2022'!G14</f>
        <v>43281</v>
      </c>
      <c r="C20" s="181">
        <f>91*'ESS Jul 2022'!M14/100</f>
        <v>154.69999999999999</v>
      </c>
      <c r="D20" s="181">
        <f>IF($C$5&gt;='ESS Jul 2022'!P14,('ESS Jul 2022'!P14*'ESS Jul 2022'!N14/100),($C$5*'ESS Jul 2022'!N14/100))</f>
        <v>375.29999999999995</v>
      </c>
      <c r="E20" s="182">
        <v>0</v>
      </c>
      <c r="F20" s="181">
        <v>0</v>
      </c>
      <c r="G20" s="181">
        <f>IF(($C$5&lt;'ESS Jul 2022'!R14),(0),($C$5-'ESS Jul 2022'!R14)*'ESS Jul 2022'!S14/100)</f>
        <v>145.35</v>
      </c>
      <c r="H20" s="183">
        <f t="shared" ref="H20" si="3">SUM(C20:G20)</f>
        <v>675.35</v>
      </c>
      <c r="I20" s="202">
        <f t="shared" si="1"/>
        <v>2971.5400000000004</v>
      </c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</row>
    <row r="21" spans="1:33" x14ac:dyDescent="0.3">
      <c r="A21" s="179" t="str">
        <f>'ESS Jul 2022'!K15</f>
        <v>ReAmped Energy</v>
      </c>
      <c r="B21" s="180">
        <f>'ESS Jul 2022'!G15</f>
        <v>43281</v>
      </c>
      <c r="C21" s="181">
        <f>91*'ESS Jul 2022'!M15/100</f>
        <v>122.85</v>
      </c>
      <c r="D21" s="181">
        <f>$C$5*'ESS Jul 2022'!N15/100</f>
        <v>550.63636363636351</v>
      </c>
      <c r="E21" s="182">
        <v>0</v>
      </c>
      <c r="F21" s="181">
        <v>0</v>
      </c>
      <c r="G21" s="181">
        <v>0</v>
      </c>
      <c r="H21" s="183">
        <f t="shared" ref="H21:H23" si="4">SUM(C21:G21)</f>
        <v>673.48636363636354</v>
      </c>
      <c r="I21" s="202">
        <f t="shared" si="1"/>
        <v>2963.3399999999997</v>
      </c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</row>
    <row r="22" spans="1:33" x14ac:dyDescent="0.3">
      <c r="A22" s="179" t="str">
        <f>'ESS Jul 2022'!K16</f>
        <v>Nectr</v>
      </c>
      <c r="B22" s="180">
        <f>'ESS Jul 2022'!G16</f>
        <v>43281</v>
      </c>
      <c r="C22" s="181">
        <f>91*'ESS Jul 2022'!M16/100</f>
        <v>137.40999999999997</v>
      </c>
      <c r="D22" s="181">
        <f>$C$5*'ESS Jul 2022'!N16/100</f>
        <v>528.29999999999995</v>
      </c>
      <c r="E22" s="182">
        <v>0</v>
      </c>
      <c r="F22" s="181">
        <v>0</v>
      </c>
      <c r="G22" s="181">
        <v>0</v>
      </c>
      <c r="H22" s="183">
        <f t="shared" si="4"/>
        <v>665.70999999999992</v>
      </c>
      <c r="I22" s="202">
        <f t="shared" si="1"/>
        <v>2929.1239999999998</v>
      </c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</row>
    <row r="23" spans="1:33" x14ac:dyDescent="0.3">
      <c r="A23" s="179" t="str">
        <f>'ESS Jul 2022'!K17</f>
        <v>OVO Energy</v>
      </c>
      <c r="B23" s="180">
        <f>'ESS Jul 2022'!G17</f>
        <v>43281</v>
      </c>
      <c r="C23" s="181">
        <f>91*'ESS Jul 2022'!M17/100</f>
        <v>118.57300000000001</v>
      </c>
      <c r="D23" s="181">
        <f>$C$5*'ESS Jul 2022'!N17/100</f>
        <v>558</v>
      </c>
      <c r="E23" s="182">
        <v>0</v>
      </c>
      <c r="F23" s="181">
        <v>0</v>
      </c>
      <c r="G23" s="181">
        <v>0</v>
      </c>
      <c r="H23" s="183">
        <f t="shared" si="4"/>
        <v>676.57299999999998</v>
      </c>
      <c r="I23" s="202">
        <f t="shared" si="1"/>
        <v>2976.9212000000002</v>
      </c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</row>
    <row r="24" spans="1:33" x14ac:dyDescent="0.3">
      <c r="A24" s="179" t="str">
        <f>'ESS Jul 2022'!K18</f>
        <v>Sumo Power</v>
      </c>
      <c r="B24" s="180">
        <f>'ESS Jul 2022'!G18</f>
        <v>43281</v>
      </c>
      <c r="C24" s="181">
        <f>91*'ESS Jul 2022'!M18/100</f>
        <v>136.5</v>
      </c>
      <c r="D24" s="181">
        <f>$C$5*'ESS Jul 2022'!N18/100</f>
        <v>529.91999999999996</v>
      </c>
      <c r="E24" s="182">
        <v>0</v>
      </c>
      <c r="F24" s="181">
        <v>0</v>
      </c>
      <c r="G24" s="181">
        <v>0</v>
      </c>
      <c r="H24" s="183">
        <f t="shared" ref="H24" si="5">SUM(C24:G24)</f>
        <v>666.42</v>
      </c>
      <c r="I24" s="202">
        <f t="shared" ref="I24" si="6">(H24*4)*1.1</f>
        <v>2932.248</v>
      </c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</row>
    <row r="25" spans="1:33" x14ac:dyDescent="0.3">
      <c r="A25" s="179" t="str">
        <f>'ESS Jul 2022'!K19</f>
        <v>Tango Energy</v>
      </c>
      <c r="B25" s="180">
        <f>'ESS Jul 2022'!G19</f>
        <v>43281</v>
      </c>
      <c r="C25" s="181">
        <f>91*'ESS Jul 2022'!M19/100</f>
        <v>149.51300000000001</v>
      </c>
      <c r="D25" s="181">
        <f>$C$5*'ESS Jul 2022'!N19/100</f>
        <v>509.39999999999992</v>
      </c>
      <c r="E25" s="182">
        <v>0</v>
      </c>
      <c r="F25" s="181">
        <v>0</v>
      </c>
      <c r="G25" s="181">
        <f>IF(($C$5&lt;'ESS Jul 2022'!R19),(0),($C$5-'ESS Jul 2022'!R19)*'ESS Jul 2022'!S19/100)</f>
        <v>0</v>
      </c>
      <c r="H25" s="183">
        <f t="shared" ref="H25:H26" si="7">SUM(C25:G25)</f>
        <v>658.9129999999999</v>
      </c>
      <c r="I25" s="202">
        <f t="shared" si="1"/>
        <v>2899.2171999999996</v>
      </c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</row>
    <row r="26" spans="1:33" x14ac:dyDescent="0.3">
      <c r="A26" s="179" t="str">
        <f>'ESS Jul 2022'!K20</f>
        <v>GloBird</v>
      </c>
      <c r="B26" s="180">
        <f>'ESS Jul 2022'!G20</f>
        <v>43280</v>
      </c>
      <c r="C26" s="181">
        <f>91*'ESS Jul 2022'!M20/100</f>
        <v>127.4</v>
      </c>
      <c r="D26" s="181">
        <f>IF($C$5&gt;='ESS Jul 2022'!P20,('ESS Jul 2022'!P20*'ESS Jul 2022'!N20/100),($C$5*'ESS Jul 2022'!N20/100))</f>
        <v>413.13599999999991</v>
      </c>
      <c r="E26" s="182">
        <v>0</v>
      </c>
      <c r="F26" s="181">
        <v>0</v>
      </c>
      <c r="G26" s="181">
        <f>IF(($C$5&lt;'ESS Jul 2022'!R20),(0),($C$5-'ESS Jul 2022'!R20)*'ESS Jul 2022'!S20/100)</f>
        <v>388.79999999999995</v>
      </c>
      <c r="H26" s="183">
        <f t="shared" si="7"/>
        <v>929.3359999999999</v>
      </c>
      <c r="I26" s="202">
        <f t="shared" si="1"/>
        <v>4089.0783999999999</v>
      </c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</row>
    <row r="27" spans="1:33" customFormat="1" x14ac:dyDescent="0.3">
      <c r="A27" s="330"/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</row>
    <row r="28" spans="1:33" customFormat="1" ht="14" thickBot="1" x14ac:dyDescent="0.35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</row>
    <row r="29" spans="1:33" ht="14" x14ac:dyDescent="0.3">
      <c r="A29" s="176" t="s">
        <v>89</v>
      </c>
      <c r="B29" s="91"/>
      <c r="C29" s="91"/>
      <c r="D29" s="91"/>
      <c r="E29" s="91"/>
      <c r="F29" s="91"/>
      <c r="G29" s="91"/>
      <c r="H29" s="91"/>
      <c r="I29" s="177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</row>
    <row r="30" spans="1:33" ht="14" x14ac:dyDescent="0.3">
      <c r="A30" s="92" t="s">
        <v>79</v>
      </c>
      <c r="B30" s="93"/>
      <c r="C30" s="168">
        <v>2000</v>
      </c>
      <c r="D30" s="93"/>
      <c r="E30" s="93"/>
      <c r="F30" s="93"/>
      <c r="G30" s="93"/>
      <c r="H30" s="93"/>
      <c r="I30" s="178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</row>
    <row r="31" spans="1:33" ht="14" x14ac:dyDescent="0.3">
      <c r="A31" s="92" t="s">
        <v>91</v>
      </c>
      <c r="B31" s="93"/>
      <c r="C31" s="257">
        <v>0.7</v>
      </c>
      <c r="D31" s="93"/>
      <c r="E31" s="93"/>
      <c r="F31" s="93"/>
      <c r="G31" s="93"/>
      <c r="H31" s="93"/>
      <c r="I31" s="178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</row>
    <row r="32" spans="1:33" ht="14" x14ac:dyDescent="0.3">
      <c r="A32" s="92" t="s">
        <v>92</v>
      </c>
      <c r="B32" s="93"/>
      <c r="C32" s="257">
        <v>0.3</v>
      </c>
      <c r="D32" s="93"/>
      <c r="E32" s="93"/>
      <c r="F32" s="93"/>
      <c r="G32" s="93"/>
      <c r="H32" s="93"/>
      <c r="I32" s="178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</row>
    <row r="33" spans="1:33" ht="14" x14ac:dyDescent="0.3">
      <c r="A33" s="92"/>
      <c r="B33" s="93"/>
      <c r="C33" s="93"/>
      <c r="D33" s="93"/>
      <c r="E33" s="93"/>
      <c r="F33" s="93"/>
      <c r="G33" s="93"/>
      <c r="H33" s="93"/>
      <c r="I33" s="178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</row>
    <row r="34" spans="1:33" ht="28" x14ac:dyDescent="0.3">
      <c r="A34" s="301" t="s">
        <v>80</v>
      </c>
      <c r="B34" s="297" t="s">
        <v>81</v>
      </c>
      <c r="C34" s="298" t="s">
        <v>82</v>
      </c>
      <c r="D34" s="298" t="s">
        <v>83</v>
      </c>
      <c r="E34" s="298" t="s">
        <v>84</v>
      </c>
      <c r="F34" s="299" t="s">
        <v>86</v>
      </c>
      <c r="G34" s="299" t="s">
        <v>93</v>
      </c>
      <c r="H34" s="298" t="s">
        <v>87</v>
      </c>
      <c r="I34" s="300" t="s">
        <v>88</v>
      </c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</row>
    <row r="35" spans="1:33" x14ac:dyDescent="0.3">
      <c r="A35" s="179" t="str">
        <f>'ESS Jul 2022'!K21</f>
        <v>AGL</v>
      </c>
      <c r="B35" s="180">
        <f>'ESS Jul 2022'!G21</f>
        <v>43284</v>
      </c>
      <c r="C35" s="181">
        <f>91*'ESS Jul 2022'!M21/100</f>
        <v>156.82609090909088</v>
      </c>
      <c r="D35" s="181">
        <f>($C$30*$C$31)*'ESS Jul 2022'!N21/100</f>
        <v>400.90909090909088</v>
      </c>
      <c r="E35" s="182">
        <v>0</v>
      </c>
      <c r="F35" s="181">
        <v>0</v>
      </c>
      <c r="G35" s="181">
        <f>($C$30*$C$32)*'ESS Jul 2022'!AE21/100</f>
        <v>95.127272727272725</v>
      </c>
      <c r="H35" s="183">
        <f t="shared" ref="H35:H50" si="8">SUM(C35:G35)</f>
        <v>652.86245454545451</v>
      </c>
      <c r="I35" s="202">
        <f t="shared" ref="I35:I50" si="9">(H35*4)*1.1</f>
        <v>2872.5948000000003</v>
      </c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</row>
    <row r="36" spans="1:33" x14ac:dyDescent="0.3">
      <c r="A36" s="179" t="str">
        <f>'ESS Jul 2022'!K22</f>
        <v>Alinta Energy</v>
      </c>
      <c r="B36" s="180">
        <f>'ESS Jul 2022'!G22</f>
        <v>43281</v>
      </c>
      <c r="C36" s="181">
        <f>91*'ESS Jul 2022'!M22/100</f>
        <v>146.84090909090909</v>
      </c>
      <c r="D36" s="181">
        <f>($C$30*$C$31)*'ESS Jul 2022'!N22/100</f>
        <v>412.36363636363632</v>
      </c>
      <c r="E36" s="182">
        <v>0</v>
      </c>
      <c r="F36" s="181">
        <v>0</v>
      </c>
      <c r="G36" s="181">
        <f>($C$30*$C$32)*'ESS Jul 2022'!AE22/100</f>
        <v>82.418181818181807</v>
      </c>
      <c r="H36" s="183">
        <f t="shared" si="8"/>
        <v>641.62272727272716</v>
      </c>
      <c r="I36" s="202">
        <f t="shared" si="9"/>
        <v>2823.14</v>
      </c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</row>
    <row r="37" spans="1:33" x14ac:dyDescent="0.3">
      <c r="A37" s="179" t="str">
        <f>'ESS Jul 2022'!K23</f>
        <v>CovaU</v>
      </c>
      <c r="B37" s="180">
        <f>'ESS Jul 2022'!G23</f>
        <v>43281</v>
      </c>
      <c r="C37" s="181">
        <f>91*'ESS Jul 2022'!M23/100</f>
        <v>118.3</v>
      </c>
      <c r="D37" s="181">
        <f>($C$30*$C$31)*'ESS Jul 2022'!N23/100</f>
        <v>445.32727272727271</v>
      </c>
      <c r="E37" s="182">
        <v>0</v>
      </c>
      <c r="F37" s="181">
        <v>0</v>
      </c>
      <c r="G37" s="181">
        <f>($C$30*$C$32)*'ESS Jul 2022'!AE23/100</f>
        <v>97.527272727272717</v>
      </c>
      <c r="H37" s="183">
        <f t="shared" si="8"/>
        <v>661.15454545454543</v>
      </c>
      <c r="I37" s="202">
        <f t="shared" si="9"/>
        <v>2909.08</v>
      </c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</row>
    <row r="38" spans="1:33" x14ac:dyDescent="0.3">
      <c r="A38" s="179" t="str">
        <f>'ESS Jul 2022'!K24</f>
        <v>Diamond Energy</v>
      </c>
      <c r="B38" s="180">
        <f>'ESS Jul 2022'!G24</f>
        <v>43281</v>
      </c>
      <c r="C38" s="181">
        <f>91*'ESS Jul 2022'!M24/100</f>
        <v>128.30999999999997</v>
      </c>
      <c r="D38" s="181">
        <f>IF($C$30*$C$31&gt;='ESS Jul 2022'!P24,('ESS Jul 2022'!P24*'ESS Jul 2022'!N24/100),(($C$30*$C$31)*'ESS Jul 2022'!N24/100))</f>
        <v>73.499999999999986</v>
      </c>
      <c r="E38" s="182">
        <v>0</v>
      </c>
      <c r="F38" s="181">
        <f>IF(($C$30*$C$31&lt;'ESS Jul 2022'!R24),(0),($C$30*$C$31-'ESS Jul 2022'!R24)*'ESS Jul 2022'!S24/100)</f>
        <v>360.6</v>
      </c>
      <c r="G38" s="181">
        <f>($C$30*$C$32)*'ESS Jul 2022'!AE24/100</f>
        <v>94.799999999999983</v>
      </c>
      <c r="H38" s="183">
        <f t="shared" ref="H38" si="10">SUM(C38:G38)</f>
        <v>657.20999999999992</v>
      </c>
      <c r="I38" s="202">
        <f t="shared" ref="I38" si="11">(H38*4)*1.1</f>
        <v>2891.7239999999997</v>
      </c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</row>
    <row r="39" spans="1:33" x14ac:dyDescent="0.3">
      <c r="A39" s="179" t="str">
        <f>'ESS Jul 2022'!K25</f>
        <v>Dodo Power &amp; Gas</v>
      </c>
      <c r="B39" s="180">
        <f>'ESS Jul 2022'!G25</f>
        <v>43281</v>
      </c>
      <c r="C39" s="181">
        <f>91*'ESS Jul 2022'!M25/100</f>
        <v>173.4129090909091</v>
      </c>
      <c r="D39" s="181">
        <f>($C$30*$C$31)*'ESS Jul 2022'!N25/100</f>
        <v>365.14545454545458</v>
      </c>
      <c r="E39" s="182">
        <v>0</v>
      </c>
      <c r="F39" s="181">
        <v>0</v>
      </c>
      <c r="G39" s="181">
        <f>($C$30*$C$32)*'ESS Jul 2022'!AE25/100</f>
        <v>110.18181818181816</v>
      </c>
      <c r="H39" s="183">
        <f t="shared" si="8"/>
        <v>648.74018181818178</v>
      </c>
      <c r="I39" s="202">
        <f t="shared" si="9"/>
        <v>2854.4567999999999</v>
      </c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</row>
    <row r="40" spans="1:33" x14ac:dyDescent="0.3">
      <c r="A40" s="179" t="str">
        <f>'ESS Jul 2022'!K26</f>
        <v>EnergyAustralia</v>
      </c>
      <c r="B40" s="180">
        <f>'ESS Jul 2022'!G26</f>
        <v>43281</v>
      </c>
      <c r="C40" s="181">
        <f>91*'ESS Jul 2022'!M26/100</f>
        <v>136.04499999999999</v>
      </c>
      <c r="D40" s="181">
        <f>($C$30*$C$31)*'ESS Jul 2022'!N26/100</f>
        <v>420.50909090909079</v>
      </c>
      <c r="E40" s="182">
        <v>0</v>
      </c>
      <c r="F40" s="181">
        <v>0</v>
      </c>
      <c r="G40" s="181">
        <f>($C$30*$C$32)*'ESS Jul 2022'!AE26/100</f>
        <v>100.90909090909091</v>
      </c>
      <c r="H40" s="183">
        <f t="shared" si="8"/>
        <v>657.46318181818162</v>
      </c>
      <c r="I40" s="202">
        <f t="shared" si="9"/>
        <v>2892.8379999999993</v>
      </c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</row>
    <row r="41" spans="1:33" x14ac:dyDescent="0.3">
      <c r="A41" s="179" t="str">
        <f>'ESS Jul 2022'!K27</f>
        <v>Momentum Energy</v>
      </c>
      <c r="B41" s="180">
        <f>'ESS Jul 2022'!G27</f>
        <v>43281</v>
      </c>
      <c r="C41" s="181">
        <f>91*'ESS Jul 2022'!M27/100</f>
        <v>120.78181818181818</v>
      </c>
      <c r="D41" s="181">
        <f>($C$30*$C$31)*'ESS Jul 2022'!N27/100</f>
        <v>441.38181818181818</v>
      </c>
      <c r="E41" s="182">
        <v>0</v>
      </c>
      <c r="F41" s="181">
        <v>0</v>
      </c>
      <c r="G41" s="181">
        <f>($C$30*$C$32)*'ESS Jul 2022'!AE27/100</f>
        <v>98.127272727272697</v>
      </c>
      <c r="H41" s="183">
        <f t="shared" si="8"/>
        <v>660.29090909090905</v>
      </c>
      <c r="I41" s="202">
        <f t="shared" si="9"/>
        <v>2905.28</v>
      </c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</row>
    <row r="42" spans="1:33" x14ac:dyDescent="0.3">
      <c r="A42" s="179" t="str">
        <f>'ESS Jul 2022'!K28</f>
        <v>Origin Energy</v>
      </c>
      <c r="B42" s="180">
        <f>'ESS Jul 2022'!G28</f>
        <v>43281</v>
      </c>
      <c r="C42" s="181">
        <f>91*'ESS Jul 2022'!M28/100</f>
        <v>148.62781818181816</v>
      </c>
      <c r="D42" s="181">
        <f>($C$30*$C$31)*'ESS Jul 2022'!N28/100</f>
        <v>413</v>
      </c>
      <c r="E42" s="182">
        <v>0</v>
      </c>
      <c r="F42" s="181">
        <v>0</v>
      </c>
      <c r="G42" s="181">
        <f>($C$30*$C$32)*'ESS Jul 2022'!AE28/100</f>
        <v>92.945454545454524</v>
      </c>
      <c r="H42" s="183">
        <f t="shared" si="8"/>
        <v>654.57327272727264</v>
      </c>
      <c r="I42" s="202">
        <f t="shared" si="9"/>
        <v>2880.1223999999997</v>
      </c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</row>
    <row r="43" spans="1:33" x14ac:dyDescent="0.3">
      <c r="A43" s="179" t="str">
        <f>'ESS Jul 2022'!K29</f>
        <v>Powerdirect</v>
      </c>
      <c r="B43" s="180">
        <f>'ESS Jul 2022'!G29</f>
        <v>43284</v>
      </c>
      <c r="C43" s="181">
        <f>91*'ESS Jul 2022'!M29/100</f>
        <v>156.82609090909088</v>
      </c>
      <c r="D43" s="181">
        <f>($C$30*$C$31)*'ESS Jul 2022'!N29/100</f>
        <v>400.90909090909088</v>
      </c>
      <c r="E43" s="182">
        <v>0</v>
      </c>
      <c r="F43" s="181">
        <v>0</v>
      </c>
      <c r="G43" s="181">
        <f>($C$30*$C$32)*'ESS Jul 2022'!AE29/100</f>
        <v>95.127272727272725</v>
      </c>
      <c r="H43" s="183">
        <f t="shared" si="8"/>
        <v>652.86245454545451</v>
      </c>
      <c r="I43" s="202">
        <f t="shared" si="9"/>
        <v>2872.5948000000003</v>
      </c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</row>
    <row r="44" spans="1:33" x14ac:dyDescent="0.3">
      <c r="A44" s="179" t="str">
        <f>'ESS Jul 2022'!K30</f>
        <v>Powershop</v>
      </c>
      <c r="B44" s="180">
        <f>'ESS Jul 2022'!G30</f>
        <v>43281</v>
      </c>
      <c r="C44" s="181">
        <f>91*'ESS Jul 2022'!M30/100</f>
        <v>168.49890909090908</v>
      </c>
      <c r="D44" s="181">
        <f>($C$30*$C$31)*'ESS Jul 2022'!N30/100</f>
        <v>391.61818181818177</v>
      </c>
      <c r="E44" s="182">
        <v>0</v>
      </c>
      <c r="F44" s="181">
        <v>0</v>
      </c>
      <c r="G44" s="181">
        <f>($C$30*$C$32)*'ESS Jul 2022'!AE30/100</f>
        <v>90.163636363636357</v>
      </c>
      <c r="H44" s="183">
        <f t="shared" si="8"/>
        <v>650.28072727272718</v>
      </c>
      <c r="I44" s="202">
        <f t="shared" si="9"/>
        <v>2861.2351999999996</v>
      </c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</row>
    <row r="45" spans="1:33" x14ac:dyDescent="0.3">
      <c r="A45" s="179" t="str">
        <f>'ESS Jul 2022'!K31</f>
        <v>Red Energy</v>
      </c>
      <c r="B45" s="180">
        <f>'ESS Jul 2022'!G31</f>
        <v>43281</v>
      </c>
      <c r="C45" s="181">
        <f>91*'ESS Jul 2022'!M31/100</f>
        <v>146.51</v>
      </c>
      <c r="D45" s="181">
        <f>($C$30*$C$31)*'ESS Jul 2022'!N31/100</f>
        <v>396.19999999999993</v>
      </c>
      <c r="E45" s="182">
        <v>0</v>
      </c>
      <c r="F45" s="181">
        <v>0</v>
      </c>
      <c r="G45" s="181">
        <f>($C$30*$C$32)*'ESS Jul 2022'!AE31/100</f>
        <v>107.4</v>
      </c>
      <c r="H45" s="183">
        <f t="shared" si="8"/>
        <v>650.1099999999999</v>
      </c>
      <c r="I45" s="202">
        <f t="shared" si="9"/>
        <v>2860.4839999999999</v>
      </c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</row>
    <row r="46" spans="1:33" x14ac:dyDescent="0.3">
      <c r="A46" s="179" t="str">
        <f>'ESS Jul 2022'!K32</f>
        <v>Simply Energy</v>
      </c>
      <c r="B46" s="180">
        <f>'ESS Jul 2022'!G32</f>
        <v>43281</v>
      </c>
      <c r="C46" s="181">
        <f>91*'ESS Jul 2022'!M32/100</f>
        <v>137.12872727272725</v>
      </c>
      <c r="D46" s="181">
        <f>IF($C$30*$C$31&gt;='ESS Jul 2022'!P32,('ESS Jul 2022'!P32*'ESS Jul 2022'!N32/100),(($C$30*$C$31)*'ESS Jul 2022'!N32/100))</f>
        <v>357.26599999999996</v>
      </c>
      <c r="E46" s="182">
        <v>0</v>
      </c>
      <c r="F46" s="181">
        <f>IF(($C$30*$C$31&lt;'ESS Jul 2022'!R32),(0),($C$30*$C$31-'ESS Jul 2022'!R32)*'ESS Jul 2022'!S32/100)</f>
        <v>68.788999999999987</v>
      </c>
      <c r="G46" s="181">
        <f>($C$30*$C$32)*'ESS Jul 2022'!AE32/100</f>
        <v>97.309090909090884</v>
      </c>
      <c r="H46" s="183">
        <f t="shared" si="8"/>
        <v>660.49281818181805</v>
      </c>
      <c r="I46" s="202">
        <f t="shared" si="9"/>
        <v>2906.1683999999996</v>
      </c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</row>
    <row r="47" spans="1:33" x14ac:dyDescent="0.3">
      <c r="A47" s="179" t="str">
        <f>'ESS Jul 2022'!K33</f>
        <v>1st Energy</v>
      </c>
      <c r="B47" s="180">
        <f>'ESS Jul 2022'!G33</f>
        <v>43281</v>
      </c>
      <c r="C47" s="181">
        <f>91*'ESS Jul 2022'!M33/100</f>
        <v>166.53</v>
      </c>
      <c r="D47" s="181">
        <f>IF($C$30*$C$31&gt;='ESS Jul 2022'!P33,('ESS Jul 2022'!P33*'ESS Jul 2022'!N33/100),(($C$30*$C$31)*'ESS Jul 2022'!N33/100))</f>
        <v>375.29999999999995</v>
      </c>
      <c r="E47" s="182">
        <v>0</v>
      </c>
      <c r="F47" s="181">
        <f>IF(($C$30*$C$31&lt;'ESS Jul 2022'!R33),(0),($C$30*$C$31-'ESS Jul 2022'!R33)*'ESS Jul 2022'!S33/100)</f>
        <v>16.149999999999999</v>
      </c>
      <c r="G47" s="181">
        <f>($C$30*$C$32)*'ESS Jul 2022'!AE33/100</f>
        <v>76.2</v>
      </c>
      <c r="H47" s="183">
        <f t="shared" si="8"/>
        <v>634.17999999999995</v>
      </c>
      <c r="I47" s="202">
        <f t="shared" si="9"/>
        <v>2790.3919999999998</v>
      </c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</row>
    <row r="48" spans="1:33" x14ac:dyDescent="0.3">
      <c r="A48" s="179" t="str">
        <f>'ESS Jul 2022'!K34</f>
        <v>ReAmped Energy</v>
      </c>
      <c r="B48" s="180">
        <f>'ESS Jul 2022'!G34</f>
        <v>43281</v>
      </c>
      <c r="C48" s="181">
        <f>91*'ESS Jul 2022'!M34/100</f>
        <v>122.85</v>
      </c>
      <c r="D48" s="181">
        <f>($C$30*$C$31)*'ESS Jul 2022'!N34/100</f>
        <v>428.2727272727272</v>
      </c>
      <c r="E48" s="182">
        <v>0</v>
      </c>
      <c r="F48" s="181">
        <v>0</v>
      </c>
      <c r="G48" s="181">
        <f>($C$30*$C$32)*'ESS Jul 2022'!AE34/100</f>
        <v>108.59999999999998</v>
      </c>
      <c r="H48" s="183">
        <f t="shared" si="8"/>
        <v>659.72272727272718</v>
      </c>
      <c r="I48" s="202">
        <f t="shared" si="9"/>
        <v>2902.7799999999997</v>
      </c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</row>
    <row r="49" spans="1:33" x14ac:dyDescent="0.3">
      <c r="A49" s="179" t="str">
        <f>'ESS Jul 2022'!K35</f>
        <v>Nectr</v>
      </c>
      <c r="B49" s="180">
        <f>'ESS Jul 2022'!G35</f>
        <v>43281</v>
      </c>
      <c r="C49" s="181">
        <f>91*'ESS Jul 2022'!M35/100</f>
        <v>137.40999999999997</v>
      </c>
      <c r="D49" s="181">
        <f>($C$30*$C$31)*'ESS Jul 2022'!N35/100</f>
        <v>410.89999999999992</v>
      </c>
      <c r="E49" s="182">
        <v>0</v>
      </c>
      <c r="F49" s="181">
        <v>0</v>
      </c>
      <c r="G49" s="181">
        <f>($C$30*$C$32)*'ESS Jul 2022'!AE35/100</f>
        <v>108.59999999999998</v>
      </c>
      <c r="H49" s="183">
        <f t="shared" si="8"/>
        <v>656.91</v>
      </c>
      <c r="I49" s="202">
        <f t="shared" si="9"/>
        <v>2890.404</v>
      </c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</row>
    <row r="50" spans="1:33" x14ac:dyDescent="0.3">
      <c r="A50" s="179" t="str">
        <f>'ESS Jul 2022'!K36</f>
        <v>Tango Energy</v>
      </c>
      <c r="B50" s="180">
        <f>'ESS Jul 2022'!G36</f>
        <v>43281</v>
      </c>
      <c r="C50" s="181">
        <f>91*'ESS Jul 2022'!M36/100</f>
        <v>157.43</v>
      </c>
      <c r="D50" s="181">
        <f>($C$30*$C$31)*'ESS Jul 2022'!N36/100</f>
        <v>396.19999999999993</v>
      </c>
      <c r="E50" s="182">
        <v>0</v>
      </c>
      <c r="F50" s="181">
        <v>0</v>
      </c>
      <c r="G50" s="181">
        <f>($C$30*$C$32)*'ESS Jul 2022'!AE36/100</f>
        <v>98.999999999999986</v>
      </c>
      <c r="H50" s="183">
        <f t="shared" si="8"/>
        <v>652.62999999999988</v>
      </c>
      <c r="I50" s="202">
        <f t="shared" si="9"/>
        <v>2871.5719999999997</v>
      </c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</row>
    <row r="51" spans="1:33" customFormat="1" x14ac:dyDescent="0.3">
      <c r="A51" s="330"/>
      <c r="B51" s="330"/>
      <c r="C51" s="330"/>
      <c r="D51" s="330"/>
      <c r="E51" s="330"/>
      <c r="F51" s="330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</row>
    <row r="52" spans="1:33" customFormat="1" ht="14" thickBot="1" x14ac:dyDescent="0.35">
      <c r="A52" s="330"/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</row>
    <row r="53" spans="1:33" ht="14" x14ac:dyDescent="0.3">
      <c r="A53" s="176" t="s">
        <v>94</v>
      </c>
      <c r="B53" s="91"/>
      <c r="C53" s="91"/>
      <c r="D53" s="91"/>
      <c r="E53" s="91"/>
      <c r="F53" s="91"/>
      <c r="G53" s="91"/>
      <c r="H53" s="91"/>
      <c r="I53" s="177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</row>
    <row r="54" spans="1:33" ht="14" x14ac:dyDescent="0.3">
      <c r="A54" s="92" t="s">
        <v>79</v>
      </c>
      <c r="B54" s="93"/>
      <c r="C54" s="168">
        <v>1800</v>
      </c>
      <c r="D54" s="93"/>
      <c r="E54" s="93"/>
      <c r="F54" s="93"/>
      <c r="G54" s="93"/>
      <c r="H54" s="93"/>
      <c r="I54" s="178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</row>
    <row r="55" spans="1:33" ht="14" x14ac:dyDescent="0.3">
      <c r="A55" s="92" t="s">
        <v>91</v>
      </c>
      <c r="B55" s="93"/>
      <c r="C55" s="257">
        <v>0.2</v>
      </c>
      <c r="D55" s="93"/>
      <c r="E55" s="93"/>
      <c r="F55" s="93"/>
      <c r="G55" s="93"/>
      <c r="H55" s="93"/>
      <c r="I55" s="178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</row>
    <row r="56" spans="1:33" ht="14" x14ac:dyDescent="0.3">
      <c r="A56" s="92" t="s">
        <v>95</v>
      </c>
      <c r="B56" s="93"/>
      <c r="C56" s="257">
        <v>0.5</v>
      </c>
      <c r="D56" s="93"/>
      <c r="E56" s="93"/>
      <c r="F56" s="93"/>
      <c r="G56" s="93"/>
      <c r="H56" s="93"/>
      <c r="I56" s="178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</row>
    <row r="57" spans="1:33" ht="14" x14ac:dyDescent="0.3">
      <c r="A57" s="92" t="s">
        <v>92</v>
      </c>
      <c r="B57" s="93"/>
      <c r="C57" s="257">
        <v>0.3</v>
      </c>
      <c r="D57" s="93"/>
      <c r="E57" s="93"/>
      <c r="F57" s="93"/>
      <c r="G57" s="93"/>
      <c r="H57" s="93"/>
      <c r="I57" s="178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</row>
    <row r="58" spans="1:33" ht="14" x14ac:dyDescent="0.3">
      <c r="A58" s="166"/>
      <c r="B58" s="93"/>
      <c r="C58" s="167"/>
      <c r="D58" s="93"/>
      <c r="E58" s="93"/>
      <c r="F58" s="93"/>
      <c r="G58" s="93"/>
      <c r="H58" s="93"/>
      <c r="I58" s="178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</row>
    <row r="59" spans="1:33" ht="28" x14ac:dyDescent="0.3">
      <c r="A59" s="301" t="s">
        <v>80</v>
      </c>
      <c r="B59" s="297" t="s">
        <v>81</v>
      </c>
      <c r="C59" s="298" t="s">
        <v>82</v>
      </c>
      <c r="D59" s="298" t="s">
        <v>96</v>
      </c>
      <c r="E59" s="299" t="s">
        <v>86</v>
      </c>
      <c r="F59" s="299" t="s">
        <v>97</v>
      </c>
      <c r="G59" s="299" t="s">
        <v>98</v>
      </c>
      <c r="H59" s="298" t="s">
        <v>87</v>
      </c>
      <c r="I59" s="300" t="s">
        <v>88</v>
      </c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</row>
    <row r="60" spans="1:33" x14ac:dyDescent="0.3">
      <c r="A60" s="179" t="str">
        <f>'ESS Jul 2022'!K37</f>
        <v>AGL</v>
      </c>
      <c r="B60" s="180">
        <f>'ESS Jul 2022'!G37</f>
        <v>43284</v>
      </c>
      <c r="C60" s="181">
        <f>91*'ESS Jul 2022'!M37/100</f>
        <v>146.06327272727273</v>
      </c>
      <c r="D60" s="181">
        <f>($C$54*$C$55)*'ESS Jul 2022'!N37/100</f>
        <v>135.35999999999999</v>
      </c>
      <c r="E60" s="181">
        <v>0</v>
      </c>
      <c r="F60" s="181">
        <f>($C$54*$C$56)*'ESS Jul 2022'!AH37/100</f>
        <v>329.89090909090902</v>
      </c>
      <c r="G60" s="181">
        <f>($C$54*$C$57)*'ESS Jul 2022'!W37/100</f>
        <v>115.6581818181818</v>
      </c>
      <c r="H60" s="183">
        <f t="shared" ref="H60:H73" si="12">SUM(C60:G60)</f>
        <v>726.97236363636353</v>
      </c>
      <c r="I60" s="202">
        <f t="shared" ref="I60:I73" si="13">(H60*4)*1.1</f>
        <v>3198.6783999999998</v>
      </c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</row>
    <row r="61" spans="1:33" x14ac:dyDescent="0.3">
      <c r="A61" s="179" t="str">
        <f>'ESS Jul 2022'!K38</f>
        <v>Alinta Energy</v>
      </c>
      <c r="B61" s="180">
        <f>'ESS Jul 2022'!G38</f>
        <v>43281</v>
      </c>
      <c r="C61" s="181">
        <f>91*'ESS Jul 2022'!M38/100</f>
        <v>133.71209090909088</v>
      </c>
      <c r="D61" s="181">
        <f>($C$54*$C$55)*'ESS Jul 2022'!N38/100</f>
        <v>142.03636363636363</v>
      </c>
      <c r="E61" s="181">
        <v>0</v>
      </c>
      <c r="F61" s="181">
        <f>($C$54*$C$56)*'ESS Jul 2022'!AH38/100</f>
        <v>335.37272727272727</v>
      </c>
      <c r="G61" s="181">
        <f>($C$54*$C$57)*'ESS Jul 2022'!W38/100</f>
        <v>118.21090909090907</v>
      </c>
      <c r="H61" s="183">
        <f t="shared" si="12"/>
        <v>729.33209090909077</v>
      </c>
      <c r="I61" s="202">
        <f t="shared" si="13"/>
        <v>3209.0611999999996</v>
      </c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</row>
    <row r="62" spans="1:33" x14ac:dyDescent="0.3">
      <c r="A62" s="179" t="str">
        <f>'ESS Jul 2022'!K39</f>
        <v>CovaU</v>
      </c>
      <c r="B62" s="180">
        <f>'ESS Jul 2022'!G39</f>
        <v>43281</v>
      </c>
      <c r="C62" s="181">
        <f>91*'ESS Jul 2022'!M39/100</f>
        <v>109.19999999999999</v>
      </c>
      <c r="D62" s="181">
        <f>($C$54*$C$55)*'ESS Jul 2022'!N39/100</f>
        <v>162.71999999999997</v>
      </c>
      <c r="E62" s="181">
        <v>0</v>
      </c>
      <c r="F62" s="181">
        <f>($C$54*$C$56)*'ESS Jul 2022'!AH39/100</f>
        <v>343.8</v>
      </c>
      <c r="G62" s="181">
        <f>($C$54*$C$57)*'ESS Jul 2022'!W39/100</f>
        <v>130.13999999999999</v>
      </c>
      <c r="H62" s="183">
        <f t="shared" si="12"/>
        <v>745.86</v>
      </c>
      <c r="I62" s="202">
        <f t="shared" si="13"/>
        <v>3281.7840000000001</v>
      </c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</row>
    <row r="63" spans="1:33" x14ac:dyDescent="0.3">
      <c r="A63" s="179" t="str">
        <f>'ESS Jul 2022'!K40</f>
        <v>Dodo Power &amp; Gas</v>
      </c>
      <c r="B63" s="180">
        <f>'ESS Jul 2022'!G40</f>
        <v>43281</v>
      </c>
      <c r="C63" s="181">
        <f>91*'ESS Jul 2022'!M40/100</f>
        <v>198.38827272727269</v>
      </c>
      <c r="D63" s="181">
        <f>($C$54*$C$55)*'ESS Jul 2022'!N40/100</f>
        <v>109.24363636363636</v>
      </c>
      <c r="E63" s="181">
        <v>0</v>
      </c>
      <c r="F63" s="181">
        <f>($C$54*$C$56)*'ESS Jul 2022'!AH40/100</f>
        <v>245.69999999999996</v>
      </c>
      <c r="G63" s="181">
        <f>($C$54*$C$57)*'ESS Jul 2022'!W40/100</f>
        <v>104.90727272727273</v>
      </c>
      <c r="H63" s="183">
        <f t="shared" si="12"/>
        <v>658.23918181818169</v>
      </c>
      <c r="I63" s="202">
        <f t="shared" si="13"/>
        <v>2896.2523999999999</v>
      </c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</row>
    <row r="64" spans="1:33" x14ac:dyDescent="0.3">
      <c r="A64" s="179" t="str">
        <f>'ESS Jul 2022'!K41</f>
        <v>EnergyAustralia</v>
      </c>
      <c r="B64" s="180">
        <f>'ESS Jul 2022'!G41</f>
        <v>43281</v>
      </c>
      <c r="C64" s="181">
        <f>91*'ESS Jul 2022'!M41/100</f>
        <v>138.77500000000001</v>
      </c>
      <c r="D64" s="181">
        <f>($C$54*$C$55)*'ESS Jul 2022'!N41/100</f>
        <v>146.09454545454545</v>
      </c>
      <c r="E64" s="181">
        <v>0</v>
      </c>
      <c r="F64" s="181">
        <f>($C$54*$C$56)*'ESS Jul 2022'!AH41/100</f>
        <v>301.25454545454539</v>
      </c>
      <c r="G64" s="181">
        <f>($C$54*$C$57)*'ESS Jul 2022'!W41/100</f>
        <v>123.61090909090906</v>
      </c>
      <c r="H64" s="183">
        <f t="shared" si="12"/>
        <v>709.73500000000001</v>
      </c>
      <c r="I64" s="202">
        <f t="shared" si="13"/>
        <v>3122.8340000000003</v>
      </c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</row>
    <row r="65" spans="1:1050" x14ac:dyDescent="0.3">
      <c r="A65" s="179" t="str">
        <f>'ESS Jul 2022'!K42</f>
        <v>Momentum Energy</v>
      </c>
      <c r="B65" s="180">
        <f>'ESS Jul 2022'!G42</f>
        <v>43281</v>
      </c>
      <c r="C65" s="181">
        <f>91*'ESS Jul 2022'!M42/100</f>
        <v>136.5</v>
      </c>
      <c r="D65" s="181">
        <f>($C$54*$C$55)*'ESS Jul 2022'!N42/100</f>
        <v>135.98181818181817</v>
      </c>
      <c r="E65" s="181">
        <v>0</v>
      </c>
      <c r="F65" s="181">
        <f>($C$54*$C$56)*'ESS Jul 2022'!AH42/100</f>
        <v>304.77272727272725</v>
      </c>
      <c r="G65" s="181">
        <f>($C$54*$C$57)*'ESS Jul 2022'!W42/100</f>
        <v>129.35454545454544</v>
      </c>
      <c r="H65" s="183">
        <f t="shared" si="12"/>
        <v>706.60909090909092</v>
      </c>
      <c r="I65" s="202">
        <f t="shared" si="13"/>
        <v>3109.0800000000004</v>
      </c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</row>
    <row r="66" spans="1:1050" x14ac:dyDescent="0.3">
      <c r="A66" s="179" t="str">
        <f>'ESS Jul 2022'!K43</f>
        <v>Origin Energy</v>
      </c>
      <c r="B66" s="180">
        <f>'ESS Jul 2022'!G43</f>
        <v>43281</v>
      </c>
      <c r="C66" s="181">
        <f>91*'ESS Jul 2022'!M43/100</f>
        <v>132.12372727272725</v>
      </c>
      <c r="D66" s="181">
        <f>($C$54*$C$55)*'ESS Jul 2022'!N43/100</f>
        <v>139.32</v>
      </c>
      <c r="E66" s="181">
        <v>0</v>
      </c>
      <c r="F66" s="181">
        <f>($C$54*$C$56)*'ESS Jul 2022'!AH43/100</f>
        <v>333.32727272727271</v>
      </c>
      <c r="G66" s="181">
        <f>($C$54*$C$57)*'ESS Jul 2022'!W43/100</f>
        <v>122.03999999999998</v>
      </c>
      <c r="H66" s="183">
        <f t="shared" si="12"/>
        <v>726.81099999999992</v>
      </c>
      <c r="I66" s="202">
        <f t="shared" si="13"/>
        <v>3197.9683999999997</v>
      </c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</row>
    <row r="67" spans="1:1050" x14ac:dyDescent="0.3">
      <c r="A67" s="179" t="str">
        <f>'ESS Jul 2022'!K44</f>
        <v>Powerdirect</v>
      </c>
      <c r="B67" s="180">
        <f>'ESS Jul 2022'!G44</f>
        <v>43284</v>
      </c>
      <c r="C67" s="181">
        <f>91*'ESS Jul 2022'!M44/100</f>
        <v>146.06327272727273</v>
      </c>
      <c r="D67" s="181">
        <f>($C$54*$C$55)*'ESS Jul 2022'!N44/100</f>
        <v>135.35999999999999</v>
      </c>
      <c r="E67" s="181">
        <v>0</v>
      </c>
      <c r="F67" s="181">
        <f>($C$54*$C$56)*'ESS Jul 2022'!AH44/100</f>
        <v>329.89090909090902</v>
      </c>
      <c r="G67" s="181">
        <f>($C$54*$C$57)*'ESS Jul 2022'!W44/100</f>
        <v>115.6581818181818</v>
      </c>
      <c r="H67" s="183">
        <f t="shared" si="12"/>
        <v>726.97236363636353</v>
      </c>
      <c r="I67" s="202">
        <f t="shared" si="13"/>
        <v>3198.6783999999998</v>
      </c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</row>
    <row r="68" spans="1:1050" x14ac:dyDescent="0.3">
      <c r="A68" s="179" t="str">
        <f>'ESS Jul 2022'!K45</f>
        <v>Powershop</v>
      </c>
      <c r="B68" s="180">
        <f>'ESS Jul 2022'!G45</f>
        <v>43281</v>
      </c>
      <c r="C68" s="181">
        <f>91*'ESS Jul 2022'!M45/100</f>
        <v>153.18609090909089</v>
      </c>
      <c r="D68" s="181">
        <f>($C$54*$C$55)*'ESS Jul 2022'!N45/100</f>
        <v>127.47272727272725</v>
      </c>
      <c r="E68" s="181">
        <v>0</v>
      </c>
      <c r="F68" s="181">
        <f>($C$54*$C$56)*'ESS Jul 2022'!AH45/100</f>
        <v>297.4909090909091</v>
      </c>
      <c r="G68" s="181">
        <f>($C$54*$C$57)*'ESS Jul 2022'!W45/100</f>
        <v>121.10727272727271</v>
      </c>
      <c r="H68" s="183">
        <f t="shared" si="12"/>
        <v>699.25699999999995</v>
      </c>
      <c r="I68" s="202">
        <f t="shared" si="13"/>
        <v>3076.7307999999998</v>
      </c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</row>
    <row r="69" spans="1:1050" x14ac:dyDescent="0.3">
      <c r="A69" s="179" t="str">
        <f>'ESS Jul 2022'!K46</f>
        <v>Red Energy</v>
      </c>
      <c r="B69" s="180">
        <f>'ESS Jul 2022'!G46</f>
        <v>43281</v>
      </c>
      <c r="C69" s="181">
        <f>91*'ESS Jul 2022'!M46/100</f>
        <v>146.51</v>
      </c>
      <c r="D69" s="181">
        <f>($C$54*$C$55)*'ESS Jul 2022'!N46/100</f>
        <v>145.79999999999998</v>
      </c>
      <c r="E69" s="181">
        <v>0</v>
      </c>
      <c r="F69" s="181">
        <f>($C$54*$C$56)*'ESS Jul 2022'!AH46/100</f>
        <v>265.5</v>
      </c>
      <c r="G69" s="181">
        <f>($C$54*$C$57)*'ESS Jul 2022'!W46/100</f>
        <v>126.35999999999999</v>
      </c>
      <c r="H69" s="183">
        <f t="shared" si="12"/>
        <v>684.17</v>
      </c>
      <c r="I69" s="202">
        <f t="shared" si="13"/>
        <v>3010.348</v>
      </c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</row>
    <row r="70" spans="1:1050" x14ac:dyDescent="0.3">
      <c r="A70" s="179" t="str">
        <f>'ESS Jul 2022'!K47</f>
        <v>Simply Energy</v>
      </c>
      <c r="B70" s="180">
        <f>'ESS Jul 2022'!G47</f>
        <v>43281</v>
      </c>
      <c r="C70" s="181">
        <f>91*'ESS Jul 2022'!M47/100</f>
        <v>130.767</v>
      </c>
      <c r="D70" s="181">
        <f>($C$54*$C$55)*'ESS Jul 2022'!N47/100</f>
        <v>161.99999999999997</v>
      </c>
      <c r="E70" s="181">
        <v>0</v>
      </c>
      <c r="F70" s="181">
        <f>($C$54*$C$56)*'ESS Jul 2022'!AH47/100</f>
        <v>276.87272727272727</v>
      </c>
      <c r="G70" s="181">
        <f>($C$54*$C$57)*'ESS Jul 2022'!W47/100</f>
        <v>131.07272727272726</v>
      </c>
      <c r="H70" s="183">
        <f t="shared" si="12"/>
        <v>700.71245454545442</v>
      </c>
      <c r="I70" s="202">
        <f t="shared" si="13"/>
        <v>3083.1347999999998</v>
      </c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</row>
    <row r="71" spans="1:1050" x14ac:dyDescent="0.3">
      <c r="A71" s="179" t="str">
        <f>'ESS Jul 2022'!K48</f>
        <v>1st Energy</v>
      </c>
      <c r="B71" s="180">
        <f>'ESS Jul 2022'!G48</f>
        <v>43281</v>
      </c>
      <c r="C71" s="181">
        <f>91*'ESS Jul 2022'!M48/100</f>
        <v>154.69999999999999</v>
      </c>
      <c r="D71" s="181">
        <f>($C$54*$C$55)*'ESS Jul 2022'!N48/100</f>
        <v>125.64</v>
      </c>
      <c r="E71" s="181">
        <v>0</v>
      </c>
      <c r="F71" s="181">
        <f>($C$54*$C$56)*'ESS Jul 2022'!AH48/100</f>
        <v>296.10000000000002</v>
      </c>
      <c r="G71" s="181">
        <f>($C$54*$C$57)*'ESS Jul 2022'!W48/100</f>
        <v>120.42</v>
      </c>
      <c r="H71" s="183">
        <f t="shared" si="12"/>
        <v>696.86</v>
      </c>
      <c r="I71" s="202">
        <f t="shared" si="13"/>
        <v>3066.1840000000002</v>
      </c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</row>
    <row r="72" spans="1:1050" s="266" customFormat="1" x14ac:dyDescent="0.3">
      <c r="A72" s="179" t="str">
        <f>'ESS Jul 2022'!K49</f>
        <v>Nectr</v>
      </c>
      <c r="B72" s="180">
        <f>'ESS Jul 2022'!G49</f>
        <v>43281</v>
      </c>
      <c r="C72" s="181">
        <f>91*'ESS Jul 2022'!M49/100</f>
        <v>141.05000000000001</v>
      </c>
      <c r="D72" s="181">
        <f>($C$54*$C$55)*'ESS Jul 2022'!N49/100</f>
        <v>141.11999999999998</v>
      </c>
      <c r="E72" s="181">
        <v>0</v>
      </c>
      <c r="F72" s="181">
        <f>($C$54*$C$56)*'ESS Jul 2022'!AH49/100</f>
        <v>315</v>
      </c>
      <c r="G72" s="181">
        <f>($C$54*$C$57)*'ESS Jul 2022'!W49/100</f>
        <v>119.33999999999997</v>
      </c>
      <c r="H72" s="183">
        <f t="shared" si="12"/>
        <v>716.51</v>
      </c>
      <c r="I72" s="202">
        <f t="shared" si="13"/>
        <v>3152.6440000000002</v>
      </c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</row>
    <row r="73" spans="1:1050" ht="14" thickBot="1" x14ac:dyDescent="0.35">
      <c r="A73" s="184" t="str">
        <f>'ESS Jul 2022'!K50</f>
        <v>Tango Energy</v>
      </c>
      <c r="B73" s="185">
        <f>'ESS Jul 2022'!G50</f>
        <v>43281</v>
      </c>
      <c r="C73" s="186">
        <f>91*'ESS Jul 2022'!M50/100</f>
        <v>145.6</v>
      </c>
      <c r="D73" s="186">
        <f>($C$54*$C$55)*'ESS Jul 2022'!N50/100</f>
        <v>128.45454545454544</v>
      </c>
      <c r="E73" s="181">
        <v>0</v>
      </c>
      <c r="F73" s="186">
        <f>($C$54*$C$56)*'ESS Jul 2022'!AH50/100</f>
        <v>295.03636363636366</v>
      </c>
      <c r="G73" s="186">
        <f>($C$54*$C$57)*'ESS Jul 2022'!W50/100</f>
        <v>128.71636363636361</v>
      </c>
      <c r="H73" s="188">
        <f t="shared" si="12"/>
        <v>697.80727272727268</v>
      </c>
      <c r="I73" s="203">
        <f t="shared" si="13"/>
        <v>3070.3519999999999</v>
      </c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</row>
    <row r="74" spans="1:1050" customFormat="1" x14ac:dyDescent="0.3">
      <c r="A74" s="330"/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</row>
    <row r="75" spans="1:1050" customFormat="1" x14ac:dyDescent="0.3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</row>
    <row r="76" spans="1:1050" customFormat="1" x14ac:dyDescent="0.3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</row>
    <row r="77" spans="1:1050" customFormat="1" x14ac:dyDescent="0.3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</row>
    <row r="78" spans="1:1050" customFormat="1" x14ac:dyDescent="0.3">
      <c r="A78" s="330"/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</row>
    <row r="79" spans="1:1050" customFormat="1" x14ac:dyDescent="0.3">
      <c r="A79" s="330"/>
      <c r="B79" s="330"/>
      <c r="C79" s="330"/>
      <c r="D79" s="330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</row>
    <row r="80" spans="1:1050" customFormat="1" x14ac:dyDescent="0.3">
      <c r="A80" s="330"/>
      <c r="B80" s="330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</row>
    <row r="81" spans="1:33" customFormat="1" x14ac:dyDescent="0.3">
      <c r="A81" s="330"/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</row>
    <row r="82" spans="1:33" customFormat="1" x14ac:dyDescent="0.3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</row>
    <row r="83" spans="1:33" customFormat="1" x14ac:dyDescent="0.3">
      <c r="A83" s="330"/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</row>
    <row r="84" spans="1:33" customFormat="1" x14ac:dyDescent="0.3">
      <c r="A84" s="330"/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</row>
    <row r="85" spans="1:33" customFormat="1" x14ac:dyDescent="0.3">
      <c r="A85" s="330"/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</row>
    <row r="86" spans="1:33" customFormat="1" x14ac:dyDescent="0.3">
      <c r="A86" s="330"/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</row>
    <row r="87" spans="1:33" customFormat="1" x14ac:dyDescent="0.3">
      <c r="A87" s="330"/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</row>
    <row r="88" spans="1:33" customFormat="1" x14ac:dyDescent="0.3">
      <c r="A88" s="330"/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</row>
    <row r="89" spans="1:33" customFormat="1" x14ac:dyDescent="0.3">
      <c r="A89" s="330"/>
      <c r="B89" s="330"/>
      <c r="C89" s="330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</row>
    <row r="90" spans="1:33" customFormat="1" x14ac:dyDescent="0.3">
      <c r="A90" s="330"/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</row>
    <row r="91" spans="1:33" customFormat="1" x14ac:dyDescent="0.3">
      <c r="A91" s="330"/>
      <c r="B91" s="330"/>
      <c r="C91" s="330"/>
      <c r="D91" s="330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</row>
    <row r="92" spans="1:33" customFormat="1" x14ac:dyDescent="0.3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</row>
    <row r="93" spans="1:33" customFormat="1" x14ac:dyDescent="0.3">
      <c r="A93" s="330"/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</row>
    <row r="94" spans="1:33" customFormat="1" x14ac:dyDescent="0.3">
      <c r="A94" s="330"/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</row>
    <row r="95" spans="1:33" customFormat="1" x14ac:dyDescent="0.3">
      <c r="A95" s="330"/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</row>
    <row r="96" spans="1:33" customFormat="1" x14ac:dyDescent="0.3">
      <c r="A96" s="330"/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</row>
    <row r="97" spans="1:33" customFormat="1" x14ac:dyDescent="0.3">
      <c r="A97" s="330"/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</row>
    <row r="98" spans="1:33" customFormat="1" x14ac:dyDescent="0.3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</row>
    <row r="99" spans="1:33" customFormat="1" x14ac:dyDescent="0.3">
      <c r="A99" s="330"/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</row>
    <row r="100" spans="1:33" customFormat="1" x14ac:dyDescent="0.3">
      <c r="A100" s="330"/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</row>
    <row r="101" spans="1:33" customFormat="1" x14ac:dyDescent="0.3">
      <c r="A101" s="330"/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</row>
    <row r="102" spans="1:33" customFormat="1" x14ac:dyDescent="0.3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</row>
    <row r="103" spans="1:33" customFormat="1" x14ac:dyDescent="0.3">
      <c r="A103" s="330"/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</row>
    <row r="104" spans="1:33" customFormat="1" x14ac:dyDescent="0.3">
      <c r="A104" s="330"/>
      <c r="B104" s="330"/>
      <c r="C104" s="330"/>
      <c r="D104" s="330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</row>
    <row r="105" spans="1:33" customFormat="1" x14ac:dyDescent="0.3">
      <c r="A105" s="330"/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</row>
    <row r="106" spans="1:33" customFormat="1" x14ac:dyDescent="0.3">
      <c r="A106" s="330"/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</row>
    <row r="107" spans="1:33" customFormat="1" x14ac:dyDescent="0.3">
      <c r="A107" s="330"/>
      <c r="B107" s="330"/>
      <c r="C107" s="330"/>
      <c r="D107" s="330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</row>
    <row r="108" spans="1:33" customFormat="1" x14ac:dyDescent="0.3"/>
    <row r="109" spans="1:33" customFormat="1" x14ac:dyDescent="0.3"/>
    <row r="110" spans="1:33" customFormat="1" x14ac:dyDescent="0.3"/>
    <row r="111" spans="1:33" customFormat="1" x14ac:dyDescent="0.3"/>
    <row r="112" spans="1:33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</sheetData>
  <sheetProtection algorithmName="SHA-512" hashValue="Vryz4yhEinVRHNuCiYoDCrPnsPlaThu9FaNr70VGJXhlMNV5AoO9/pZ/SHzqflQkVFzClVCQGQ38iy7d0KNnkA==" saltValue="wAHCA/EINQ+mGjo36eXBoQ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EB460"/>
  <sheetViews>
    <sheetView topLeftCell="A5" workbookViewId="0">
      <selection activeCell="C53" activeCellId="2" sqref="C5 C28:C30 C53:C56"/>
    </sheetView>
  </sheetViews>
  <sheetFormatPr defaultColWidth="10.84375" defaultRowHeight="13.5" x14ac:dyDescent="0.3"/>
  <cols>
    <col min="1" max="1" width="17.4609375" style="26" customWidth="1"/>
    <col min="2" max="2" width="12.4609375" style="26" customWidth="1"/>
    <col min="3" max="9" width="12.15234375" style="26" customWidth="1"/>
    <col min="10" max="16384" width="10.84375" style="26"/>
  </cols>
  <sheetData>
    <row r="1" spans="1:132" ht="14" x14ac:dyDescent="0.3">
      <c r="A1" s="172" t="s">
        <v>76</v>
      </c>
      <c r="B1" s="172"/>
      <c r="C1" s="172"/>
      <c r="D1" s="172"/>
      <c r="E1" s="172"/>
      <c r="F1" s="172"/>
      <c r="G1" s="172"/>
      <c r="H1" s="172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</row>
    <row r="2" spans="1:132" ht="14" x14ac:dyDescent="0.3">
      <c r="A2" s="174" t="s">
        <v>77</v>
      </c>
      <c r="B2" s="172"/>
      <c r="C2" s="172"/>
      <c r="D2" s="172"/>
      <c r="E2" s="172"/>
      <c r="F2" s="172"/>
      <c r="G2" s="172"/>
      <c r="H2" s="172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201"/>
      <c r="AC2" s="201"/>
      <c r="AD2" s="201"/>
      <c r="AE2" s="201"/>
      <c r="AF2" s="201"/>
      <c r="AG2" s="201"/>
      <c r="AH2" s="201"/>
      <c r="AI2" s="201"/>
      <c r="AJ2" s="201"/>
      <c r="AK2" s="201"/>
      <c r="AL2" s="201"/>
      <c r="AM2" s="201"/>
      <c r="AN2" s="201"/>
      <c r="AO2" s="201"/>
      <c r="AP2" s="201"/>
      <c r="AQ2" s="201"/>
      <c r="AR2" s="201"/>
      <c r="AS2" s="201"/>
      <c r="AT2" s="201"/>
      <c r="AU2" s="201"/>
      <c r="AV2" s="201"/>
      <c r="AW2" s="201"/>
      <c r="AX2" s="201"/>
      <c r="AY2" s="201"/>
      <c r="AZ2" s="201"/>
      <c r="BA2" s="201"/>
      <c r="BB2" s="201"/>
      <c r="BC2" s="201"/>
      <c r="BD2" s="201"/>
      <c r="BE2" s="201"/>
      <c r="BF2" s="201"/>
      <c r="BG2" s="201"/>
      <c r="BH2" s="201"/>
      <c r="BI2" s="201"/>
      <c r="BJ2" s="201"/>
      <c r="BK2" s="201"/>
      <c r="BL2" s="201"/>
      <c r="BM2" s="201"/>
      <c r="BN2" s="201"/>
      <c r="BO2" s="201"/>
      <c r="BP2" s="201"/>
      <c r="BQ2" s="201"/>
      <c r="BR2" s="201"/>
      <c r="BS2" s="201"/>
      <c r="BT2" s="201"/>
      <c r="BU2" s="201"/>
      <c r="BV2" s="201"/>
      <c r="BW2" s="201"/>
      <c r="BX2" s="201"/>
      <c r="BY2" s="201"/>
      <c r="BZ2" s="201"/>
      <c r="CA2" s="201"/>
      <c r="CB2" s="201"/>
      <c r="CC2" s="201"/>
      <c r="CD2" s="201"/>
      <c r="CE2" s="201"/>
      <c r="CF2" s="201"/>
      <c r="CG2" s="201"/>
      <c r="CH2" s="201"/>
      <c r="CI2" s="201"/>
      <c r="CJ2" s="201"/>
      <c r="CK2" s="201"/>
      <c r="CL2" s="201"/>
      <c r="CM2" s="201"/>
      <c r="CN2" s="201"/>
      <c r="CO2" s="201"/>
      <c r="CP2" s="201"/>
      <c r="CQ2" s="201"/>
      <c r="CR2" s="201"/>
      <c r="CS2" s="201"/>
      <c r="CT2" s="201"/>
      <c r="CU2" s="201"/>
      <c r="CV2" s="201"/>
      <c r="CW2" s="201"/>
      <c r="CX2" s="201"/>
      <c r="CY2" s="201"/>
      <c r="CZ2" s="201"/>
      <c r="DA2" s="201"/>
      <c r="DB2" s="201"/>
      <c r="DC2" s="201"/>
      <c r="DD2" s="201"/>
      <c r="DE2" s="201"/>
      <c r="DF2" s="201"/>
      <c r="DG2" s="201"/>
      <c r="DH2" s="201"/>
      <c r="DI2" s="201"/>
      <c r="DJ2" s="201"/>
      <c r="DK2" s="201"/>
      <c r="DL2" s="201"/>
      <c r="DM2" s="201"/>
      <c r="DN2" s="201"/>
      <c r="DO2" s="201"/>
      <c r="DP2" s="201"/>
      <c r="DQ2" s="201"/>
      <c r="DR2" s="201"/>
      <c r="DS2" s="201"/>
      <c r="DT2" s="201"/>
      <c r="DU2" s="201"/>
      <c r="DV2" s="201"/>
      <c r="DW2" s="201"/>
      <c r="DX2" s="201"/>
      <c r="DY2" s="201"/>
      <c r="DZ2" s="201"/>
      <c r="EA2" s="201"/>
      <c r="EB2" s="201"/>
    </row>
    <row r="3" spans="1:132" ht="14.5" thickBot="1" x14ac:dyDescent="0.35">
      <c r="A3" s="172"/>
      <c r="B3" s="172"/>
      <c r="C3" s="172"/>
      <c r="D3" s="172"/>
      <c r="E3" s="172"/>
      <c r="F3" s="201"/>
      <c r="G3" s="172"/>
      <c r="H3" s="172"/>
      <c r="I3" s="172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  <c r="BV3" s="201"/>
      <c r="BW3" s="201"/>
      <c r="BX3" s="201"/>
      <c r="BY3" s="201"/>
      <c r="BZ3" s="201"/>
      <c r="CA3" s="201"/>
      <c r="CB3" s="201"/>
      <c r="CC3" s="201"/>
      <c r="CD3" s="201"/>
      <c r="CE3" s="201"/>
      <c r="CF3" s="201"/>
      <c r="CG3" s="201"/>
      <c r="CH3" s="201"/>
      <c r="CI3" s="201"/>
      <c r="CJ3" s="201"/>
      <c r="CK3" s="201"/>
      <c r="CL3" s="201"/>
      <c r="CM3" s="201"/>
      <c r="CN3" s="201"/>
      <c r="CO3" s="201"/>
      <c r="CP3" s="201"/>
      <c r="CQ3" s="201"/>
      <c r="CR3" s="201"/>
      <c r="CS3" s="201"/>
      <c r="CT3" s="201"/>
      <c r="CU3" s="201"/>
      <c r="CV3" s="201"/>
      <c r="CW3" s="201"/>
      <c r="CX3" s="201"/>
      <c r="CY3" s="201"/>
      <c r="CZ3" s="201"/>
      <c r="DA3" s="201"/>
      <c r="DB3" s="201"/>
      <c r="DC3" s="201"/>
      <c r="DD3" s="201"/>
      <c r="DE3" s="201"/>
      <c r="DF3" s="201"/>
      <c r="DG3" s="201"/>
      <c r="DH3" s="201"/>
      <c r="DI3" s="201"/>
      <c r="DJ3" s="201"/>
      <c r="DK3" s="201"/>
      <c r="DL3" s="201"/>
      <c r="DM3" s="201"/>
      <c r="DN3" s="201"/>
      <c r="DO3" s="201"/>
      <c r="DP3" s="201"/>
      <c r="DQ3" s="201"/>
      <c r="DR3" s="201"/>
      <c r="DS3" s="201"/>
      <c r="DT3" s="201"/>
      <c r="DU3" s="201"/>
      <c r="DV3" s="201"/>
      <c r="DW3" s="201"/>
      <c r="DX3" s="201"/>
      <c r="DY3" s="201"/>
      <c r="DZ3" s="201"/>
      <c r="EA3" s="201"/>
      <c r="EB3" s="201"/>
    </row>
    <row r="4" spans="1:132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</row>
    <row r="5" spans="1:132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</row>
    <row r="6" spans="1:132" ht="14" x14ac:dyDescent="0.3">
      <c r="A6" s="92"/>
      <c r="B6" s="93"/>
      <c r="C6" s="93"/>
      <c r="D6" s="93"/>
      <c r="E6" s="93"/>
      <c r="F6" s="93"/>
      <c r="G6" s="93"/>
      <c r="H6" s="93"/>
      <c r="I6" s="178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  <c r="AY6" s="201"/>
      <c r="AZ6" s="201"/>
      <c r="BA6" s="201"/>
      <c r="BB6" s="201"/>
      <c r="BC6" s="201"/>
      <c r="BD6" s="201"/>
      <c r="BE6" s="201"/>
      <c r="BF6" s="201"/>
      <c r="BG6" s="201"/>
      <c r="BH6" s="201"/>
    </row>
    <row r="7" spans="1:132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8" t="s">
        <v>86</v>
      </c>
      <c r="H7" s="298" t="s">
        <v>87</v>
      </c>
      <c r="I7" s="300" t="s">
        <v>88</v>
      </c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  <c r="AG7" s="201"/>
      <c r="AH7" s="201"/>
      <c r="AI7" s="201"/>
      <c r="AJ7" s="201"/>
      <c r="AK7" s="201"/>
      <c r="AL7" s="201"/>
      <c r="AM7" s="201"/>
      <c r="AN7" s="201"/>
      <c r="AO7" s="201"/>
      <c r="AP7" s="201"/>
      <c r="AQ7" s="201"/>
      <c r="AR7" s="201"/>
      <c r="AS7" s="201"/>
      <c r="AT7" s="201"/>
      <c r="AU7" s="201"/>
      <c r="AV7" s="201"/>
      <c r="AW7" s="201"/>
      <c r="AX7" s="201"/>
      <c r="AY7" s="201"/>
      <c r="AZ7" s="201"/>
      <c r="BA7" s="201"/>
      <c r="BB7" s="201"/>
      <c r="BC7" s="201"/>
      <c r="BD7" s="201"/>
      <c r="BE7" s="201"/>
      <c r="BF7" s="201"/>
      <c r="BG7" s="201"/>
      <c r="BH7" s="201"/>
    </row>
    <row r="8" spans="1:132" ht="14" x14ac:dyDescent="0.3">
      <c r="A8" s="179" t="str">
        <f>'ESS Jul 2016'!K2</f>
        <v>1st Energy</v>
      </c>
      <c r="B8" s="180">
        <f>'ESS Jul 2016'!G2</f>
        <v>41114</v>
      </c>
      <c r="C8" s="181">
        <f>91*'ESS Jul 2016'!M2/100</f>
        <v>123.19580000000001</v>
      </c>
      <c r="D8" s="181">
        <f>IF($C$5&gt;='ESS Jul 2016'!P2,('ESS Jul 2016'!P2*'ESS Jul 2016'!N2/100),($C$5*'ESS Jul 2016'!N2/100))</f>
        <v>271.89999999999998</v>
      </c>
      <c r="E8" s="182">
        <f>IF($C$5&lt;'ESS Jul 2016'!P2,0,IF(($C$5)&lt;='ESS Jul 2016'!R2,(($C$5-'ESS Jul 2016'!P2)*'ESS Jul 2016'!Q2/100),(('ESS Jul 2016'!R2-'ESS Jul 2016'!P2)*'ESS Jul 2016'!Q2/100)))</f>
        <v>200.85</v>
      </c>
      <c r="F8" s="181">
        <v>0</v>
      </c>
      <c r="G8" s="181">
        <f>IF(($C$5&lt;'ESS Jul 2016'!R2),(0),($C$5-'ESS Jul 2016'!R2)*'ESS Jul 2016'!S2/100)</f>
        <v>13.19</v>
      </c>
      <c r="H8" s="183">
        <f>SUM(C8:G8)</f>
        <v>609.13580000000002</v>
      </c>
      <c r="I8" s="202">
        <f>(H8*4)*1.1</f>
        <v>2680.1975200000002</v>
      </c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  <c r="Y8" s="201"/>
      <c r="Z8" s="201"/>
      <c r="AA8" s="201"/>
      <c r="AB8" s="201"/>
      <c r="AC8" s="201"/>
      <c r="AD8" s="201"/>
      <c r="AE8" s="201"/>
      <c r="AF8" s="201"/>
      <c r="AG8" s="201"/>
      <c r="AH8" s="201"/>
      <c r="AI8" s="201"/>
      <c r="AJ8" s="201"/>
      <c r="AK8" s="201"/>
      <c r="AL8" s="201"/>
      <c r="AM8" s="201"/>
      <c r="AN8" s="201"/>
      <c r="AO8" s="201"/>
      <c r="AP8" s="201"/>
      <c r="AQ8" s="201"/>
      <c r="AR8" s="201"/>
      <c r="AS8" s="201"/>
      <c r="AT8" s="201"/>
      <c r="AU8" s="201"/>
      <c r="AV8" s="201"/>
      <c r="AW8" s="201"/>
      <c r="AX8" s="201"/>
      <c r="AY8" s="201"/>
      <c r="AZ8" s="201"/>
      <c r="BA8" s="201"/>
      <c r="BB8" s="201"/>
      <c r="BC8" s="201"/>
      <c r="BD8" s="201"/>
      <c r="BE8" s="201"/>
      <c r="BF8" s="201"/>
      <c r="BG8" s="201"/>
      <c r="BH8" s="201"/>
    </row>
    <row r="9" spans="1:132" ht="14" x14ac:dyDescent="0.3">
      <c r="A9" s="179" t="str">
        <f>'ESS Jul 2016'!K3</f>
        <v>AGL</v>
      </c>
      <c r="B9" s="180">
        <f>'ESS Jul 2016'!G3</f>
        <v>41090</v>
      </c>
      <c r="C9" s="181">
        <f>91*'ESS Jul 2016'!M3/100</f>
        <v>123.19580000000001</v>
      </c>
      <c r="D9" s="181">
        <f>IF($C$5&gt;='ESS Jul 2016'!P3,('ESS Jul 2016'!P3*'ESS Jul 2016'!N3/100),($C$5*'ESS Jul 2016'!N3/100))</f>
        <v>271.89999999999998</v>
      </c>
      <c r="E9" s="182">
        <f>IF($C$5&lt;'ESS Jul 2016'!P3,0,IF(($C$5)&lt;='ESS Jul 2016'!R3,(($C$5-'ESS Jul 2016'!P3)*'ESS Jul 2016'!Q3/100),(('ESS Jul 2016'!R3-'ESS Jul 2016'!P3)*'ESS Jul 2016'!Q3/100)))</f>
        <v>200.85</v>
      </c>
      <c r="F9" s="181">
        <v>0</v>
      </c>
      <c r="G9" s="181">
        <f>IF(($C$5&lt;'ESS Jul 2016'!R3),(0),($C$5-'ESS Jul 2016'!R3)*'ESS Jul 2016'!S3/100)</f>
        <v>13.19</v>
      </c>
      <c r="H9" s="183">
        <f t="shared" ref="H9:H24" si="0">SUM(C9:G9)</f>
        <v>609.13580000000002</v>
      </c>
      <c r="I9" s="202">
        <f t="shared" ref="I9:I24" si="1">(H9*4)*1.1</f>
        <v>2680.1975200000002</v>
      </c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  <c r="AC9" s="201"/>
      <c r="AD9" s="201"/>
      <c r="AE9" s="201"/>
      <c r="AF9" s="201"/>
      <c r="AG9" s="201"/>
      <c r="AH9" s="201"/>
      <c r="AI9" s="201"/>
      <c r="AJ9" s="201"/>
      <c r="AK9" s="201"/>
      <c r="AL9" s="201"/>
      <c r="AM9" s="201"/>
      <c r="AN9" s="201"/>
      <c r="AO9" s="201"/>
      <c r="AP9" s="201"/>
      <c r="AQ9" s="201"/>
      <c r="AR9" s="201"/>
      <c r="AS9" s="201"/>
      <c r="AT9" s="201"/>
      <c r="AU9" s="201"/>
      <c r="AV9" s="201"/>
      <c r="AW9" s="201"/>
      <c r="AX9" s="201"/>
      <c r="AY9" s="201"/>
      <c r="AZ9" s="201"/>
      <c r="BA9" s="201"/>
      <c r="BB9" s="201"/>
      <c r="BC9" s="201"/>
      <c r="BD9" s="201"/>
      <c r="BE9" s="201"/>
      <c r="BF9" s="201"/>
      <c r="BG9" s="201"/>
      <c r="BH9" s="201"/>
    </row>
    <row r="10" spans="1:132" ht="14" x14ac:dyDescent="0.3">
      <c r="A10" s="179" t="str">
        <f>'ESS Jul 2016'!K4</f>
        <v>Alinta Energy</v>
      </c>
      <c r="B10" s="180">
        <f>'ESS Jul 2016'!G4</f>
        <v>41121</v>
      </c>
      <c r="C10" s="181">
        <f>91*'ESS Jul 2016'!M4/100</f>
        <v>126.77210000000001</v>
      </c>
      <c r="D10" s="181">
        <f>IF($C$5&gt;='ESS Jul 2016'!P4,('ESS Jul 2016'!P4*'ESS Jul 2016'!N4/100),($C$5*'ESS Jul 2016'!N4/100))</f>
        <v>235.3</v>
      </c>
      <c r="E10" s="182">
        <f>IF($C$5&lt;'ESS Jul 2016'!P4,0,IF(($C$5)&lt;='ESS Jul 2016'!R4,(($C$5-'ESS Jul 2016'!P4)*'ESS Jul 2016'!Q4/100),(('ESS Jul 2016'!R4-'ESS Jul 2016'!P4)*'ESS Jul 2016'!Q4/100)))</f>
        <v>173.92500000000001</v>
      </c>
      <c r="F10" s="181">
        <v>0</v>
      </c>
      <c r="G10" s="181">
        <f>IF(($C$5&lt;'ESS Jul 2016'!R4),(0),($C$5-'ESS Jul 2016'!R4)*'ESS Jul 2016'!S4/100)</f>
        <v>11.425000000000001</v>
      </c>
      <c r="H10" s="183">
        <f t="shared" si="0"/>
        <v>547.4221</v>
      </c>
      <c r="I10" s="202">
        <f t="shared" si="1"/>
        <v>2408.65724</v>
      </c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1"/>
      <c r="BB10" s="201"/>
      <c r="BC10" s="201"/>
      <c r="BD10" s="201"/>
      <c r="BE10" s="201"/>
      <c r="BF10" s="201"/>
      <c r="BG10" s="201"/>
      <c r="BH10" s="201"/>
    </row>
    <row r="11" spans="1:132" ht="14" x14ac:dyDescent="0.3">
      <c r="A11" s="179" t="str">
        <f>'ESS Jul 2016'!K5</f>
        <v>Click Energy</v>
      </c>
      <c r="B11" s="180">
        <f>'ESS Jul 2016'!G5</f>
        <v>41090</v>
      </c>
      <c r="C11" s="181">
        <f>91*'ESS Jul 2016'!M5/100</f>
        <v>132.86000000000001</v>
      </c>
      <c r="D11" s="181">
        <f>IF($C$5&gt;='ESS Jul 2016'!P5,('ESS Jul 2016'!P5*'ESS Jul 2016'!N5/100),($C$5*'ESS Jul 2016'!N5/100))</f>
        <v>283</v>
      </c>
      <c r="E11" s="182">
        <f>IF($C$5&lt;'ESS Jul 2016'!P5,0,IF(($C$5)&lt;='ESS Jul 2016'!R5,(($C$5-'ESS Jul 2016'!P5)*'ESS Jul 2016'!Q5/100),(('ESS Jul 2016'!R5-'ESS Jul 2016'!P5)*'ESS Jul 2016'!Q5/100)))</f>
        <v>208.5</v>
      </c>
      <c r="F11" s="181">
        <v>0</v>
      </c>
      <c r="G11" s="181">
        <f>IF(($C$5&lt;'ESS Jul 2016'!R5),(0),($C$5-'ESS Jul 2016'!R5)*'ESS Jul 2016'!S5/100)</f>
        <v>13.4</v>
      </c>
      <c r="H11" s="183">
        <f t="shared" si="0"/>
        <v>637.76</v>
      </c>
      <c r="I11" s="202">
        <f t="shared" si="1"/>
        <v>2806.1440000000002</v>
      </c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  <c r="AP11" s="201"/>
      <c r="AQ11" s="201"/>
      <c r="AR11" s="201"/>
      <c r="AS11" s="201"/>
      <c r="AT11" s="201"/>
      <c r="AU11" s="201"/>
      <c r="AV11" s="201"/>
      <c r="AW11" s="201"/>
      <c r="AX11" s="201"/>
      <c r="AY11" s="201"/>
      <c r="AZ11" s="201"/>
      <c r="BA11" s="201"/>
      <c r="BB11" s="201"/>
      <c r="BC11" s="201"/>
      <c r="BD11" s="201"/>
      <c r="BE11" s="201"/>
      <c r="BF11" s="201"/>
      <c r="BG11" s="201"/>
      <c r="BH11" s="201"/>
    </row>
    <row r="12" spans="1:132" ht="14" x14ac:dyDescent="0.3">
      <c r="A12" s="179" t="str">
        <f>'ESS Jul 2016'!K6</f>
        <v>Commander</v>
      </c>
      <c r="B12" s="180">
        <f>'ESS Jul 2016'!G6</f>
        <v>41121</v>
      </c>
      <c r="C12" s="181">
        <f>91*'ESS Jul 2016'!M6/100</f>
        <v>126.035</v>
      </c>
      <c r="D12" s="181">
        <f>IF($C$5&gt;='ESS Jul 2016'!P6,('ESS Jul 2016'!P6*'ESS Jul 2016'!N6/100),($C$5*'ESS Jul 2016'!N6/100))</f>
        <v>483</v>
      </c>
      <c r="E12" s="182">
        <f>IF($C$5&lt;'ESS Jul 2016'!P6,0,IF(($C$5)&lt;='ESS Jul 2016'!R6,(($C$5-'ESS Jul 2016'!P6)*'ESS Jul 2016'!Q6/100),(('ESS Jul 2016'!R6-'ESS Jul 2016'!P6)*'ESS Jul 2016'!Q6/100)))</f>
        <v>0</v>
      </c>
      <c r="F12" s="181">
        <v>0</v>
      </c>
      <c r="G12" s="181">
        <f>IF(($C$5&lt;'ESS Jul 2016'!R6),(0),($C$5-'ESS Jul 2016'!R6)*'ESS Jul 2016'!S6/100)</f>
        <v>13.5</v>
      </c>
      <c r="H12" s="183">
        <f t="shared" si="0"/>
        <v>622.53499999999997</v>
      </c>
      <c r="I12" s="202">
        <f t="shared" si="1"/>
        <v>2739.154</v>
      </c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1"/>
      <c r="Y12" s="201"/>
      <c r="Z12" s="201"/>
      <c r="AA12" s="201"/>
      <c r="AB12" s="201"/>
      <c r="AC12" s="201"/>
      <c r="AD12" s="201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  <c r="AP12" s="201"/>
      <c r="AQ12" s="201"/>
      <c r="AR12" s="201"/>
      <c r="AS12" s="201"/>
      <c r="AT12" s="201"/>
      <c r="AU12" s="201"/>
      <c r="AV12" s="201"/>
      <c r="AW12" s="201"/>
      <c r="AX12" s="201"/>
      <c r="AY12" s="201"/>
      <c r="AZ12" s="201"/>
      <c r="BA12" s="201"/>
      <c r="BB12" s="201"/>
      <c r="BC12" s="201"/>
      <c r="BD12" s="201"/>
      <c r="BE12" s="201"/>
      <c r="BF12" s="201"/>
      <c r="BG12" s="201"/>
      <c r="BH12" s="201"/>
    </row>
    <row r="13" spans="1:132" ht="14" x14ac:dyDescent="0.3">
      <c r="A13" s="179" t="str">
        <f>'ESS Jul 2016'!K7</f>
        <v>CovaU</v>
      </c>
      <c r="B13" s="180">
        <f>'ESS Jul 2016'!G7</f>
        <v>41097</v>
      </c>
      <c r="C13" s="181">
        <f>91*'ESS Jul 2016'!M7/100</f>
        <v>152.27030000000002</v>
      </c>
      <c r="D13" s="181">
        <f>IF($C$5&gt;='ESS Jul 2016'!P7,('ESS Jul 2016'!P7*'ESS Jul 2016'!N7/100),($C$5*'ESS Jul 2016'!N7/100))</f>
        <v>285.3</v>
      </c>
      <c r="E13" s="182">
        <f>IF($C$5&lt;'ESS Jul 2016'!P7,0,IF(($C$5)&lt;='ESS Jul 2016'!R7,(($C$5-'ESS Jul 2016'!P7)*'ESS Jul 2016'!Q7/100),(('ESS Jul 2016'!R7-'ESS Jul 2016'!P7)*'ESS Jul 2016'!Q7/100)))</f>
        <v>209.55</v>
      </c>
      <c r="F13" s="181">
        <v>0</v>
      </c>
      <c r="G13" s="181">
        <f>IF(($C$5&lt;'ESS Jul 2016'!R7),(0),($C$5-'ESS Jul 2016'!R7)*'ESS Jul 2016'!S7/100)</f>
        <v>13.675000000000001</v>
      </c>
      <c r="H13" s="183">
        <f t="shared" si="0"/>
        <v>660.7953</v>
      </c>
      <c r="I13" s="202">
        <f t="shared" si="1"/>
        <v>2907.4993200000004</v>
      </c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1"/>
      <c r="Y13" s="201"/>
      <c r="Z13" s="201"/>
      <c r="AA13" s="201"/>
      <c r="AB13" s="201"/>
      <c r="AC13" s="201"/>
      <c r="AD13" s="201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  <c r="AP13" s="201"/>
      <c r="AQ13" s="201"/>
      <c r="AR13" s="201"/>
      <c r="AS13" s="201"/>
      <c r="AT13" s="201"/>
      <c r="AU13" s="201"/>
      <c r="AV13" s="201"/>
      <c r="AW13" s="201"/>
      <c r="AX13" s="201"/>
      <c r="AY13" s="201"/>
      <c r="AZ13" s="201"/>
      <c r="BA13" s="201"/>
      <c r="BB13" s="201"/>
      <c r="BC13" s="201"/>
      <c r="BD13" s="201"/>
      <c r="BE13" s="201"/>
      <c r="BF13" s="201"/>
      <c r="BG13" s="201"/>
      <c r="BH13" s="201"/>
    </row>
    <row r="14" spans="1:132" ht="14" x14ac:dyDescent="0.3">
      <c r="A14" s="179" t="str">
        <f>'ESS Jul 2016'!K8</f>
        <v>Diamond Energy</v>
      </c>
      <c r="B14" s="180">
        <f>'ESS Jul 2016'!G8</f>
        <v>41121</v>
      </c>
      <c r="C14" s="181">
        <f>91*'ESS Jul 2016'!M8/100</f>
        <v>131.94999999999999</v>
      </c>
      <c r="D14" s="181">
        <f>IF($C$5&gt;='ESS Jul 2016'!P8,('ESS Jul 2016'!P8*'ESS Jul 2016'!N8/100),($C$5*'ESS Jul 2016'!N8/100))</f>
        <v>70.680000000000007</v>
      </c>
      <c r="E14" s="182">
        <f>IF($C$5&lt;'ESS Jul 2016'!P8,0,IF(($C$5)&lt;='ESS Jul 2016'!R8,(($C$5-'ESS Jul 2016'!P8)*'ESS Jul 2016'!Q8/100),(('ESS Jul 2016'!R8-'ESS Jul 2016'!P8)*'ESS Jul 2016'!Q8/100)))</f>
        <v>179.85599999999999</v>
      </c>
      <c r="F14" s="181">
        <v>0</v>
      </c>
      <c r="G14" s="181">
        <f>IF(($C$5&lt;'ESS Jul 2016'!R8),(0),($C$5-'ESS Jul 2016'!R8)*'ESS Jul 2016'!S8/100)</f>
        <v>204.82800000000003</v>
      </c>
      <c r="H14" s="183">
        <f t="shared" si="0"/>
        <v>587.31400000000008</v>
      </c>
      <c r="I14" s="202">
        <f t="shared" si="1"/>
        <v>2584.1816000000003</v>
      </c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201"/>
      <c r="AA14" s="201"/>
      <c r="AB14" s="201"/>
      <c r="AC14" s="201"/>
      <c r="AD14" s="201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  <c r="AP14" s="201"/>
      <c r="AQ14" s="201"/>
      <c r="AR14" s="201"/>
      <c r="AS14" s="201"/>
      <c r="AT14" s="201"/>
      <c r="AU14" s="201"/>
      <c r="AV14" s="201"/>
      <c r="AW14" s="201"/>
      <c r="AX14" s="201"/>
      <c r="AY14" s="201"/>
      <c r="AZ14" s="201"/>
      <c r="BA14" s="201"/>
      <c r="BB14" s="201"/>
      <c r="BC14" s="201"/>
      <c r="BD14" s="201"/>
      <c r="BE14" s="201"/>
      <c r="BF14" s="201"/>
      <c r="BG14" s="201"/>
      <c r="BH14" s="201"/>
    </row>
    <row r="15" spans="1:132" ht="14" x14ac:dyDescent="0.3">
      <c r="A15" s="179" t="str">
        <f>'ESS Jul 2016'!K9</f>
        <v>Dodo Power &amp; Gas</v>
      </c>
      <c r="B15" s="180">
        <f>'ESS Jul 2016'!G9</f>
        <v>41121</v>
      </c>
      <c r="C15" s="181">
        <f>91*'ESS Jul 2016'!M9/100</f>
        <v>124.07850000000001</v>
      </c>
      <c r="D15" s="181">
        <f>IF($C$5&gt;='ESS Jul 2016'!P9,('ESS Jul 2016'!P9*'ESS Jul 2016'!N9/100),($C$5*'ESS Jul 2016'!N9/100))</f>
        <v>453.25</v>
      </c>
      <c r="E15" s="182">
        <f>IF($C$5&lt;'ESS Jul 2016'!P9,0,IF(($C$5)&lt;='ESS Jul 2016'!R9,(($C$5-'ESS Jul 2016'!P9)*'ESS Jul 2016'!Q9/100),(('ESS Jul 2016'!R9-'ESS Jul 2016'!P9)*'ESS Jul 2016'!Q9/100)))</f>
        <v>0</v>
      </c>
      <c r="F15" s="181">
        <v>0</v>
      </c>
      <c r="G15" s="181">
        <f>IF(($C$5&lt;'ESS Jul 2016'!R9),(0),($C$5-'ESS Jul 2016'!R9)*'ESS Jul 2016'!S9/100)</f>
        <v>12.675000000000001</v>
      </c>
      <c r="H15" s="183">
        <f t="shared" si="0"/>
        <v>590.00349999999992</v>
      </c>
      <c r="I15" s="202">
        <f t="shared" si="1"/>
        <v>2596.0153999999998</v>
      </c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  <c r="AP15" s="201"/>
      <c r="AQ15" s="201"/>
      <c r="AR15" s="201"/>
      <c r="AS15" s="201"/>
      <c r="AT15" s="201"/>
      <c r="AU15" s="201"/>
      <c r="AV15" s="201"/>
      <c r="AW15" s="201"/>
      <c r="AX15" s="201"/>
      <c r="AY15" s="201"/>
      <c r="AZ15" s="201"/>
      <c r="BA15" s="201"/>
      <c r="BB15" s="201"/>
      <c r="BC15" s="201"/>
      <c r="BD15" s="201"/>
      <c r="BE15" s="201"/>
      <c r="BF15" s="201"/>
      <c r="BG15" s="201"/>
      <c r="BH15" s="201"/>
    </row>
    <row r="16" spans="1:132" ht="14" x14ac:dyDescent="0.3">
      <c r="A16" s="179" t="str">
        <f>'ESS Jul 2016'!K10</f>
        <v>EnergyAustralia</v>
      </c>
      <c r="B16" s="180">
        <f>'ESS Jul 2016'!G10</f>
        <v>41090</v>
      </c>
      <c r="C16" s="181">
        <f>91*'ESS Jul 2016'!M10/100</f>
        <v>126.30527000000001</v>
      </c>
      <c r="D16" s="181">
        <f>IF($C$5&gt;='ESS Jul 2016'!P10,('ESS Jul 2016'!P10*'ESS Jul 2016'!N10/100),($C$5*'ESS Jul 2016'!N10/100))</f>
        <v>275.56700000000001</v>
      </c>
      <c r="E16" s="182">
        <f>IF($C$5&lt;'ESS Jul 2016'!P10,0,IF(($C$5)&lt;='ESS Jul 2016'!R10,(($C$5-'ESS Jul 2016'!P10)*'ESS Jul 2016'!Q10/100),(('ESS Jul 2016'!R10-'ESS Jul 2016'!P10)*'ESS Jul 2016'!Q10/100)))</f>
        <v>202.83450000000002</v>
      </c>
      <c r="F16" s="181">
        <v>0</v>
      </c>
      <c r="G16" s="181">
        <f>IF(($C$5&lt;'ESS Jul 2016'!R10),(0),($C$5-'ESS Jul 2016'!R10)*'ESS Jul 2016'!S10/100)</f>
        <v>13.28195</v>
      </c>
      <c r="H16" s="183">
        <f t="shared" si="0"/>
        <v>617.98872000000006</v>
      </c>
      <c r="I16" s="202">
        <f t="shared" si="1"/>
        <v>2719.1503680000005</v>
      </c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1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  <c r="AP16" s="201"/>
      <c r="AQ16" s="201"/>
      <c r="AR16" s="201"/>
      <c r="AS16" s="201"/>
      <c r="AT16" s="201"/>
      <c r="AU16" s="201"/>
      <c r="AV16" s="201"/>
      <c r="AW16" s="201"/>
      <c r="AX16" s="201"/>
      <c r="AY16" s="201"/>
      <c r="AZ16" s="201"/>
      <c r="BA16" s="201"/>
      <c r="BB16" s="201"/>
      <c r="BC16" s="201"/>
      <c r="BD16" s="201"/>
      <c r="BE16" s="201"/>
      <c r="BF16" s="201"/>
      <c r="BG16" s="201"/>
      <c r="BH16" s="201"/>
    </row>
    <row r="17" spans="1:60" ht="14" x14ac:dyDescent="0.3">
      <c r="A17" s="179" t="str">
        <f>'ESS Jul 2016'!K11</f>
        <v>Mojo Power</v>
      </c>
      <c r="B17" s="180">
        <f>'ESS Jul 2016'!G11</f>
        <v>40991</v>
      </c>
      <c r="C17" s="181">
        <f>91*'ESS Jul 2016'!M11/100</f>
        <v>124.83380000000001</v>
      </c>
      <c r="D17" s="181">
        <f>IF($C$5&gt;='ESS Jul 2016'!P11,('ESS Jul 2016'!P11*'ESS Jul 2016'!N11/100),($C$5*'ESS Jul 2016'!N11/100))</f>
        <v>259.10000000000002</v>
      </c>
      <c r="E17" s="182">
        <f>IF($C$5&lt;'ESS Jul 2016'!P11,0,IF(($C$5)&lt;='ESS Jul 2016'!R11,(($C$5-'ESS Jul 2016'!P11)*'ESS Jul 2016'!Q11/100),(('ESS Jul 2016'!R11-'ESS Jul 2016'!P11)*'ESS Jul 2016'!Q11/100)))</f>
        <v>190.2</v>
      </c>
      <c r="F17" s="181">
        <v>0</v>
      </c>
      <c r="G17" s="181">
        <f>IF(($C$5&lt;'ESS Jul 2016'!R11),(0),($C$5-'ESS Jul 2016'!R11)*'ESS Jul 2016'!S11/100)</f>
        <v>12.455</v>
      </c>
      <c r="H17" s="183">
        <f t="shared" si="0"/>
        <v>586.58880000000011</v>
      </c>
      <c r="I17" s="202">
        <f t="shared" si="1"/>
        <v>2580.9907200000007</v>
      </c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</row>
    <row r="18" spans="1:60" ht="14" x14ac:dyDescent="0.3">
      <c r="A18" s="179" t="str">
        <f>'ESS Jul 2016'!K12</f>
        <v>Momentum Energy</v>
      </c>
      <c r="B18" s="180">
        <f>'ESS Jul 2016'!G12</f>
        <v>41097</v>
      </c>
      <c r="C18" s="181">
        <f>91*'ESS Jul 2016'!M12/100</f>
        <v>116.69840000000001</v>
      </c>
      <c r="D18" s="181">
        <f>IF($C$5&gt;='ESS Jul 2016'!P12,('ESS Jul 2016'!P12*'ESS Jul 2016'!N12/100),($C$5*'ESS Jul 2016'!N12/100))</f>
        <v>144.6</v>
      </c>
      <c r="E18" s="182">
        <f>IF($C$5&lt;'ESS Jul 2016'!P12,0,IF(($C$5)&lt;='ESS Jul 2016'!R12,(($C$5-'ESS Jul 2016'!P12)*'ESS Jul 2016'!Q12/100),(('ESS Jul 2016'!R12-'ESS Jul 2016'!P12)*'ESS Jul 2016'!Q12/100)))</f>
        <v>0</v>
      </c>
      <c r="F18" s="181">
        <v>0</v>
      </c>
      <c r="G18" s="181">
        <f>IF(($C$5&lt;'ESS Jul 2016'!R12),(0),($C$5-'ESS Jul 2016'!R12)*'ESS Jul 2016'!S12/100)</f>
        <v>256.44</v>
      </c>
      <c r="H18" s="183">
        <f t="shared" si="0"/>
        <v>517.73839999999996</v>
      </c>
      <c r="I18" s="202">
        <f t="shared" si="1"/>
        <v>2278.0489600000001</v>
      </c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</row>
    <row r="19" spans="1:60" ht="14" x14ac:dyDescent="0.3">
      <c r="A19" s="179" t="str">
        <f>'ESS Jul 2016'!K13</f>
        <v>Origin Energy</v>
      </c>
      <c r="B19" s="180">
        <f>'ESS Jul 2016'!G13</f>
        <v>41090</v>
      </c>
      <c r="C19" s="181">
        <f>91*'ESS Jul 2016'!M13/100</f>
        <v>123.76</v>
      </c>
      <c r="D19" s="181">
        <f>IF($C$5&gt;='ESS Jul 2016'!P13,('ESS Jul 2016'!P13*'ESS Jul 2016'!N13/100),($C$5*'ESS Jul 2016'!N13/100))</f>
        <v>242</v>
      </c>
      <c r="E19" s="182">
        <f>IF($C$5&lt;'ESS Jul 2016'!P13,0,IF(($C$5)&lt;='ESS Jul 2016'!R13,(($C$5-'ESS Jul 2016'!P13)*'ESS Jul 2016'!Q13/100),(('ESS Jul 2016'!R13-'ESS Jul 2016'!P13)*'ESS Jul 2016'!Q13/100)))</f>
        <v>178.57499999999999</v>
      </c>
      <c r="F19" s="181">
        <v>0</v>
      </c>
      <c r="G19" s="181">
        <f>IF(($C$5&lt;'ESS Jul 2016'!R13),(0),($C$5-'ESS Jul 2016'!R13)*'ESS Jul 2016'!S13/100)</f>
        <v>11.715</v>
      </c>
      <c r="H19" s="183">
        <f t="shared" si="0"/>
        <v>556.05000000000007</v>
      </c>
      <c r="I19" s="202">
        <f t="shared" si="1"/>
        <v>2446.6200000000003</v>
      </c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</row>
    <row r="20" spans="1:60" ht="14" x14ac:dyDescent="0.3">
      <c r="A20" s="179" t="str">
        <f>'ESS Jul 2016'!K14</f>
        <v>Powerdirect</v>
      </c>
      <c r="B20" s="180">
        <f>'ESS Jul 2016'!G14</f>
        <v>41121</v>
      </c>
      <c r="C20" s="181">
        <f>91*'ESS Jul 2016'!M14/100</f>
        <v>123.19580000000001</v>
      </c>
      <c r="D20" s="181">
        <f>IF($C$5&gt;='ESS Jul 2016'!P14,('ESS Jul 2016'!P14*'ESS Jul 2016'!N14/100),($C$5*'ESS Jul 2016'!N14/100))</f>
        <v>270.60000000000002</v>
      </c>
      <c r="E20" s="182">
        <f>IF($C$5&lt;'ESS Jul 2016'!P14,0,IF(($C$5)&lt;='ESS Jul 2016'!R14,(($C$5-'ESS Jul 2016'!P14)*'ESS Jul 2016'!Q14/100),(('ESS Jul 2016'!R14-'ESS Jul 2016'!P14)*'ESS Jul 2016'!Q14/100)))</f>
        <v>0</v>
      </c>
      <c r="F20" s="181">
        <v>0</v>
      </c>
      <c r="G20" s="181">
        <f>IF(($C$5&lt;'ESS Jul 2016'!R14),(0),($C$5-'ESS Jul 2016'!R14)*'ESS Jul 2016'!S14/100)</f>
        <v>211.2</v>
      </c>
      <c r="H20" s="183">
        <f t="shared" si="0"/>
        <v>604.99580000000003</v>
      </c>
      <c r="I20" s="202">
        <f t="shared" si="1"/>
        <v>2661.9815200000003</v>
      </c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</row>
    <row r="21" spans="1:60" ht="14" x14ac:dyDescent="0.3">
      <c r="A21" s="179" t="str">
        <f>'ESS Jul 2016'!K15</f>
        <v>Powershop</v>
      </c>
      <c r="B21" s="180">
        <f>'ESS Jul 2016'!G15</f>
        <v>41090</v>
      </c>
      <c r="C21" s="181">
        <f>91*'ESS Jul 2016'!M15/100</f>
        <v>141.96</v>
      </c>
      <c r="D21" s="181">
        <f>C5*'ESS Jul 2016'!N15/100</f>
        <v>443.7</v>
      </c>
      <c r="E21" s="182">
        <v>0</v>
      </c>
      <c r="F21" s="181">
        <v>0</v>
      </c>
      <c r="G21" s="181">
        <v>0</v>
      </c>
      <c r="H21" s="183">
        <f t="shared" si="0"/>
        <v>585.66</v>
      </c>
      <c r="I21" s="202">
        <f t="shared" si="1"/>
        <v>2576.904</v>
      </c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</row>
    <row r="22" spans="1:60" ht="14" x14ac:dyDescent="0.3">
      <c r="A22" s="179" t="str">
        <f>'ESS Jul 2016'!K16</f>
        <v>Red Energy</v>
      </c>
      <c r="B22" s="180">
        <f>'ESS Jul 2016'!G16</f>
        <v>41090</v>
      </c>
      <c r="C22" s="181">
        <f>91*'ESS Jul 2016'!M16/100</f>
        <v>117.1534</v>
      </c>
      <c r="D22" s="181">
        <f>IF($C$5&gt;='ESS Jul 2016'!P16,('ESS Jul 2016'!P16*'ESS Jul 2016'!N16/100),($C$5*'ESS Jul 2016'!N16/100))</f>
        <v>261.39999999999998</v>
      </c>
      <c r="E22" s="182">
        <f>IF($C$5&lt;'ESS Jul 2016'!P16,0,IF(($C$5)&lt;='ESS Jul 2016'!R16,(($C$5-'ESS Jul 2016'!P16)*'ESS Jul 2016'!Q16/100),(('ESS Jul 2016'!R16-'ESS Jul 2016'!P16)*'ESS Jul 2016'!Q16/100)))</f>
        <v>189.375</v>
      </c>
      <c r="F22" s="181">
        <v>0</v>
      </c>
      <c r="G22" s="181">
        <f>IF(($C$5&lt;'ESS Jul 2016'!R16),(0),($C$5-'ESS Jul 2016'!R16)*'ESS Jul 2016'!S16/100)</f>
        <v>11.305</v>
      </c>
      <c r="H22" s="183">
        <f t="shared" si="0"/>
        <v>579.23339999999996</v>
      </c>
      <c r="I22" s="202">
        <f t="shared" si="1"/>
        <v>2548.6269600000001</v>
      </c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</row>
    <row r="23" spans="1:60" ht="14" x14ac:dyDescent="0.3">
      <c r="A23" s="179" t="str">
        <f>'ESS Jul 2016'!K17</f>
        <v>Simply Energy</v>
      </c>
      <c r="B23" s="180">
        <f>'ESS Jul 2016'!G17</f>
        <v>41093</v>
      </c>
      <c r="C23" s="181">
        <f>91*'ESS Jul 2016'!M17/100</f>
        <v>115.46080000000001</v>
      </c>
      <c r="D23" s="181">
        <f>C5*'ESS Jul 2016'!N17/100</f>
        <v>377.1</v>
      </c>
      <c r="E23" s="182">
        <v>0</v>
      </c>
      <c r="F23" s="181">
        <v>0</v>
      </c>
      <c r="G23" s="181">
        <v>0</v>
      </c>
      <c r="H23" s="183">
        <f t="shared" si="0"/>
        <v>492.56080000000003</v>
      </c>
      <c r="I23" s="202">
        <f t="shared" si="1"/>
        <v>2167.2675200000003</v>
      </c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</row>
    <row r="24" spans="1:60" ht="14.5" thickBot="1" x14ac:dyDescent="0.35">
      <c r="A24" s="184" t="str">
        <f>'ESS Jul 2016'!K18</f>
        <v>Urth Energy</v>
      </c>
      <c r="B24" s="185">
        <f>'ESS Jul 2016'!G18</f>
        <v>41090</v>
      </c>
      <c r="C24" s="186">
        <f>91*'ESS Jul 2016'!M18/100</f>
        <v>123.76</v>
      </c>
      <c r="D24" s="186">
        <f>IF($C$5&gt;='ESS Jul 2016'!P18,('ESS Jul 2016'!P18*'ESS Jul 2016'!N18/100),($C$5*'ESS Jul 2016'!N18/100))</f>
        <v>244</v>
      </c>
      <c r="E24" s="187">
        <f>IF($C$5&lt;'ESS Jul 2016'!P18,0,IF(($C$5)&lt;='ESS Jul 2016'!R18,(($C$5-'ESS Jul 2016'!P18)*'ESS Jul 2016'!Q18/100),(('ESS Jul 2016'!R18-'ESS Jul 2016'!P18)*'ESS Jul 2016'!Q18/100)))</f>
        <v>167.3</v>
      </c>
      <c r="F24" s="186">
        <v>0</v>
      </c>
      <c r="G24" s="186">
        <f>IF(($C$5&lt;'ESS Jul 2016'!R18),(0),($C$5-'ESS Jul 2016'!R18)*'ESS Jul 2016'!S18/100)</f>
        <v>23.4</v>
      </c>
      <c r="H24" s="188">
        <f t="shared" si="0"/>
        <v>558.45999999999992</v>
      </c>
      <c r="I24" s="203">
        <f t="shared" si="1"/>
        <v>2457.2239999999997</v>
      </c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</row>
    <row r="25" spans="1:60" s="173" customFormat="1" ht="14" x14ac:dyDescent="0.3"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</row>
    <row r="26" spans="1:60" s="173" customFormat="1" ht="14.5" thickBot="1" x14ac:dyDescent="0.35"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</row>
    <row r="27" spans="1:60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</row>
    <row r="28" spans="1:60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</row>
    <row r="29" spans="1:60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</row>
    <row r="30" spans="1:60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</row>
    <row r="31" spans="1:60" ht="14" x14ac:dyDescent="0.3">
      <c r="A31" s="92"/>
      <c r="B31" s="93"/>
      <c r="C31" s="93"/>
      <c r="D31" s="93"/>
      <c r="E31" s="93"/>
      <c r="F31" s="93"/>
      <c r="G31" s="93"/>
      <c r="H31" s="93"/>
      <c r="I31" s="178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</row>
    <row r="32" spans="1:60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</row>
    <row r="33" spans="1:60" ht="14" x14ac:dyDescent="0.3">
      <c r="A33" s="179" t="str">
        <f>'ESS Jul 2016'!K19</f>
        <v>1st Energy</v>
      </c>
      <c r="B33" s="180">
        <f>'ESS Jul 2016'!G19</f>
        <v>41114</v>
      </c>
      <c r="C33" s="181">
        <f>91*'ESS Jul 2016'!M19/100</f>
        <v>135.16229999999999</v>
      </c>
      <c r="D33" s="181">
        <f>IF($C$28*$C$29&gt;='ESS Jul 2016'!P19,('ESS Jul 2016'!P19*'ESS Jul 2016'!N19/100),(($C$28*$C$29)*'ESS Jul 2016'!N19/100))</f>
        <v>271.89999999999998</v>
      </c>
      <c r="E33" s="182">
        <f>IF($C$28*$C$29&lt;'ESS Jul 2016'!P19,0,IF(($C$28*$C$29)&lt;='ESS Jul 2016'!R19,(($C$28*$C$29-'ESS Jul 2016'!P19)*'ESS Jul 2016'!Q19/100),(('ESS Jul 2016'!R19-'ESS Jul 2016'!P19)*'ESS Jul 2016'!Q19/100)))</f>
        <v>107.12</v>
      </c>
      <c r="F33" s="181">
        <f>IF(($C$28*$C$29&lt;'ESS Jul 2016'!R19),(0),($C$28*$C$29-'ESS Jul 2016'!R19)*'ESS Jul 2016'!S19/100)</f>
        <v>0</v>
      </c>
      <c r="G33" s="181">
        <f>($C$28*$C$30)*'ESS Jul 2016'!AE19/100</f>
        <v>69.84</v>
      </c>
      <c r="H33" s="183">
        <f>SUM(C33:G33)</f>
        <v>584.02229999999997</v>
      </c>
      <c r="I33" s="202">
        <f>(H33*4)*1.1</f>
        <v>2569.69812</v>
      </c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</row>
    <row r="34" spans="1:60" ht="14" x14ac:dyDescent="0.3">
      <c r="A34" s="179" t="str">
        <f>'ESS Jul 2016'!K20</f>
        <v>AGL</v>
      </c>
      <c r="B34" s="180">
        <f>'ESS Jul 2016'!G20</f>
        <v>41090</v>
      </c>
      <c r="C34" s="181">
        <f>91*'ESS Jul 2016'!M20/100</f>
        <v>135.16229999999999</v>
      </c>
      <c r="D34" s="181">
        <f>IF($C$28*$C$29&gt;='ESS Jul 2016'!P20,('ESS Jul 2016'!P20*'ESS Jul 2016'!N20/100),(($C$28*$C$29)*'ESS Jul 2016'!N20/100))</f>
        <v>271.89999999999998</v>
      </c>
      <c r="E34" s="182">
        <f>IF($C$28*$C$29&lt;'ESS Jul 2016'!P20,0,IF(($C$28*$C$29)&lt;='ESS Jul 2016'!R20,(($C$28*$C$29-'ESS Jul 2016'!P20)*'ESS Jul 2016'!Q20/100),(('ESS Jul 2016'!R20-'ESS Jul 2016'!P20)*'ESS Jul 2016'!Q20/100)))</f>
        <v>107.12</v>
      </c>
      <c r="F34" s="181">
        <f>IF(($C$28*$C$29&lt;'ESS Jul 2016'!R20),(0),($C$28*$C$29-'ESS Jul 2016'!R20)*'ESS Jul 2016'!S20/100)</f>
        <v>0</v>
      </c>
      <c r="G34" s="181">
        <f>($C$28*$C$30)*'ESS Jul 2016'!AE20/100</f>
        <v>68.040000000000006</v>
      </c>
      <c r="H34" s="183">
        <f t="shared" ref="H34:H49" si="2">SUM(C34:G34)</f>
        <v>582.2222999999999</v>
      </c>
      <c r="I34" s="202">
        <f t="shared" ref="I34:I49" si="3">(H34*4)*1.1</f>
        <v>2561.7781199999999</v>
      </c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</row>
    <row r="35" spans="1:60" ht="14" x14ac:dyDescent="0.3">
      <c r="A35" s="179" t="str">
        <f>'ESS Jul 2016'!K21</f>
        <v>Alinta Energy</v>
      </c>
      <c r="B35" s="180">
        <f>'ESS Jul 2016'!G21</f>
        <v>41121</v>
      </c>
      <c r="C35" s="181">
        <f>91*'ESS Jul 2016'!M21/100</f>
        <v>139.01159999999999</v>
      </c>
      <c r="D35" s="181">
        <f>IF($C$28*$C$29&gt;='ESS Jul 2016'!P21,('ESS Jul 2016'!P21*'ESS Jul 2016'!N21/100),(($C$28*$C$29)*'ESS Jul 2016'!N21/100))</f>
        <v>235.3</v>
      </c>
      <c r="E35" s="182">
        <f>IF($C$28*$C$29&lt;'ESS Jul 2016'!P21,0,IF(($C$28*$C$29)&lt;='ESS Jul 2016'!R21,(($C$28*$C$29-'ESS Jul 2016'!P21)*'ESS Jul 2016'!Q21/100),(('ESS Jul 2016'!R21-'ESS Jul 2016'!P21)*'ESS Jul 2016'!Q21/100)))</f>
        <v>92.76</v>
      </c>
      <c r="F35" s="181">
        <f>IF(($C$28*$C$29&lt;'ESS Jul 2016'!R21),(0),($C$28*$C$29-'ESS Jul 2016'!R21)*'ESS Jul 2016'!S21/100)</f>
        <v>0</v>
      </c>
      <c r="G35" s="181">
        <f>($C$28*$C$30)*'ESS Jul 2016'!AE21/100</f>
        <v>68.16</v>
      </c>
      <c r="H35" s="183">
        <f t="shared" si="2"/>
        <v>535.23159999999996</v>
      </c>
      <c r="I35" s="202">
        <f t="shared" si="3"/>
        <v>2355.0190400000001</v>
      </c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</row>
    <row r="36" spans="1:60" ht="14" x14ac:dyDescent="0.3">
      <c r="A36" s="179" t="str">
        <f>'ESS Jul 2016'!K22</f>
        <v>Click Energy</v>
      </c>
      <c r="B36" s="180">
        <f>'ESS Jul 2016'!G22</f>
        <v>41090</v>
      </c>
      <c r="C36" s="181">
        <f>91*'ESS Jul 2016'!M22/100</f>
        <v>146.51</v>
      </c>
      <c r="D36" s="181">
        <f>IF($C$28*$C$29&gt;='ESS Jul 2016'!P22,('ESS Jul 2016'!P22*'ESS Jul 2016'!N22/100),(($C$28*$C$29)*'ESS Jul 2016'!N22/100))</f>
        <v>283</v>
      </c>
      <c r="E36" s="182">
        <f>IF($C$28*$C$29&lt;'ESS Jul 2016'!P22,0,IF(($C$28*$C$29)&lt;='ESS Jul 2016'!R22,(($C$28*$C$29-'ESS Jul 2016'!P22)*'ESS Jul 2016'!Q22/100),(('ESS Jul 2016'!R22-'ESS Jul 2016'!P22)*'ESS Jul 2016'!Q22/100)))</f>
        <v>111.2</v>
      </c>
      <c r="F36" s="181">
        <f>IF(($C$28*$C$29&lt;'ESS Jul 2016'!R22),(0),($C$28*$C$29-'ESS Jul 2016'!R22)*'ESS Jul 2016'!S22/100)</f>
        <v>0</v>
      </c>
      <c r="G36" s="181">
        <f>($C$28*$C$30)*'ESS Jul 2016'!AE22/100</f>
        <v>88.8</v>
      </c>
      <c r="H36" s="183">
        <f t="shared" si="2"/>
        <v>629.51</v>
      </c>
      <c r="I36" s="202">
        <f t="shared" si="3"/>
        <v>2769.8440000000001</v>
      </c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</row>
    <row r="37" spans="1:60" ht="14" x14ac:dyDescent="0.3">
      <c r="A37" s="179" t="str">
        <f>'ESS Jul 2016'!K23</f>
        <v>Commander</v>
      </c>
      <c r="B37" s="180">
        <f>'ESS Jul 2016'!G23</f>
        <v>41121</v>
      </c>
      <c r="C37" s="181">
        <f>91*'ESS Jul 2016'!M23/100</f>
        <v>138.047</v>
      </c>
      <c r="D37" s="181">
        <f>IF($C$28*$C$29&gt;='ESS Jul 2016'!P23,('ESS Jul 2016'!P23*'ESS Jul 2016'!N23/100),(($C$28*$C$29)*'ESS Jul 2016'!N23/100))</f>
        <v>386.4</v>
      </c>
      <c r="E37" s="182">
        <f>IF($C$28*$C$29&lt;'ESS Jul 2016'!P23,0,IF(($C$28*$C$29)&lt;='ESS Jul 2016'!R23,(($C$28*$C$29-'ESS Jul 2016'!P23)*'ESS Jul 2016'!Q23/100),(('ESS Jul 2016'!R23-'ESS Jul 2016'!P23)*'ESS Jul 2016'!Q23/100)))</f>
        <v>0</v>
      </c>
      <c r="F37" s="181">
        <f>IF(($C$28*$C$29&lt;'ESS Jul 2016'!R23),(0),($C$28*$C$29-'ESS Jul 2016'!R23)*'ESS Jul 2016'!S23/100)</f>
        <v>0</v>
      </c>
      <c r="G37" s="181">
        <f>($C$28*$C$30)*'ESS Jul 2016'!AE23/100</f>
        <v>69</v>
      </c>
      <c r="H37" s="183">
        <f t="shared" si="2"/>
        <v>593.447</v>
      </c>
      <c r="I37" s="202">
        <f t="shared" si="3"/>
        <v>2611.1668000000004</v>
      </c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</row>
    <row r="38" spans="1:60" ht="14" x14ac:dyDescent="0.3">
      <c r="A38" s="179" t="str">
        <f>'ESS Jul 2016'!K24</f>
        <v>CovaU</v>
      </c>
      <c r="B38" s="180">
        <f>'ESS Jul 2016'!G24</f>
        <v>41097</v>
      </c>
      <c r="C38" s="181">
        <f>91*'ESS Jul 2016'!M24/100</f>
        <v>162.48050000000001</v>
      </c>
      <c r="D38" s="181">
        <f>IF($C$28*$C$29&gt;='ESS Jul 2016'!P24,('ESS Jul 2016'!P24*'ESS Jul 2016'!N24/100),(($C$28*$C$29)*'ESS Jul 2016'!N24/100))</f>
        <v>285.3</v>
      </c>
      <c r="E38" s="182">
        <f>IF($C$28*$C$29&lt;'ESS Jul 2016'!P24,0,IF(($C$28*$C$29)&lt;='ESS Jul 2016'!R24,(($C$28*$C$29-'ESS Jul 2016'!P24)*'ESS Jul 2016'!Q24/100),(('ESS Jul 2016'!R24-'ESS Jul 2016'!P24)*'ESS Jul 2016'!Q24/100)))</f>
        <v>111.76</v>
      </c>
      <c r="F38" s="181">
        <f>IF(($C$28*$C$29&lt;'ESS Jul 2016'!R24),(0),($C$28*$C$29-'ESS Jul 2016'!R24)*'ESS Jul 2016'!S24/100)</f>
        <v>0</v>
      </c>
      <c r="G38" s="181">
        <f>($C$28*$C$30)*'ESS Jul 2016'!AE24/100</f>
        <v>92.7</v>
      </c>
      <c r="H38" s="183">
        <f t="shared" si="2"/>
        <v>652.24050000000011</v>
      </c>
      <c r="I38" s="202">
        <f t="shared" si="3"/>
        <v>2869.8582000000006</v>
      </c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</row>
    <row r="39" spans="1:60" ht="14" x14ac:dyDescent="0.3">
      <c r="A39" s="179" t="str">
        <f>'ESS Jul 2016'!K25</f>
        <v>Diamond Energy</v>
      </c>
      <c r="B39" s="180">
        <f>'ESS Jul 2016'!G25</f>
        <v>41121</v>
      </c>
      <c r="C39" s="181">
        <f>91*'ESS Jul 2016'!M25/100</f>
        <v>144.59899999999999</v>
      </c>
      <c r="D39" s="181">
        <f>IF($C$28*$C$29&gt;='ESS Jul 2016'!P25,('ESS Jul 2016'!P25*'ESS Jul 2016'!N25/100),(($C$28*$C$29)*'ESS Jul 2016'!N25/100))</f>
        <v>73.680000000000007</v>
      </c>
      <c r="E39" s="182">
        <f>IF($C$28*$C$29&lt;'ESS Jul 2016'!P25,0,IF(($C$28*$C$29)&lt;='ESS Jul 2016'!R25,(($C$28*$C$29-'ESS Jul 2016'!P25)*'ESS Jul 2016'!Q25/100),(('ESS Jul 2016'!R25-'ESS Jul 2016'!P25)*'ESS Jul 2016'!Q25/100)))</f>
        <v>179.85599999999999</v>
      </c>
      <c r="F39" s="181">
        <f>IF(($C$28*$C$29&lt;'ESS Jul 2016'!R25),(0),($C$28*$C$29-'ESS Jul 2016'!R25)*'ESS Jul 2016'!S25/100)</f>
        <v>99.788000000000011</v>
      </c>
      <c r="G39" s="181">
        <f>($C$28*$C$30)*'ESS Jul 2016'!AE25/100</f>
        <v>68.819999999999993</v>
      </c>
      <c r="H39" s="183">
        <f t="shared" si="2"/>
        <v>566.74299999999994</v>
      </c>
      <c r="I39" s="202">
        <f t="shared" si="3"/>
        <v>2493.6691999999998</v>
      </c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</row>
    <row r="40" spans="1:60" ht="14" x14ac:dyDescent="0.3">
      <c r="A40" s="179" t="str">
        <f>'ESS Jul 2016'!K26</f>
        <v>Dodo Power &amp; Gas</v>
      </c>
      <c r="B40" s="180">
        <f>'ESS Jul 2016'!G26</f>
        <v>41121</v>
      </c>
      <c r="C40" s="181">
        <f>91*'ESS Jul 2016'!M26/100</f>
        <v>136.09050000000002</v>
      </c>
      <c r="D40" s="181">
        <f>IF($C$28*$C$29&gt;='ESS Jul 2016'!P26,('ESS Jul 2016'!P26*'ESS Jul 2016'!N26/100),(($C$28*$C$29)*'ESS Jul 2016'!N26/100))</f>
        <v>362.6</v>
      </c>
      <c r="E40" s="182">
        <f>IF($C$28*$C$29&lt;'ESS Jul 2016'!P26,0,IF(($C$28*$C$29)&lt;='ESS Jul 2016'!R26,(($C$28*$C$29-'ESS Jul 2016'!P26)*'ESS Jul 2016'!Q26/100),(('ESS Jul 2016'!R26-'ESS Jul 2016'!P26)*'ESS Jul 2016'!Q26/100)))</f>
        <v>0</v>
      </c>
      <c r="F40" s="181">
        <f>IF(($C$28*$C$29&lt;'ESS Jul 2016'!R26),(0),($C$28*$C$29-'ESS Jul 2016'!R26)*'ESS Jul 2016'!S26/100)</f>
        <v>0</v>
      </c>
      <c r="G40" s="181">
        <f>($C$28*$C$30)*'ESS Jul 2016'!AE26/100</f>
        <v>67.5</v>
      </c>
      <c r="H40" s="183">
        <f t="shared" si="2"/>
        <v>566.19050000000004</v>
      </c>
      <c r="I40" s="202">
        <f t="shared" si="3"/>
        <v>2491.2382000000002</v>
      </c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</row>
    <row r="41" spans="1:60" ht="14" x14ac:dyDescent="0.3">
      <c r="A41" s="179" t="str">
        <f>'ESS Jul 2016'!K27</f>
        <v>EnergyAustralia</v>
      </c>
      <c r="B41" s="180">
        <f>'ESS Jul 2016'!G27</f>
        <v>41090</v>
      </c>
      <c r="C41" s="181">
        <f>91*'ESS Jul 2016'!M27/100</f>
        <v>137.86864</v>
      </c>
      <c r="D41" s="181">
        <f>IF($C$28*$C$29&gt;='ESS Jul 2016'!P27,('ESS Jul 2016'!P27*'ESS Jul 2016'!N27/100),(($C$28*$C$29)*'ESS Jul 2016'!N27/100))</f>
        <v>275.56700000000001</v>
      </c>
      <c r="E41" s="182">
        <f>IF($C$28*$C$29&lt;'ESS Jul 2016'!P27,0,IF(($C$28*$C$29)&lt;='ESS Jul 2016'!R27,(($C$28*$C$29-'ESS Jul 2016'!P27)*'ESS Jul 2016'!Q27/100),(('ESS Jul 2016'!R27-'ESS Jul 2016'!P27)*'ESS Jul 2016'!Q27/100)))</f>
        <v>108.1784</v>
      </c>
      <c r="F41" s="181">
        <f>IF(($C$28*$C$29&lt;'ESS Jul 2016'!R27),(0),($C$28*$C$29-'ESS Jul 2016'!R27)*'ESS Jul 2016'!S27/100)</f>
        <v>0</v>
      </c>
      <c r="G41" s="181">
        <f>($C$28*$C$30)*'ESS Jul 2016'!AE27/100</f>
        <v>62.386800000000001</v>
      </c>
      <c r="H41" s="183">
        <f t="shared" si="2"/>
        <v>584.00084000000004</v>
      </c>
      <c r="I41" s="202">
        <f t="shared" si="3"/>
        <v>2569.6036960000006</v>
      </c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</row>
    <row r="42" spans="1:60" ht="14" x14ac:dyDescent="0.3">
      <c r="A42" s="179" t="str">
        <f>'ESS Jul 2016'!K28</f>
        <v>Mojo Power</v>
      </c>
      <c r="B42" s="180">
        <f>'ESS Jul 2016'!G28</f>
        <v>40991</v>
      </c>
      <c r="C42" s="181">
        <f>91*'ESS Jul 2016'!M28/100</f>
        <v>141.54139999999998</v>
      </c>
      <c r="D42" s="181">
        <f>IF($C$28*$C$29&gt;='ESS Jul 2016'!P28,('ESS Jul 2016'!P28*'ESS Jul 2016'!N28/100),(($C$28*$C$29)*'ESS Jul 2016'!N28/100))</f>
        <v>259.10000000000002</v>
      </c>
      <c r="E42" s="182">
        <f>IF($C$28*$C$29&lt;'ESS Jul 2016'!P28,0,IF(($C$28*$C$29)&lt;='ESS Jul 2016'!R28,(($C$28*$C$29-'ESS Jul 2016'!P28)*'ESS Jul 2016'!Q28/100),(('ESS Jul 2016'!R28-'ESS Jul 2016'!P28)*'ESS Jul 2016'!Q28/100)))</f>
        <v>101.44</v>
      </c>
      <c r="F42" s="181">
        <f>IF(($C$28*$C$29&lt;'ESS Jul 2016'!R28),(0),($C$28*$C$29-'ESS Jul 2016'!R28)*'ESS Jul 2016'!S28/100)</f>
        <v>0</v>
      </c>
      <c r="G42" s="181">
        <f>($C$28*$C$30)*'ESS Jul 2016'!AE28/100</f>
        <v>88.38</v>
      </c>
      <c r="H42" s="183">
        <f t="shared" si="2"/>
        <v>590.46139999999991</v>
      </c>
      <c r="I42" s="202">
        <f t="shared" si="3"/>
        <v>2598.0301599999998</v>
      </c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</row>
    <row r="43" spans="1:60" ht="14" x14ac:dyDescent="0.3">
      <c r="A43" s="179" t="str">
        <f>'ESS Jul 2016'!K29</f>
        <v>Momentum Energy</v>
      </c>
      <c r="B43" s="180">
        <f>'ESS Jul 2016'!G29</f>
        <v>41097</v>
      </c>
      <c r="C43" s="181">
        <f>91*'ESS Jul 2016'!M29/100</f>
        <v>116.69840000000001</v>
      </c>
      <c r="D43" s="181">
        <f>IF($C$28*$C$29&gt;='ESS Jul 2016'!P29,('ESS Jul 2016'!P29*'ESS Jul 2016'!N29/100),(($C$28*$C$29)*'ESS Jul 2016'!N29/100))</f>
        <v>144.6</v>
      </c>
      <c r="E43" s="182">
        <f>IF($C$28*$C$29&lt;'ESS Jul 2016'!P29,0,IF(($C$28*$C$29)&lt;='ESS Jul 2016'!R29,(($C$28*$C$29-'ESS Jul 2016'!P29)*'ESS Jul 2016'!Q29/100),(('ESS Jul 2016'!R29-'ESS Jul 2016'!P29)*'ESS Jul 2016'!Q29/100)))</f>
        <v>0</v>
      </c>
      <c r="F43" s="181">
        <f>IF(($C$28*$C$29&lt;'ESS Jul 2016'!R29),(0),($C$28*$C$29-'ESS Jul 2016'!R29)*'ESS Jul 2016'!S29/100)</f>
        <v>170.96</v>
      </c>
      <c r="G43" s="181">
        <f>($C$28*$C$30)*'ESS Jul 2016'!AE29/100</f>
        <v>93.6</v>
      </c>
      <c r="H43" s="183">
        <f t="shared" si="2"/>
        <v>525.85840000000007</v>
      </c>
      <c r="I43" s="202">
        <f t="shared" si="3"/>
        <v>2313.7769600000006</v>
      </c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</row>
    <row r="44" spans="1:60" ht="14" x14ac:dyDescent="0.3">
      <c r="A44" s="179" t="str">
        <f>'ESS Jul 2016'!K30</f>
        <v>Origin Energy</v>
      </c>
      <c r="B44" s="180">
        <f>'ESS Jul 2016'!G30</f>
        <v>41090</v>
      </c>
      <c r="C44" s="181">
        <f>91*'ESS Jul 2016'!M30/100</f>
        <v>135.13499999999999</v>
      </c>
      <c r="D44" s="181">
        <f>IF($C$28*$C$29&gt;='ESS Jul 2016'!P30,('ESS Jul 2016'!P30*'ESS Jul 2016'!N30/100),(($C$28*$C$29)*'ESS Jul 2016'!N30/100))</f>
        <v>242</v>
      </c>
      <c r="E44" s="182">
        <f>IF($C$28*$C$29&lt;'ESS Jul 2016'!P30,0,IF(($C$28*$C$29)&lt;='ESS Jul 2016'!R30,(($C$28*$C$29-'ESS Jul 2016'!P30)*'ESS Jul 2016'!Q30/100),(('ESS Jul 2016'!R30-'ESS Jul 2016'!P30)*'ESS Jul 2016'!Q30/100)))</f>
        <v>95.24</v>
      </c>
      <c r="F44" s="181">
        <f>IF(($C$28*$C$29&lt;'ESS Jul 2016'!R30),(0),($C$28*$C$29-'ESS Jul 2016'!R30)*'ESS Jul 2016'!S30/100)</f>
        <v>0</v>
      </c>
      <c r="G44" s="181">
        <f>($C$28*$C$30)*'ESS Jul 2016'!AE30/100</f>
        <v>70.2</v>
      </c>
      <c r="H44" s="183">
        <f t="shared" si="2"/>
        <v>542.57500000000005</v>
      </c>
      <c r="I44" s="202">
        <f t="shared" si="3"/>
        <v>2387.3300000000004</v>
      </c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</row>
    <row r="45" spans="1:60" ht="14" x14ac:dyDescent="0.3">
      <c r="A45" s="179" t="str">
        <f>'ESS Jul 2016'!K31</f>
        <v>Powerdirect</v>
      </c>
      <c r="B45" s="180">
        <f>'ESS Jul 2016'!G31</f>
        <v>41121</v>
      </c>
      <c r="C45" s="181">
        <f>91*'ESS Jul 2016'!M31/100</f>
        <v>123.19580000000001</v>
      </c>
      <c r="D45" s="181">
        <f>IF($C$28*$C$29&gt;='ESS Jul 2016'!P31,('ESS Jul 2016'!P31*'ESS Jul 2016'!N31/100),(($C$28*$C$29)*'ESS Jul 2016'!N31/100))</f>
        <v>270.60000000000002</v>
      </c>
      <c r="E45" s="182">
        <f>IF($C$28*$C$29&lt;'ESS Jul 2016'!P31,0,IF(($C$28*$C$29)&lt;='ESS Jul 2016'!R31,(($C$28*$C$29-'ESS Jul 2016'!P31)*'ESS Jul 2016'!Q31/100),(('ESS Jul 2016'!R31-'ESS Jul 2016'!P31)*'ESS Jul 2016'!Q31/100)))</f>
        <v>0</v>
      </c>
      <c r="F45" s="181">
        <f>IF(($C$28*$C$29&lt;'ESS Jul 2016'!R31),(0),($C$28*$C$29-'ESS Jul 2016'!R31)*'ESS Jul 2016'!S31/100)</f>
        <v>105.6</v>
      </c>
      <c r="G45" s="181">
        <f>($C$28*$C$30)*'ESS Jul 2016'!AE31/100</f>
        <v>106.92</v>
      </c>
      <c r="H45" s="183">
        <f t="shared" si="2"/>
        <v>606.31579999999997</v>
      </c>
      <c r="I45" s="202">
        <f t="shared" si="3"/>
        <v>2667.7895200000003</v>
      </c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</row>
    <row r="46" spans="1:60" ht="14" x14ac:dyDescent="0.3">
      <c r="A46" s="179" t="str">
        <f>'ESS Jul 2016'!K32</f>
        <v>Powershop</v>
      </c>
      <c r="B46" s="180">
        <f>'ESS Jul 2016'!G32</f>
        <v>41090</v>
      </c>
      <c r="C46" s="181">
        <f>91*'ESS Jul 2016'!M32/100</f>
        <v>154.69999999999999</v>
      </c>
      <c r="D46" s="181">
        <f>($C$28*$C$29)*'ESS Jul 2016'!N32/100</f>
        <v>345.1</v>
      </c>
      <c r="E46" s="182">
        <v>0</v>
      </c>
      <c r="F46" s="181">
        <v>0</v>
      </c>
      <c r="G46" s="181">
        <f>($C$28*$C$30)*'ESS Jul 2016'!AE32/100</f>
        <v>88.62</v>
      </c>
      <c r="H46" s="183">
        <f t="shared" si="2"/>
        <v>588.42000000000007</v>
      </c>
      <c r="I46" s="202">
        <f t="shared" si="3"/>
        <v>2589.0480000000007</v>
      </c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</row>
    <row r="47" spans="1:60" ht="14" x14ac:dyDescent="0.3">
      <c r="A47" s="179" t="str">
        <f>'ESS Jul 2016'!K33</f>
        <v>Red Energy</v>
      </c>
      <c r="B47" s="180">
        <f>'ESS Jul 2016'!G33</f>
        <v>41090</v>
      </c>
      <c r="C47" s="181">
        <f>91*'ESS Jul 2016'!M33/100</f>
        <v>127.69119999999999</v>
      </c>
      <c r="D47" s="181">
        <f>IF($C$28*$C$29&gt;='ESS Jul 2016'!P33,('ESS Jul 2016'!P33*'ESS Jul 2016'!N33/100),(($C$28*$C$29)*'ESS Jul 2016'!N33/100))</f>
        <v>261.39999999999998</v>
      </c>
      <c r="E47" s="182">
        <f>IF($C$28*$C$29&lt;'ESS Jul 2016'!P33,0,IF(($C$28*$C$29)&lt;='ESS Jul 2016'!R33,(($C$28*$C$29-'ESS Jul 2016'!P33)*'ESS Jul 2016'!Q33/100),(('ESS Jul 2016'!R33-'ESS Jul 2016'!P33)*'ESS Jul 2016'!Q33/100)))</f>
        <v>101</v>
      </c>
      <c r="F47" s="181">
        <f>IF(($C$28*$C$29&lt;'ESS Jul 2016'!R33),(0),($C$28*$C$29-'ESS Jul 2016'!R33)*'ESS Jul 2016'!S33/100)</f>
        <v>0</v>
      </c>
      <c r="G47" s="181">
        <f>($C$28*$C$30)*'ESS Jul 2016'!AE33/100</f>
        <v>66.06</v>
      </c>
      <c r="H47" s="183">
        <f t="shared" si="2"/>
        <v>556.15120000000002</v>
      </c>
      <c r="I47" s="202">
        <f t="shared" si="3"/>
        <v>2447.0652800000003</v>
      </c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</row>
    <row r="48" spans="1:60" ht="14" x14ac:dyDescent="0.3">
      <c r="A48" s="179" t="str">
        <f>'ESS Jul 2016'!K34</f>
        <v>Simply Energy</v>
      </c>
      <c r="B48" s="180">
        <f>'ESS Jul 2016'!G34</f>
        <v>41093</v>
      </c>
      <c r="C48" s="181">
        <f>91*'ESS Jul 2016'!M34/100</f>
        <v>126.0441</v>
      </c>
      <c r="D48" s="181">
        <f>($C$28*$C$29)*'ESS Jul 2016'!N34/100</f>
        <v>293.3</v>
      </c>
      <c r="E48" s="182">
        <v>0</v>
      </c>
      <c r="F48" s="181">
        <v>0</v>
      </c>
      <c r="G48" s="181">
        <f>($C$28*$C$30)*'ESS Jul 2016'!AE34/100</f>
        <v>57.6</v>
      </c>
      <c r="H48" s="183">
        <f t="shared" si="2"/>
        <v>476.94410000000005</v>
      </c>
      <c r="I48" s="202">
        <f t="shared" si="3"/>
        <v>2098.5540400000004</v>
      </c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</row>
    <row r="49" spans="1:60" ht="14.5" thickBot="1" x14ac:dyDescent="0.35">
      <c r="A49" s="184" t="str">
        <f>'ESS Jul 2016'!K35</f>
        <v>Urth Energy</v>
      </c>
      <c r="B49" s="185">
        <f>'ESS Jul 2016'!G35</f>
        <v>41090</v>
      </c>
      <c r="C49" s="186">
        <f>91*'ESS Jul 2016'!M35/100</f>
        <v>135.13499999999999</v>
      </c>
      <c r="D49" s="186">
        <f>IF($C$28*$C$29&gt;='ESS Jul 2016'!P35,('ESS Jul 2016'!P35*'ESS Jul 2016'!N35/100),(($C$28*$C$29)*'ESS Jul 2016'!N35/100))</f>
        <v>244</v>
      </c>
      <c r="E49" s="187">
        <f>IF($C$28*$C$29&lt;'ESS Jul 2016'!P35,0,IF(($C$28*$C$29)&lt;='ESS Jul 2016'!R35,(($C$28*$C$29-'ESS Jul 2016'!P35)*'ESS Jul 2016'!Q35/100),(('ESS Jul 2016'!R35-'ESS Jul 2016'!P35)*'ESS Jul 2016'!Q35/100)))</f>
        <v>95.6</v>
      </c>
      <c r="F49" s="186">
        <f>IF(($C$28*$C$29&lt;'ESS Jul 2016'!R35),(0),($C$28*$C$29-'ESS Jul 2016'!R35)*'ESS Jul 2016'!S35/100)</f>
        <v>0</v>
      </c>
      <c r="G49" s="186">
        <f>($C$28*$C$30)*'ESS Jul 2016'!AE35/100</f>
        <v>70.2</v>
      </c>
      <c r="H49" s="188">
        <f t="shared" si="2"/>
        <v>544.93500000000006</v>
      </c>
      <c r="I49" s="203">
        <f t="shared" si="3"/>
        <v>2397.7140000000004</v>
      </c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</row>
    <row r="50" spans="1:60" s="173" customFormat="1" ht="14" x14ac:dyDescent="0.3"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</row>
    <row r="51" spans="1:60" s="173" customFormat="1" ht="14.5" thickBot="1" x14ac:dyDescent="0.35"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</row>
    <row r="52" spans="1:60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</row>
    <row r="53" spans="1:60" ht="14" x14ac:dyDescent="0.3">
      <c r="A53" s="92" t="s">
        <v>79</v>
      </c>
      <c r="B53" s="93"/>
      <c r="C53" s="189">
        <v>1800</v>
      </c>
      <c r="D53" s="93"/>
      <c r="E53" s="93"/>
      <c r="F53" s="93"/>
      <c r="G53" s="93"/>
      <c r="H53" s="93"/>
      <c r="I53" s="178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</row>
    <row r="54" spans="1:60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</row>
    <row r="55" spans="1:60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</row>
    <row r="56" spans="1:60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</row>
    <row r="57" spans="1:60" ht="14" x14ac:dyDescent="0.3">
      <c r="A57" s="166"/>
      <c r="B57" s="93"/>
      <c r="C57" s="167"/>
      <c r="D57" s="93"/>
      <c r="E57" s="93"/>
      <c r="F57" s="93"/>
      <c r="G57" s="93"/>
      <c r="H57" s="93"/>
      <c r="I57" s="178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</row>
    <row r="58" spans="1:60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</row>
    <row r="59" spans="1:60" ht="14" x14ac:dyDescent="0.3">
      <c r="A59" s="179" t="str">
        <f>'ESS Jul 2016'!K36</f>
        <v>1st Energy</v>
      </c>
      <c r="B59" s="180">
        <f>'ESS Jul 2016'!G36</f>
        <v>41114</v>
      </c>
      <c r="C59" s="181">
        <f>91*'ESS Jul 2016'!M36/100</f>
        <v>123.16850000000001</v>
      </c>
      <c r="D59" s="181">
        <f>($C$53*$C$54)*'ESS Jul 2016'!N36/100</f>
        <v>114.19199999999999</v>
      </c>
      <c r="E59" s="181">
        <v>0</v>
      </c>
      <c r="F59" s="181">
        <f>($C$53*$C$55)*'ESS Jul 2016'!AH36/100</f>
        <v>285.48</v>
      </c>
      <c r="G59" s="181">
        <f>($C$53*$C$56)*'ESS Jul 2016'!W36/100</f>
        <v>91.584000000000003</v>
      </c>
      <c r="H59" s="183">
        <f>SUM(C59:G59)</f>
        <v>614.42450000000008</v>
      </c>
      <c r="I59" s="202">
        <f>(H59*4)*1.1</f>
        <v>2703.4678000000004</v>
      </c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</row>
    <row r="60" spans="1:60" ht="14" x14ac:dyDescent="0.3">
      <c r="A60" s="179" t="str">
        <f>'ESS Jul 2016'!K37</f>
        <v>AGL</v>
      </c>
      <c r="B60" s="180">
        <f>'ESS Jul 2016'!G37</f>
        <v>41090</v>
      </c>
      <c r="C60" s="181">
        <f>91*'ESS Jul 2016'!M37/100</f>
        <v>123.16850000000001</v>
      </c>
      <c r="D60" s="181">
        <f>($C$53*$C$54)*'ESS Jul 2016'!N37/100</f>
        <v>114.19199999999999</v>
      </c>
      <c r="E60" s="181">
        <v>0</v>
      </c>
      <c r="F60" s="181">
        <f>($C$53*$C$55)*'ESS Jul 2016'!AH37/100</f>
        <v>285.48</v>
      </c>
      <c r="G60" s="181">
        <f>($C$53*$C$56)*'ESS Jul 2016'!W37/100</f>
        <v>91.584000000000003</v>
      </c>
      <c r="H60" s="183">
        <f t="shared" ref="H60:H75" si="4">SUM(C60:G60)</f>
        <v>614.42450000000008</v>
      </c>
      <c r="I60" s="202">
        <f t="shared" ref="I60:I75" si="5">(H60*4)*1.1</f>
        <v>2703.4678000000004</v>
      </c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</row>
    <row r="61" spans="1:60" ht="14" x14ac:dyDescent="0.3">
      <c r="A61" s="179" t="str">
        <f>'ESS Jul 2016'!K38</f>
        <v>Alinta Energy</v>
      </c>
      <c r="B61" s="180">
        <f>'ESS Jul 2016'!G38</f>
        <v>41121</v>
      </c>
      <c r="C61" s="181">
        <f>91*'ESS Jul 2016'!M38/100</f>
        <v>125.07039999999999</v>
      </c>
      <c r="D61" s="181">
        <f>($C$53*$C$54)*'ESS Jul 2016'!N38/100</f>
        <v>101.52</v>
      </c>
      <c r="E61" s="181">
        <v>0</v>
      </c>
      <c r="F61" s="181">
        <f>($C$53*$C$55)*'ESS Jul 2016'!AH38/100</f>
        <v>253.8</v>
      </c>
      <c r="G61" s="181">
        <f>($C$53*$C$56)*'ESS Jul 2016'!W38/100</f>
        <v>82.296000000000006</v>
      </c>
      <c r="H61" s="183">
        <f t="shared" si="4"/>
        <v>562.68640000000005</v>
      </c>
      <c r="I61" s="202">
        <f t="shared" si="5"/>
        <v>2475.8201600000002</v>
      </c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</row>
    <row r="62" spans="1:60" ht="14" x14ac:dyDescent="0.3">
      <c r="A62" s="179" t="str">
        <f>'ESS Jul 2016'!K39</f>
        <v>Click Energy</v>
      </c>
      <c r="B62" s="180">
        <f>'ESS Jul 2016'!G39</f>
        <v>41090</v>
      </c>
      <c r="C62" s="181">
        <f>91*'ESS Jul 2016'!M39/100</f>
        <v>132.86000000000001</v>
      </c>
      <c r="D62" s="181">
        <f>($C$53*$C$54)*'ESS Jul 2016'!N39/100</f>
        <v>111.6</v>
      </c>
      <c r="E62" s="181">
        <v>0</v>
      </c>
      <c r="F62" s="181">
        <f>($C$53*$C$55)*'ESS Jul 2016'!AH39/100</f>
        <v>279</v>
      </c>
      <c r="G62" s="181">
        <f>($C$53*$C$56)*'ESS Jul 2016'!W39/100</f>
        <v>97.2</v>
      </c>
      <c r="H62" s="183">
        <f t="shared" si="4"/>
        <v>620.66000000000008</v>
      </c>
      <c r="I62" s="202">
        <f t="shared" si="5"/>
        <v>2730.9040000000005</v>
      </c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</row>
    <row r="63" spans="1:60" ht="14" x14ac:dyDescent="0.3">
      <c r="A63" s="179" t="str">
        <f>'ESS Jul 2016'!K40</f>
        <v>Commander</v>
      </c>
      <c r="B63" s="180">
        <f>'ESS Jul 2016'!G40</f>
        <v>41121</v>
      </c>
      <c r="C63" s="181">
        <f>91*'ESS Jul 2016'!M40/100</f>
        <v>125.03399999999999</v>
      </c>
      <c r="D63" s="181">
        <f>($C$53*$C$54)*'ESS Jul 2016'!N40/100</f>
        <v>120.77999999999999</v>
      </c>
      <c r="E63" s="181">
        <v>0</v>
      </c>
      <c r="F63" s="181">
        <f>($C$53*$C$55)*'ESS Jul 2016'!AH40/100</f>
        <v>301.95</v>
      </c>
      <c r="G63" s="181">
        <f>($C$53*$C$56)*'ESS Jul 2016'!W40/100</f>
        <v>95.04</v>
      </c>
      <c r="H63" s="183">
        <f t="shared" si="4"/>
        <v>642.80399999999986</v>
      </c>
      <c r="I63" s="202">
        <f t="shared" si="5"/>
        <v>2828.3375999999998</v>
      </c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</row>
    <row r="64" spans="1:60" ht="14" x14ac:dyDescent="0.3">
      <c r="A64" s="179" t="str">
        <f>'ESS Jul 2016'!K41</f>
        <v>CovaU</v>
      </c>
      <c r="B64" s="180">
        <f>'ESS Jul 2016'!G41</f>
        <v>41097</v>
      </c>
      <c r="C64" s="181">
        <f>91*'ESS Jul 2016'!M41/100</f>
        <v>154.70910000000001</v>
      </c>
      <c r="D64" s="181">
        <f>($C$53*$C$54)*'ESS Jul 2016'!N41/100</f>
        <v>118.72799999999999</v>
      </c>
      <c r="E64" s="181">
        <v>0</v>
      </c>
      <c r="F64" s="181">
        <f>($C$53*$C$55)*'ESS Jul 2016'!AH41/100</f>
        <v>296.81999999999994</v>
      </c>
      <c r="G64" s="181">
        <f>($C$53*$C$56)*'ESS Jul 2016'!W41/100</f>
        <v>100.81800000000001</v>
      </c>
      <c r="H64" s="183">
        <f t="shared" si="4"/>
        <v>671.07509999999991</v>
      </c>
      <c r="I64" s="202">
        <f t="shared" si="5"/>
        <v>2952.7304399999998</v>
      </c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</row>
    <row r="65" spans="1:60" ht="14" x14ac:dyDescent="0.3">
      <c r="A65" s="179" t="str">
        <f>'ESS Jul 2016'!K42</f>
        <v>Diamond Energy</v>
      </c>
      <c r="B65" s="180">
        <f>'ESS Jul 2016'!G42</f>
        <v>41121</v>
      </c>
      <c r="C65" s="181">
        <f>91*'ESS Jul 2016'!M42/100</f>
        <v>132.86000000000001</v>
      </c>
      <c r="D65" s="181">
        <f>IF($C$53*$C$54&gt;='ESS Jul 2016'!P42,('ESS Jul 2016'!P42*'ESS Jul 2016'!N42/100),(($C$53*$C$54)*'ESS Jul 2016'!N42/100))</f>
        <v>104.976</v>
      </c>
      <c r="E65" s="181">
        <f>IF(($C$53*$C$54&lt;'ESS Jul 2016'!P42),(0),($C$53*$C$54-'ESS Jul 2016'!P42)*'ESS Jul 2016'!Q42/100)</f>
        <v>0</v>
      </c>
      <c r="F65" s="181">
        <f>($C$53*$C$55)*'ESS Jul 2016'!AH42/100</f>
        <v>257.22000000000003</v>
      </c>
      <c r="G65" s="181">
        <f>($C$53*$C$56)*'ESS Jul 2016'!W42/100</f>
        <v>90.774000000000001</v>
      </c>
      <c r="H65" s="183">
        <f t="shared" si="4"/>
        <v>585.83000000000004</v>
      </c>
      <c r="I65" s="202">
        <f t="shared" si="5"/>
        <v>2577.6520000000005</v>
      </c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</row>
    <row r="66" spans="1:60" ht="14" x14ac:dyDescent="0.3">
      <c r="A66" s="179" t="str">
        <f>'ESS Jul 2016'!K43</f>
        <v>Dodo Power &amp; Gas</v>
      </c>
      <c r="B66" s="180">
        <f>'ESS Jul 2016'!G43</f>
        <v>41121</v>
      </c>
      <c r="C66" s="181">
        <f>91*'ESS Jul 2016'!M43/100</f>
        <v>124.07850000000001</v>
      </c>
      <c r="D66" s="181">
        <f>($C$53*$C$54)*'ESS Jul 2016'!N43/100</f>
        <v>113.58</v>
      </c>
      <c r="E66" s="181">
        <v>0</v>
      </c>
      <c r="F66" s="181">
        <f>($C$53*$C$55)*'ESS Jul 2016'!AH43/100</f>
        <v>283.95</v>
      </c>
      <c r="G66" s="181">
        <f>($C$53*$C$56)*'ESS Jul 2016'!W43/100</f>
        <v>88.83</v>
      </c>
      <c r="H66" s="183">
        <f t="shared" si="4"/>
        <v>610.43850000000009</v>
      </c>
      <c r="I66" s="202">
        <f t="shared" si="5"/>
        <v>2685.9294000000004</v>
      </c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</row>
    <row r="67" spans="1:60" ht="14" x14ac:dyDescent="0.3">
      <c r="A67" s="179" t="str">
        <f>'ESS Jul 2016'!K44</f>
        <v>EnergyAustralia</v>
      </c>
      <c r="B67" s="180">
        <f>'ESS Jul 2016'!G44</f>
        <v>41090</v>
      </c>
      <c r="C67" s="181">
        <f>91*'ESS Jul 2016'!M44/100</f>
        <v>126.68565000000001</v>
      </c>
      <c r="D67" s="181">
        <f>($C$53*$C$54)*'ESS Jul 2016'!N44/100</f>
        <v>110.03867999999999</v>
      </c>
      <c r="E67" s="181">
        <v>0</v>
      </c>
      <c r="F67" s="181">
        <f>($C$53*$C$55)*'ESS Jul 2016'!AH44/100</f>
        <v>275.0967</v>
      </c>
      <c r="G67" s="181">
        <f>($C$53*$C$56)*'ESS Jul 2016'!W44/100</f>
        <v>83.460239999999999</v>
      </c>
      <c r="H67" s="183">
        <f t="shared" si="4"/>
        <v>595.28126999999995</v>
      </c>
      <c r="I67" s="202">
        <f t="shared" si="5"/>
        <v>2619.237588</v>
      </c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</row>
    <row r="68" spans="1:60" ht="14" x14ac:dyDescent="0.3">
      <c r="A68" s="179" t="str">
        <f>'ESS Jul 2016'!K45</f>
        <v>Mojo Power</v>
      </c>
      <c r="B68" s="180">
        <f>'ESS Jul 2016'!G45</f>
        <v>40991</v>
      </c>
      <c r="C68" s="181">
        <f>91*'ESS Jul 2016'!M45/100</f>
        <v>124.83380000000001</v>
      </c>
      <c r="D68" s="181">
        <f>($C$53*$C$54)*'ESS Jul 2016'!N45/100</f>
        <v>106.70399999999999</v>
      </c>
      <c r="E68" s="181">
        <v>0</v>
      </c>
      <c r="F68" s="181">
        <f>($C$53*$C$55)*'ESS Jul 2016'!AH45/100</f>
        <v>266.76</v>
      </c>
      <c r="G68" s="181">
        <f>($C$53*$C$56)*'ESS Jul 2016'!W45/100</f>
        <v>96.713999999999999</v>
      </c>
      <c r="H68" s="183">
        <f t="shared" si="4"/>
        <v>595.01179999999999</v>
      </c>
      <c r="I68" s="202">
        <f t="shared" si="5"/>
        <v>2618.0519200000003</v>
      </c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</row>
    <row r="69" spans="1:60" ht="14" x14ac:dyDescent="0.3">
      <c r="A69" s="179" t="str">
        <f>'ESS Jul 2016'!K46</f>
        <v>Momentum Energy</v>
      </c>
      <c r="B69" s="180">
        <f>'ESS Jul 2016'!G46</f>
        <v>41097</v>
      </c>
      <c r="C69" s="181">
        <f>91*'ESS Jul 2016'!M46/100</f>
        <v>116.69840000000001</v>
      </c>
      <c r="D69" s="181">
        <f>IF($C$53*$C$54&gt;='ESS Jul 2016'!P46,('ESS Jul 2016'!P46*'ESS Jul 2016'!N46/100),(($C$53*$C$54)*'ESS Jul 2016'!N46/100))</f>
        <v>98.208000000000013</v>
      </c>
      <c r="E69" s="181">
        <f>IF(($C$53*$C$54&lt;'ESS Jul 2016'!P46),(0),($C$53*$C$54-'ESS Jul 2016'!P46)*'ESS Jul 2016'!Q46/100)</f>
        <v>0</v>
      </c>
      <c r="F69" s="181">
        <f>($C$53*$C$55)*'ESS Jul 2016'!AH46/100</f>
        <v>216.72</v>
      </c>
      <c r="G69" s="181">
        <f>($C$53*$C$56)*'ESS Jul 2016'!W46/100</f>
        <v>78.3</v>
      </c>
      <c r="H69" s="183">
        <f t="shared" si="4"/>
        <v>509.9264</v>
      </c>
      <c r="I69" s="202">
        <f t="shared" si="5"/>
        <v>2243.67616</v>
      </c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</row>
    <row r="70" spans="1:60" ht="14" x14ac:dyDescent="0.3">
      <c r="A70" s="179" t="str">
        <f>'ESS Jul 2016'!K47</f>
        <v>Origin Energy</v>
      </c>
      <c r="B70" s="180">
        <f>'ESS Jul 2016'!G47</f>
        <v>41090</v>
      </c>
      <c r="C70" s="181">
        <f>91*'ESS Jul 2016'!M47/100</f>
        <v>123.76</v>
      </c>
      <c r="D70" s="181">
        <f>($C$53*$C$54)*'ESS Jul 2016'!N47/100</f>
        <v>102.6</v>
      </c>
      <c r="E70" s="181">
        <v>0</v>
      </c>
      <c r="F70" s="181">
        <f>($C$53*$C$55)*'ESS Jul 2016'!AH47/100</f>
        <v>256.5</v>
      </c>
      <c r="G70" s="181">
        <f>($C$53*$C$56)*'ESS Jul 2016'!W47/100</f>
        <v>89.1</v>
      </c>
      <c r="H70" s="183">
        <f t="shared" si="4"/>
        <v>571.96</v>
      </c>
      <c r="I70" s="202">
        <f t="shared" si="5"/>
        <v>2516.6240000000003</v>
      </c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</row>
    <row r="71" spans="1:60" ht="14" x14ac:dyDescent="0.3">
      <c r="A71" s="179" t="str">
        <f>'ESS Jul 2016'!K48</f>
        <v>Powerdirect</v>
      </c>
      <c r="B71" s="180">
        <f>'ESS Jul 2016'!G48</f>
        <v>41121</v>
      </c>
      <c r="C71" s="181">
        <f>91*'ESS Jul 2016'!M48/100</f>
        <v>123.16850000000001</v>
      </c>
      <c r="D71" s="181">
        <f>($C$53*$C$54)*'ESS Jul 2016'!N48/100</f>
        <v>114.19199999999999</v>
      </c>
      <c r="E71" s="181">
        <v>0</v>
      </c>
      <c r="F71" s="181">
        <f>($C$53*$C$55)*'ESS Jul 2016'!AH48/100</f>
        <v>285.48</v>
      </c>
      <c r="G71" s="181">
        <f>($C$53*$C$56)*'ESS Jul 2016'!W48/100</f>
        <v>91.422000000000011</v>
      </c>
      <c r="H71" s="183">
        <f t="shared" si="4"/>
        <v>614.26250000000005</v>
      </c>
      <c r="I71" s="202">
        <f t="shared" si="5"/>
        <v>2702.7550000000006</v>
      </c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</row>
    <row r="72" spans="1:60" ht="14" x14ac:dyDescent="0.3">
      <c r="A72" s="179" t="str">
        <f>'ESS Jul 2016'!K49</f>
        <v>Powershop</v>
      </c>
      <c r="B72" s="180">
        <f>'ESS Jul 2016'!G49</f>
        <v>41090</v>
      </c>
      <c r="C72" s="181">
        <f>91*'ESS Jul 2016'!M49/100</f>
        <v>141.96</v>
      </c>
      <c r="D72" s="181">
        <f>($C$53*$C$54)*'ESS Jul 2016'!N49/100</f>
        <v>99.072000000000003</v>
      </c>
      <c r="E72" s="181">
        <v>0</v>
      </c>
      <c r="F72" s="181">
        <f>($C$53*$C$55)*'ESS Jul 2016'!AH49/100</f>
        <v>247.68</v>
      </c>
      <c r="G72" s="181">
        <f>($C$53*$C$56)*'ESS Jul 2016'!W49/100</f>
        <v>95.58</v>
      </c>
      <c r="H72" s="183">
        <f t="shared" si="4"/>
        <v>584.29200000000003</v>
      </c>
      <c r="I72" s="202">
        <f t="shared" si="5"/>
        <v>2570.8848000000003</v>
      </c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</row>
    <row r="73" spans="1:60" ht="14" x14ac:dyDescent="0.3">
      <c r="A73" s="179" t="str">
        <f>'ESS Jul 2016'!K50</f>
        <v>Red Energy</v>
      </c>
      <c r="B73" s="180">
        <f>'ESS Jul 2016'!G50</f>
        <v>41090</v>
      </c>
      <c r="C73" s="181">
        <f>91*'ESS Jul 2016'!M50/100</f>
        <v>113.52249999999999</v>
      </c>
      <c r="D73" s="181">
        <f>($C$53*$C$54)*'ESS Jul 2016'!N50/100</f>
        <v>105.012</v>
      </c>
      <c r="E73" s="181">
        <v>0</v>
      </c>
      <c r="F73" s="181">
        <f>($C$53*$C$55)*'ESS Jul 2016'!AH50/100</f>
        <v>262.52999999999997</v>
      </c>
      <c r="G73" s="181">
        <f>($C$53*$C$56)*'ESS Jul 2016'!W50/100</f>
        <v>90.774000000000001</v>
      </c>
      <c r="H73" s="183">
        <f t="shared" si="4"/>
        <v>571.83849999999995</v>
      </c>
      <c r="I73" s="202">
        <f t="shared" si="5"/>
        <v>2516.0893999999998</v>
      </c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</row>
    <row r="74" spans="1:60" ht="14" x14ac:dyDescent="0.3">
      <c r="A74" s="179" t="str">
        <f>'ESS Jul 2016'!K51</f>
        <v>Simply Energy</v>
      </c>
      <c r="B74" s="180">
        <f>'ESS Jul 2016'!G51</f>
        <v>41093</v>
      </c>
      <c r="C74" s="181">
        <f>91*'ESS Jul 2016'!M51/100</f>
        <v>115.46080000000001</v>
      </c>
      <c r="D74" s="181">
        <f>($C$53*$C$54)*'ESS Jul 2016'!N51/100</f>
        <v>91.296000000000006</v>
      </c>
      <c r="E74" s="181">
        <v>0</v>
      </c>
      <c r="F74" s="181">
        <f>($C$53*$C$55)*'ESS Jul 2016'!AH51/100</f>
        <v>228.24</v>
      </c>
      <c r="G74" s="181">
        <f>($C$53*$C$56)*'ESS Jul 2016'!W51/100</f>
        <v>68.202000000000012</v>
      </c>
      <c r="H74" s="183">
        <f t="shared" si="4"/>
        <v>503.19880000000001</v>
      </c>
      <c r="I74" s="202">
        <f t="shared" si="5"/>
        <v>2214.0747200000001</v>
      </c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</row>
    <row r="75" spans="1:60" ht="14.5" thickBot="1" x14ac:dyDescent="0.35">
      <c r="A75" s="184" t="str">
        <f>'ESS Jul 2016'!K52</f>
        <v>Urth Energy</v>
      </c>
      <c r="B75" s="185">
        <f>'ESS Jul 2016'!G52</f>
        <v>41090</v>
      </c>
      <c r="C75" s="186">
        <f>91*'ESS Jul 2016'!M52/100</f>
        <v>123.76</v>
      </c>
      <c r="D75" s="186">
        <f>($C$53*$C$54)*'ESS Jul 2016'!N52/100</f>
        <v>107.64</v>
      </c>
      <c r="E75" s="186">
        <v>0</v>
      </c>
      <c r="F75" s="186">
        <f>($C$53*$C$55)*'ESS Jul 2016'!AH52/100</f>
        <v>269.10000000000002</v>
      </c>
      <c r="G75" s="186">
        <f>($C$53*$C$56)*'ESS Jul 2016'!W52/100</f>
        <v>85.86</v>
      </c>
      <c r="H75" s="188">
        <f t="shared" si="4"/>
        <v>586.36</v>
      </c>
      <c r="I75" s="203">
        <f t="shared" si="5"/>
        <v>2579.9840000000004</v>
      </c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</row>
    <row r="76" spans="1:60" s="173" customFormat="1" ht="14" x14ac:dyDescent="0.3"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</row>
    <row r="77" spans="1:60" s="173" customFormat="1" ht="14" x14ac:dyDescent="0.3"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</row>
    <row r="78" spans="1:60" s="173" customFormat="1" ht="14" x14ac:dyDescent="0.3"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</row>
    <row r="79" spans="1:60" s="173" customFormat="1" ht="14" x14ac:dyDescent="0.3"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</row>
    <row r="80" spans="1:60" s="173" customFormat="1" ht="14" x14ac:dyDescent="0.3"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</row>
    <row r="81" spans="10:60" s="173" customFormat="1" ht="14" x14ac:dyDescent="0.3"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</row>
    <row r="82" spans="10:60" s="173" customFormat="1" ht="14" x14ac:dyDescent="0.3"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</row>
    <row r="83" spans="10:60" s="173" customFormat="1" ht="14" x14ac:dyDescent="0.3"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</row>
    <row r="84" spans="10:60" s="173" customFormat="1" ht="14" x14ac:dyDescent="0.3"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</row>
    <row r="85" spans="10:60" s="173" customFormat="1" ht="14" x14ac:dyDescent="0.3"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</row>
    <row r="86" spans="10:60" s="173" customFormat="1" ht="14" x14ac:dyDescent="0.3"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</row>
    <row r="87" spans="10:60" s="173" customFormat="1" ht="14" x14ac:dyDescent="0.3"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</row>
    <row r="88" spans="10:60" s="173" customFormat="1" ht="14" x14ac:dyDescent="0.3"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</row>
    <row r="89" spans="10:60" s="173" customFormat="1" ht="14" x14ac:dyDescent="0.3"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</row>
    <row r="90" spans="10:60" s="173" customFormat="1" ht="14" x14ac:dyDescent="0.3"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</row>
    <row r="91" spans="10:60" s="173" customFormat="1" ht="14" x14ac:dyDescent="0.3"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</row>
    <row r="92" spans="10:60" s="173" customFormat="1" ht="14" x14ac:dyDescent="0.3"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</row>
    <row r="93" spans="10:60" s="173" customFormat="1" ht="14" x14ac:dyDescent="0.3"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</row>
    <row r="94" spans="10:60" s="173" customFormat="1" ht="14" x14ac:dyDescent="0.3"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</row>
    <row r="95" spans="10:60" s="173" customFormat="1" ht="14" x14ac:dyDescent="0.3"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</row>
    <row r="96" spans="10:60" s="173" customFormat="1" ht="14" x14ac:dyDescent="0.3"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</row>
    <row r="97" spans="10:60" s="173" customFormat="1" ht="14" x14ac:dyDescent="0.3"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</row>
    <row r="98" spans="10:60" s="173" customFormat="1" ht="14" x14ac:dyDescent="0.3"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</row>
    <row r="99" spans="10:60" s="173" customFormat="1" ht="14" x14ac:dyDescent="0.3"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</row>
    <row r="100" spans="10:60" s="173" customFormat="1" ht="14" x14ac:dyDescent="0.3"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</row>
    <row r="101" spans="10:60" s="173" customFormat="1" ht="14" x14ac:dyDescent="0.3"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</row>
    <row r="102" spans="10:60" s="173" customFormat="1" ht="14" x14ac:dyDescent="0.3"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</row>
    <row r="103" spans="10:60" s="173" customFormat="1" ht="14" x14ac:dyDescent="0.3"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</row>
    <row r="104" spans="10:60" s="173" customFormat="1" ht="14" x14ac:dyDescent="0.3"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</row>
    <row r="105" spans="10:60" s="173" customFormat="1" ht="14" x14ac:dyDescent="0.3"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</row>
    <row r="106" spans="10:60" s="173" customFormat="1" ht="14" x14ac:dyDescent="0.3"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</row>
    <row r="107" spans="10:60" s="173" customFormat="1" ht="14" x14ac:dyDescent="0.3"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</row>
    <row r="108" spans="10:60" s="173" customFormat="1" ht="14" x14ac:dyDescent="0.3"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</row>
    <row r="109" spans="10:60" s="173" customFormat="1" ht="14" x14ac:dyDescent="0.3"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</row>
    <row r="110" spans="10:60" s="173" customFormat="1" ht="14" x14ac:dyDescent="0.3"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</row>
    <row r="111" spans="10:60" s="173" customFormat="1" ht="14" x14ac:dyDescent="0.3"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</row>
    <row r="112" spans="10:60" s="173" customFormat="1" ht="14" x14ac:dyDescent="0.3"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</row>
    <row r="113" spans="10:60" s="173" customFormat="1" ht="14" x14ac:dyDescent="0.3"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</row>
    <row r="114" spans="10:60" s="173" customFormat="1" ht="14" x14ac:dyDescent="0.3"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</row>
    <row r="115" spans="10:60" s="173" customFormat="1" ht="14" x14ac:dyDescent="0.3"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</row>
    <row r="116" spans="10:60" s="173" customFormat="1" ht="14" x14ac:dyDescent="0.3"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</row>
    <row r="117" spans="10:60" s="173" customFormat="1" ht="14" x14ac:dyDescent="0.3"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</row>
    <row r="118" spans="10:60" s="173" customFormat="1" ht="14" x14ac:dyDescent="0.3"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</row>
    <row r="119" spans="10:60" s="173" customFormat="1" ht="14" x14ac:dyDescent="0.3"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</row>
    <row r="120" spans="10:60" s="173" customFormat="1" ht="14" x14ac:dyDescent="0.3"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</row>
    <row r="121" spans="10:60" s="173" customFormat="1" ht="14" x14ac:dyDescent="0.3"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</row>
    <row r="122" spans="10:60" s="173" customFormat="1" ht="14" x14ac:dyDescent="0.3"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</row>
    <row r="123" spans="10:60" s="173" customFormat="1" ht="14" x14ac:dyDescent="0.3"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</row>
    <row r="124" spans="10:60" s="173" customFormat="1" ht="14" x14ac:dyDescent="0.3"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</row>
    <row r="125" spans="10:60" s="173" customFormat="1" ht="14" x14ac:dyDescent="0.3"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</row>
    <row r="126" spans="10:60" s="173" customFormat="1" ht="14" x14ac:dyDescent="0.3"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</row>
    <row r="127" spans="10:60" s="173" customFormat="1" ht="14" x14ac:dyDescent="0.3"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</row>
    <row r="128" spans="10:60" s="173" customFormat="1" ht="14" x14ac:dyDescent="0.3"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</row>
    <row r="129" spans="10:60" s="173" customFormat="1" ht="14" x14ac:dyDescent="0.3"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</row>
    <row r="130" spans="10:60" s="173" customFormat="1" ht="14" x14ac:dyDescent="0.3"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</row>
    <row r="131" spans="10:60" s="173" customFormat="1" ht="14" x14ac:dyDescent="0.3"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</row>
    <row r="132" spans="10:60" s="173" customFormat="1" ht="14" x14ac:dyDescent="0.3"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</row>
    <row r="133" spans="10:60" s="173" customFormat="1" ht="14" x14ac:dyDescent="0.3"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</row>
    <row r="134" spans="10:60" s="173" customFormat="1" ht="14" x14ac:dyDescent="0.3"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</row>
    <row r="135" spans="10:60" s="173" customFormat="1" ht="14" x14ac:dyDescent="0.3"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</row>
    <row r="136" spans="10:60" s="173" customFormat="1" ht="14" x14ac:dyDescent="0.3"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</row>
    <row r="137" spans="10:60" s="173" customFormat="1" ht="14" x14ac:dyDescent="0.3"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</row>
    <row r="138" spans="10:60" s="173" customFormat="1" ht="14" x14ac:dyDescent="0.3"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</row>
    <row r="139" spans="10:60" s="173" customFormat="1" ht="14" x14ac:dyDescent="0.3"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</row>
    <row r="140" spans="10:60" s="173" customFormat="1" ht="14" x14ac:dyDescent="0.3"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</row>
    <row r="141" spans="10:60" s="173" customFormat="1" ht="14" x14ac:dyDescent="0.3"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</row>
    <row r="142" spans="10:60" s="173" customFormat="1" ht="14" x14ac:dyDescent="0.3"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</row>
    <row r="143" spans="10:60" s="173" customFormat="1" ht="14" x14ac:dyDescent="0.3"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</row>
    <row r="144" spans="10:60" s="173" customFormat="1" ht="14" x14ac:dyDescent="0.3"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</row>
    <row r="145" spans="10:60" s="173" customFormat="1" ht="14" x14ac:dyDescent="0.3"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</row>
    <row r="146" spans="10:60" s="173" customFormat="1" ht="14" x14ac:dyDescent="0.3"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</row>
    <row r="147" spans="10:60" s="173" customFormat="1" ht="14" x14ac:dyDescent="0.3"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</row>
    <row r="148" spans="10:60" s="173" customFormat="1" ht="14" x14ac:dyDescent="0.3"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</row>
    <row r="149" spans="10:60" s="173" customFormat="1" ht="14" x14ac:dyDescent="0.3"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</row>
    <row r="150" spans="10:60" s="173" customFormat="1" ht="14" x14ac:dyDescent="0.3"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</row>
    <row r="151" spans="10:60" s="173" customFormat="1" ht="14" x14ac:dyDescent="0.3"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</row>
    <row r="152" spans="10:60" s="173" customFormat="1" ht="14" x14ac:dyDescent="0.3"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</row>
    <row r="153" spans="10:60" s="173" customFormat="1" ht="14" x14ac:dyDescent="0.3"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</row>
    <row r="154" spans="10:60" s="173" customFormat="1" ht="14" x14ac:dyDescent="0.3"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</row>
    <row r="155" spans="10:60" s="173" customFormat="1" ht="14" x14ac:dyDescent="0.3"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</row>
    <row r="156" spans="10:60" s="173" customFormat="1" ht="14" x14ac:dyDescent="0.3"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</row>
    <row r="157" spans="10:60" s="173" customFormat="1" ht="14" x14ac:dyDescent="0.3"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</row>
    <row r="158" spans="10:60" s="173" customFormat="1" ht="14" x14ac:dyDescent="0.3"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</row>
    <row r="159" spans="10:60" s="173" customFormat="1" ht="14" x14ac:dyDescent="0.3"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</row>
    <row r="160" spans="10:60" s="173" customFormat="1" ht="14" x14ac:dyDescent="0.3"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</row>
    <row r="161" spans="10:60" s="173" customFormat="1" ht="14" x14ac:dyDescent="0.3"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</row>
    <row r="162" spans="10:60" s="173" customFormat="1" ht="14" x14ac:dyDescent="0.3"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</row>
    <row r="163" spans="10:60" s="173" customFormat="1" ht="14" x14ac:dyDescent="0.3"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</row>
    <row r="164" spans="10:60" s="173" customFormat="1" ht="14" x14ac:dyDescent="0.3"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</row>
    <row r="165" spans="10:60" s="173" customFormat="1" ht="14" x14ac:dyDescent="0.3"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</row>
    <row r="166" spans="10:60" s="173" customFormat="1" ht="14" x14ac:dyDescent="0.3"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</row>
    <row r="167" spans="10:60" s="173" customFormat="1" ht="14" x14ac:dyDescent="0.3"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</row>
    <row r="168" spans="10:60" s="173" customFormat="1" ht="14" x14ac:dyDescent="0.3"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</row>
    <row r="169" spans="10:60" s="173" customFormat="1" ht="14" x14ac:dyDescent="0.3"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</row>
    <row r="170" spans="10:60" s="173" customFormat="1" ht="14" x14ac:dyDescent="0.3"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</row>
    <row r="171" spans="10:60" s="173" customFormat="1" ht="14" x14ac:dyDescent="0.3"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</row>
    <row r="172" spans="10:60" s="173" customFormat="1" ht="14" x14ac:dyDescent="0.3">
      <c r="J172" s="201"/>
      <c r="K172" s="201"/>
      <c r="L172" s="201"/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</row>
    <row r="173" spans="10:60" s="173" customFormat="1" ht="14" x14ac:dyDescent="0.3">
      <c r="J173" s="201"/>
      <c r="K173" s="201"/>
      <c r="L173" s="201"/>
      <c r="M173" s="201"/>
      <c r="N173" s="201"/>
      <c r="O173" s="201"/>
      <c r="P173" s="201"/>
      <c r="Q173" s="201"/>
      <c r="R173" s="201"/>
      <c r="S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</row>
    <row r="174" spans="10:60" s="173" customFormat="1" ht="14" x14ac:dyDescent="0.3">
      <c r="J174" s="201"/>
      <c r="K174" s="201"/>
      <c r="L174" s="201"/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</row>
    <row r="175" spans="10:60" s="173" customFormat="1" ht="14" x14ac:dyDescent="0.3">
      <c r="J175" s="201"/>
      <c r="K175" s="201"/>
      <c r="L175" s="201"/>
      <c r="M175" s="201"/>
      <c r="N175" s="201"/>
      <c r="O175" s="201"/>
      <c r="P175" s="201"/>
      <c r="Q175" s="201"/>
      <c r="R175" s="201"/>
      <c r="S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</row>
    <row r="176" spans="10:60" s="173" customFormat="1" ht="14" x14ac:dyDescent="0.3">
      <c r="J176" s="201"/>
      <c r="K176" s="201"/>
      <c r="L176" s="201"/>
      <c r="M176" s="201"/>
      <c r="N176" s="201"/>
      <c r="O176" s="201"/>
      <c r="P176" s="201"/>
      <c r="Q176" s="201"/>
      <c r="R176" s="201"/>
      <c r="S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</row>
    <row r="177" spans="10:60" s="173" customFormat="1" ht="14" x14ac:dyDescent="0.3">
      <c r="J177" s="201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</row>
    <row r="178" spans="10:60" s="173" customFormat="1" ht="14" x14ac:dyDescent="0.3">
      <c r="J178" s="201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</row>
    <row r="179" spans="10:60" s="173" customFormat="1" ht="14" x14ac:dyDescent="0.3"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</row>
    <row r="180" spans="10:60" s="173" customFormat="1" ht="14" x14ac:dyDescent="0.3"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</row>
    <row r="181" spans="10:60" s="173" customFormat="1" ht="14" x14ac:dyDescent="0.3"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</row>
    <row r="182" spans="10:60" s="173" customFormat="1" ht="14" x14ac:dyDescent="0.3"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</row>
    <row r="183" spans="10:60" s="173" customFormat="1" ht="14" x14ac:dyDescent="0.3"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</row>
    <row r="184" spans="10:60" s="173" customFormat="1" ht="14" x14ac:dyDescent="0.3"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</row>
    <row r="185" spans="10:60" s="173" customFormat="1" ht="14" x14ac:dyDescent="0.3"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</row>
    <row r="186" spans="10:60" s="173" customFormat="1" ht="14" x14ac:dyDescent="0.3"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</row>
    <row r="187" spans="10:60" s="173" customFormat="1" ht="14" x14ac:dyDescent="0.3"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</row>
    <row r="188" spans="10:60" s="173" customFormat="1" ht="14" x14ac:dyDescent="0.3"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</row>
    <row r="189" spans="10:60" s="173" customFormat="1" ht="14" x14ac:dyDescent="0.3">
      <c r="J189" s="201"/>
      <c r="K189" s="201"/>
      <c r="L189" s="201"/>
      <c r="M189" s="201"/>
      <c r="N189" s="201"/>
      <c r="O189" s="201"/>
      <c r="P189" s="201"/>
      <c r="Q189" s="201"/>
      <c r="R189" s="201"/>
      <c r="S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</row>
    <row r="190" spans="10:60" s="173" customFormat="1" ht="14" x14ac:dyDescent="0.3">
      <c r="J190" s="201"/>
      <c r="K190" s="201"/>
      <c r="L190" s="201"/>
      <c r="M190" s="201"/>
      <c r="N190" s="201"/>
      <c r="O190" s="201"/>
      <c r="P190" s="201"/>
      <c r="Q190" s="201"/>
      <c r="R190" s="201"/>
      <c r="S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</row>
    <row r="191" spans="10:60" s="173" customFormat="1" ht="14" x14ac:dyDescent="0.3">
      <c r="J191" s="201"/>
      <c r="K191" s="201"/>
      <c r="L191" s="201"/>
      <c r="M191" s="201"/>
      <c r="N191" s="201"/>
      <c r="O191" s="201"/>
      <c r="P191" s="201"/>
      <c r="Q191" s="201"/>
      <c r="R191" s="201"/>
      <c r="S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</row>
    <row r="192" spans="10:60" s="173" customFormat="1" ht="14" x14ac:dyDescent="0.3">
      <c r="J192" s="201"/>
      <c r="K192" s="201"/>
      <c r="L192" s="201"/>
      <c r="M192" s="201"/>
      <c r="N192" s="201"/>
      <c r="O192" s="201"/>
      <c r="P192" s="201"/>
      <c r="Q192" s="201"/>
      <c r="R192" s="201"/>
      <c r="S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</row>
    <row r="193" spans="10:60" s="173" customFormat="1" ht="14" x14ac:dyDescent="0.3">
      <c r="J193" s="201"/>
      <c r="K193" s="201"/>
      <c r="L193" s="201"/>
      <c r="M193" s="201"/>
      <c r="N193" s="201"/>
      <c r="O193" s="201"/>
      <c r="P193" s="201"/>
      <c r="Q193" s="201"/>
      <c r="R193" s="201"/>
      <c r="S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</row>
    <row r="194" spans="10:60" s="173" customFormat="1" ht="14" x14ac:dyDescent="0.3">
      <c r="J194" s="201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</row>
    <row r="195" spans="10:60" s="173" customFormat="1" ht="14" x14ac:dyDescent="0.3">
      <c r="J195" s="201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</row>
    <row r="196" spans="10:60" s="173" customFormat="1" ht="14" x14ac:dyDescent="0.3"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</row>
    <row r="197" spans="10:60" s="173" customFormat="1" ht="14" x14ac:dyDescent="0.3"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</row>
    <row r="198" spans="10:60" s="173" customFormat="1" ht="14" x14ac:dyDescent="0.3"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</row>
    <row r="199" spans="10:60" s="173" customFormat="1" ht="14" x14ac:dyDescent="0.3"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</row>
    <row r="200" spans="10:60" s="173" customFormat="1" ht="14" x14ac:dyDescent="0.3"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</row>
    <row r="201" spans="10:60" s="173" customFormat="1" ht="14" x14ac:dyDescent="0.3"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</row>
    <row r="202" spans="10:60" s="173" customFormat="1" ht="14" x14ac:dyDescent="0.3"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</row>
    <row r="203" spans="10:60" s="173" customFormat="1" ht="14" x14ac:dyDescent="0.3"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</row>
    <row r="204" spans="10:60" s="173" customFormat="1" ht="14" x14ac:dyDescent="0.3"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</row>
    <row r="205" spans="10:60" s="173" customFormat="1" ht="14" x14ac:dyDescent="0.3"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</row>
    <row r="206" spans="10:60" s="173" customFormat="1" ht="14" x14ac:dyDescent="0.3">
      <c r="J206" s="201"/>
      <c r="K206" s="201"/>
      <c r="L206" s="201"/>
      <c r="M206" s="201"/>
      <c r="N206" s="201"/>
      <c r="O206" s="201"/>
      <c r="P206" s="201"/>
      <c r="Q206" s="201"/>
      <c r="R206" s="201"/>
      <c r="S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</row>
    <row r="207" spans="10:60" s="173" customFormat="1" ht="14" x14ac:dyDescent="0.3">
      <c r="J207" s="201"/>
      <c r="K207" s="201"/>
      <c r="L207" s="201"/>
      <c r="M207" s="201"/>
      <c r="N207" s="201"/>
      <c r="O207" s="201"/>
      <c r="P207" s="201"/>
      <c r="Q207" s="201"/>
      <c r="R207" s="201"/>
      <c r="S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</row>
    <row r="208" spans="10:60" s="173" customFormat="1" ht="14" x14ac:dyDescent="0.3">
      <c r="J208" s="201"/>
      <c r="K208" s="201"/>
      <c r="L208" s="201"/>
      <c r="M208" s="201"/>
      <c r="N208" s="201"/>
      <c r="O208" s="201"/>
      <c r="P208" s="201"/>
      <c r="Q208" s="201"/>
      <c r="R208" s="201"/>
      <c r="S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</row>
    <row r="209" spans="10:60" s="173" customFormat="1" ht="14" x14ac:dyDescent="0.3">
      <c r="J209" s="201"/>
      <c r="K209" s="201"/>
      <c r="L209" s="201"/>
      <c r="M209" s="201"/>
      <c r="N209" s="201"/>
      <c r="O209" s="201"/>
      <c r="P209" s="201"/>
      <c r="Q209" s="201"/>
      <c r="R209" s="201"/>
      <c r="S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</row>
    <row r="210" spans="10:60" s="173" customFormat="1" ht="14" x14ac:dyDescent="0.3">
      <c r="J210" s="201"/>
      <c r="K210" s="201"/>
      <c r="L210" s="201"/>
      <c r="M210" s="201"/>
      <c r="N210" s="201"/>
      <c r="O210" s="201"/>
      <c r="P210" s="201"/>
      <c r="Q210" s="201"/>
      <c r="R210" s="201"/>
      <c r="S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</row>
    <row r="211" spans="10:60" s="173" customFormat="1" ht="14" x14ac:dyDescent="0.3">
      <c r="J211" s="201"/>
      <c r="K211" s="201"/>
      <c r="L211" s="201"/>
      <c r="M211" s="201"/>
      <c r="N211" s="201"/>
      <c r="O211" s="201"/>
      <c r="P211" s="201"/>
      <c r="Q211" s="201"/>
      <c r="R211" s="201"/>
      <c r="S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</row>
    <row r="212" spans="10:60" s="173" customFormat="1" ht="14" x14ac:dyDescent="0.3">
      <c r="J212" s="201"/>
      <c r="K212" s="201"/>
      <c r="L212" s="201"/>
      <c r="M212" s="201"/>
      <c r="N212" s="201"/>
      <c r="O212" s="201"/>
      <c r="P212" s="201"/>
      <c r="Q212" s="201"/>
      <c r="R212" s="201"/>
      <c r="S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</row>
    <row r="213" spans="10:60" s="173" customFormat="1" ht="14" x14ac:dyDescent="0.3">
      <c r="J213" s="201"/>
      <c r="K213" s="201"/>
      <c r="L213" s="201"/>
      <c r="M213" s="201"/>
      <c r="N213" s="201"/>
      <c r="O213" s="201"/>
      <c r="P213" s="201"/>
      <c r="Q213" s="201"/>
      <c r="R213" s="201"/>
      <c r="S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</row>
    <row r="214" spans="10:60" s="173" customFormat="1" ht="14" x14ac:dyDescent="0.3">
      <c r="J214" s="201"/>
      <c r="K214" s="201"/>
      <c r="L214" s="201"/>
      <c r="M214" s="201"/>
      <c r="N214" s="201"/>
      <c r="O214" s="201"/>
      <c r="P214" s="201"/>
      <c r="Q214" s="201"/>
      <c r="R214" s="201"/>
      <c r="S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</row>
    <row r="215" spans="10:60" s="173" customFormat="1" ht="14" x14ac:dyDescent="0.3">
      <c r="J215" s="201"/>
      <c r="K215" s="201"/>
      <c r="L215" s="201"/>
      <c r="M215" s="201"/>
      <c r="N215" s="201"/>
      <c r="O215" s="201"/>
      <c r="P215" s="201"/>
      <c r="Q215" s="201"/>
      <c r="R215" s="201"/>
      <c r="S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</row>
    <row r="216" spans="10:60" s="173" customFormat="1" ht="14" x14ac:dyDescent="0.3">
      <c r="J216" s="201"/>
      <c r="K216" s="201"/>
      <c r="L216" s="201"/>
      <c r="M216" s="201"/>
      <c r="N216" s="201"/>
      <c r="O216" s="201"/>
      <c r="P216" s="201"/>
      <c r="Q216" s="201"/>
      <c r="R216" s="201"/>
      <c r="S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</row>
    <row r="217" spans="10:60" s="173" customFormat="1" ht="14" x14ac:dyDescent="0.3">
      <c r="J217" s="201"/>
      <c r="K217" s="201"/>
      <c r="L217" s="201"/>
      <c r="M217" s="201"/>
      <c r="N217" s="201"/>
      <c r="O217" s="201"/>
      <c r="P217" s="201"/>
      <c r="Q217" s="201"/>
      <c r="R217" s="201"/>
      <c r="S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</row>
    <row r="218" spans="10:60" s="173" customFormat="1" ht="14" x14ac:dyDescent="0.3">
      <c r="J218" s="201"/>
      <c r="K218" s="201"/>
      <c r="L218" s="201"/>
      <c r="M218" s="201"/>
      <c r="N218" s="201"/>
      <c r="O218" s="201"/>
      <c r="P218" s="201"/>
      <c r="Q218" s="201"/>
      <c r="R218" s="201"/>
      <c r="S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</row>
    <row r="219" spans="10:60" s="173" customFormat="1" ht="14" x14ac:dyDescent="0.3">
      <c r="J219" s="201"/>
      <c r="K219" s="201"/>
      <c r="L219" s="201"/>
      <c r="M219" s="201"/>
      <c r="N219" s="201"/>
      <c r="O219" s="201"/>
      <c r="P219" s="201"/>
      <c r="Q219" s="201"/>
      <c r="R219" s="201"/>
      <c r="S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</row>
    <row r="220" spans="10:60" s="173" customFormat="1" ht="14" x14ac:dyDescent="0.3">
      <c r="J220" s="201"/>
      <c r="K220" s="201"/>
      <c r="L220" s="201"/>
      <c r="M220" s="201"/>
      <c r="N220" s="201"/>
      <c r="O220" s="201"/>
      <c r="P220" s="201"/>
      <c r="Q220" s="201"/>
      <c r="R220" s="201"/>
      <c r="S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</row>
    <row r="221" spans="10:60" s="173" customFormat="1" ht="14" x14ac:dyDescent="0.3">
      <c r="J221" s="201"/>
      <c r="K221" s="201"/>
      <c r="L221" s="201"/>
      <c r="M221" s="201"/>
      <c r="N221" s="201"/>
      <c r="O221" s="201"/>
      <c r="P221" s="201"/>
      <c r="Q221" s="201"/>
      <c r="R221" s="201"/>
      <c r="S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</row>
    <row r="222" spans="10:60" s="173" customFormat="1" ht="14" x14ac:dyDescent="0.3">
      <c r="J222" s="201"/>
      <c r="K222" s="201"/>
      <c r="L222" s="201"/>
      <c r="M222" s="201"/>
      <c r="N222" s="201"/>
      <c r="O222" s="201"/>
      <c r="P222" s="201"/>
      <c r="Q222" s="201"/>
      <c r="R222" s="201"/>
      <c r="S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</row>
    <row r="223" spans="10:60" s="173" customFormat="1" ht="14" x14ac:dyDescent="0.3">
      <c r="J223" s="201"/>
      <c r="K223" s="201"/>
      <c r="L223" s="201"/>
      <c r="M223" s="201"/>
      <c r="N223" s="201"/>
      <c r="O223" s="201"/>
      <c r="P223" s="201"/>
      <c r="Q223" s="201"/>
      <c r="R223" s="201"/>
      <c r="S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</row>
    <row r="224" spans="10:60" s="173" customFormat="1" ht="14" x14ac:dyDescent="0.3">
      <c r="J224" s="201"/>
      <c r="K224" s="201"/>
      <c r="L224" s="201"/>
      <c r="M224" s="201"/>
      <c r="N224" s="201"/>
      <c r="O224" s="201"/>
      <c r="P224" s="201"/>
      <c r="Q224" s="201"/>
      <c r="R224" s="201"/>
      <c r="S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</row>
    <row r="225" spans="10:60" s="173" customFormat="1" ht="14" x14ac:dyDescent="0.3">
      <c r="J225" s="201"/>
      <c r="K225" s="201"/>
      <c r="L225" s="201"/>
      <c r="M225" s="201"/>
      <c r="N225" s="201"/>
      <c r="O225" s="201"/>
      <c r="P225" s="201"/>
      <c r="Q225" s="201"/>
      <c r="R225" s="201"/>
      <c r="S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</row>
    <row r="226" spans="10:60" s="173" customFormat="1" ht="14" x14ac:dyDescent="0.3">
      <c r="J226" s="201"/>
      <c r="K226" s="201"/>
      <c r="L226" s="201"/>
      <c r="M226" s="201"/>
      <c r="N226" s="201"/>
      <c r="O226" s="201"/>
      <c r="P226" s="201"/>
      <c r="Q226" s="201"/>
      <c r="R226" s="201"/>
      <c r="S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</row>
    <row r="227" spans="10:60" s="173" customFormat="1" ht="14" x14ac:dyDescent="0.3">
      <c r="J227" s="201"/>
      <c r="K227" s="201"/>
      <c r="L227" s="201"/>
      <c r="M227" s="201"/>
      <c r="N227" s="201"/>
      <c r="O227" s="201"/>
      <c r="P227" s="201"/>
      <c r="Q227" s="201"/>
      <c r="R227" s="201"/>
      <c r="S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</row>
    <row r="228" spans="10:60" s="173" customFormat="1" ht="14" x14ac:dyDescent="0.3">
      <c r="J228" s="201"/>
      <c r="K228" s="201"/>
      <c r="L228" s="201"/>
      <c r="M228" s="201"/>
      <c r="N228" s="201"/>
      <c r="O228" s="201"/>
      <c r="P228" s="201"/>
      <c r="Q228" s="201"/>
      <c r="R228" s="201"/>
      <c r="S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</row>
    <row r="229" spans="10:60" s="173" customFormat="1" ht="14" x14ac:dyDescent="0.3">
      <c r="J229" s="201"/>
      <c r="K229" s="201"/>
      <c r="L229" s="201"/>
      <c r="M229" s="201"/>
      <c r="N229" s="201"/>
      <c r="O229" s="201"/>
      <c r="P229" s="201"/>
      <c r="Q229" s="201"/>
      <c r="R229" s="201"/>
      <c r="S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</row>
    <row r="230" spans="10:60" s="173" customFormat="1" ht="14" x14ac:dyDescent="0.3">
      <c r="J230" s="201"/>
      <c r="K230" s="201"/>
      <c r="L230" s="201"/>
      <c r="M230" s="201"/>
      <c r="N230" s="201"/>
      <c r="O230" s="201"/>
      <c r="P230" s="201"/>
      <c r="Q230" s="201"/>
      <c r="R230" s="201"/>
      <c r="S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</row>
    <row r="231" spans="10:60" s="173" customFormat="1" ht="14" x14ac:dyDescent="0.3">
      <c r="J231" s="201"/>
      <c r="K231" s="201"/>
      <c r="L231" s="201"/>
      <c r="M231" s="201"/>
      <c r="N231" s="201"/>
      <c r="O231" s="201"/>
      <c r="P231" s="201"/>
      <c r="Q231" s="201"/>
      <c r="R231" s="201"/>
      <c r="S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</row>
    <row r="232" spans="10:60" s="173" customFormat="1" ht="14" x14ac:dyDescent="0.3">
      <c r="J232" s="201"/>
      <c r="K232" s="201"/>
      <c r="L232" s="201"/>
      <c r="M232" s="201"/>
      <c r="N232" s="201"/>
      <c r="O232" s="201"/>
      <c r="P232" s="201"/>
      <c r="Q232" s="201"/>
      <c r="R232" s="201"/>
      <c r="S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</row>
    <row r="233" spans="10:60" s="173" customFormat="1" ht="14" x14ac:dyDescent="0.3">
      <c r="J233" s="201"/>
      <c r="K233" s="201"/>
      <c r="L233" s="201"/>
      <c r="M233" s="201"/>
      <c r="N233" s="201"/>
      <c r="O233" s="201"/>
      <c r="P233" s="201"/>
      <c r="Q233" s="201"/>
      <c r="R233" s="201"/>
      <c r="S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</row>
    <row r="234" spans="10:60" s="173" customFormat="1" ht="14" x14ac:dyDescent="0.3">
      <c r="J234" s="201"/>
      <c r="K234" s="201"/>
      <c r="L234" s="201"/>
      <c r="M234" s="201"/>
      <c r="N234" s="201"/>
      <c r="O234" s="201"/>
      <c r="P234" s="201"/>
      <c r="Q234" s="201"/>
      <c r="R234" s="201"/>
      <c r="S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</row>
    <row r="235" spans="10:60" s="173" customFormat="1" ht="14" x14ac:dyDescent="0.3">
      <c r="J235" s="201"/>
      <c r="K235" s="201"/>
      <c r="L235" s="201"/>
      <c r="M235" s="201"/>
      <c r="N235" s="201"/>
      <c r="O235" s="201"/>
      <c r="P235" s="201"/>
      <c r="Q235" s="201"/>
      <c r="R235" s="201"/>
      <c r="S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</row>
    <row r="236" spans="10:60" s="173" customFormat="1" ht="14" x14ac:dyDescent="0.3">
      <c r="J236" s="201"/>
      <c r="K236" s="201"/>
      <c r="L236" s="201"/>
      <c r="M236" s="201"/>
      <c r="N236" s="201"/>
      <c r="O236" s="201"/>
      <c r="P236" s="201"/>
      <c r="Q236" s="201"/>
      <c r="R236" s="201"/>
      <c r="S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</row>
    <row r="237" spans="10:60" s="173" customFormat="1" ht="14" x14ac:dyDescent="0.3">
      <c r="J237" s="201"/>
      <c r="K237" s="201"/>
      <c r="L237" s="201"/>
      <c r="M237" s="201"/>
      <c r="N237" s="201"/>
      <c r="O237" s="201"/>
      <c r="P237" s="201"/>
      <c r="Q237" s="201"/>
      <c r="R237" s="201"/>
      <c r="S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</row>
    <row r="238" spans="10:60" s="173" customFormat="1" ht="14" x14ac:dyDescent="0.3">
      <c r="J238" s="201"/>
      <c r="K238" s="201"/>
      <c r="L238" s="201"/>
      <c r="M238" s="201"/>
      <c r="N238" s="201"/>
      <c r="O238" s="201"/>
      <c r="P238" s="201"/>
      <c r="Q238" s="201"/>
      <c r="R238" s="201"/>
      <c r="S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</row>
    <row r="239" spans="10:60" s="173" customFormat="1" ht="14" x14ac:dyDescent="0.3">
      <c r="J239" s="201"/>
      <c r="K239" s="201"/>
      <c r="L239" s="201"/>
      <c r="M239" s="201"/>
      <c r="N239" s="201"/>
      <c r="O239" s="201"/>
      <c r="P239" s="201"/>
      <c r="Q239" s="201"/>
      <c r="R239" s="201"/>
      <c r="S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</row>
    <row r="240" spans="10:60" s="173" customFormat="1" ht="14" x14ac:dyDescent="0.3">
      <c r="J240" s="201"/>
      <c r="K240" s="201"/>
      <c r="L240" s="201"/>
      <c r="M240" s="201"/>
      <c r="N240" s="201"/>
      <c r="O240" s="201"/>
      <c r="P240" s="201"/>
      <c r="Q240" s="201"/>
      <c r="R240" s="201"/>
      <c r="S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</row>
    <row r="241" spans="10:60" s="173" customFormat="1" ht="14" x14ac:dyDescent="0.3">
      <c r="J241" s="201"/>
      <c r="K241" s="201"/>
      <c r="L241" s="201"/>
      <c r="M241" s="201"/>
      <c r="N241" s="201"/>
      <c r="O241" s="201"/>
      <c r="P241" s="201"/>
      <c r="Q241" s="201"/>
      <c r="R241" s="201"/>
      <c r="S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</row>
    <row r="242" spans="10:60" s="173" customFormat="1" ht="14" x14ac:dyDescent="0.3">
      <c r="J242" s="201"/>
      <c r="K242" s="201"/>
      <c r="L242" s="201"/>
      <c r="M242" s="201"/>
      <c r="N242" s="201"/>
      <c r="O242" s="201"/>
      <c r="P242" s="201"/>
      <c r="Q242" s="201"/>
      <c r="R242" s="201"/>
      <c r="S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</row>
    <row r="243" spans="10:60" s="173" customFormat="1" ht="14" x14ac:dyDescent="0.3">
      <c r="J243" s="201"/>
      <c r="K243" s="201"/>
      <c r="L243" s="201"/>
      <c r="M243" s="201"/>
      <c r="N243" s="201"/>
      <c r="O243" s="201"/>
      <c r="P243" s="201"/>
      <c r="Q243" s="201"/>
      <c r="R243" s="201"/>
      <c r="S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</row>
    <row r="244" spans="10:60" s="173" customFormat="1" ht="14" x14ac:dyDescent="0.3">
      <c r="J244" s="201"/>
      <c r="K244" s="201"/>
      <c r="L244" s="201"/>
      <c r="M244" s="201"/>
      <c r="N244" s="201"/>
      <c r="O244" s="201"/>
      <c r="P244" s="201"/>
      <c r="Q244" s="201"/>
      <c r="R244" s="201"/>
      <c r="S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</row>
    <row r="245" spans="10:60" s="173" customFormat="1" ht="14" x14ac:dyDescent="0.3">
      <c r="J245" s="201"/>
      <c r="K245" s="201"/>
      <c r="L245" s="201"/>
      <c r="M245" s="201"/>
      <c r="N245" s="201"/>
      <c r="O245" s="201"/>
      <c r="P245" s="201"/>
      <c r="Q245" s="201"/>
      <c r="R245" s="201"/>
      <c r="S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</row>
    <row r="246" spans="10:60" s="173" customFormat="1" ht="14" x14ac:dyDescent="0.3">
      <c r="J246" s="201"/>
      <c r="K246" s="201"/>
      <c r="L246" s="201"/>
      <c r="M246" s="201"/>
      <c r="N246" s="201"/>
      <c r="O246" s="201"/>
      <c r="P246" s="201"/>
      <c r="Q246" s="201"/>
      <c r="R246" s="201"/>
      <c r="S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</row>
    <row r="247" spans="10:60" s="173" customFormat="1" ht="14" x14ac:dyDescent="0.3">
      <c r="J247" s="201"/>
      <c r="K247" s="201"/>
      <c r="L247" s="201"/>
      <c r="M247" s="201"/>
      <c r="N247" s="201"/>
      <c r="O247" s="201"/>
      <c r="P247" s="201"/>
      <c r="Q247" s="201"/>
      <c r="R247" s="201"/>
      <c r="S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</row>
    <row r="248" spans="10:60" s="173" customFormat="1" ht="14" x14ac:dyDescent="0.3">
      <c r="J248" s="201"/>
      <c r="K248" s="201"/>
      <c r="L248" s="201"/>
      <c r="M248" s="201"/>
      <c r="N248" s="201"/>
      <c r="O248" s="201"/>
      <c r="P248" s="201"/>
      <c r="Q248" s="201"/>
      <c r="R248" s="201"/>
      <c r="S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</row>
    <row r="249" spans="10:60" s="173" customFormat="1" ht="14" x14ac:dyDescent="0.3">
      <c r="J249" s="201"/>
      <c r="K249" s="201"/>
      <c r="L249" s="201"/>
      <c r="M249" s="201"/>
      <c r="N249" s="201"/>
      <c r="O249" s="201"/>
      <c r="P249" s="201"/>
      <c r="Q249" s="201"/>
      <c r="R249" s="201"/>
      <c r="S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</row>
    <row r="250" spans="10:60" s="173" customFormat="1" ht="14" x14ac:dyDescent="0.3">
      <c r="J250" s="201"/>
      <c r="K250" s="201"/>
      <c r="L250" s="201"/>
      <c r="M250" s="201"/>
      <c r="N250" s="201"/>
      <c r="O250" s="201"/>
      <c r="P250" s="201"/>
      <c r="Q250" s="201"/>
      <c r="R250" s="201"/>
      <c r="S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</row>
    <row r="251" spans="10:60" s="173" customFormat="1" ht="14" x14ac:dyDescent="0.3">
      <c r="J251" s="201"/>
      <c r="K251" s="201"/>
      <c r="L251" s="201"/>
      <c r="M251" s="201"/>
      <c r="N251" s="201"/>
      <c r="O251" s="201"/>
      <c r="P251" s="201"/>
      <c r="Q251" s="201"/>
      <c r="R251" s="201"/>
      <c r="S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</row>
    <row r="252" spans="10:60" s="173" customFormat="1" ht="14" x14ac:dyDescent="0.3">
      <c r="J252" s="201"/>
      <c r="K252" s="201"/>
      <c r="L252" s="201"/>
      <c r="M252" s="201"/>
      <c r="N252" s="201"/>
      <c r="O252" s="201"/>
      <c r="P252" s="201"/>
      <c r="Q252" s="201"/>
      <c r="R252" s="201"/>
      <c r="S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</row>
    <row r="253" spans="10:60" s="173" customFormat="1" ht="14" x14ac:dyDescent="0.3">
      <c r="J253" s="201"/>
      <c r="K253" s="201"/>
      <c r="L253" s="201"/>
      <c r="M253" s="201"/>
      <c r="N253" s="201"/>
      <c r="O253" s="201"/>
      <c r="P253" s="201"/>
      <c r="Q253" s="201"/>
      <c r="R253" s="201"/>
      <c r="S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</row>
    <row r="254" spans="10:60" s="173" customFormat="1" ht="14" x14ac:dyDescent="0.3">
      <c r="J254" s="201"/>
      <c r="K254" s="201"/>
      <c r="L254" s="201"/>
      <c r="M254" s="201"/>
      <c r="N254" s="201"/>
      <c r="O254" s="201"/>
      <c r="P254" s="201"/>
      <c r="Q254" s="201"/>
      <c r="R254" s="201"/>
      <c r="S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</row>
    <row r="255" spans="10:60" s="173" customFormat="1" ht="14" x14ac:dyDescent="0.3">
      <c r="J255" s="201"/>
      <c r="K255" s="201"/>
      <c r="L255" s="201"/>
      <c r="M255" s="201"/>
      <c r="N255" s="201"/>
      <c r="O255" s="201"/>
      <c r="P255" s="201"/>
      <c r="Q255" s="201"/>
      <c r="R255" s="201"/>
      <c r="S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</row>
    <row r="256" spans="10:60" s="173" customFormat="1" ht="14" x14ac:dyDescent="0.3">
      <c r="J256" s="201"/>
      <c r="K256" s="201"/>
      <c r="L256" s="201"/>
      <c r="M256" s="201"/>
      <c r="N256" s="201"/>
      <c r="O256" s="201"/>
      <c r="P256" s="201"/>
      <c r="Q256" s="201"/>
      <c r="R256" s="201"/>
      <c r="S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</row>
    <row r="257" spans="10:60" s="173" customFormat="1" ht="14" x14ac:dyDescent="0.3">
      <c r="J257" s="201"/>
      <c r="K257" s="201"/>
      <c r="L257" s="201"/>
      <c r="M257" s="201"/>
      <c r="N257" s="201"/>
      <c r="O257" s="201"/>
      <c r="P257" s="201"/>
      <c r="Q257" s="201"/>
      <c r="R257" s="201"/>
      <c r="S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</row>
    <row r="258" spans="10:60" s="173" customFormat="1" ht="14" x14ac:dyDescent="0.3">
      <c r="J258" s="201"/>
      <c r="K258" s="201"/>
      <c r="L258" s="201"/>
      <c r="M258" s="201"/>
      <c r="N258" s="201"/>
      <c r="O258" s="201"/>
      <c r="P258" s="201"/>
      <c r="Q258" s="201"/>
      <c r="R258" s="201"/>
      <c r="S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</row>
    <row r="259" spans="10:60" s="173" customFormat="1" ht="14" x14ac:dyDescent="0.3">
      <c r="J259" s="201"/>
      <c r="K259" s="201"/>
      <c r="L259" s="201"/>
      <c r="M259" s="201"/>
      <c r="N259" s="201"/>
      <c r="O259" s="201"/>
      <c r="P259" s="201"/>
      <c r="Q259" s="201"/>
      <c r="R259" s="201"/>
      <c r="S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</row>
    <row r="260" spans="10:60" s="173" customFormat="1" ht="14" x14ac:dyDescent="0.3">
      <c r="J260" s="201"/>
      <c r="K260" s="201"/>
      <c r="L260" s="201"/>
      <c r="M260" s="201"/>
      <c r="N260" s="201"/>
      <c r="O260" s="201"/>
      <c r="P260" s="201"/>
      <c r="Q260" s="201"/>
      <c r="R260" s="201"/>
      <c r="S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</row>
    <row r="261" spans="10:60" s="173" customFormat="1" ht="14" x14ac:dyDescent="0.3">
      <c r="J261" s="201"/>
      <c r="K261" s="201"/>
      <c r="L261" s="201"/>
      <c r="M261" s="201"/>
      <c r="N261" s="201"/>
      <c r="O261" s="201"/>
      <c r="P261" s="201"/>
      <c r="Q261" s="201"/>
      <c r="R261" s="201"/>
      <c r="S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</row>
    <row r="262" spans="10:60" s="173" customFormat="1" ht="14" x14ac:dyDescent="0.3">
      <c r="J262" s="201"/>
      <c r="K262" s="201"/>
      <c r="L262" s="201"/>
      <c r="M262" s="201"/>
      <c r="N262" s="201"/>
      <c r="O262" s="201"/>
      <c r="P262" s="201"/>
      <c r="Q262" s="201"/>
      <c r="R262" s="201"/>
      <c r="S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</row>
    <row r="263" spans="10:60" s="173" customFormat="1" ht="14" x14ac:dyDescent="0.3">
      <c r="J263" s="201"/>
      <c r="K263" s="201"/>
      <c r="L263" s="201"/>
      <c r="M263" s="201"/>
      <c r="N263" s="201"/>
      <c r="O263" s="201"/>
      <c r="P263" s="201"/>
      <c r="Q263" s="201"/>
      <c r="R263" s="201"/>
      <c r="S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</row>
    <row r="264" spans="10:60" s="173" customFormat="1" ht="14" x14ac:dyDescent="0.3">
      <c r="J264" s="201"/>
      <c r="K264" s="201"/>
      <c r="L264" s="201"/>
      <c r="M264" s="201"/>
      <c r="N264" s="201"/>
      <c r="O264" s="201"/>
      <c r="P264" s="201"/>
      <c r="Q264" s="201"/>
      <c r="R264" s="201"/>
      <c r="S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</row>
    <row r="265" spans="10:60" s="173" customFormat="1" ht="14" x14ac:dyDescent="0.3">
      <c r="J265" s="201"/>
      <c r="K265" s="201"/>
      <c r="L265" s="201"/>
      <c r="M265" s="201"/>
      <c r="N265" s="201"/>
      <c r="O265" s="201"/>
      <c r="P265" s="201"/>
      <c r="Q265" s="201"/>
      <c r="R265" s="201"/>
      <c r="S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</row>
    <row r="266" spans="10:60" s="173" customFormat="1" ht="14" x14ac:dyDescent="0.3">
      <c r="J266" s="201"/>
      <c r="K266" s="201"/>
      <c r="L266" s="201"/>
      <c r="M266" s="201"/>
      <c r="N266" s="201"/>
      <c r="O266" s="201"/>
      <c r="P266" s="201"/>
      <c r="Q266" s="201"/>
      <c r="R266" s="201"/>
      <c r="S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</row>
    <row r="267" spans="10:60" s="173" customFormat="1" ht="14" x14ac:dyDescent="0.3">
      <c r="J267" s="201"/>
      <c r="K267" s="201"/>
      <c r="L267" s="201"/>
      <c r="M267" s="201"/>
      <c r="N267" s="201"/>
      <c r="O267" s="201"/>
      <c r="P267" s="201"/>
      <c r="Q267" s="201"/>
      <c r="R267" s="201"/>
      <c r="S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</row>
    <row r="268" spans="10:60" s="173" customFormat="1" ht="14" x14ac:dyDescent="0.3">
      <c r="J268" s="201"/>
      <c r="K268" s="201"/>
      <c r="L268" s="201"/>
      <c r="M268" s="201"/>
      <c r="N268" s="201"/>
      <c r="O268" s="201"/>
      <c r="P268" s="201"/>
      <c r="Q268" s="201"/>
      <c r="R268" s="201"/>
      <c r="S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</row>
    <row r="269" spans="10:60" s="173" customFormat="1" ht="14" x14ac:dyDescent="0.3">
      <c r="J269" s="201"/>
      <c r="K269" s="201"/>
      <c r="L269" s="201"/>
      <c r="M269" s="201"/>
      <c r="N269" s="201"/>
      <c r="O269" s="201"/>
      <c r="P269" s="201"/>
      <c r="Q269" s="201"/>
      <c r="R269" s="201"/>
      <c r="S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</row>
    <row r="270" spans="10:60" s="173" customFormat="1" ht="14" x14ac:dyDescent="0.3">
      <c r="J270" s="201"/>
      <c r="K270" s="201"/>
      <c r="L270" s="201"/>
      <c r="M270" s="201"/>
      <c r="N270" s="201"/>
      <c r="O270" s="201"/>
      <c r="P270" s="201"/>
      <c r="Q270" s="201"/>
      <c r="R270" s="201"/>
      <c r="S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</row>
    <row r="271" spans="10:60" s="173" customFormat="1" ht="14" x14ac:dyDescent="0.3">
      <c r="J271" s="201"/>
      <c r="K271" s="201"/>
      <c r="L271" s="201"/>
      <c r="M271" s="201"/>
      <c r="N271" s="201"/>
      <c r="O271" s="201"/>
      <c r="P271" s="201"/>
      <c r="Q271" s="201"/>
      <c r="R271" s="201"/>
      <c r="S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</row>
    <row r="272" spans="10:60" s="173" customFormat="1" ht="14" x14ac:dyDescent="0.3">
      <c r="J272" s="201"/>
      <c r="K272" s="201"/>
      <c r="L272" s="201"/>
      <c r="M272" s="201"/>
      <c r="N272" s="201"/>
      <c r="O272" s="201"/>
      <c r="P272" s="201"/>
      <c r="Q272" s="201"/>
      <c r="R272" s="201"/>
      <c r="S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</row>
    <row r="273" spans="10:60" s="173" customFormat="1" ht="14" x14ac:dyDescent="0.3">
      <c r="J273" s="201"/>
      <c r="K273" s="201"/>
      <c r="L273" s="201"/>
      <c r="M273" s="201"/>
      <c r="N273" s="201"/>
      <c r="O273" s="201"/>
      <c r="P273" s="201"/>
      <c r="Q273" s="201"/>
      <c r="R273" s="201"/>
      <c r="S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</row>
    <row r="274" spans="10:60" s="173" customFormat="1" ht="14" x14ac:dyDescent="0.3">
      <c r="J274" s="201"/>
      <c r="K274" s="201"/>
      <c r="L274" s="201"/>
      <c r="M274" s="201"/>
      <c r="N274" s="201"/>
      <c r="O274" s="201"/>
      <c r="P274" s="201"/>
      <c r="Q274" s="201"/>
      <c r="R274" s="201"/>
      <c r="S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</row>
    <row r="275" spans="10:60" s="173" customFormat="1" ht="14" x14ac:dyDescent="0.3">
      <c r="J275" s="201"/>
      <c r="K275" s="201"/>
      <c r="L275" s="201"/>
      <c r="M275" s="201"/>
      <c r="N275" s="201"/>
      <c r="O275" s="201"/>
      <c r="P275" s="201"/>
      <c r="Q275" s="201"/>
      <c r="R275" s="201"/>
      <c r="S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</row>
    <row r="276" spans="10:60" s="173" customFormat="1" ht="14" x14ac:dyDescent="0.3">
      <c r="J276" s="201"/>
      <c r="K276" s="201"/>
      <c r="L276" s="201"/>
      <c r="M276" s="201"/>
      <c r="N276" s="201"/>
      <c r="O276" s="201"/>
      <c r="P276" s="201"/>
      <c r="Q276" s="201"/>
      <c r="R276" s="201"/>
      <c r="S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</row>
    <row r="277" spans="10:60" s="173" customFormat="1" ht="14" x14ac:dyDescent="0.3">
      <c r="J277" s="201"/>
      <c r="K277" s="201"/>
      <c r="L277" s="201"/>
      <c r="M277" s="201"/>
      <c r="N277" s="201"/>
      <c r="O277" s="201"/>
      <c r="P277" s="201"/>
      <c r="Q277" s="201"/>
      <c r="R277" s="201"/>
      <c r="S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</row>
    <row r="278" spans="10:60" s="173" customFormat="1" ht="14" x14ac:dyDescent="0.3">
      <c r="J278" s="201"/>
      <c r="K278" s="201"/>
      <c r="L278" s="201"/>
      <c r="M278" s="201"/>
      <c r="N278" s="201"/>
      <c r="O278" s="201"/>
      <c r="P278" s="201"/>
      <c r="Q278" s="201"/>
      <c r="R278" s="201"/>
      <c r="S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</row>
    <row r="279" spans="10:60" s="173" customFormat="1" ht="14" x14ac:dyDescent="0.3">
      <c r="J279" s="201"/>
      <c r="K279" s="201"/>
      <c r="L279" s="201"/>
      <c r="M279" s="201"/>
      <c r="N279" s="201"/>
      <c r="O279" s="201"/>
      <c r="P279" s="201"/>
      <c r="Q279" s="201"/>
      <c r="R279" s="201"/>
      <c r="S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</row>
    <row r="280" spans="10:60" s="173" customFormat="1" ht="14" x14ac:dyDescent="0.3">
      <c r="J280" s="201"/>
      <c r="K280" s="201"/>
      <c r="L280" s="201"/>
      <c r="M280" s="201"/>
      <c r="N280" s="201"/>
      <c r="O280" s="201"/>
      <c r="P280" s="201"/>
      <c r="Q280" s="201"/>
      <c r="R280" s="201"/>
      <c r="S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</row>
    <row r="281" spans="10:60" s="173" customFormat="1" ht="14" x14ac:dyDescent="0.3">
      <c r="J281" s="201"/>
      <c r="K281" s="201"/>
      <c r="L281" s="201"/>
      <c r="M281" s="201"/>
      <c r="N281" s="201"/>
      <c r="O281" s="201"/>
      <c r="P281" s="201"/>
      <c r="Q281" s="201"/>
      <c r="R281" s="201"/>
      <c r="S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</row>
    <row r="282" spans="10:60" s="173" customFormat="1" ht="14" x14ac:dyDescent="0.3">
      <c r="J282" s="201"/>
      <c r="K282" s="201"/>
      <c r="L282" s="201"/>
      <c r="M282" s="201"/>
      <c r="N282" s="201"/>
      <c r="O282" s="201"/>
      <c r="P282" s="201"/>
      <c r="Q282" s="201"/>
      <c r="R282" s="201"/>
      <c r="S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</row>
    <row r="283" spans="10:60" s="173" customFormat="1" ht="14" x14ac:dyDescent="0.3">
      <c r="J283" s="201"/>
      <c r="K283" s="201"/>
      <c r="L283" s="201"/>
      <c r="M283" s="201"/>
      <c r="N283" s="201"/>
      <c r="O283" s="201"/>
      <c r="P283" s="201"/>
      <c r="Q283" s="201"/>
      <c r="R283" s="201"/>
      <c r="S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</row>
    <row r="284" spans="10:60" s="173" customFormat="1" ht="14" x14ac:dyDescent="0.3">
      <c r="J284" s="201"/>
      <c r="K284" s="201"/>
      <c r="L284" s="201"/>
      <c r="M284" s="201"/>
      <c r="N284" s="201"/>
      <c r="O284" s="201"/>
      <c r="P284" s="201"/>
      <c r="Q284" s="201"/>
      <c r="R284" s="201"/>
      <c r="S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</row>
    <row r="285" spans="10:60" s="173" customFormat="1" ht="14" x14ac:dyDescent="0.3">
      <c r="J285" s="201"/>
      <c r="K285" s="201"/>
      <c r="L285" s="201"/>
      <c r="M285" s="201"/>
      <c r="N285" s="201"/>
      <c r="O285" s="201"/>
      <c r="P285" s="201"/>
      <c r="Q285" s="201"/>
      <c r="R285" s="201"/>
      <c r="S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</row>
    <row r="286" spans="10:60" s="173" customFormat="1" ht="14" x14ac:dyDescent="0.3">
      <c r="J286" s="201"/>
      <c r="K286" s="201"/>
      <c r="L286" s="201"/>
      <c r="M286" s="201"/>
      <c r="N286" s="201"/>
      <c r="O286" s="201"/>
      <c r="P286" s="201"/>
      <c r="Q286" s="201"/>
      <c r="R286" s="201"/>
      <c r="S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</row>
    <row r="287" spans="10:60" s="173" customFormat="1" ht="14" x14ac:dyDescent="0.3">
      <c r="J287" s="201"/>
      <c r="K287" s="201"/>
      <c r="L287" s="201"/>
      <c r="M287" s="201"/>
      <c r="N287" s="201"/>
      <c r="O287" s="201"/>
      <c r="P287" s="201"/>
      <c r="Q287" s="201"/>
      <c r="R287" s="201"/>
      <c r="S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</row>
    <row r="288" spans="10:60" s="173" customFormat="1" ht="14" x14ac:dyDescent="0.3">
      <c r="J288" s="201"/>
      <c r="K288" s="201"/>
      <c r="L288" s="201"/>
      <c r="M288" s="201"/>
      <c r="N288" s="201"/>
      <c r="O288" s="201"/>
      <c r="P288" s="201"/>
      <c r="Q288" s="201"/>
      <c r="R288" s="201"/>
      <c r="S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</row>
    <row r="289" spans="10:60" s="173" customFormat="1" ht="14" x14ac:dyDescent="0.3">
      <c r="J289" s="201"/>
      <c r="K289" s="201"/>
      <c r="L289" s="201"/>
      <c r="M289" s="201"/>
      <c r="N289" s="201"/>
      <c r="O289" s="201"/>
      <c r="P289" s="201"/>
      <c r="Q289" s="201"/>
      <c r="R289" s="201"/>
      <c r="S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</row>
    <row r="290" spans="10:60" s="173" customFormat="1" ht="14" x14ac:dyDescent="0.3">
      <c r="J290" s="201"/>
      <c r="K290" s="201"/>
      <c r="L290" s="201"/>
      <c r="M290" s="201"/>
      <c r="N290" s="201"/>
      <c r="O290" s="201"/>
      <c r="P290" s="201"/>
      <c r="Q290" s="201"/>
      <c r="R290" s="201"/>
      <c r="S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</row>
    <row r="291" spans="10:60" s="173" customFormat="1" ht="14" x14ac:dyDescent="0.3">
      <c r="J291" s="201"/>
      <c r="K291" s="201"/>
      <c r="L291" s="201"/>
      <c r="M291" s="201"/>
      <c r="N291" s="201"/>
      <c r="O291" s="201"/>
      <c r="P291" s="201"/>
      <c r="Q291" s="201"/>
      <c r="R291" s="201"/>
      <c r="S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</row>
    <row r="292" spans="10:60" s="173" customFormat="1" ht="14" x14ac:dyDescent="0.3">
      <c r="J292" s="201"/>
      <c r="K292" s="201"/>
      <c r="L292" s="201"/>
      <c r="M292" s="201"/>
      <c r="N292" s="201"/>
      <c r="O292" s="201"/>
      <c r="P292" s="201"/>
      <c r="Q292" s="201"/>
      <c r="R292" s="201"/>
      <c r="S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</row>
    <row r="293" spans="10:60" s="173" customFormat="1" ht="14" x14ac:dyDescent="0.3">
      <c r="J293" s="201"/>
      <c r="K293" s="201"/>
      <c r="L293" s="201"/>
      <c r="M293" s="201"/>
      <c r="N293" s="201"/>
      <c r="O293" s="201"/>
      <c r="P293" s="201"/>
      <c r="Q293" s="201"/>
      <c r="R293" s="201"/>
      <c r="S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</row>
    <row r="294" spans="10:60" s="173" customFormat="1" ht="14" x14ac:dyDescent="0.3">
      <c r="J294" s="201"/>
      <c r="K294" s="201"/>
      <c r="L294" s="201"/>
      <c r="M294" s="201"/>
      <c r="N294" s="201"/>
      <c r="O294" s="201"/>
      <c r="P294" s="201"/>
      <c r="Q294" s="201"/>
      <c r="R294" s="201"/>
      <c r="S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</row>
    <row r="295" spans="10:60" s="173" customFormat="1" ht="14" x14ac:dyDescent="0.3">
      <c r="J295" s="201"/>
      <c r="K295" s="201"/>
      <c r="L295" s="201"/>
      <c r="M295" s="201"/>
      <c r="N295" s="201"/>
      <c r="O295" s="201"/>
      <c r="P295" s="201"/>
      <c r="Q295" s="201"/>
      <c r="R295" s="201"/>
      <c r="S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</row>
    <row r="296" spans="10:60" s="173" customFormat="1" x14ac:dyDescent="0.3"/>
    <row r="297" spans="10:60" s="173" customFormat="1" x14ac:dyDescent="0.3"/>
    <row r="298" spans="10:60" s="173" customFormat="1" x14ac:dyDescent="0.3"/>
    <row r="299" spans="10:60" s="173" customFormat="1" x14ac:dyDescent="0.3"/>
    <row r="300" spans="10:60" s="173" customFormat="1" x14ac:dyDescent="0.3"/>
    <row r="301" spans="10:60" s="173" customFormat="1" x14ac:dyDescent="0.3"/>
    <row r="302" spans="10:60" s="173" customFormat="1" x14ac:dyDescent="0.3"/>
    <row r="303" spans="10:60" s="173" customFormat="1" x14ac:dyDescent="0.3"/>
    <row r="304" spans="10:60" s="173" customFormat="1" x14ac:dyDescent="0.3"/>
    <row r="305" s="173" customFormat="1" x14ac:dyDescent="0.3"/>
    <row r="306" s="173" customFormat="1" x14ac:dyDescent="0.3"/>
    <row r="307" s="173" customFormat="1" x14ac:dyDescent="0.3"/>
    <row r="308" s="173" customFormat="1" x14ac:dyDescent="0.3"/>
    <row r="309" s="173" customFormat="1" x14ac:dyDescent="0.3"/>
    <row r="310" s="173" customFormat="1" x14ac:dyDescent="0.3"/>
    <row r="311" s="173" customFormat="1" x14ac:dyDescent="0.3"/>
    <row r="312" s="173" customFormat="1" x14ac:dyDescent="0.3"/>
    <row r="313" s="173" customFormat="1" x14ac:dyDescent="0.3"/>
    <row r="314" s="173" customFormat="1" x14ac:dyDescent="0.3"/>
    <row r="315" s="173" customFormat="1" x14ac:dyDescent="0.3"/>
    <row r="316" s="173" customFormat="1" x14ac:dyDescent="0.3"/>
    <row r="317" s="173" customFormat="1" x14ac:dyDescent="0.3"/>
    <row r="318" s="173" customFormat="1" x14ac:dyDescent="0.3"/>
    <row r="319" s="173" customFormat="1" x14ac:dyDescent="0.3"/>
    <row r="320" s="173" customFormat="1" x14ac:dyDescent="0.3"/>
    <row r="321" s="173" customFormat="1" x14ac:dyDescent="0.3"/>
    <row r="322" s="173" customFormat="1" x14ac:dyDescent="0.3"/>
    <row r="323" s="173" customFormat="1" x14ac:dyDescent="0.3"/>
    <row r="324" s="173" customFormat="1" x14ac:dyDescent="0.3"/>
    <row r="325" s="173" customFormat="1" x14ac:dyDescent="0.3"/>
    <row r="326" s="173" customFormat="1" x14ac:dyDescent="0.3"/>
    <row r="327" s="173" customFormat="1" x14ac:dyDescent="0.3"/>
    <row r="328" s="173" customFormat="1" x14ac:dyDescent="0.3"/>
    <row r="329" s="173" customFormat="1" x14ac:dyDescent="0.3"/>
    <row r="330" s="173" customFormat="1" x14ac:dyDescent="0.3"/>
    <row r="331" s="173" customFormat="1" x14ac:dyDescent="0.3"/>
    <row r="332" s="173" customFormat="1" x14ac:dyDescent="0.3"/>
    <row r="333" s="173" customFormat="1" x14ac:dyDescent="0.3"/>
    <row r="334" s="173" customFormat="1" x14ac:dyDescent="0.3"/>
    <row r="335" s="173" customFormat="1" x14ac:dyDescent="0.3"/>
    <row r="336" s="173" customFormat="1" x14ac:dyDescent="0.3"/>
    <row r="337" s="173" customFormat="1" x14ac:dyDescent="0.3"/>
    <row r="338" s="173" customFormat="1" x14ac:dyDescent="0.3"/>
    <row r="339" s="173" customFormat="1" x14ac:dyDescent="0.3"/>
    <row r="340" s="173" customFormat="1" x14ac:dyDescent="0.3"/>
    <row r="341" s="173" customFormat="1" x14ac:dyDescent="0.3"/>
    <row r="342" s="173" customFormat="1" x14ac:dyDescent="0.3"/>
    <row r="343" s="173" customFormat="1" x14ac:dyDescent="0.3"/>
    <row r="344" s="173" customFormat="1" x14ac:dyDescent="0.3"/>
    <row r="345" s="173" customFormat="1" x14ac:dyDescent="0.3"/>
    <row r="346" s="173" customFormat="1" x14ac:dyDescent="0.3"/>
    <row r="347" s="173" customFormat="1" x14ac:dyDescent="0.3"/>
    <row r="348" s="173" customFormat="1" x14ac:dyDescent="0.3"/>
    <row r="349" s="173" customFormat="1" x14ac:dyDescent="0.3"/>
    <row r="350" s="173" customFormat="1" x14ac:dyDescent="0.3"/>
    <row r="351" s="173" customFormat="1" x14ac:dyDescent="0.3"/>
    <row r="352" s="173" customFormat="1" x14ac:dyDescent="0.3"/>
    <row r="353" s="173" customFormat="1" x14ac:dyDescent="0.3"/>
    <row r="354" s="173" customFormat="1" x14ac:dyDescent="0.3"/>
    <row r="355" s="173" customFormat="1" x14ac:dyDescent="0.3"/>
    <row r="356" s="173" customFormat="1" x14ac:dyDescent="0.3"/>
    <row r="357" s="173" customFormat="1" x14ac:dyDescent="0.3"/>
    <row r="358" s="173" customFormat="1" x14ac:dyDescent="0.3"/>
    <row r="359" s="173" customFormat="1" x14ac:dyDescent="0.3"/>
    <row r="360" s="173" customFormat="1" x14ac:dyDescent="0.3"/>
    <row r="361" s="173" customFormat="1" x14ac:dyDescent="0.3"/>
    <row r="362" s="173" customFormat="1" x14ac:dyDescent="0.3"/>
    <row r="363" s="173" customFormat="1" x14ac:dyDescent="0.3"/>
    <row r="364" s="173" customFormat="1" x14ac:dyDescent="0.3"/>
    <row r="365" s="173" customFormat="1" x14ac:dyDescent="0.3"/>
    <row r="366" s="173" customFormat="1" x14ac:dyDescent="0.3"/>
    <row r="367" s="173" customFormat="1" x14ac:dyDescent="0.3"/>
    <row r="368" s="173" customFormat="1" x14ac:dyDescent="0.3"/>
    <row r="369" s="173" customFormat="1" x14ac:dyDescent="0.3"/>
    <row r="370" s="173" customFormat="1" x14ac:dyDescent="0.3"/>
    <row r="371" s="173" customFormat="1" x14ac:dyDescent="0.3"/>
    <row r="372" s="173" customFormat="1" x14ac:dyDescent="0.3"/>
    <row r="373" s="173" customFormat="1" x14ac:dyDescent="0.3"/>
    <row r="374" s="173" customFormat="1" x14ac:dyDescent="0.3"/>
    <row r="375" s="173" customFormat="1" x14ac:dyDescent="0.3"/>
    <row r="376" s="173" customFormat="1" x14ac:dyDescent="0.3"/>
    <row r="377" s="173" customFormat="1" x14ac:dyDescent="0.3"/>
    <row r="378" s="173" customFormat="1" x14ac:dyDescent="0.3"/>
    <row r="379" s="173" customFormat="1" x14ac:dyDescent="0.3"/>
    <row r="380" s="173" customFormat="1" x14ac:dyDescent="0.3"/>
    <row r="381" s="173" customFormat="1" x14ac:dyDescent="0.3"/>
    <row r="382" s="173" customFormat="1" x14ac:dyDescent="0.3"/>
    <row r="383" s="173" customFormat="1" x14ac:dyDescent="0.3"/>
    <row r="384" s="173" customFormat="1" x14ac:dyDescent="0.3"/>
    <row r="385" s="173" customFormat="1" x14ac:dyDescent="0.3"/>
    <row r="386" s="173" customFormat="1" x14ac:dyDescent="0.3"/>
    <row r="387" s="173" customFormat="1" x14ac:dyDescent="0.3"/>
    <row r="388" s="173" customFormat="1" x14ac:dyDescent="0.3"/>
    <row r="389" s="173" customFormat="1" x14ac:dyDescent="0.3"/>
    <row r="390" s="173" customFormat="1" x14ac:dyDescent="0.3"/>
    <row r="391" s="173" customFormat="1" x14ac:dyDescent="0.3"/>
    <row r="392" s="173" customFormat="1" x14ac:dyDescent="0.3"/>
    <row r="393" s="173" customFormat="1" x14ac:dyDescent="0.3"/>
    <row r="394" s="173" customFormat="1" x14ac:dyDescent="0.3"/>
    <row r="395" s="173" customFormat="1" x14ac:dyDescent="0.3"/>
    <row r="396" s="173" customFormat="1" x14ac:dyDescent="0.3"/>
    <row r="397" s="173" customFormat="1" x14ac:dyDescent="0.3"/>
    <row r="398" s="173" customFormat="1" x14ac:dyDescent="0.3"/>
    <row r="399" s="173" customFormat="1" x14ac:dyDescent="0.3"/>
    <row r="400" s="173" customFormat="1" x14ac:dyDescent="0.3"/>
    <row r="401" s="173" customFormat="1" x14ac:dyDescent="0.3"/>
    <row r="402" s="173" customFormat="1" x14ac:dyDescent="0.3"/>
    <row r="403" s="173" customFormat="1" x14ac:dyDescent="0.3"/>
    <row r="404" s="173" customFormat="1" x14ac:dyDescent="0.3"/>
    <row r="405" s="173" customFormat="1" x14ac:dyDescent="0.3"/>
    <row r="406" s="173" customFormat="1" x14ac:dyDescent="0.3"/>
    <row r="407" s="173" customFormat="1" x14ac:dyDescent="0.3"/>
    <row r="408" s="173" customFormat="1" x14ac:dyDescent="0.3"/>
    <row r="409" s="173" customFormat="1" x14ac:dyDescent="0.3"/>
    <row r="410" s="173" customFormat="1" x14ac:dyDescent="0.3"/>
    <row r="411" s="173" customFormat="1" x14ac:dyDescent="0.3"/>
    <row r="412" s="173" customFormat="1" x14ac:dyDescent="0.3"/>
    <row r="413" s="173" customFormat="1" x14ac:dyDescent="0.3"/>
    <row r="414" s="173" customFormat="1" x14ac:dyDescent="0.3"/>
    <row r="415" s="173" customFormat="1" x14ac:dyDescent="0.3"/>
    <row r="416" s="173" customFormat="1" x14ac:dyDescent="0.3"/>
    <row r="417" s="173" customFormat="1" x14ac:dyDescent="0.3"/>
    <row r="418" s="173" customFormat="1" x14ac:dyDescent="0.3"/>
    <row r="419" s="173" customFormat="1" x14ac:dyDescent="0.3"/>
    <row r="420" s="173" customFormat="1" x14ac:dyDescent="0.3"/>
    <row r="421" s="173" customFormat="1" x14ac:dyDescent="0.3"/>
    <row r="422" s="173" customFormat="1" x14ac:dyDescent="0.3"/>
    <row r="423" s="173" customFormat="1" x14ac:dyDescent="0.3"/>
    <row r="424" s="173" customFormat="1" x14ac:dyDescent="0.3"/>
    <row r="425" s="173" customFormat="1" x14ac:dyDescent="0.3"/>
    <row r="426" s="173" customFormat="1" x14ac:dyDescent="0.3"/>
    <row r="427" s="173" customFormat="1" x14ac:dyDescent="0.3"/>
    <row r="428" s="173" customFormat="1" x14ac:dyDescent="0.3"/>
    <row r="429" s="173" customFormat="1" x14ac:dyDescent="0.3"/>
    <row r="430" s="173" customFormat="1" x14ac:dyDescent="0.3"/>
    <row r="431" s="173" customFormat="1" x14ac:dyDescent="0.3"/>
    <row r="432" s="173" customFormat="1" x14ac:dyDescent="0.3"/>
    <row r="433" s="173" customFormat="1" x14ac:dyDescent="0.3"/>
    <row r="434" s="173" customFormat="1" x14ac:dyDescent="0.3"/>
    <row r="435" s="173" customFormat="1" x14ac:dyDescent="0.3"/>
    <row r="436" s="173" customFormat="1" x14ac:dyDescent="0.3"/>
    <row r="437" s="173" customFormat="1" x14ac:dyDescent="0.3"/>
    <row r="438" s="173" customFormat="1" x14ac:dyDescent="0.3"/>
    <row r="439" s="173" customFormat="1" x14ac:dyDescent="0.3"/>
    <row r="440" s="173" customFormat="1" x14ac:dyDescent="0.3"/>
    <row r="441" s="173" customFormat="1" x14ac:dyDescent="0.3"/>
    <row r="442" s="173" customFormat="1" x14ac:dyDescent="0.3"/>
    <row r="443" s="173" customFormat="1" x14ac:dyDescent="0.3"/>
    <row r="444" s="173" customFormat="1" x14ac:dyDescent="0.3"/>
    <row r="445" s="173" customFormat="1" x14ac:dyDescent="0.3"/>
    <row r="446" s="173" customFormat="1" x14ac:dyDescent="0.3"/>
    <row r="447" s="173" customFormat="1" x14ac:dyDescent="0.3"/>
    <row r="448" s="173" customFormat="1" x14ac:dyDescent="0.3"/>
    <row r="449" s="173" customFormat="1" x14ac:dyDescent="0.3"/>
    <row r="450" s="173" customFormat="1" x14ac:dyDescent="0.3"/>
    <row r="451" s="173" customFormat="1" x14ac:dyDescent="0.3"/>
    <row r="452" s="173" customFormat="1" x14ac:dyDescent="0.3"/>
    <row r="453" s="173" customFormat="1" x14ac:dyDescent="0.3"/>
    <row r="454" s="173" customFormat="1" x14ac:dyDescent="0.3"/>
    <row r="455" s="173" customFormat="1" x14ac:dyDescent="0.3"/>
    <row r="456" s="173" customFormat="1" x14ac:dyDescent="0.3"/>
    <row r="457" s="173" customFormat="1" x14ac:dyDescent="0.3"/>
    <row r="458" s="173" customFormat="1" x14ac:dyDescent="0.3"/>
    <row r="459" s="173" customFormat="1" x14ac:dyDescent="0.3"/>
    <row r="460" s="173" customFormat="1" x14ac:dyDescent="0.3"/>
  </sheetData>
  <sheetProtection algorithmName="SHA-512" hashValue="N7kDP54CQZRkyvpo61QHgvDCR+j2jGQ8ysbF1xfzHcRnZKewvr41jIMMm/g/+bwLBVip6aSwGpjY28guodbY7Q==" saltValue="B9/RdtFzc7f0vDbyHqI3Jg==" spinCount="100000" sheet="1" objects="1" scenarios="1"/>
  <phoneticPr fontId="5" type="noConversion"/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BS227"/>
  <sheetViews>
    <sheetView workbookViewId="0">
      <selection activeCell="C53" activeCellId="2" sqref="C5 C28:C30 C53:C56"/>
    </sheetView>
  </sheetViews>
  <sheetFormatPr defaultColWidth="10.84375" defaultRowHeight="13.5" x14ac:dyDescent="0.3"/>
  <cols>
    <col min="1" max="1" width="20.3046875" style="26" customWidth="1"/>
    <col min="2" max="2" width="12" style="26" customWidth="1"/>
    <col min="3" max="9" width="12.15234375" style="26" customWidth="1"/>
    <col min="10" max="71" width="10.84375" style="173"/>
    <col min="72" max="16384" width="10.84375" style="26"/>
  </cols>
  <sheetData>
    <row r="1" spans="1:71" s="191" customFormat="1" ht="14" x14ac:dyDescent="0.3">
      <c r="A1" s="172" t="s">
        <v>76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  <c r="BK1" s="172"/>
      <c r="BL1" s="172"/>
      <c r="BM1" s="172"/>
      <c r="BN1" s="172"/>
      <c r="BO1" s="172"/>
      <c r="BP1" s="172"/>
      <c r="BQ1" s="172"/>
      <c r="BR1" s="172"/>
      <c r="BS1" s="172"/>
    </row>
    <row r="2" spans="1:71" s="191" customFormat="1" ht="14" x14ac:dyDescent="0.3">
      <c r="A2" s="174" t="s">
        <v>99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  <c r="BK2" s="172"/>
      <c r="BL2" s="172"/>
      <c r="BM2" s="172"/>
      <c r="BN2" s="172"/>
      <c r="BO2" s="172"/>
      <c r="BP2" s="172"/>
      <c r="BQ2" s="172"/>
      <c r="BR2" s="172"/>
      <c r="BS2" s="172"/>
    </row>
    <row r="3" spans="1:71" s="191" customFormat="1" ht="14.5" thickBot="1" x14ac:dyDescent="0.35">
      <c r="A3" s="172"/>
      <c r="B3" s="172"/>
      <c r="C3" s="172"/>
      <c r="D3" s="172"/>
      <c r="E3" s="172"/>
      <c r="F3" s="175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</row>
    <row r="4" spans="1:71" s="191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</row>
    <row r="5" spans="1:71" s="191" customFormat="1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2"/>
      <c r="BE5" s="172"/>
      <c r="BF5" s="172"/>
      <c r="BG5" s="172"/>
      <c r="BH5" s="172"/>
      <c r="BI5" s="172"/>
      <c r="BJ5" s="172"/>
      <c r="BK5" s="172"/>
      <c r="BL5" s="172"/>
      <c r="BM5" s="172"/>
      <c r="BN5" s="172"/>
      <c r="BO5" s="172"/>
      <c r="BP5" s="172"/>
      <c r="BQ5" s="172"/>
      <c r="BR5" s="172"/>
      <c r="BS5" s="172"/>
    </row>
    <row r="6" spans="1:71" s="191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72"/>
      <c r="BE6" s="172"/>
      <c r="BF6" s="172"/>
      <c r="BG6" s="172"/>
      <c r="BH6" s="172"/>
      <c r="BI6" s="172"/>
      <c r="BJ6" s="172"/>
      <c r="BK6" s="172"/>
      <c r="BL6" s="172"/>
      <c r="BM6" s="172"/>
      <c r="BN6" s="172"/>
      <c r="BO6" s="172"/>
      <c r="BP6" s="172"/>
      <c r="BQ6" s="172"/>
      <c r="BR6" s="172"/>
      <c r="BS6" s="172"/>
    </row>
    <row r="7" spans="1:71" s="191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2"/>
      <c r="BE7" s="172"/>
      <c r="BF7" s="172"/>
      <c r="BG7" s="172"/>
      <c r="BH7" s="172"/>
      <c r="BI7" s="172"/>
      <c r="BJ7" s="172"/>
      <c r="BK7" s="172"/>
      <c r="BL7" s="172"/>
      <c r="BM7" s="172"/>
      <c r="BN7" s="172"/>
      <c r="BO7" s="172"/>
      <c r="BP7" s="172"/>
      <c r="BQ7" s="172"/>
      <c r="BR7" s="172"/>
      <c r="BS7" s="172"/>
    </row>
    <row r="8" spans="1:71" x14ac:dyDescent="0.3">
      <c r="A8" s="179" t="str">
        <f>'AG Jul 2016'!K2</f>
        <v>1st Energy</v>
      </c>
      <c r="B8" s="180">
        <f>'AG Jul 2016'!G2</f>
        <v>41114</v>
      </c>
      <c r="C8" s="181">
        <f>91*'AG Jul 2016'!M2/100</f>
        <v>74.265100000000004</v>
      </c>
      <c r="D8" s="181">
        <f>IF($C$5&gt;='AG Jul 2016'!P2,('AG Jul 2016'!P2*'AG Jul 2016'!N2/100),($C$5*'AG Jul 2016'!N2/100))</f>
        <v>251.1</v>
      </c>
      <c r="E8" s="181">
        <f>IF($C$5&lt;'AG Jul 2016'!P2,0,IF(($C$5)&lt;='AG Jul 2016'!R2,(($C$5-'AG Jul 2016'!P2)*'AG Jul 2016'!Q2/100),(('AG Jul 2016'!R2-'AG Jul 2016'!P2)*'AG Jul 2016'!Q2/100)))</f>
        <v>195.04</v>
      </c>
      <c r="F8" s="181">
        <v>0</v>
      </c>
      <c r="G8" s="181">
        <f>IF(($C$5&lt;'AG Jul 2016'!R2),(0),($C$5-'AG Jul 2016'!R2)*'AG Jul 2016'!S2/100)</f>
        <v>0</v>
      </c>
      <c r="H8" s="183">
        <f>SUM(C8:G8)</f>
        <v>520.40509999999995</v>
      </c>
      <c r="I8" s="202">
        <f>(H8*4)*1.1</f>
        <v>2289.78244</v>
      </c>
    </row>
    <row r="9" spans="1:71" x14ac:dyDescent="0.3">
      <c r="A9" s="179" t="str">
        <f>'AG Jul 2016'!K3</f>
        <v>AGL</v>
      </c>
      <c r="B9" s="180">
        <f>'AG Jul 2016'!G3</f>
        <v>41090</v>
      </c>
      <c r="C9" s="181">
        <f>91*'AG Jul 2016'!M3/100</f>
        <v>71.498699999999985</v>
      </c>
      <c r="D9" s="181">
        <f>IF($C$5&gt;='AG Jul 2016'!P3,('AG Jul 2016'!P3*'AG Jul 2016'!N3/100),($C$5*'AG Jul 2016'!N3/100))</f>
        <v>251.1</v>
      </c>
      <c r="E9" s="181">
        <f>IF($C$5&lt;'AG Jul 2016'!P3,0,IF(($C$5)&lt;='AG Jul 2016'!R3,(($C$5-'AG Jul 2016'!P3)*'AG Jul 2016'!Q3/100),(('AG Jul 2016'!R3-'AG Jul 2016'!P3)*'AG Jul 2016'!Q3/100)))</f>
        <v>195.04</v>
      </c>
      <c r="F9" s="181">
        <v>0</v>
      </c>
      <c r="G9" s="181">
        <f>IF(($C$5&lt;'AG Jul 2016'!R3),(0),($C$5-'AG Jul 2016'!R3)*'AG Jul 2016'!S3/100)</f>
        <v>0</v>
      </c>
      <c r="H9" s="183">
        <f t="shared" ref="H9:H24" si="0">SUM(C9:G9)</f>
        <v>517.63869999999997</v>
      </c>
      <c r="I9" s="202">
        <f t="shared" ref="I9:I24" si="1">(H9*4)*1.1</f>
        <v>2277.6102799999999</v>
      </c>
    </row>
    <row r="10" spans="1:71" x14ac:dyDescent="0.3">
      <c r="A10" s="179" t="str">
        <f>'AG Jul 2016'!K4</f>
        <v>Alinta Energy</v>
      </c>
      <c r="B10" s="180">
        <f>'AG Jul 2016'!G4</f>
        <v>41121</v>
      </c>
      <c r="C10" s="181">
        <f>91*'AG Jul 2016'!M4/100</f>
        <v>67.203499999999991</v>
      </c>
      <c r="D10" s="181">
        <f>IF($C$5&gt;='AG Jul 2016'!P4,('AG Jul 2016'!P4*'AG Jul 2016'!N4/100),($C$5*'AG Jul 2016'!N4/100))</f>
        <v>245.9</v>
      </c>
      <c r="E10" s="181">
        <f>IF($C$5&lt;'AG Jul 2016'!P4,0,IF(($C$5)&lt;='AG Jul 2016'!R4,(($C$5-'AG Jul 2016'!P4)*'AG Jul 2016'!Q4/100),(('AG Jul 2016'!R4-'AG Jul 2016'!P4)*'AG Jul 2016'!Q4/100)))</f>
        <v>194.08</v>
      </c>
      <c r="F10" s="181">
        <v>0</v>
      </c>
      <c r="G10" s="181">
        <f>IF(($C$5&lt;'AG Jul 2016'!R4),(0),($C$5-'AG Jul 2016'!R4)*'AG Jul 2016'!S4/100)</f>
        <v>0</v>
      </c>
      <c r="H10" s="183">
        <f t="shared" si="0"/>
        <v>507.18349999999998</v>
      </c>
      <c r="I10" s="202">
        <f t="shared" si="1"/>
        <v>2231.6073999999999</v>
      </c>
    </row>
    <row r="11" spans="1:71" x14ac:dyDescent="0.3">
      <c r="A11" s="179" t="str">
        <f>'AG Jul 2016'!K5</f>
        <v>Click Energy</v>
      </c>
      <c r="B11" s="180">
        <f>'AG Jul 2016'!G5</f>
        <v>41090</v>
      </c>
      <c r="C11" s="181">
        <f>91*'AG Jul 2016'!M5/100</f>
        <v>79.17</v>
      </c>
      <c r="D11" s="181">
        <f>IF($C$5&gt;='AG Jul 2016'!P5,('AG Jul 2016'!P5*'AG Jul 2016'!N5/100),($C$5*'AG Jul 2016'!N5/100))</f>
        <v>276</v>
      </c>
      <c r="E11" s="181">
        <f>IF($C$5&lt;'AG Jul 2016'!P5,0,IF(($C$5)&lt;='AG Jul 2016'!R5,(($C$5-'AG Jul 2016'!P5)*'AG Jul 2016'!Q5/100),(('AG Jul 2016'!R5-'AG Jul 2016'!P5)*'AG Jul 2016'!Q5/100)))</f>
        <v>210.4</v>
      </c>
      <c r="F11" s="181">
        <v>0</v>
      </c>
      <c r="G11" s="181">
        <f>IF(($C$5&lt;'AG Jul 2016'!R5),(0),($C$5-'AG Jul 2016'!R5)*'AG Jul 2016'!S5/100)</f>
        <v>0</v>
      </c>
      <c r="H11" s="183">
        <f t="shared" si="0"/>
        <v>565.57000000000005</v>
      </c>
      <c r="I11" s="202">
        <f t="shared" si="1"/>
        <v>2488.5080000000003</v>
      </c>
    </row>
    <row r="12" spans="1:71" x14ac:dyDescent="0.3">
      <c r="A12" s="179" t="str">
        <f>'AG Jul 2016'!K6</f>
        <v>Commander</v>
      </c>
      <c r="B12" s="180">
        <f>'AG Jul 2016'!G6</f>
        <v>41121</v>
      </c>
      <c r="C12" s="181">
        <f>91*'AG Jul 2016'!M6/100</f>
        <v>72.572500000000005</v>
      </c>
      <c r="D12" s="181">
        <f>IF($C$5&gt;='AG Jul 2016'!P6,('AG Jul 2016'!P6*'AG Jul 2016'!N6/100),($C$5*'AG Jul 2016'!N6/100))</f>
        <v>246.5</v>
      </c>
      <c r="E12" s="181">
        <f>IF($C$5&lt;'AG Jul 2016'!P6,0,IF(($C$5)&lt;='AG Jul 2016'!R6,(($C$5-'AG Jul 2016'!P6)*'AG Jul 2016'!Q6/100),(('AG Jul 2016'!R6-'AG Jul 2016'!P6)*'AG Jul 2016'!Q6/100)))</f>
        <v>197.2</v>
      </c>
      <c r="F12" s="181">
        <v>0</v>
      </c>
      <c r="G12" s="181">
        <f>IF(($C$5&lt;'AG Jul 2016'!R6),(0),($C$5-'AG Jul 2016'!R6)*'AG Jul 2016'!S6/100)</f>
        <v>0</v>
      </c>
      <c r="H12" s="183">
        <f t="shared" si="0"/>
        <v>516.27250000000004</v>
      </c>
      <c r="I12" s="202">
        <f t="shared" si="1"/>
        <v>2271.5990000000002</v>
      </c>
    </row>
    <row r="13" spans="1:71" x14ac:dyDescent="0.3">
      <c r="A13" s="179" t="str">
        <f>'AG Jul 2016'!K7</f>
        <v>CovaU</v>
      </c>
      <c r="B13" s="180">
        <f>'AG Jul 2016'!G7</f>
        <v>41097</v>
      </c>
      <c r="C13" s="181">
        <f>91*'AG Jul 2016'!M7/100</f>
        <v>87.177999999999997</v>
      </c>
      <c r="D13" s="181">
        <f>IF($C$5&gt;='AG Jul 2016'!P7,('AG Jul 2016'!P7*'AG Jul 2016'!N7/100),($C$5*'AG Jul 2016'!N7/100))</f>
        <v>269</v>
      </c>
      <c r="E13" s="181">
        <f>IF($C$5&lt;'AG Jul 2016'!P7,0,IF(($C$5)&lt;='AG Jul 2016'!R7,(($C$5-'AG Jul 2016'!P7)*'AG Jul 2016'!Q7/100),(('AG Jul 2016'!R7-'AG Jul 2016'!P7)*'AG Jul 2016'!Q7/100)))</f>
        <v>208.08</v>
      </c>
      <c r="F13" s="181">
        <v>0</v>
      </c>
      <c r="G13" s="181">
        <f>IF(($C$5&lt;'AG Jul 2016'!R7),(0),($C$5-'AG Jul 2016'!R7)*'AG Jul 2016'!S7/100)</f>
        <v>0</v>
      </c>
      <c r="H13" s="183">
        <f t="shared" si="0"/>
        <v>564.25800000000004</v>
      </c>
      <c r="I13" s="202">
        <f t="shared" si="1"/>
        <v>2482.7352000000005</v>
      </c>
    </row>
    <row r="14" spans="1:71" x14ac:dyDescent="0.3">
      <c r="A14" s="179" t="str">
        <f>'AG Jul 2016'!K8</f>
        <v>Diamond Energy</v>
      </c>
      <c r="B14" s="180">
        <f>'AG Jul 2016'!G8</f>
        <v>41121</v>
      </c>
      <c r="C14" s="181">
        <f>91*'AG Jul 2016'!M8/100</f>
        <v>77.331800000000001</v>
      </c>
      <c r="D14" s="181">
        <f>IF($C$5&gt;='AG Jul 2016'!P8,('AG Jul 2016'!P8*'AG Jul 2016'!N8/100),($C$5*'AG Jul 2016'!N8/100))</f>
        <v>66.63</v>
      </c>
      <c r="E14" s="181">
        <f>IF($C$5&lt;'AG Jul 2016'!P8,0,IF(($C$5)&lt;='AG Jul 2016'!R8,(($C$5-'AG Jul 2016'!P8)*'AG Jul 2016'!Q8/100),(('AG Jul 2016'!R8-'AG Jul 2016'!P8)*'AG Jul 2016'!Q8/100)))</f>
        <v>172.65599999999998</v>
      </c>
      <c r="F14" s="181">
        <v>0</v>
      </c>
      <c r="G14" s="181">
        <f>IF(($C$5&lt;'AG Jul 2016'!R8),(0),($C$5-'AG Jul 2016'!R8)*'AG Jul 2016'!S8/100)</f>
        <v>210.36599999999999</v>
      </c>
      <c r="H14" s="183">
        <f t="shared" si="0"/>
        <v>526.98379999999997</v>
      </c>
      <c r="I14" s="202">
        <f t="shared" si="1"/>
        <v>2318.7287200000001</v>
      </c>
    </row>
    <row r="15" spans="1:71" x14ac:dyDescent="0.3">
      <c r="A15" s="179" t="str">
        <f>'AG Jul 2016'!K9</f>
        <v>Dodo Power &amp; Gas</v>
      </c>
      <c r="B15" s="180">
        <f>'AG Jul 2016'!G9</f>
        <v>41121</v>
      </c>
      <c r="C15" s="181">
        <f>91*'AG Jul 2016'!M9/100</f>
        <v>71.5715</v>
      </c>
      <c r="D15" s="181">
        <f>IF($C$5&gt;='AG Jul 2016'!P9,('AG Jul 2016'!P9*'AG Jul 2016'!N9/100),($C$5*'AG Jul 2016'!N9/100))</f>
        <v>239</v>
      </c>
      <c r="E15" s="181">
        <f>IF($C$5&lt;'AG Jul 2016'!P9,0,IF(($C$5)&lt;='AG Jul 2016'!R9,(($C$5-'AG Jul 2016'!P9)*'AG Jul 2016'!Q9/100),(('AG Jul 2016'!R9-'AG Jul 2016'!P9)*'AG Jul 2016'!Q9/100)))</f>
        <v>191.2</v>
      </c>
      <c r="F15" s="181">
        <v>0</v>
      </c>
      <c r="G15" s="181">
        <f>IF(($C$5&lt;'AG Jul 2016'!R9),(0),($C$5-'AG Jul 2016'!R9)*'AG Jul 2016'!S9/100)</f>
        <v>0</v>
      </c>
      <c r="H15" s="183">
        <f t="shared" si="0"/>
        <v>501.7715</v>
      </c>
      <c r="I15" s="202">
        <f t="shared" si="1"/>
        <v>2207.7946000000002</v>
      </c>
    </row>
    <row r="16" spans="1:71" x14ac:dyDescent="0.3">
      <c r="A16" s="179" t="str">
        <f>'AG Jul 2016'!K10</f>
        <v>EnergyAustralia</v>
      </c>
      <c r="B16" s="180">
        <f>'AG Jul 2016'!G10</f>
        <v>41090</v>
      </c>
      <c r="C16" s="181">
        <f>91*'AG Jul 2016'!M10/100</f>
        <v>69.410250000000005</v>
      </c>
      <c r="D16" s="181">
        <f>IF($C$5&gt;='AG Jul 2016'!P10,('AG Jul 2016'!P10*'AG Jul 2016'!N10/100),($C$5*'AG Jul 2016'!N10/100))</f>
        <v>242.96099999999998</v>
      </c>
      <c r="E16" s="181">
        <f>IF($C$5&lt;'AG Jul 2016'!P10,0,IF(($C$5)&lt;='AG Jul 2016'!R10,(($C$5-'AG Jul 2016'!P10)*'AG Jul 2016'!Q10/100),(('AG Jul 2016'!R10-'AG Jul 2016'!P10)*'AG Jul 2016'!Q10/100)))</f>
        <v>189.976</v>
      </c>
      <c r="F16" s="181">
        <v>0</v>
      </c>
      <c r="G16" s="181">
        <f>IF(($C$5&lt;'AG Jul 2016'!R10),(0),($C$5-'AG Jul 2016'!R10)*'AG Jul 2016'!S10/100)</f>
        <v>0</v>
      </c>
      <c r="H16" s="183">
        <f t="shared" si="0"/>
        <v>502.34724999999997</v>
      </c>
      <c r="I16" s="202">
        <f t="shared" si="1"/>
        <v>2210.3279000000002</v>
      </c>
    </row>
    <row r="17" spans="1:71" x14ac:dyDescent="0.3">
      <c r="A17" s="179" t="str">
        <f>'AG Jul 2016'!K11</f>
        <v>Mojo Power</v>
      </c>
      <c r="B17" s="180">
        <f>'AG Jul 2016'!G11</f>
        <v>41090</v>
      </c>
      <c r="C17" s="181">
        <f>91*'AG Jul 2016'!M11/100</f>
        <v>52.7072</v>
      </c>
      <c r="D17" s="181">
        <f>IF($C$5&gt;='AG Jul 2016'!P11,('AG Jul 2016'!P11*'AG Jul 2016'!N11/100),($C$5*'AG Jul 2016'!N11/100))</f>
        <v>271.2</v>
      </c>
      <c r="E17" s="181">
        <f>IF($C$5&lt;'AG Jul 2016'!P11,0,IF(($C$5)&lt;='AG Jul 2016'!R11,(($C$5-'AG Jul 2016'!P11)*'AG Jul 2016'!Q11/100),(('AG Jul 2016'!R11-'AG Jul 2016'!P11)*'AG Jul 2016'!Q11/100)))</f>
        <v>213.76</v>
      </c>
      <c r="F17" s="181">
        <v>0</v>
      </c>
      <c r="G17" s="181">
        <f>IF(($C$5&lt;'AG Jul 2016'!R11),(0),($C$5-'AG Jul 2016'!R11)*'AG Jul 2016'!S11/100)</f>
        <v>0</v>
      </c>
      <c r="H17" s="183">
        <f t="shared" si="0"/>
        <v>537.66719999999998</v>
      </c>
      <c r="I17" s="202">
        <f t="shared" si="1"/>
        <v>2365.7356800000002</v>
      </c>
    </row>
    <row r="18" spans="1:71" x14ac:dyDescent="0.3">
      <c r="A18" s="179" t="str">
        <f>'AG Jul 2016'!K12</f>
        <v>Momentum Energy</v>
      </c>
      <c r="B18" s="180">
        <f>'AG Jul 2016'!G12</f>
        <v>41097</v>
      </c>
      <c r="C18" s="181">
        <f>91*'AG Jul 2016'!M12/100</f>
        <v>67.103399999999993</v>
      </c>
      <c r="D18" s="181">
        <f>IF($C$5&gt;='AG Jul 2016'!P12,('AG Jul 2016'!P12*'AG Jul 2016'!N12/100),($C$5*'AG Jul 2016'!N12/100))</f>
        <v>160.62</v>
      </c>
      <c r="E18" s="181">
        <f>IF($C$5&lt;'AG Jul 2016'!P12,0,IF(($C$5)&lt;='AG Jul 2016'!R12,(($C$5-'AG Jul 2016'!P12)*'AG Jul 2016'!Q12/100),(('AG Jul 2016'!R12-'AG Jul 2016'!P12)*'AG Jul 2016'!Q12/100)))</f>
        <v>272.76</v>
      </c>
      <c r="F18" s="181">
        <v>0</v>
      </c>
      <c r="G18" s="181">
        <f>IF(($C$5&lt;'AG Jul 2016'!R12),(0),($C$5-'AG Jul 2016'!R12)*'AG Jul 2016'!S12/100)</f>
        <v>0</v>
      </c>
      <c r="H18" s="183">
        <f t="shared" si="0"/>
        <v>500.48339999999996</v>
      </c>
      <c r="I18" s="202">
        <f t="shared" si="1"/>
        <v>2202.1269600000001</v>
      </c>
    </row>
    <row r="19" spans="1:71" x14ac:dyDescent="0.3">
      <c r="A19" s="179" t="str">
        <f>'AG Jul 2016'!K13</f>
        <v>Origin Energy</v>
      </c>
      <c r="B19" s="180">
        <f>'AG Jul 2016'!G13</f>
        <v>41090</v>
      </c>
      <c r="C19" s="181">
        <f>91*'AG Jul 2016'!M13/100</f>
        <v>73.345999999999989</v>
      </c>
      <c r="D19" s="181">
        <f>IF($C$5&gt;='AG Jul 2016'!P13,('AG Jul 2016'!P13*'AG Jul 2016'!N13/100),($C$5*'AG Jul 2016'!N13/100))</f>
        <v>245.5</v>
      </c>
      <c r="E19" s="181">
        <f>IF($C$5&lt;'AG Jul 2016'!P13,0,IF(($C$5)&lt;='AG Jul 2016'!R13,(($C$5-'AG Jul 2016'!P13)*'AG Jul 2016'!Q13/100),(('AG Jul 2016'!R13-'AG Jul 2016'!P13)*'AG Jul 2016'!Q13/100)))</f>
        <v>192.8</v>
      </c>
      <c r="F19" s="181">
        <v>0</v>
      </c>
      <c r="G19" s="181">
        <f>IF(($C$5&lt;'AG Jul 2016'!R13),(0),($C$5-'AG Jul 2016'!R13)*'AG Jul 2016'!S13/100)</f>
        <v>0</v>
      </c>
      <c r="H19" s="183">
        <f t="shared" si="0"/>
        <v>511.64600000000002</v>
      </c>
      <c r="I19" s="202">
        <f t="shared" si="1"/>
        <v>2251.2424000000001</v>
      </c>
    </row>
    <row r="20" spans="1:71" x14ac:dyDescent="0.3">
      <c r="A20" s="179" t="str">
        <f>'AG Jul 2016'!K14</f>
        <v>Powerdirect</v>
      </c>
      <c r="B20" s="180">
        <f>'AG Jul 2016'!G14</f>
        <v>41121</v>
      </c>
      <c r="C20" s="181">
        <f>91*'AG Jul 2016'!M14/100</f>
        <v>71.498699999999985</v>
      </c>
      <c r="D20" s="181">
        <f>IF($C$5&gt;='AG Jul 2016'!P14,('AG Jul 2016'!P14*'AG Jul 2016'!N14/100),($C$5*'AG Jul 2016'!N14/100))</f>
        <v>450.625</v>
      </c>
      <c r="E20" s="181">
        <f>IF($C$5&lt;'AG Jul 2016'!P14,0,IF(($C$5)&lt;='AG Jul 2016'!R14,(($C$5-'AG Jul 2016'!P14)*'AG Jul 2016'!Q14/100),(('AG Jul 2016'!R14-'AG Jul 2016'!P14)*'AG Jul 2016'!Q14/100)))</f>
        <v>0</v>
      </c>
      <c r="F20" s="181">
        <v>0</v>
      </c>
      <c r="G20" s="181">
        <f>IF(($C$5&lt;'AG Jul 2016'!R14),(0),($C$5-'AG Jul 2016'!R14)*'AG Jul 2016'!S14/100)</f>
        <v>10.435</v>
      </c>
      <c r="H20" s="183">
        <f t="shared" si="0"/>
        <v>532.55869999999993</v>
      </c>
      <c r="I20" s="202">
        <f t="shared" si="1"/>
        <v>2343.25828</v>
      </c>
    </row>
    <row r="21" spans="1:71" x14ac:dyDescent="0.3">
      <c r="A21" s="179" t="str">
        <f>'AG Jul 2016'!K15</f>
        <v>Powershop</v>
      </c>
      <c r="B21" s="180">
        <f>'AG Jul 2016'!G15</f>
        <v>41090</v>
      </c>
      <c r="C21" s="181">
        <f>91*'AG Jul 2016'!M15/100</f>
        <v>81.217500000000001</v>
      </c>
      <c r="D21" s="181">
        <f>C5*'AG Jul 2016'!N15/100</f>
        <v>440.28</v>
      </c>
      <c r="E21" s="181">
        <v>0</v>
      </c>
      <c r="F21" s="181">
        <v>0</v>
      </c>
      <c r="G21" s="181">
        <v>0</v>
      </c>
      <c r="H21" s="183">
        <f t="shared" si="0"/>
        <v>521.49749999999995</v>
      </c>
      <c r="I21" s="202">
        <f t="shared" si="1"/>
        <v>2294.5889999999999</v>
      </c>
    </row>
    <row r="22" spans="1:71" x14ac:dyDescent="0.3">
      <c r="A22" s="179" t="str">
        <f>'AG Jul 2016'!K16</f>
        <v>Red Energy</v>
      </c>
      <c r="B22" s="180">
        <f>'AG Jul 2016'!G16</f>
        <v>41090</v>
      </c>
      <c r="C22" s="181">
        <f>91*'AG Jul 2016'!M16/100</f>
        <v>68.623099999999994</v>
      </c>
      <c r="D22" s="181">
        <f>IF($C$5&gt;='AG Jul 2016'!P16,('AG Jul 2016'!P16*'AG Jul 2016'!N16/100),($C$5*'AG Jul 2016'!N16/100))</f>
        <v>243.4</v>
      </c>
      <c r="E22" s="181">
        <f>IF($C$5&lt;'AG Jul 2016'!P16,0,IF(($C$5)&lt;='AG Jul 2016'!R16,(($C$5-'AG Jul 2016'!P16)*'AG Jul 2016'!Q16/100),(('AG Jul 2016'!R16-'AG Jul 2016'!P16)*'AG Jul 2016'!Q16/100)))</f>
        <v>192.96</v>
      </c>
      <c r="F22" s="181">
        <v>0</v>
      </c>
      <c r="G22" s="181">
        <f>IF(($C$5&lt;'AG Jul 2016'!R16),(0),($C$5-'AG Jul 2016'!R16)*'AG Jul 2016'!S16/100)</f>
        <v>0</v>
      </c>
      <c r="H22" s="183">
        <f t="shared" si="0"/>
        <v>504.98310000000004</v>
      </c>
      <c r="I22" s="202">
        <f t="shared" si="1"/>
        <v>2221.9256400000004</v>
      </c>
    </row>
    <row r="23" spans="1:71" x14ac:dyDescent="0.3">
      <c r="A23" s="179" t="str">
        <f>'AG Jul 2016'!K17</f>
        <v>Simply Energy</v>
      </c>
      <c r="B23" s="180">
        <f>'AG Jul 2016'!G17</f>
        <v>41094</v>
      </c>
      <c r="C23" s="181">
        <f>91*'AG Jul 2016'!M17/100</f>
        <v>66.49369999999999</v>
      </c>
      <c r="D23" s="181">
        <f>IF($C$5&gt;='AG Jul 2016'!P17,('AG Jul 2016'!P17*'AG Jul 2016'!N17/100),($C$5*'AG Jul 2016'!N17/100))</f>
        <v>197.2</v>
      </c>
      <c r="E23" s="181">
        <f>IF($C$5&lt;'AG Jul 2016'!P17,0,IF(($C$5)&lt;='AG Jul 2016'!R17,(($C$5-'AG Jul 2016'!P17)*'AG Jul 2016'!Q17/100),(('AG Jul 2016'!R17-'AG Jul 2016'!P17)*'AG Jul 2016'!Q17/100)))</f>
        <v>167.12</v>
      </c>
      <c r="F23" s="181">
        <v>0</v>
      </c>
      <c r="G23" s="181">
        <f>IF(($C$5&lt;'AG Jul 2016'!R17),(0),($C$5-'AG Jul 2016'!R17)*'AG Jul 2016'!S17/100)</f>
        <v>0</v>
      </c>
      <c r="H23" s="183">
        <f t="shared" si="0"/>
        <v>430.81369999999998</v>
      </c>
      <c r="I23" s="202">
        <f t="shared" si="1"/>
        <v>1895.5802800000001</v>
      </c>
    </row>
    <row r="24" spans="1:71" ht="14" thickBot="1" x14ac:dyDescent="0.35">
      <c r="A24" s="184" t="str">
        <f>'AG Jul 2016'!K18</f>
        <v>Urth Energy</v>
      </c>
      <c r="B24" s="185">
        <f>'AG Jul 2016'!G18</f>
        <v>41090</v>
      </c>
      <c r="C24" s="186">
        <f>91*'AG Jul 2016'!M18/100</f>
        <v>73.345999999999989</v>
      </c>
      <c r="D24" s="186">
        <f>IF($C$5&gt;='AG Jul 2016'!P18,('AG Jul 2016'!P18*'AG Jul 2016'!N18/100),($C$5*'AG Jul 2016'!N18/100))</f>
        <v>252</v>
      </c>
      <c r="E24" s="186">
        <f>IF($C$5&lt;'AG Jul 2016'!P18,0,IF(($C$5)&lt;='AG Jul 2016'!R18,(($C$5-'AG Jul 2016'!P18)*'AG Jul 2016'!Q18/100),(('AG Jul 2016'!R18-'AG Jul 2016'!P18)*'AG Jul 2016'!Q18/100)))</f>
        <v>198.4</v>
      </c>
      <c r="F24" s="186">
        <v>0</v>
      </c>
      <c r="G24" s="186">
        <f>IF(($C$5&lt;'AG Jul 2016'!R18),(0),($C$5-'AG Jul 2016'!R18)*'AG Jul 2016'!S18/100)</f>
        <v>0</v>
      </c>
      <c r="H24" s="188">
        <f t="shared" si="0"/>
        <v>523.74599999999998</v>
      </c>
      <c r="I24" s="203">
        <f t="shared" si="1"/>
        <v>2304.4824000000003</v>
      </c>
    </row>
    <row r="25" spans="1:71" s="173" customFormat="1" x14ac:dyDescent="0.3"/>
    <row r="26" spans="1:71" s="173" customFormat="1" ht="14" thickBot="1" x14ac:dyDescent="0.35"/>
    <row r="27" spans="1:71" s="191" customFormat="1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</row>
    <row r="28" spans="1:71" s="191" customFormat="1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</row>
    <row r="29" spans="1:71" s="191" customFormat="1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</row>
    <row r="30" spans="1:71" s="191" customFormat="1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</row>
    <row r="31" spans="1:71" s="191" customFormat="1" ht="14" x14ac:dyDescent="0.3">
      <c r="A31" s="92"/>
      <c r="B31" s="93"/>
      <c r="C31" s="93"/>
      <c r="D31" s="93"/>
      <c r="E31" s="93"/>
      <c r="F31" s="93"/>
      <c r="G31" s="93"/>
      <c r="H31" s="93"/>
      <c r="I31" s="178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</row>
    <row r="32" spans="1:71" s="191" customFormat="1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</row>
    <row r="33" spans="1:9" x14ac:dyDescent="0.3">
      <c r="A33" s="179" t="str">
        <f>'AG Jul 2016'!K19</f>
        <v>1st Energy</v>
      </c>
      <c r="B33" s="180">
        <f>'AG Jul 2016'!G19</f>
        <v>41114</v>
      </c>
      <c r="C33" s="181">
        <f>91*'AG Jul 2016'!M19/100</f>
        <v>74.265100000000004</v>
      </c>
      <c r="D33" s="181">
        <f>IF($C$28*$C$29&gt;='AG Jul 2016'!P19,('AG Jul 2016'!P19*'AG Jul 2016'!N19/100),(($C$28*$C$29)*'AG Jul 2016'!N19/100))</f>
        <v>251.1</v>
      </c>
      <c r="E33" s="181">
        <f>IF($C$28*$C$29&lt;'AG Jul 2016'!P19,0,IF(($C$28*$C$29)&lt;='AG Jul 2016'!R19,(($C$28*$C$29-'AG Jul 2016'!P19)*'AG Jul 2016'!Q19/100),(('AG Jul 2016'!R19-'AG Jul 2016'!P19)*'AG Jul 2016'!Q19/100)))</f>
        <v>97.52</v>
      </c>
      <c r="F33" s="181">
        <f>IF(($C$28*$C$29&lt;'AG Jul 2016'!R19),(0),($C$28*$C$29-'AG Jul 2016'!R19)*'AG Jul 2016'!S19/100)</f>
        <v>0</v>
      </c>
      <c r="G33" s="181">
        <f>($C$28*$C$30)*'AG Jul 2016'!AE19/100</f>
        <v>61.08</v>
      </c>
      <c r="H33" s="183">
        <f>SUM(C33:G33)</f>
        <v>483.96509999999995</v>
      </c>
      <c r="I33" s="202">
        <f>(H33*4)*1.1</f>
        <v>2129.4464400000002</v>
      </c>
    </row>
    <row r="34" spans="1:9" x14ac:dyDescent="0.3">
      <c r="A34" s="179" t="str">
        <f>'AG Jul 2016'!K20</f>
        <v>AGL</v>
      </c>
      <c r="B34" s="180">
        <f>'AG Jul 2016'!G20</f>
        <v>41090</v>
      </c>
      <c r="C34" s="181">
        <f>91*'AG Jul 2016'!M20/100</f>
        <v>71.498699999999985</v>
      </c>
      <c r="D34" s="181">
        <f>IF($C$28*$C$29&gt;='AG Jul 2016'!P20,('AG Jul 2016'!P20*'AG Jul 2016'!N20/100),(($C$28*$C$29)*'AG Jul 2016'!N20/100))</f>
        <v>251.1</v>
      </c>
      <c r="E34" s="181">
        <f>IF($C$28*$C$29&lt;'AG Jul 2016'!P20,0,IF(($C$28*$C$29)&lt;='AG Jul 2016'!R20,(($C$28*$C$29-'AG Jul 2016'!P20)*'AG Jul 2016'!Q20/100),(('AG Jul 2016'!R20-'AG Jul 2016'!P20)*'AG Jul 2016'!Q20/100)))</f>
        <v>97.52</v>
      </c>
      <c r="F34" s="181">
        <f>IF(($C$28*$C$29&lt;'AG Jul 2016'!R20),(0),($C$28*$C$29-'AG Jul 2016'!R20)*'AG Jul 2016'!S20/100)</f>
        <v>0</v>
      </c>
      <c r="G34" s="181">
        <f>($C$28*$C$30)*'AG Jul 2016'!AE20/100</f>
        <v>55.14</v>
      </c>
      <c r="H34" s="183">
        <f t="shared" ref="H34:H49" si="2">SUM(C34:G34)</f>
        <v>475.25869999999998</v>
      </c>
      <c r="I34" s="202">
        <f t="shared" ref="I34:I49" si="3">(H34*4)*1.1</f>
        <v>2091.1382800000001</v>
      </c>
    </row>
    <row r="35" spans="1:9" x14ac:dyDescent="0.3">
      <c r="A35" s="179" t="str">
        <f>'AG Jul 2016'!K21</f>
        <v>Alinta Energy</v>
      </c>
      <c r="B35" s="180">
        <f>'AG Jul 2016'!G21</f>
        <v>41121</v>
      </c>
      <c r="C35" s="181">
        <f>91*'AG Jul 2016'!M21/100</f>
        <v>71.389499999999998</v>
      </c>
      <c r="D35" s="181">
        <f>IF($C$28*$C$29&gt;='AG Jul 2016'!P21,('AG Jul 2016'!P21*'AG Jul 2016'!N21/100),(($C$28*$C$29)*'AG Jul 2016'!N21/100))</f>
        <v>245.9</v>
      </c>
      <c r="E35" s="181">
        <f>IF($C$28*$C$29&lt;'AG Jul 2016'!P21,0,IF(($C$28*$C$29)&lt;='AG Jul 2016'!R21,(($C$28*$C$29-'AG Jul 2016'!P21)*'AG Jul 2016'!Q21/100),(('AG Jul 2016'!R21-'AG Jul 2016'!P21)*'AG Jul 2016'!Q21/100)))</f>
        <v>97.04</v>
      </c>
      <c r="F35" s="181">
        <f>IF(($C$28*$C$29&lt;'AG Jul 2016'!R21),(0),($C$28*$C$29-'AG Jul 2016'!R21)*'AG Jul 2016'!S21/100)</f>
        <v>0</v>
      </c>
      <c r="G35" s="181">
        <f>($C$28*$C$30)*'AG Jul 2016'!AE21/100</f>
        <v>54.9</v>
      </c>
      <c r="H35" s="183">
        <f t="shared" si="2"/>
        <v>469.22949999999997</v>
      </c>
      <c r="I35" s="202">
        <f t="shared" si="3"/>
        <v>2064.6098000000002</v>
      </c>
    </row>
    <row r="36" spans="1:9" x14ac:dyDescent="0.3">
      <c r="A36" s="179" t="str">
        <f>'AG Jul 2016'!K22</f>
        <v>Click Energy</v>
      </c>
      <c r="B36" s="180">
        <f>'AG Jul 2016'!G22</f>
        <v>41090</v>
      </c>
      <c r="C36" s="181">
        <f>91*'AG Jul 2016'!M22/100</f>
        <v>82.81</v>
      </c>
      <c r="D36" s="181">
        <f>IF($C$28*$C$29&gt;='AG Jul 2016'!P22,('AG Jul 2016'!P22*'AG Jul 2016'!N22/100),(($C$28*$C$29)*'AG Jul 2016'!N22/100))</f>
        <v>276</v>
      </c>
      <c r="E36" s="181">
        <f>IF($C$28*$C$29&lt;'AG Jul 2016'!P22,0,IF(($C$28*$C$29)&lt;='AG Jul 2016'!R22,(($C$28*$C$29-'AG Jul 2016'!P22)*'AG Jul 2016'!Q22/100),(('AG Jul 2016'!R22-'AG Jul 2016'!P22)*'AG Jul 2016'!Q22/100)))</f>
        <v>105.2</v>
      </c>
      <c r="F36" s="181">
        <f>IF(($C$28*$C$29&lt;'AG Jul 2016'!R22),(0),($C$28*$C$29-'AG Jul 2016'!R22)*'AG Jul 2016'!S22/100)</f>
        <v>0</v>
      </c>
      <c r="G36" s="181">
        <f>($C$28*$C$30)*'AG Jul 2016'!AE22/100</f>
        <v>81</v>
      </c>
      <c r="H36" s="183">
        <f t="shared" si="2"/>
        <v>545.01</v>
      </c>
      <c r="I36" s="202">
        <f t="shared" si="3"/>
        <v>2398.0440000000003</v>
      </c>
    </row>
    <row r="37" spans="1:9" x14ac:dyDescent="0.3">
      <c r="A37" s="179" t="str">
        <f>'AG Jul 2016'!K23</f>
        <v>Commander</v>
      </c>
      <c r="B37" s="180">
        <f>'AG Jul 2016'!G23</f>
        <v>41121</v>
      </c>
      <c r="C37" s="181">
        <f>91*'AG Jul 2016'!M23/100</f>
        <v>75.075000000000003</v>
      </c>
      <c r="D37" s="181">
        <f>IF($C$28*$C$29&gt;='AG Jul 2016'!P23,('AG Jul 2016'!P23*'AG Jul 2016'!N23/100),(($C$28*$C$29)*'AG Jul 2016'!N23/100))</f>
        <v>246.5</v>
      </c>
      <c r="E37" s="181">
        <f>IF($C$28*$C$29&lt;'AG Jul 2016'!P23,0,IF(($C$28*$C$29)&lt;='AG Jul 2016'!R23,(($C$28*$C$29-'AG Jul 2016'!P23)*'AG Jul 2016'!Q23/100),(('AG Jul 2016'!R23-'AG Jul 2016'!P23)*'AG Jul 2016'!Q23/100)))</f>
        <v>98.6</v>
      </c>
      <c r="F37" s="181">
        <f>IF(($C$28*$C$29&lt;'AG Jul 2016'!R23),(0),($C$28*$C$29-'AG Jul 2016'!R23)*'AG Jul 2016'!S23/100)</f>
        <v>0</v>
      </c>
      <c r="G37" s="181">
        <f>($C$28*$C$30)*'AG Jul 2016'!AE23/100</f>
        <v>57.3</v>
      </c>
      <c r="H37" s="183">
        <f t="shared" si="2"/>
        <v>477.47499999999997</v>
      </c>
      <c r="I37" s="202">
        <f t="shared" si="3"/>
        <v>2100.89</v>
      </c>
    </row>
    <row r="38" spans="1:9" x14ac:dyDescent="0.3">
      <c r="A38" s="179" t="str">
        <f>'AG Jul 2016'!K24</f>
        <v>CovaU</v>
      </c>
      <c r="B38" s="180">
        <f>'AG Jul 2016'!G24</f>
        <v>41097</v>
      </c>
      <c r="C38" s="181">
        <f>91*'AG Jul 2016'!M24/100</f>
        <v>87.177999999999997</v>
      </c>
      <c r="D38" s="181">
        <f>IF($C$28*$C$29&gt;='AG Jul 2016'!P24,('AG Jul 2016'!P24*'AG Jul 2016'!N24/100),(($C$28*$C$29)*'AG Jul 2016'!N24/100))</f>
        <v>269</v>
      </c>
      <c r="E38" s="181">
        <f>IF($C$28*$C$29&lt;'AG Jul 2016'!P24,0,IF(($C$28*$C$29)&lt;='AG Jul 2016'!R24,(($C$28*$C$29-'AG Jul 2016'!P24)*'AG Jul 2016'!Q24/100),(('AG Jul 2016'!R24-'AG Jul 2016'!P24)*'AG Jul 2016'!Q24/100)))</f>
        <v>104.04</v>
      </c>
      <c r="F38" s="181">
        <f>IF(($C$28*$C$29&lt;'AG Jul 2016'!R24),(0),($C$28*$C$29-'AG Jul 2016'!R24)*'AG Jul 2016'!S24/100)</f>
        <v>0</v>
      </c>
      <c r="G38" s="181">
        <f>($C$28*$C$30)*'AG Jul 2016'!AE24/100</f>
        <v>80.52</v>
      </c>
      <c r="H38" s="183">
        <f t="shared" si="2"/>
        <v>540.73800000000006</v>
      </c>
      <c r="I38" s="202">
        <f t="shared" si="3"/>
        <v>2379.2472000000002</v>
      </c>
    </row>
    <row r="39" spans="1:9" x14ac:dyDescent="0.3">
      <c r="A39" s="179" t="str">
        <f>'AG Jul 2016'!K25</f>
        <v>Diamond Energy</v>
      </c>
      <c r="B39" s="180">
        <f>'AG Jul 2016'!G25</f>
        <v>41121</v>
      </c>
      <c r="C39" s="181">
        <f>91*'AG Jul 2016'!M25/100</f>
        <v>80.880799999999994</v>
      </c>
      <c r="D39" s="181">
        <f>IF($C$28*$C$29&gt;='AG Jul 2016'!P25,('AG Jul 2016'!P25*'AG Jul 2016'!N25/100),(($C$28*$C$29)*'AG Jul 2016'!N25/100))</f>
        <v>66.63</v>
      </c>
      <c r="E39" s="181">
        <f>IF($C$28*$C$29&lt;'AG Jul 2016'!P25,0,IF(($C$28*$C$29)&lt;='AG Jul 2016'!R25,(($C$28*$C$29-'AG Jul 2016'!P25)*'AG Jul 2016'!Q25/100),(('AG Jul 2016'!R25-'AG Jul 2016'!P25)*'AG Jul 2016'!Q25/100)))</f>
        <v>172.65599999999998</v>
      </c>
      <c r="F39" s="181">
        <f>IF(($C$28*$C$29&lt;'AG Jul 2016'!R25),(0),($C$28*$C$29-'AG Jul 2016'!R25)*'AG Jul 2016'!S25/100)</f>
        <v>102.486</v>
      </c>
      <c r="G39" s="181">
        <f>($C$28*$C$30)*'AG Jul 2016'!AE25/100</f>
        <v>69.540000000000006</v>
      </c>
      <c r="H39" s="183">
        <f t="shared" si="2"/>
        <v>492.19279999999998</v>
      </c>
      <c r="I39" s="202">
        <f t="shared" si="3"/>
        <v>2165.6483200000002</v>
      </c>
    </row>
    <row r="40" spans="1:9" x14ac:dyDescent="0.3">
      <c r="A40" s="179" t="str">
        <f>'AG Jul 2016'!K26</f>
        <v>Dodo Power &amp; Gas</v>
      </c>
      <c r="B40" s="180">
        <f>'AG Jul 2016'!G26</f>
        <v>41121</v>
      </c>
      <c r="C40" s="181">
        <f>91*'AG Jul 2016'!M26/100</f>
        <v>74.074000000000012</v>
      </c>
      <c r="D40" s="181">
        <f>IF($C$28*$C$29&gt;='AG Jul 2016'!P26,('AG Jul 2016'!P26*'AG Jul 2016'!N26/100),(($C$28*$C$29)*'AG Jul 2016'!N26/100))</f>
        <v>239</v>
      </c>
      <c r="E40" s="181">
        <f>IF($C$28*$C$29&lt;'AG Jul 2016'!P26,0,IF(($C$28*$C$29)&lt;='AG Jul 2016'!R26,(($C$28*$C$29-'AG Jul 2016'!P26)*'AG Jul 2016'!Q26/100),(('AG Jul 2016'!R26-'AG Jul 2016'!P26)*'AG Jul 2016'!Q26/100)))</f>
        <v>95.6</v>
      </c>
      <c r="F40" s="181">
        <f>IF(($C$28*$C$29&lt;'AG Jul 2016'!R26),(0),($C$28*$C$29-'AG Jul 2016'!R26)*'AG Jul 2016'!S26/100)</f>
        <v>0</v>
      </c>
      <c r="G40" s="181">
        <f>($C$28*$C$30)*'AG Jul 2016'!AE26/100</f>
        <v>52.8</v>
      </c>
      <c r="H40" s="183">
        <f t="shared" si="2"/>
        <v>461.47399999999999</v>
      </c>
      <c r="I40" s="202">
        <f t="shared" si="3"/>
        <v>2030.4856000000002</v>
      </c>
    </row>
    <row r="41" spans="1:9" x14ac:dyDescent="0.3">
      <c r="A41" s="179" t="str">
        <f>'AG Jul 2016'!K27</f>
        <v>EnergyAustralia</v>
      </c>
      <c r="B41" s="180">
        <f>'AG Jul 2016'!G27</f>
        <v>41090</v>
      </c>
      <c r="C41" s="181">
        <f>91*'AG Jul 2016'!M27/100</f>
        <v>72.714460000000003</v>
      </c>
      <c r="D41" s="181">
        <f>IF($C$28*$C$29&gt;='AG Jul 2016'!P27,('AG Jul 2016'!P27*'AG Jul 2016'!N27/100),(($C$28*$C$29)*'AG Jul 2016'!N27/100))</f>
        <v>242.96099999999998</v>
      </c>
      <c r="E41" s="181">
        <f>IF($C$28*$C$29&lt;'AG Jul 2016'!P27,0,IF(($C$28*$C$29)&lt;='AG Jul 2016'!R27,(($C$28*$C$29-'AG Jul 2016'!P27)*'AG Jul 2016'!Q27/100),(('AG Jul 2016'!R27-'AG Jul 2016'!P27)*'AG Jul 2016'!Q27/100)))</f>
        <v>94.988</v>
      </c>
      <c r="F41" s="181">
        <f>IF(($C$28*$C$29&lt;'AG Jul 2016'!R27),(0),($C$28*$C$29-'AG Jul 2016'!R27)*'AG Jul 2016'!S27/100)</f>
        <v>0</v>
      </c>
      <c r="G41" s="181">
        <f>($C$28*$C$30)*'AG Jul 2016'!AE27/100</f>
        <v>51.988799999999998</v>
      </c>
      <c r="H41" s="183">
        <f t="shared" si="2"/>
        <v>462.65225999999996</v>
      </c>
      <c r="I41" s="202">
        <f t="shared" si="3"/>
        <v>2035.669944</v>
      </c>
    </row>
    <row r="42" spans="1:9" x14ac:dyDescent="0.3">
      <c r="A42" s="179" t="str">
        <f>'AG Jul 2016'!K28</f>
        <v>Mojo Power</v>
      </c>
      <c r="B42" s="180">
        <f>'AG Jul 2016'!G28</f>
        <v>41090</v>
      </c>
      <c r="C42" s="181">
        <f>91*'AG Jul 2016'!M28/100</f>
        <v>57.038800000000002</v>
      </c>
      <c r="D42" s="181">
        <f>IF($C$28*$C$29&gt;='AG Jul 2016'!P28,('AG Jul 2016'!P28*'AG Jul 2016'!N28/100),(($C$28*$C$29)*'AG Jul 2016'!N28/100))</f>
        <v>271.2</v>
      </c>
      <c r="E42" s="181">
        <f>IF($C$28*$C$29&lt;'AG Jul 2016'!P28,0,IF(($C$28*$C$29)&lt;='AG Jul 2016'!R28,(($C$28*$C$29-'AG Jul 2016'!P28)*'AG Jul 2016'!Q28/100),(('AG Jul 2016'!R28-'AG Jul 2016'!P28)*'AG Jul 2016'!Q28/100)))</f>
        <v>106.88</v>
      </c>
      <c r="F42" s="181">
        <f>IF(($C$28*$C$29&lt;'AG Jul 2016'!R28),(0),($C$28*$C$29-'AG Jul 2016'!R28)*'AG Jul 2016'!S28/100)</f>
        <v>0</v>
      </c>
      <c r="G42" s="181">
        <f>($C$28*$C$30)*'AG Jul 2016'!AE28/100</f>
        <v>74.459999999999994</v>
      </c>
      <c r="H42" s="183">
        <f t="shared" si="2"/>
        <v>509.57879999999994</v>
      </c>
      <c r="I42" s="202">
        <f t="shared" si="3"/>
        <v>2242.1467199999997</v>
      </c>
    </row>
    <row r="43" spans="1:9" x14ac:dyDescent="0.3">
      <c r="A43" s="179" t="str">
        <f>'AG Jul 2016'!K29</f>
        <v>Momentum Energy</v>
      </c>
      <c r="B43" s="180">
        <f>'AG Jul 2016'!G29</f>
        <v>41097</v>
      </c>
      <c r="C43" s="181">
        <f>91*'AG Jul 2016'!M29/100</f>
        <v>67.194400000000002</v>
      </c>
      <c r="D43" s="181">
        <f>IF($C$28*$C$29&gt;='AG Jul 2016'!P29,('AG Jul 2016'!P29*'AG Jul 2016'!N29/100),(($C$28*$C$29)*'AG Jul 2016'!N29/100))</f>
        <v>160.62</v>
      </c>
      <c r="E43" s="181">
        <f>IF($C$28*$C$29&lt;'AG Jul 2016'!P29,0,IF(($C$28*$C$29)&lt;='AG Jul 2016'!R29,(($C$28*$C$29-'AG Jul 2016'!P29)*'AG Jul 2016'!Q29/100),(('AG Jul 2016'!R29-'AG Jul 2016'!P29)*'AG Jul 2016'!Q29/100)))</f>
        <v>181.84</v>
      </c>
      <c r="F43" s="181">
        <f>IF(($C$28*$C$29&lt;'AG Jul 2016'!R29),(0),($C$28*$C$29-'AG Jul 2016'!R29)*'AG Jul 2016'!S29/100)</f>
        <v>0</v>
      </c>
      <c r="G43" s="181">
        <f>($C$28*$C$30)*'AG Jul 2016'!AE29/100</f>
        <v>80.94</v>
      </c>
      <c r="H43" s="183">
        <f t="shared" si="2"/>
        <v>490.59440000000001</v>
      </c>
      <c r="I43" s="202">
        <f t="shared" si="3"/>
        <v>2158.6153600000002</v>
      </c>
    </row>
    <row r="44" spans="1:9" x14ac:dyDescent="0.3">
      <c r="A44" s="179" t="str">
        <f>'AG Jul 2016'!K30</f>
        <v>Origin Energy</v>
      </c>
      <c r="B44" s="180">
        <f>'AG Jul 2016'!G30</f>
        <v>41090</v>
      </c>
      <c r="C44" s="181">
        <f>91*'AG Jul 2016'!M30/100</f>
        <v>73.345999999999989</v>
      </c>
      <c r="D44" s="181">
        <f>IF($C$28*$C$29&gt;='AG Jul 2016'!P30,('AG Jul 2016'!P30*'AG Jul 2016'!N30/100),(($C$28*$C$29)*'AG Jul 2016'!N30/100))</f>
        <v>245.5</v>
      </c>
      <c r="E44" s="181">
        <f>IF($C$28*$C$29&lt;'AG Jul 2016'!P30,0,IF(($C$28*$C$29)&lt;='AG Jul 2016'!R30,(($C$28*$C$29-'AG Jul 2016'!P30)*'AG Jul 2016'!Q30/100),(('AG Jul 2016'!R30-'AG Jul 2016'!P30)*'AG Jul 2016'!Q30/100)))</f>
        <v>96.4</v>
      </c>
      <c r="F44" s="181">
        <f>IF(($C$28*$C$29&lt;'AG Jul 2016'!R30),(0),($C$28*$C$29-'AG Jul 2016'!R30)*'AG Jul 2016'!S30/100)</f>
        <v>0</v>
      </c>
      <c r="G44" s="181">
        <f>($C$28*$C$30)*'AG Jul 2016'!AE30/100</f>
        <v>57</v>
      </c>
      <c r="H44" s="183">
        <f t="shared" si="2"/>
        <v>472.24599999999998</v>
      </c>
      <c r="I44" s="202">
        <f t="shared" si="3"/>
        <v>2077.8824</v>
      </c>
    </row>
    <row r="45" spans="1:9" x14ac:dyDescent="0.3">
      <c r="A45" s="179" t="str">
        <f>'AG Jul 2016'!K31</f>
        <v>Powerdirect</v>
      </c>
      <c r="B45" s="180">
        <f>'AG Jul 2016'!G31</f>
        <v>41121</v>
      </c>
      <c r="C45" s="181">
        <f>91*'AG Jul 2016'!M31/100</f>
        <v>71.498699999999985</v>
      </c>
      <c r="D45" s="181">
        <f>IF($C$28*$C$29&gt;='AG Jul 2016'!P31,('AG Jul 2016'!P31*'AG Jul 2016'!N31/100),(($C$28*$C$29)*'AG Jul 2016'!N31/100))</f>
        <v>360.5</v>
      </c>
      <c r="E45" s="181">
        <f>IF($C$28*$C$29&lt;'AG Jul 2016'!P31,0,IF(($C$28*$C$29)&lt;='AG Jul 2016'!R31,(($C$28*$C$29-'AG Jul 2016'!P31)*'AG Jul 2016'!Q31/100),(('AG Jul 2016'!R31-'AG Jul 2016'!P31)*'AG Jul 2016'!Q31/100)))</f>
        <v>0</v>
      </c>
      <c r="F45" s="181">
        <f>IF(($C$28*$C$29&lt;'AG Jul 2016'!R31),(0),($C$28*$C$29-'AG Jul 2016'!R31)*'AG Jul 2016'!S31/100)</f>
        <v>0</v>
      </c>
      <c r="G45" s="181">
        <f>($C$28*$C$30)*'AG Jul 2016'!AE31/100</f>
        <v>76.319999999999993</v>
      </c>
      <c r="H45" s="183">
        <f t="shared" si="2"/>
        <v>508.31869999999998</v>
      </c>
      <c r="I45" s="202">
        <f t="shared" si="3"/>
        <v>2236.6022800000001</v>
      </c>
    </row>
    <row r="46" spans="1:9" x14ac:dyDescent="0.3">
      <c r="A46" s="179" t="str">
        <f>'AG Jul 2016'!K32</f>
        <v>Powershop</v>
      </c>
      <c r="B46" s="180">
        <f>'AG Jul 2016'!G32</f>
        <v>41090</v>
      </c>
      <c r="C46" s="181">
        <f>91*'AG Jul 2016'!M32/100</f>
        <v>85.221499999999992</v>
      </c>
      <c r="D46" s="181">
        <f>(C28*C29)*'AG Jul 2016'!N32/100</f>
        <v>342.44</v>
      </c>
      <c r="E46" s="181">
        <v>0</v>
      </c>
      <c r="F46" s="181">
        <v>0</v>
      </c>
      <c r="G46" s="181">
        <f>($C$28*$C$30)*'AG Jul 2016'!AE32/100</f>
        <v>79.38</v>
      </c>
      <c r="H46" s="183">
        <f t="shared" si="2"/>
        <v>507.04149999999998</v>
      </c>
      <c r="I46" s="202">
        <f t="shared" si="3"/>
        <v>2230.9826000000003</v>
      </c>
    </row>
    <row r="47" spans="1:9" x14ac:dyDescent="0.3">
      <c r="A47" s="179" t="str">
        <f>'AG Jul 2016'!K33</f>
        <v>Red Energy</v>
      </c>
      <c r="B47" s="180">
        <f>'AG Jul 2016'!G33</f>
        <v>41090</v>
      </c>
      <c r="C47" s="181">
        <f>91*'AG Jul 2016'!M33/100</f>
        <v>71.717100000000002</v>
      </c>
      <c r="D47" s="181">
        <f>IF($C$28*$C$29&gt;='AG Jul 2016'!P33,('AG Jul 2016'!P33*'AG Jul 2016'!N33/100),(($C$28*$C$29)*'AG Jul 2016'!N33/100))</f>
        <v>243.4</v>
      </c>
      <c r="E47" s="181">
        <f>IF($C$28*$C$29&lt;'AG Jul 2016'!P33,0,IF(($C$28*$C$29)&lt;='AG Jul 2016'!R33,(($C$28*$C$29-'AG Jul 2016'!P33)*'AG Jul 2016'!Q33/100),(('AG Jul 2016'!R33-'AG Jul 2016'!P33)*'AG Jul 2016'!Q33/100)))</f>
        <v>96.48</v>
      </c>
      <c r="F47" s="181">
        <f>IF(($C$28*$C$29&lt;'AG Jul 2016'!R33),(0),($C$28*$C$29-'AG Jul 2016'!R33)*'AG Jul 2016'!S33/100)</f>
        <v>0</v>
      </c>
      <c r="G47" s="181">
        <f>($C$28*$C$30)*'AG Jul 2016'!AE33/100</f>
        <v>54.06</v>
      </c>
      <c r="H47" s="183">
        <f t="shared" si="2"/>
        <v>465.65710000000001</v>
      </c>
      <c r="I47" s="202">
        <f t="shared" si="3"/>
        <v>2048.8912400000004</v>
      </c>
    </row>
    <row r="48" spans="1:9" x14ac:dyDescent="0.3">
      <c r="A48" s="179" t="str">
        <f>'AG Jul 2016'!K34</f>
        <v>Simply Energy</v>
      </c>
      <c r="B48" s="180">
        <f>'AG Jul 2016'!G34</f>
        <v>41459</v>
      </c>
      <c r="C48" s="181">
        <f>91*'AG Jul 2016'!M34/100</f>
        <v>66.49369999999999</v>
      </c>
      <c r="D48" s="181">
        <f>IF($C$28*$C$29&gt;='AG Jul 2016'!P34,('AG Jul 2016'!P34*'AG Jul 2016'!N34/100),(($C$28*$C$29)*'AG Jul 2016'!N34/100))</f>
        <v>197.2</v>
      </c>
      <c r="E48" s="181">
        <f>IF($C$28*$C$29&lt;'AG Jul 2016'!P34,0,IF(($C$28*$C$29)&lt;='AG Jul 2016'!R34,(($C$28*$C$29-'AG Jul 2016'!P34)*'AG Jul 2016'!Q34/100),(('AG Jul 2016'!R34-'AG Jul 2016'!P34)*'AG Jul 2016'!Q34/100)))</f>
        <v>83.56</v>
      </c>
      <c r="F48" s="181">
        <f>IF(($C$28*$C$29&lt;'AG Jul 2016'!R34),(0),($C$28*$C$29-'AG Jul 2016'!R34)*'AG Jul 2016'!S34/100)</f>
        <v>0</v>
      </c>
      <c r="G48" s="181">
        <f>($C$28*$C$30)*'AG Jul 2016'!AE34/100</f>
        <v>45.24</v>
      </c>
      <c r="H48" s="183">
        <f t="shared" si="2"/>
        <v>392.49369999999999</v>
      </c>
      <c r="I48" s="202">
        <f t="shared" si="3"/>
        <v>1726.9722800000002</v>
      </c>
    </row>
    <row r="49" spans="1:71" ht="14" thickBot="1" x14ac:dyDescent="0.35">
      <c r="A49" s="184" t="str">
        <f>'AG Jul 2016'!K35</f>
        <v>Urth Energy</v>
      </c>
      <c r="B49" s="185">
        <f>'AG Jul 2016'!G35</f>
        <v>41090</v>
      </c>
      <c r="C49" s="186">
        <f>91*'AG Jul 2016'!M35/100</f>
        <v>73.345999999999989</v>
      </c>
      <c r="D49" s="186">
        <f>IF($C$28*$C$29&gt;='AG Jul 2016'!P35,('AG Jul 2016'!P35*'AG Jul 2016'!N35/100),(($C$28*$C$29)*'AG Jul 2016'!N35/100))</f>
        <v>252</v>
      </c>
      <c r="E49" s="186">
        <f>IF($C$28*$C$29&lt;'AG Jul 2016'!P35,0,IF(($C$28*$C$29)&lt;='AG Jul 2016'!R35,(($C$28*$C$29-'AG Jul 2016'!P35)*'AG Jul 2016'!Q35/100),(('AG Jul 2016'!R35-'AG Jul 2016'!P35)*'AG Jul 2016'!Q35/100)))</f>
        <v>99.2</v>
      </c>
      <c r="F49" s="186">
        <f>IF(($C$28*$C$29&lt;'AG Jul 2016'!R35),(0),($C$28*$C$29-'AG Jul 2016'!R35)*'AG Jul 2016'!S35/100)</f>
        <v>0</v>
      </c>
      <c r="G49" s="186">
        <f>($C$28*$C$30)*'AG Jul 2016'!AE35/100</f>
        <v>57</v>
      </c>
      <c r="H49" s="188">
        <f t="shared" si="2"/>
        <v>481.54599999999999</v>
      </c>
      <c r="I49" s="203">
        <f t="shared" si="3"/>
        <v>2118.8024</v>
      </c>
    </row>
    <row r="50" spans="1:71" s="173" customFormat="1" x14ac:dyDescent="0.3"/>
    <row r="51" spans="1:71" s="173" customFormat="1" ht="14" thickBot="1" x14ac:dyDescent="0.35"/>
    <row r="52" spans="1:71" s="191" customFormat="1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</row>
    <row r="53" spans="1:71" s="191" customFormat="1" ht="14" x14ac:dyDescent="0.3">
      <c r="A53" s="92" t="s">
        <v>79</v>
      </c>
      <c r="B53" s="93"/>
      <c r="C53" s="189">
        <v>2000</v>
      </c>
      <c r="D53" s="93"/>
      <c r="E53" s="93"/>
      <c r="F53" s="93"/>
      <c r="G53" s="93"/>
      <c r="H53" s="93"/>
      <c r="I53" s="178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</row>
    <row r="54" spans="1:71" s="191" customFormat="1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</row>
    <row r="55" spans="1:71" s="191" customFormat="1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</row>
    <row r="56" spans="1:71" s="191" customFormat="1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</row>
    <row r="57" spans="1:71" s="191" customFormat="1" ht="14" x14ac:dyDescent="0.3">
      <c r="A57" s="166"/>
      <c r="B57" s="93"/>
      <c r="C57" s="167"/>
      <c r="D57" s="93"/>
      <c r="E57" s="93"/>
      <c r="F57" s="93"/>
      <c r="G57" s="93"/>
      <c r="H57" s="93"/>
      <c r="I57" s="178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</row>
    <row r="58" spans="1:71" s="191" customFormat="1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</row>
    <row r="59" spans="1:71" x14ac:dyDescent="0.3">
      <c r="A59" s="179" t="str">
        <f>'AG Jul 2016'!K36</f>
        <v>1st Energy</v>
      </c>
      <c r="B59" s="180">
        <f>'AG Jul 2016'!G36</f>
        <v>41114</v>
      </c>
      <c r="C59" s="181">
        <f>91*'AG Jul 2016'!M36/100</f>
        <v>84.247800000000012</v>
      </c>
      <c r="D59" s="181">
        <f>($C$53*$C$54)*'AG Jul 2016'!N36/100</f>
        <v>205.32</v>
      </c>
      <c r="E59" s="181">
        <v>0</v>
      </c>
      <c r="F59" s="181">
        <f>($C$53*$C$55)*'AG Jul 2016'!AH36/100</f>
        <v>198.9</v>
      </c>
      <c r="G59" s="181">
        <f>($C$53*$C$56)*'AG Jul 2016'!W36/100</f>
        <v>71.64</v>
      </c>
      <c r="H59" s="183">
        <f>SUM(C59:G59)</f>
        <v>560.1078</v>
      </c>
      <c r="I59" s="202">
        <f t="shared" ref="I59:I75" si="4">(H59*4)*1.1</f>
        <v>2464.4743200000003</v>
      </c>
    </row>
    <row r="60" spans="1:71" x14ac:dyDescent="0.3">
      <c r="A60" s="179" t="str">
        <f>'AG Jul 2016'!K37</f>
        <v>AGL</v>
      </c>
      <c r="B60" s="180">
        <f>'AG Jul 2016'!G37</f>
        <v>41090</v>
      </c>
      <c r="C60" s="181">
        <f>91*'AG Jul 2016'!M37/100</f>
        <v>79.770600000000002</v>
      </c>
      <c r="D60" s="181">
        <f>($C$53*$C$54)*'AG Jul 2016'!N37/100</f>
        <v>201.32</v>
      </c>
      <c r="E60" s="181">
        <v>0</v>
      </c>
      <c r="F60" s="181">
        <f>($C$53*$C$55)*'AG Jul 2016'!AH37/100</f>
        <v>196.9</v>
      </c>
      <c r="G60" s="181">
        <f>($C$53*$C$56)*'AG Jul 2016'!W37/100</f>
        <v>66.42</v>
      </c>
      <c r="H60" s="183">
        <f t="shared" ref="H60:H75" si="5">SUM(C60:G60)</f>
        <v>544.41059999999993</v>
      </c>
      <c r="I60" s="202">
        <f t="shared" si="4"/>
        <v>2395.4066399999997</v>
      </c>
    </row>
    <row r="61" spans="1:71" x14ac:dyDescent="0.3">
      <c r="A61" s="179" t="str">
        <f>'AG Jul 2016'!K38</f>
        <v>Alinta Energy</v>
      </c>
      <c r="B61" s="180">
        <f>'AG Jul 2016'!G38</f>
        <v>41121</v>
      </c>
      <c r="C61" s="181">
        <f>91*'AG Jul 2016'!M38/100</f>
        <v>78.614899999999992</v>
      </c>
      <c r="D61" s="181">
        <f>($C$53*$C$54)*'AG Jul 2016'!N38/100</f>
        <v>186.76</v>
      </c>
      <c r="E61" s="181">
        <v>0</v>
      </c>
      <c r="F61" s="181">
        <f>($C$53*$C$55)*'AG Jul 2016'!AH38/100</f>
        <v>195.5</v>
      </c>
      <c r="G61" s="181">
        <f>($C$53*$C$56)*'AG Jul 2016'!W38/100</f>
        <v>66.12</v>
      </c>
      <c r="H61" s="183">
        <f t="shared" si="5"/>
        <v>526.99489999999992</v>
      </c>
      <c r="I61" s="202">
        <f t="shared" si="4"/>
        <v>2318.77756</v>
      </c>
    </row>
    <row r="62" spans="1:71" x14ac:dyDescent="0.3">
      <c r="A62" s="179" t="str">
        <f>'AG Jul 2016'!K39</f>
        <v>Click Energy</v>
      </c>
      <c r="B62" s="180">
        <f>'AG Jul 2016'!G39</f>
        <v>41090</v>
      </c>
      <c r="C62" s="181">
        <f>91*'AG Jul 2016'!M39/100</f>
        <v>89.18</v>
      </c>
      <c r="D62" s="181">
        <f>($C$53*$C$54)*'AG Jul 2016'!N39/100</f>
        <v>192.4</v>
      </c>
      <c r="E62" s="181">
        <v>0</v>
      </c>
      <c r="F62" s="181">
        <f>($C$53*$C$55)*'AG Jul 2016'!AH39/100</f>
        <v>208</v>
      </c>
      <c r="G62" s="181">
        <f>($C$53*$C$56)*'AG Jul 2016'!W39/100</f>
        <v>99</v>
      </c>
      <c r="H62" s="183">
        <f t="shared" si="5"/>
        <v>588.58000000000004</v>
      </c>
      <c r="I62" s="202">
        <f t="shared" si="4"/>
        <v>2589.7520000000004</v>
      </c>
    </row>
    <row r="63" spans="1:71" x14ac:dyDescent="0.3">
      <c r="A63" s="179" t="str">
        <f>'AG Jul 2016'!K40</f>
        <v>Commander</v>
      </c>
      <c r="B63" s="180">
        <f>'AG Jul 2016'!G40</f>
        <v>41121</v>
      </c>
      <c r="C63" s="181">
        <f>91*'AG Jul 2016'!M40/100</f>
        <v>81.080999999999989</v>
      </c>
      <c r="D63" s="181">
        <f>($C$53*$C$54)*'AG Jul 2016'!N40/100</f>
        <v>197.8</v>
      </c>
      <c r="E63" s="181">
        <v>0</v>
      </c>
      <c r="F63" s="181">
        <f>($C$53*$C$55)*'AG Jul 2016'!AH40/100</f>
        <v>209</v>
      </c>
      <c r="G63" s="181">
        <f>($C$53*$C$56)*'AG Jul 2016'!W40/100</f>
        <v>72.599999999999994</v>
      </c>
      <c r="H63" s="183">
        <f t="shared" si="5"/>
        <v>560.48099999999999</v>
      </c>
      <c r="I63" s="202">
        <f t="shared" si="4"/>
        <v>2466.1164000000003</v>
      </c>
    </row>
    <row r="64" spans="1:71" x14ac:dyDescent="0.3">
      <c r="A64" s="179" t="str">
        <f>'AG Jul 2016'!K41</f>
        <v>CovaU</v>
      </c>
      <c r="B64" s="180">
        <f>'AG Jul 2016'!G41</f>
        <v>41097</v>
      </c>
      <c r="C64" s="181">
        <f>91*'AG Jul 2016'!M41/100</f>
        <v>96.1233</v>
      </c>
      <c r="D64" s="181">
        <f>($C$53*$C$54)*'AG Jul 2016'!N41/100</f>
        <v>204.44</v>
      </c>
      <c r="E64" s="181">
        <v>0</v>
      </c>
      <c r="F64" s="181">
        <f>($C$53*$C$55)*'AG Jul 2016'!AH41/100</f>
        <v>211.5</v>
      </c>
      <c r="G64" s="181">
        <f>($C$53*$C$56)*'AG Jul 2016'!W41/100</f>
        <v>84.36</v>
      </c>
      <c r="H64" s="183">
        <f t="shared" si="5"/>
        <v>596.42330000000004</v>
      </c>
      <c r="I64" s="202">
        <f t="shared" si="4"/>
        <v>2624.2625200000002</v>
      </c>
    </row>
    <row r="65" spans="1:9" x14ac:dyDescent="0.3">
      <c r="A65" s="179" t="str">
        <f>'AG Jul 2016'!K42</f>
        <v>Diamond Energy</v>
      </c>
      <c r="B65" s="180">
        <f>'AG Jul 2016'!G42</f>
        <v>41121</v>
      </c>
      <c r="C65" s="181">
        <f>91*'AG Jul 2016'!M42/100</f>
        <v>86.43180000000001</v>
      </c>
      <c r="D65" s="181">
        <f>IF($C$53*$C$54&gt;='AG Jul 2016'!P42,('AG Jul 2016'!P42*'AG Jul 2016'!N42/100),(($C$53*$C$54)*'AG Jul 2016'!N42/100))</f>
        <v>179.96</v>
      </c>
      <c r="E65" s="181">
        <f>IF(($C$53*$C$54&lt;'AG Jul 2016'!P42),(0),($C$53*$C$54-'AG Jul 2016'!P42)*'AG Jul 2016'!Q42/100)</f>
        <v>0</v>
      </c>
      <c r="F65" s="181">
        <f>($C$53*$C$55)*'AG Jul 2016'!AH42/100</f>
        <v>189.9</v>
      </c>
      <c r="G65" s="181">
        <f>($C$53*$C$56)*'AG Jul 2016'!W42/100</f>
        <v>82.74</v>
      </c>
      <c r="H65" s="183">
        <f t="shared" si="5"/>
        <v>539.03179999999998</v>
      </c>
      <c r="I65" s="202">
        <f t="shared" si="4"/>
        <v>2371.73992</v>
      </c>
    </row>
    <row r="66" spans="1:9" x14ac:dyDescent="0.3">
      <c r="A66" s="179" t="str">
        <f>'AG Jul 2016'!K43</f>
        <v>Dodo Power &amp; Gas</v>
      </c>
      <c r="B66" s="180">
        <f>'AG Jul 2016'!G43</f>
        <v>41121</v>
      </c>
      <c r="C66" s="181">
        <f>91*'AG Jul 2016'!M43/100</f>
        <v>80.034499999999994</v>
      </c>
      <c r="D66" s="181">
        <f>($C$53*$C$54)*'AG Jul 2016'!N43/100</f>
        <v>187</v>
      </c>
      <c r="E66" s="181">
        <v>0</v>
      </c>
      <c r="F66" s="181">
        <f>($C$53*$C$55)*'AG Jul 2016'!AH43/100</f>
        <v>196.5</v>
      </c>
      <c r="G66" s="181">
        <f>($C$53*$C$56)*'AG Jul 2016'!W43/100</f>
        <v>65.7</v>
      </c>
      <c r="H66" s="183">
        <f t="shared" si="5"/>
        <v>529.23450000000003</v>
      </c>
      <c r="I66" s="202">
        <f t="shared" si="4"/>
        <v>2328.6318000000001</v>
      </c>
    </row>
    <row r="67" spans="1:9" x14ac:dyDescent="0.3">
      <c r="A67" s="179" t="str">
        <f>'AG Jul 2016'!K44</f>
        <v>EnergyAustralia</v>
      </c>
      <c r="B67" s="180">
        <f>'AG Jul 2016'!G44</f>
        <v>41090</v>
      </c>
      <c r="C67" s="181">
        <f>91*'AG Jul 2016'!M44/100</f>
        <v>79.128139999999988</v>
      </c>
      <c r="D67" s="181">
        <f>($C$53*$C$54)*'AG Jul 2016'!N44/100</f>
        <v>196.32159999999999</v>
      </c>
      <c r="E67" s="181">
        <v>0</v>
      </c>
      <c r="F67" s="181">
        <f>($C$53*$C$55)*'AG Jul 2016'!AH44/100</f>
        <v>196.58599999999998</v>
      </c>
      <c r="G67" s="181">
        <f>($C$53*$C$56)*'AG Jul 2016'!W44/100</f>
        <v>65.657399999999996</v>
      </c>
      <c r="H67" s="183">
        <f t="shared" si="5"/>
        <v>537.69313999999986</v>
      </c>
      <c r="I67" s="202">
        <f t="shared" si="4"/>
        <v>2365.8498159999995</v>
      </c>
    </row>
    <row r="68" spans="1:9" x14ac:dyDescent="0.3">
      <c r="A68" s="179" t="str">
        <f>'AG Jul 2016'!K45</f>
        <v>Mojo Power</v>
      </c>
      <c r="B68" s="180">
        <f>'AG Jul 2016'!G45</f>
        <v>41090</v>
      </c>
      <c r="C68" s="181">
        <f>91*'AG Jul 2016'!M45/100</f>
        <v>69.323800000000006</v>
      </c>
      <c r="D68" s="181">
        <f>($C$53*$C$54)*'AG Jul 2016'!N45/100</f>
        <v>207.96</v>
      </c>
      <c r="E68" s="181">
        <v>0</v>
      </c>
      <c r="F68" s="181">
        <f>($C$53*$C$55)*'AG Jul 2016'!AH45/100</f>
        <v>196.7</v>
      </c>
      <c r="G68" s="181">
        <f>($C$53*$C$56)*'AG Jul 2016'!W45/100</f>
        <v>82.68</v>
      </c>
      <c r="H68" s="183">
        <f t="shared" si="5"/>
        <v>556.66380000000004</v>
      </c>
      <c r="I68" s="202">
        <f t="shared" si="4"/>
        <v>2449.3207200000002</v>
      </c>
    </row>
    <row r="69" spans="1:9" x14ac:dyDescent="0.3">
      <c r="A69" s="179" t="str">
        <f>'AG Jul 2016'!K46</f>
        <v>Momentum Energy</v>
      </c>
      <c r="B69" s="180">
        <f>'AG Jul 2016'!G46</f>
        <v>41097</v>
      </c>
      <c r="C69" s="181">
        <f>91*'AG Jul 2016'!M46/100</f>
        <v>75.147800000000004</v>
      </c>
      <c r="D69" s="181">
        <f>IF($C$53*$C$54&gt;='AG Jul 2016'!P46,('AG Jul 2016'!P46*'AG Jul 2016'!N46/100),(($C$53*$C$54)*'AG Jul 2016'!N46/100))</f>
        <v>173.64</v>
      </c>
      <c r="E69" s="181">
        <f>IF(($C$53*$C$54&lt;'AG Jul 2016'!P46),(0),($C$53*$C$54-'AG Jul 2016'!P46)*'AG Jul 2016'!Q46/100)</f>
        <v>0</v>
      </c>
      <c r="F69" s="181">
        <f>($C$53*$C$55)*'AG Jul 2016'!AH46/100</f>
        <v>175.5</v>
      </c>
      <c r="G69" s="181">
        <f>($C$53*$C$56)*'AG Jul 2016'!W46/100</f>
        <v>77.64</v>
      </c>
      <c r="H69" s="183">
        <f t="shared" si="5"/>
        <v>501.92779999999999</v>
      </c>
      <c r="I69" s="202">
        <f t="shared" si="4"/>
        <v>2208.4823200000001</v>
      </c>
    </row>
    <row r="70" spans="1:9" x14ac:dyDescent="0.3">
      <c r="A70" s="179" t="str">
        <f>'AG Jul 2016'!K47</f>
        <v>Origin Energy</v>
      </c>
      <c r="B70" s="180">
        <f>'AG Jul 2016'!G47</f>
        <v>41090</v>
      </c>
      <c r="C70" s="181">
        <f>91*'AG Jul 2016'!M47/100</f>
        <v>81.900000000000006</v>
      </c>
      <c r="D70" s="181">
        <f>($C$53*$C$54)*'AG Jul 2016'!N47/100</f>
        <v>192</v>
      </c>
      <c r="E70" s="181">
        <v>0</v>
      </c>
      <c r="F70" s="181">
        <f>($C$53*$C$55)*'AG Jul 2016'!AH47/100</f>
        <v>195</v>
      </c>
      <c r="G70" s="181">
        <f>($C$53*$C$56)*'AG Jul 2016'!W47/100</f>
        <v>72</v>
      </c>
      <c r="H70" s="183">
        <f t="shared" si="5"/>
        <v>540.9</v>
      </c>
      <c r="I70" s="202">
        <f t="shared" si="4"/>
        <v>2379.96</v>
      </c>
    </row>
    <row r="71" spans="1:9" x14ac:dyDescent="0.3">
      <c r="A71" s="179" t="str">
        <f>'AG Jul 2016'!K48</f>
        <v>Powerdirect</v>
      </c>
      <c r="B71" s="180">
        <f>'AG Jul 2016'!G48</f>
        <v>41121</v>
      </c>
      <c r="C71" s="181">
        <f>91*'AG Jul 2016'!M48/100</f>
        <v>79.770600000000002</v>
      </c>
      <c r="D71" s="181">
        <f>($C$53*$C$54)*'AG Jul 2016'!N48/100</f>
        <v>201.2</v>
      </c>
      <c r="E71" s="181">
        <v>0</v>
      </c>
      <c r="F71" s="181">
        <f>($C$53*$C$55)*'AG Jul 2016'!AH48/100</f>
        <v>196.6</v>
      </c>
      <c r="G71" s="181">
        <f>($C$53*$C$56)*'AG Jul 2016'!W48/100</f>
        <v>66.239999999999995</v>
      </c>
      <c r="H71" s="183">
        <f t="shared" si="5"/>
        <v>543.81060000000002</v>
      </c>
      <c r="I71" s="202">
        <f t="shared" si="4"/>
        <v>2392.7666400000003</v>
      </c>
    </row>
    <row r="72" spans="1:9" x14ac:dyDescent="0.3">
      <c r="A72" s="179" t="str">
        <f>'AG Jul 2016'!K49</f>
        <v>Powershop</v>
      </c>
      <c r="B72" s="180">
        <f>'AG Jul 2016'!G49</f>
        <v>41090</v>
      </c>
      <c r="C72" s="181">
        <f>91*'AG Jul 2016'!M49/100</f>
        <v>95.459000000000003</v>
      </c>
      <c r="D72" s="181">
        <f>($C$53*$C$54)*'AG Jul 2016'!N49/100</f>
        <v>176.96</v>
      </c>
      <c r="E72" s="181">
        <v>0</v>
      </c>
      <c r="F72" s="181">
        <f>($C$53*$C$55)*'AG Jul 2016'!AH49/100</f>
        <v>173.3</v>
      </c>
      <c r="G72" s="181">
        <f>($C$53*$C$56)*'AG Jul 2016'!W49/100</f>
        <v>86.64</v>
      </c>
      <c r="H72" s="183">
        <f t="shared" si="5"/>
        <v>532.35900000000004</v>
      </c>
      <c r="I72" s="202">
        <f t="shared" si="4"/>
        <v>2342.3796000000002</v>
      </c>
    </row>
    <row r="73" spans="1:9" x14ac:dyDescent="0.3">
      <c r="A73" s="179" t="str">
        <f>'AG Jul 2016'!K50</f>
        <v>Red Energy</v>
      </c>
      <c r="B73" s="180">
        <f>'AG Jul 2016'!G50</f>
        <v>41090</v>
      </c>
      <c r="C73" s="181">
        <f>91*'AG Jul 2016'!M50/100</f>
        <v>77.932400000000001</v>
      </c>
      <c r="D73" s="181">
        <f>($C$53*$C$54)*'AG Jul 2016'!N50/100</f>
        <v>196.04</v>
      </c>
      <c r="E73" s="181">
        <v>0</v>
      </c>
      <c r="F73" s="181">
        <f>($C$53*$C$55)*'AG Jul 2016'!AH50/100</f>
        <v>205.4</v>
      </c>
      <c r="G73" s="181">
        <f>($C$53*$C$56)*'AG Jul 2016'!W50/100</f>
        <v>82.86</v>
      </c>
      <c r="H73" s="183">
        <f t="shared" si="5"/>
        <v>562.23239999999998</v>
      </c>
      <c r="I73" s="202">
        <f t="shared" si="4"/>
        <v>2473.8225600000001</v>
      </c>
    </row>
    <row r="74" spans="1:9" x14ac:dyDescent="0.3">
      <c r="A74" s="179" t="str">
        <f>'AG Jul 2016'!K51</f>
        <v>Simply Energy</v>
      </c>
      <c r="B74" s="180">
        <f>'AG Jul 2016'!G51</f>
        <v>41094</v>
      </c>
      <c r="C74" s="181">
        <f>91*'AG Jul 2016'!M51/100</f>
        <v>81.599699999999999</v>
      </c>
      <c r="D74" s="181">
        <f>($C$53*$C$54)*'AG Jul 2016'!N51/100</f>
        <v>167.88</v>
      </c>
      <c r="E74" s="181">
        <v>0</v>
      </c>
      <c r="F74" s="181">
        <f>($C$53*$C$55)*'AG Jul 2016'!AH51/100</f>
        <v>174.5</v>
      </c>
      <c r="G74" s="181">
        <f>($C$53*$C$56)*'AG Jul 2016'!W51/100</f>
        <v>63.12</v>
      </c>
      <c r="H74" s="183">
        <f t="shared" si="5"/>
        <v>487.09969999999998</v>
      </c>
      <c r="I74" s="202">
        <f t="shared" si="4"/>
        <v>2143.2386799999999</v>
      </c>
    </row>
    <row r="75" spans="1:9" ht="14" thickBot="1" x14ac:dyDescent="0.35">
      <c r="A75" s="184" t="str">
        <f>'AG Jul 2016'!K52</f>
        <v>Urth Energy</v>
      </c>
      <c r="B75" s="185">
        <f>'AG Jul 2016'!G52</f>
        <v>41090</v>
      </c>
      <c r="C75" s="186">
        <f>91*'AG Jul 2016'!M52/100</f>
        <v>81.900000000000006</v>
      </c>
      <c r="D75" s="186">
        <f>($C$53*$C$54)*'AG Jul 2016'!N52/100</f>
        <v>196.4</v>
      </c>
      <c r="E75" s="186">
        <v>0</v>
      </c>
      <c r="F75" s="186">
        <f>($C$53*$C$55)*'AG Jul 2016'!AH52/100</f>
        <v>190</v>
      </c>
      <c r="G75" s="186">
        <f>($C$53*$C$56)*'AG Jul 2016'!W52/100</f>
        <v>81</v>
      </c>
      <c r="H75" s="188">
        <f t="shared" si="5"/>
        <v>549.29999999999995</v>
      </c>
      <c r="I75" s="203">
        <f t="shared" si="4"/>
        <v>2416.92</v>
      </c>
    </row>
    <row r="76" spans="1:9" s="173" customFormat="1" x14ac:dyDescent="0.3"/>
    <row r="77" spans="1:9" s="173" customFormat="1" x14ac:dyDescent="0.3"/>
    <row r="78" spans="1:9" s="173" customFormat="1" x14ac:dyDescent="0.3"/>
    <row r="79" spans="1:9" s="173" customFormat="1" x14ac:dyDescent="0.3"/>
    <row r="80" spans="1:9" s="173" customFormat="1" x14ac:dyDescent="0.3"/>
    <row r="81" s="173" customFormat="1" x14ac:dyDescent="0.3"/>
    <row r="82" s="173" customFormat="1" x14ac:dyDescent="0.3"/>
    <row r="83" s="173" customFormat="1" x14ac:dyDescent="0.3"/>
    <row r="84" s="173" customFormat="1" x14ac:dyDescent="0.3"/>
    <row r="85" s="173" customFormat="1" x14ac:dyDescent="0.3"/>
    <row r="86" s="173" customFormat="1" x14ac:dyDescent="0.3"/>
    <row r="87" s="173" customFormat="1" x14ac:dyDescent="0.3"/>
    <row r="88" s="173" customFormat="1" x14ac:dyDescent="0.3"/>
    <row r="89" s="173" customFormat="1" x14ac:dyDescent="0.3"/>
    <row r="90" s="173" customFormat="1" x14ac:dyDescent="0.3"/>
    <row r="91" s="173" customFormat="1" x14ac:dyDescent="0.3"/>
    <row r="92" s="173" customFormat="1" x14ac:dyDescent="0.3"/>
    <row r="93" s="173" customFormat="1" x14ac:dyDescent="0.3"/>
    <row r="94" s="173" customFormat="1" x14ac:dyDescent="0.3"/>
    <row r="95" s="173" customFormat="1" x14ac:dyDescent="0.3"/>
    <row r="96" s="173" customFormat="1" x14ac:dyDescent="0.3"/>
    <row r="97" s="173" customFormat="1" x14ac:dyDescent="0.3"/>
    <row r="98" s="173" customFormat="1" x14ac:dyDescent="0.3"/>
    <row r="99" s="173" customFormat="1" x14ac:dyDescent="0.3"/>
    <row r="100" s="173" customFormat="1" x14ac:dyDescent="0.3"/>
    <row r="101" s="173" customFormat="1" x14ac:dyDescent="0.3"/>
    <row r="102" s="173" customFormat="1" x14ac:dyDescent="0.3"/>
    <row r="103" s="173" customFormat="1" x14ac:dyDescent="0.3"/>
    <row r="104" s="173" customFormat="1" x14ac:dyDescent="0.3"/>
    <row r="105" s="173" customFormat="1" x14ac:dyDescent="0.3"/>
    <row r="106" s="173" customFormat="1" x14ac:dyDescent="0.3"/>
    <row r="107" s="173" customFormat="1" x14ac:dyDescent="0.3"/>
    <row r="108" s="173" customFormat="1" x14ac:dyDescent="0.3"/>
    <row r="109" s="173" customFormat="1" x14ac:dyDescent="0.3"/>
    <row r="110" s="173" customFormat="1" x14ac:dyDescent="0.3"/>
    <row r="111" s="173" customFormat="1" x14ac:dyDescent="0.3"/>
    <row r="112" s="173" customFormat="1" x14ac:dyDescent="0.3"/>
    <row r="113" s="173" customFormat="1" x14ac:dyDescent="0.3"/>
    <row r="114" s="173" customFormat="1" x14ac:dyDescent="0.3"/>
    <row r="115" s="173" customFormat="1" x14ac:dyDescent="0.3"/>
    <row r="116" s="173" customFormat="1" x14ac:dyDescent="0.3"/>
    <row r="117" s="173" customFormat="1" x14ac:dyDescent="0.3"/>
    <row r="118" s="173" customFormat="1" x14ac:dyDescent="0.3"/>
    <row r="119" s="173" customFormat="1" x14ac:dyDescent="0.3"/>
    <row r="120" s="173" customFormat="1" x14ac:dyDescent="0.3"/>
    <row r="121" s="173" customFormat="1" x14ac:dyDescent="0.3"/>
    <row r="122" s="173" customFormat="1" x14ac:dyDescent="0.3"/>
    <row r="123" s="173" customFormat="1" x14ac:dyDescent="0.3"/>
    <row r="124" s="173" customFormat="1" x14ac:dyDescent="0.3"/>
    <row r="125" s="173" customFormat="1" x14ac:dyDescent="0.3"/>
    <row r="126" s="173" customFormat="1" x14ac:dyDescent="0.3"/>
    <row r="127" s="173" customFormat="1" x14ac:dyDescent="0.3"/>
    <row r="128" s="173" customFormat="1" x14ac:dyDescent="0.3"/>
    <row r="129" s="173" customFormat="1" x14ac:dyDescent="0.3"/>
    <row r="130" s="173" customFormat="1" x14ac:dyDescent="0.3"/>
    <row r="131" s="173" customFormat="1" x14ac:dyDescent="0.3"/>
    <row r="132" s="173" customFormat="1" x14ac:dyDescent="0.3"/>
    <row r="133" s="173" customFormat="1" x14ac:dyDescent="0.3"/>
    <row r="134" s="173" customFormat="1" x14ac:dyDescent="0.3"/>
    <row r="135" s="173" customFormat="1" x14ac:dyDescent="0.3"/>
    <row r="136" s="173" customFormat="1" x14ac:dyDescent="0.3"/>
    <row r="137" s="173" customFormat="1" x14ac:dyDescent="0.3"/>
    <row r="138" s="173" customFormat="1" x14ac:dyDescent="0.3"/>
    <row r="139" s="173" customFormat="1" x14ac:dyDescent="0.3"/>
    <row r="140" s="173" customFormat="1" x14ac:dyDescent="0.3"/>
    <row r="141" s="173" customFormat="1" x14ac:dyDescent="0.3"/>
    <row r="142" s="173" customFormat="1" x14ac:dyDescent="0.3"/>
    <row r="143" s="173" customFormat="1" x14ac:dyDescent="0.3"/>
    <row r="144" s="173" customFormat="1" x14ac:dyDescent="0.3"/>
    <row r="145" s="173" customFormat="1" x14ac:dyDescent="0.3"/>
    <row r="146" s="173" customFormat="1" x14ac:dyDescent="0.3"/>
    <row r="147" s="173" customFormat="1" x14ac:dyDescent="0.3"/>
    <row r="148" s="173" customFormat="1" x14ac:dyDescent="0.3"/>
    <row r="149" s="173" customFormat="1" x14ac:dyDescent="0.3"/>
    <row r="150" s="173" customFormat="1" x14ac:dyDescent="0.3"/>
    <row r="151" s="173" customFormat="1" x14ac:dyDescent="0.3"/>
    <row r="152" s="173" customFormat="1" x14ac:dyDescent="0.3"/>
    <row r="153" s="173" customFormat="1" x14ac:dyDescent="0.3"/>
    <row r="154" s="173" customFormat="1" x14ac:dyDescent="0.3"/>
    <row r="155" s="173" customFormat="1" x14ac:dyDescent="0.3"/>
    <row r="156" s="173" customFormat="1" x14ac:dyDescent="0.3"/>
    <row r="157" s="173" customFormat="1" x14ac:dyDescent="0.3"/>
    <row r="158" s="173" customFormat="1" x14ac:dyDescent="0.3"/>
    <row r="159" s="173" customFormat="1" x14ac:dyDescent="0.3"/>
    <row r="160" s="173" customFormat="1" x14ac:dyDescent="0.3"/>
    <row r="161" s="173" customFormat="1" x14ac:dyDescent="0.3"/>
    <row r="162" s="173" customFormat="1" x14ac:dyDescent="0.3"/>
    <row r="163" s="173" customFormat="1" x14ac:dyDescent="0.3"/>
    <row r="164" s="173" customFormat="1" x14ac:dyDescent="0.3"/>
    <row r="165" s="173" customFormat="1" x14ac:dyDescent="0.3"/>
    <row r="166" s="173" customFormat="1" x14ac:dyDescent="0.3"/>
    <row r="167" s="173" customFormat="1" x14ac:dyDescent="0.3"/>
    <row r="168" s="173" customFormat="1" x14ac:dyDescent="0.3"/>
    <row r="169" s="173" customFormat="1" x14ac:dyDescent="0.3"/>
    <row r="170" s="173" customFormat="1" x14ac:dyDescent="0.3"/>
    <row r="171" s="173" customFormat="1" x14ac:dyDescent="0.3"/>
    <row r="172" s="173" customFormat="1" x14ac:dyDescent="0.3"/>
    <row r="173" s="173" customFormat="1" x14ac:dyDescent="0.3"/>
    <row r="174" s="173" customFormat="1" x14ac:dyDescent="0.3"/>
    <row r="175" s="173" customFormat="1" x14ac:dyDescent="0.3"/>
    <row r="176" s="173" customFormat="1" x14ac:dyDescent="0.3"/>
    <row r="177" s="173" customFormat="1" x14ac:dyDescent="0.3"/>
    <row r="178" s="173" customFormat="1" x14ac:dyDescent="0.3"/>
    <row r="179" s="173" customFormat="1" x14ac:dyDescent="0.3"/>
    <row r="180" s="173" customFormat="1" x14ac:dyDescent="0.3"/>
    <row r="181" s="173" customFormat="1" x14ac:dyDescent="0.3"/>
    <row r="182" s="173" customFormat="1" x14ac:dyDescent="0.3"/>
    <row r="183" s="173" customFormat="1" x14ac:dyDescent="0.3"/>
    <row r="184" s="173" customFormat="1" x14ac:dyDescent="0.3"/>
    <row r="185" s="173" customFormat="1" x14ac:dyDescent="0.3"/>
    <row r="186" s="173" customFormat="1" x14ac:dyDescent="0.3"/>
    <row r="187" s="173" customFormat="1" x14ac:dyDescent="0.3"/>
    <row r="188" s="173" customFormat="1" x14ac:dyDescent="0.3"/>
    <row r="189" s="173" customFormat="1" x14ac:dyDescent="0.3"/>
    <row r="190" s="173" customFormat="1" x14ac:dyDescent="0.3"/>
    <row r="191" s="173" customFormat="1" x14ac:dyDescent="0.3"/>
    <row r="192" s="173" customFormat="1" x14ac:dyDescent="0.3"/>
    <row r="193" s="173" customFormat="1" x14ac:dyDescent="0.3"/>
    <row r="194" s="173" customFormat="1" x14ac:dyDescent="0.3"/>
    <row r="195" s="173" customFormat="1" x14ac:dyDescent="0.3"/>
    <row r="196" s="173" customFormat="1" x14ac:dyDescent="0.3"/>
    <row r="197" s="173" customFormat="1" x14ac:dyDescent="0.3"/>
    <row r="198" s="173" customFormat="1" x14ac:dyDescent="0.3"/>
    <row r="199" s="173" customFormat="1" x14ac:dyDescent="0.3"/>
    <row r="200" s="173" customFormat="1" x14ac:dyDescent="0.3"/>
    <row r="201" s="173" customFormat="1" x14ac:dyDescent="0.3"/>
    <row r="202" s="173" customFormat="1" x14ac:dyDescent="0.3"/>
    <row r="203" s="173" customFormat="1" x14ac:dyDescent="0.3"/>
    <row r="204" s="173" customFormat="1" x14ac:dyDescent="0.3"/>
    <row r="205" s="173" customFormat="1" x14ac:dyDescent="0.3"/>
    <row r="206" s="173" customFormat="1" x14ac:dyDescent="0.3"/>
    <row r="207" s="173" customFormat="1" x14ac:dyDescent="0.3"/>
    <row r="208" s="173" customFormat="1" x14ac:dyDescent="0.3"/>
    <row r="209" s="173" customFormat="1" x14ac:dyDescent="0.3"/>
    <row r="210" s="173" customFormat="1" x14ac:dyDescent="0.3"/>
    <row r="211" s="173" customFormat="1" x14ac:dyDescent="0.3"/>
    <row r="212" s="173" customFormat="1" x14ac:dyDescent="0.3"/>
    <row r="213" s="173" customFormat="1" x14ac:dyDescent="0.3"/>
    <row r="214" s="173" customFormat="1" x14ac:dyDescent="0.3"/>
    <row r="215" s="173" customFormat="1" x14ac:dyDescent="0.3"/>
    <row r="216" s="173" customFormat="1" x14ac:dyDescent="0.3"/>
    <row r="217" s="173" customFormat="1" x14ac:dyDescent="0.3"/>
    <row r="218" s="173" customFormat="1" x14ac:dyDescent="0.3"/>
    <row r="219" s="173" customFormat="1" x14ac:dyDescent="0.3"/>
    <row r="220" s="173" customFormat="1" x14ac:dyDescent="0.3"/>
    <row r="221" s="173" customFormat="1" x14ac:dyDescent="0.3"/>
    <row r="222" s="173" customFormat="1" x14ac:dyDescent="0.3"/>
    <row r="223" s="173" customFormat="1" x14ac:dyDescent="0.3"/>
    <row r="224" s="173" customFormat="1" x14ac:dyDescent="0.3"/>
    <row r="225" s="173" customFormat="1" x14ac:dyDescent="0.3"/>
    <row r="226" s="173" customFormat="1" x14ac:dyDescent="0.3"/>
    <row r="227" s="173" customFormat="1" x14ac:dyDescent="0.3"/>
  </sheetData>
  <sheetProtection algorithmName="SHA-512" hashValue="AESNivcFtyBC3aBZbUxsWfeHu8XON2LmBx7ndz9UEDF8tqX3OwAY5fch8YKOtjSF4MXbYFugwlA1yZCAl7AHWg==" saltValue="ND+cCGAgaZfD3sE8gOSRQg==" spinCount="100000" sheet="1" objects="1" scenarios="1"/>
  <phoneticPr fontId="5" type="noConversion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BJ372"/>
  <sheetViews>
    <sheetView workbookViewId="0">
      <selection activeCell="C53" activeCellId="2" sqref="C5 C28:C30 C53:C56"/>
    </sheetView>
  </sheetViews>
  <sheetFormatPr defaultColWidth="10.84375" defaultRowHeight="13.5" x14ac:dyDescent="0.3"/>
  <cols>
    <col min="1" max="1" width="18.69140625" style="26" customWidth="1"/>
    <col min="2" max="2" width="12.3046875" style="26" customWidth="1"/>
    <col min="3" max="9" width="12.15234375" style="26" customWidth="1"/>
    <col min="10" max="16384" width="10.84375" style="26"/>
  </cols>
  <sheetData>
    <row r="1" spans="1:62" ht="14" x14ac:dyDescent="0.3">
      <c r="A1" s="172" t="s">
        <v>76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72"/>
      <c r="AE1" s="172"/>
      <c r="AF1" s="172"/>
      <c r="AG1" s="172"/>
      <c r="AH1" s="172"/>
      <c r="AI1" s="172"/>
      <c r="AJ1" s="172"/>
      <c r="AK1" s="172"/>
      <c r="AL1" s="172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2"/>
      <c r="BE1" s="172"/>
      <c r="BF1" s="172"/>
      <c r="BG1" s="172"/>
      <c r="BH1" s="172"/>
      <c r="BI1" s="172"/>
      <c r="BJ1" s="172"/>
    </row>
    <row r="2" spans="1:62" ht="14" x14ac:dyDescent="0.3">
      <c r="A2" s="174" t="s">
        <v>101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  <c r="T2" s="172"/>
      <c r="U2" s="172"/>
      <c r="V2" s="172"/>
      <c r="W2" s="172"/>
      <c r="X2" s="172"/>
      <c r="Y2" s="172"/>
      <c r="Z2" s="172"/>
      <c r="AA2" s="172"/>
      <c r="AB2" s="172"/>
      <c r="AC2" s="172"/>
      <c r="AD2" s="172"/>
      <c r="AE2" s="172"/>
      <c r="AF2" s="172"/>
      <c r="AG2" s="172"/>
      <c r="AH2" s="172"/>
      <c r="AI2" s="172"/>
      <c r="AJ2" s="172"/>
      <c r="AK2" s="172"/>
      <c r="AL2" s="172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2"/>
      <c r="BE2" s="172"/>
      <c r="BF2" s="172"/>
      <c r="BG2" s="172"/>
      <c r="BH2" s="172"/>
      <c r="BI2" s="172"/>
      <c r="BJ2" s="172"/>
    </row>
    <row r="3" spans="1:62" ht="14.5" thickBot="1" x14ac:dyDescent="0.35">
      <c r="A3" s="172"/>
      <c r="B3" s="172"/>
      <c r="C3" s="172"/>
      <c r="D3" s="172"/>
      <c r="E3" s="172"/>
      <c r="F3" s="175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</row>
    <row r="4" spans="1:62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</row>
    <row r="5" spans="1:62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</row>
    <row r="6" spans="1:62" ht="14" x14ac:dyDescent="0.3">
      <c r="A6" s="92"/>
      <c r="B6" s="93"/>
      <c r="C6" s="93"/>
      <c r="D6" s="93"/>
      <c r="E6" s="93"/>
      <c r="F6" s="93"/>
      <c r="G6" s="93"/>
      <c r="H6" s="93"/>
      <c r="I6" s="178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</row>
    <row r="7" spans="1:62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172"/>
      <c r="AH7" s="172"/>
      <c r="AI7" s="172"/>
      <c r="AJ7" s="172"/>
      <c r="AK7" s="172"/>
      <c r="AL7" s="172"/>
      <c r="AM7" s="172"/>
      <c r="AN7" s="172"/>
      <c r="AO7" s="172"/>
      <c r="AP7" s="172"/>
      <c r="AQ7" s="172"/>
      <c r="AR7" s="172"/>
      <c r="AS7" s="172"/>
      <c r="AT7" s="172"/>
      <c r="AU7" s="172"/>
    </row>
    <row r="8" spans="1:62" ht="14" x14ac:dyDescent="0.3">
      <c r="A8" s="179" t="str">
        <f>'END Jul 2016'!K2</f>
        <v>1st Energy</v>
      </c>
      <c r="B8" s="180">
        <f>'END Jul 2016'!G2</f>
        <v>41114</v>
      </c>
      <c r="C8" s="181">
        <f>91*'END Jul 2016'!M2/100</f>
        <v>70.497699999999995</v>
      </c>
      <c r="D8" s="181">
        <f>IF($C$5&gt;='END Jul 2016'!P2,('END Jul 2016'!P2*'END Jul 2016'!N2/100),($C$5*'END Jul 2016'!N2/100))</f>
        <v>248.4</v>
      </c>
      <c r="E8" s="182">
        <f>IF($C$5&lt;'END Jul 2016'!P2,0,IF(($C$5)&lt;='END Jul 2016'!R2,(($C$5-'END Jul 2016'!P2)*'END Jul 2016'!Q2/100),(('END Jul 2016'!R2-'END Jul 2016'!P2)*'END Jul 2016'!Q2/100)))</f>
        <v>183.52500000000001</v>
      </c>
      <c r="F8" s="181">
        <v>0</v>
      </c>
      <c r="G8" s="181">
        <f>IF(($C$5&lt;'END Jul 2016'!R2),(0),($C$5-'END Jul 2016'!R2)*'END Jul 2016'!S2/100)</f>
        <v>12.135</v>
      </c>
      <c r="H8" s="183">
        <f>SUM(C8:G8)</f>
        <v>514.55769999999995</v>
      </c>
      <c r="I8" s="202">
        <f>(H8*4)*1.1</f>
        <v>2264.0538799999999</v>
      </c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2"/>
      <c r="AB8" s="172"/>
      <c r="AC8" s="172"/>
      <c r="AD8" s="172"/>
      <c r="AE8" s="172"/>
      <c r="AF8" s="172"/>
      <c r="AG8" s="172"/>
      <c r="AH8" s="172"/>
      <c r="AI8" s="172"/>
      <c r="AJ8" s="172"/>
      <c r="AK8" s="172"/>
      <c r="AL8" s="172"/>
      <c r="AM8" s="172"/>
      <c r="AN8" s="172"/>
      <c r="AO8" s="172"/>
      <c r="AP8" s="172"/>
      <c r="AQ8" s="172"/>
      <c r="AR8" s="172"/>
      <c r="AS8" s="172"/>
      <c r="AT8" s="172"/>
      <c r="AU8" s="172"/>
    </row>
    <row r="9" spans="1:62" ht="14" x14ac:dyDescent="0.3">
      <c r="A9" s="179" t="str">
        <f>'END Jul 2016'!K3</f>
        <v>AGL</v>
      </c>
      <c r="B9" s="180">
        <f>'END Jul 2016'!G3</f>
        <v>41090</v>
      </c>
      <c r="C9" s="181">
        <f>91*'END Jul 2016'!M3/100</f>
        <v>70.497699999999995</v>
      </c>
      <c r="D9" s="181">
        <f>IF($C$5&gt;='END Jul 2016'!P3,('END Jul 2016'!P3*'END Jul 2016'!N3/100),($C$5*'END Jul 2016'!N3/100))</f>
        <v>246.4</v>
      </c>
      <c r="E9" s="182">
        <f>IF($C$5&lt;'END Jul 2016'!P3,0,IF(($C$5)&lt;='END Jul 2016'!R3,(($C$5-'END Jul 2016'!P3)*'END Jul 2016'!Q3/100),(('END Jul 2016'!R3-'END Jul 2016'!P3)*'END Jul 2016'!Q3/100)))</f>
        <v>181.27500000000001</v>
      </c>
      <c r="F9" s="181">
        <v>0</v>
      </c>
      <c r="G9" s="181">
        <f>IF(($C$5&lt;'END Jul 2016'!R3),(0),($C$5-'END Jul 2016'!R3)*'END Jul 2016'!S3/100)</f>
        <v>11.984999999999999</v>
      </c>
      <c r="H9" s="183">
        <f t="shared" ref="H9:H24" si="0">SUM(C9:G9)</f>
        <v>510.15769999999998</v>
      </c>
      <c r="I9" s="202">
        <f t="shared" ref="I9:I24" si="1">(H9*4)*1.1</f>
        <v>2244.6938800000003</v>
      </c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</row>
    <row r="10" spans="1:62" ht="14" x14ac:dyDescent="0.3">
      <c r="A10" s="179" t="str">
        <f>'END Jul 2016'!K4</f>
        <v>Alinta Energy</v>
      </c>
      <c r="B10" s="180">
        <f>'END Jul 2016'!G4</f>
        <v>41121</v>
      </c>
      <c r="C10" s="181">
        <f>91*'END Jul 2016'!M4/100</f>
        <v>71.8536</v>
      </c>
      <c r="D10" s="181">
        <f>IF($C$5&gt;='END Jul 2016'!P4,('END Jul 2016'!P4*'END Jul 2016'!N4/100),($C$5*'END Jul 2016'!N4/100))</f>
        <v>231.7</v>
      </c>
      <c r="E10" s="182">
        <f>IF($C$5&lt;'END Jul 2016'!P4,0,IF(($C$5)&lt;='END Jul 2016'!R4,(($C$5-'END Jul 2016'!P4)*'END Jul 2016'!Q4/100),(('END Jul 2016'!R4-'END Jul 2016'!P4)*'END Jul 2016'!Q4/100)))</f>
        <v>169.125</v>
      </c>
      <c r="F10" s="181">
        <v>0</v>
      </c>
      <c r="G10" s="181">
        <f>IF(($C$5&lt;'END Jul 2016'!R4),(0),($C$5-'END Jul 2016'!R4)*'END Jul 2016'!S4/100)</f>
        <v>10.865</v>
      </c>
      <c r="H10" s="183">
        <f t="shared" si="0"/>
        <v>483.54359999999997</v>
      </c>
      <c r="I10" s="202">
        <f t="shared" si="1"/>
        <v>2127.59184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  <c r="AU10" s="172"/>
    </row>
    <row r="11" spans="1:62" ht="14" x14ac:dyDescent="0.3">
      <c r="A11" s="179" t="str">
        <f>'END Jul 2016'!K5</f>
        <v>Click Energy</v>
      </c>
      <c r="B11" s="180">
        <f>'END Jul 2016'!G5</f>
        <v>41090</v>
      </c>
      <c r="C11" s="181">
        <f>91*'END Jul 2016'!M5/100</f>
        <v>78.260000000000005</v>
      </c>
      <c r="D11" s="181">
        <f>IF($C$5&gt;='END Jul 2016'!P5,('END Jul 2016'!P5*'END Jul 2016'!N5/100),($C$5*'END Jul 2016'!N5/100))</f>
        <v>268</v>
      </c>
      <c r="E11" s="182">
        <f>IF($C$5&lt;'END Jul 2016'!P5,0,IF(($C$5)&lt;='END Jul 2016'!R5,(($C$5-'END Jul 2016'!P5)*'END Jul 2016'!Q5/100),(('END Jul 2016'!R5-'END Jul 2016'!P5)*'END Jul 2016'!Q5/100)))</f>
        <v>193.5</v>
      </c>
      <c r="F11" s="181">
        <v>0</v>
      </c>
      <c r="G11" s="181">
        <f>IF(($C$5&lt;'END Jul 2016'!R5),(0),($C$5-'END Jul 2016'!R5)*'END Jul 2016'!S5/100)</f>
        <v>11.8</v>
      </c>
      <c r="H11" s="183">
        <f t="shared" si="0"/>
        <v>551.55999999999995</v>
      </c>
      <c r="I11" s="202">
        <f t="shared" si="1"/>
        <v>2426.864</v>
      </c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2"/>
      <c r="AF11" s="172"/>
      <c r="AG11" s="172"/>
      <c r="AH11" s="172"/>
      <c r="AI11" s="172"/>
      <c r="AJ11" s="172"/>
      <c r="AK11" s="172"/>
      <c r="AL11" s="172"/>
      <c r="AM11" s="172"/>
      <c r="AN11" s="172"/>
      <c r="AO11" s="172"/>
      <c r="AP11" s="172"/>
      <c r="AQ11" s="172"/>
      <c r="AR11" s="172"/>
      <c r="AS11" s="172"/>
      <c r="AT11" s="172"/>
      <c r="AU11" s="172"/>
    </row>
    <row r="12" spans="1:62" ht="14" x14ac:dyDescent="0.3">
      <c r="A12" s="179" t="str">
        <f>'END Jul 2016'!K6</f>
        <v>Commander</v>
      </c>
      <c r="B12" s="180">
        <f>'END Jul 2016'!G6</f>
        <v>41121</v>
      </c>
      <c r="C12" s="181">
        <f>91*'END Jul 2016'!M6/100</f>
        <v>70.752499999999998</v>
      </c>
      <c r="D12" s="181">
        <f>IF($C$5&gt;='END Jul 2016'!P6,('END Jul 2016'!P6*'END Jul 2016'!N6/100),($C$5*'END Jul 2016'!N6/100))</f>
        <v>433.125</v>
      </c>
      <c r="E12" s="182">
        <f>IF($C$5&lt;'END Jul 2016'!P6,0,IF(($C$5)&lt;='END Jul 2016'!R6,(($C$5-'END Jul 2016'!P6)*'END Jul 2016'!Q6/100),(('END Jul 2016'!R6-'END Jul 2016'!P6)*'END Jul 2016'!Q6/100)))</f>
        <v>0</v>
      </c>
      <c r="F12" s="181">
        <v>0</v>
      </c>
      <c r="G12" s="181">
        <f>IF(($C$5&lt;'END Jul 2016'!R6),(0),($C$5-'END Jul 2016'!R6)*'END Jul 2016'!S6/100)</f>
        <v>12.05</v>
      </c>
      <c r="H12" s="183">
        <f t="shared" si="0"/>
        <v>515.92750000000001</v>
      </c>
      <c r="I12" s="202">
        <f t="shared" si="1"/>
        <v>2270.0810000000001</v>
      </c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2"/>
      <c r="AF12" s="172"/>
      <c r="AG12" s="172"/>
      <c r="AH12" s="172"/>
      <c r="AI12" s="172"/>
      <c r="AJ12" s="172"/>
      <c r="AK12" s="172"/>
      <c r="AL12" s="172"/>
      <c r="AM12" s="172"/>
      <c r="AN12" s="172"/>
      <c r="AO12" s="172"/>
      <c r="AP12" s="172"/>
      <c r="AQ12" s="172"/>
      <c r="AR12" s="172"/>
      <c r="AS12" s="172"/>
      <c r="AT12" s="172"/>
      <c r="AU12" s="172"/>
    </row>
    <row r="13" spans="1:62" ht="14" x14ac:dyDescent="0.3">
      <c r="A13" s="179" t="str">
        <f>'END Jul 2016'!K7</f>
        <v>CovaU</v>
      </c>
      <c r="B13" s="180">
        <f>'END Jul 2016'!G7</f>
        <v>41097</v>
      </c>
      <c r="C13" s="181">
        <f>91*'END Jul 2016'!M7/100</f>
        <v>84.63</v>
      </c>
      <c r="D13" s="181">
        <f>IF($C$5&gt;='END Jul 2016'!P7,('END Jul 2016'!P7*'END Jul 2016'!N7/100),($C$5*'END Jul 2016'!N7/100))</f>
        <v>259.89999999999998</v>
      </c>
      <c r="E13" s="182">
        <f>IF($C$5&lt;'END Jul 2016'!P7,0,IF(($C$5)&lt;='END Jul 2016'!R7,(($C$5-'END Jul 2016'!P7)*'END Jul 2016'!Q7/100),(('END Jul 2016'!R7-'END Jul 2016'!P7)*'END Jul 2016'!Q7/100)))</f>
        <v>200.92500000000001</v>
      </c>
      <c r="F13" s="181">
        <v>0</v>
      </c>
      <c r="G13" s="181">
        <f>IF(($C$5&lt;'END Jul 2016'!R7),(0),($C$5-'END Jul 2016'!R7)*'END Jul 2016'!S7/100)</f>
        <v>12.55</v>
      </c>
      <c r="H13" s="183">
        <f t="shared" si="0"/>
        <v>558.00499999999988</v>
      </c>
      <c r="I13" s="202">
        <f t="shared" si="1"/>
        <v>2455.2219999999998</v>
      </c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U13" s="172"/>
      <c r="V13" s="172"/>
      <c r="W13" s="172"/>
      <c r="X13" s="172"/>
      <c r="Y13" s="172"/>
      <c r="Z13" s="172"/>
      <c r="AA13" s="172"/>
      <c r="AB13" s="172"/>
      <c r="AC13" s="172"/>
      <c r="AD13" s="172"/>
      <c r="AE13" s="172"/>
      <c r="AF13" s="172"/>
      <c r="AG13" s="172"/>
      <c r="AH13" s="172"/>
      <c r="AI13" s="172"/>
      <c r="AJ13" s="172"/>
      <c r="AK13" s="172"/>
      <c r="AL13" s="172"/>
      <c r="AM13" s="172"/>
      <c r="AN13" s="172"/>
      <c r="AO13" s="172"/>
      <c r="AP13" s="172"/>
      <c r="AQ13" s="172"/>
      <c r="AR13" s="172"/>
      <c r="AS13" s="172"/>
      <c r="AT13" s="172"/>
      <c r="AU13" s="172"/>
    </row>
    <row r="14" spans="1:62" ht="14" x14ac:dyDescent="0.3">
      <c r="A14" s="179" t="str">
        <f>'END Jul 2016'!K8</f>
        <v>Diamond Energy</v>
      </c>
      <c r="B14" s="180">
        <f>'END Jul 2016'!G8</f>
        <v>41121</v>
      </c>
      <c r="C14" s="181">
        <f>91*'END Jul 2016'!M8/100</f>
        <v>77.331800000000001</v>
      </c>
      <c r="D14" s="181">
        <f>IF($C$5&gt;='END Jul 2016'!P8,('END Jul 2016'!P8*'END Jul 2016'!N8/100),($C$5*'END Jul 2016'!N8/100))</f>
        <v>65.849999999999994</v>
      </c>
      <c r="E14" s="182">
        <f>IF($C$5&lt;'END Jul 2016'!P8,0,IF(($C$5)&lt;='END Jul 2016'!R8,(($C$5-'END Jul 2016'!P8)*'END Jul 2016'!Q8/100),(('END Jul 2016'!R8-'END Jul 2016'!P8)*'END Jul 2016'!Q8/100)))</f>
        <v>159.33599999999998</v>
      </c>
      <c r="F14" s="181">
        <v>0</v>
      </c>
      <c r="G14" s="181">
        <f>IF(($C$5&lt;'END Jul 2016'!R8),(0),($C$5-'END Jul 2016'!R8)*'END Jul 2016'!S8/100)</f>
        <v>186.81</v>
      </c>
      <c r="H14" s="183">
        <f t="shared" si="0"/>
        <v>489.32779999999997</v>
      </c>
      <c r="I14" s="202">
        <f t="shared" si="1"/>
        <v>2153.04232</v>
      </c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</row>
    <row r="15" spans="1:62" ht="14" x14ac:dyDescent="0.3">
      <c r="A15" s="179" t="str">
        <f>'END Jul 2016'!K9</f>
        <v>Dodo Power &amp; Gas</v>
      </c>
      <c r="B15" s="180">
        <f>'END Jul 2016'!G9</f>
        <v>41121</v>
      </c>
      <c r="C15" s="181">
        <f>91*'END Jul 2016'!M9/100</f>
        <v>70.06089999999999</v>
      </c>
      <c r="D15" s="181">
        <f>IF($C$5&gt;='END Jul 2016'!P9,('END Jul 2016'!P9*'END Jul 2016'!N9/100),($C$5*'END Jul 2016'!N9/100))</f>
        <v>413.875</v>
      </c>
      <c r="E15" s="182">
        <f>IF($C$5&lt;'END Jul 2016'!P9,0,IF(($C$5)&lt;='END Jul 2016'!R9,(($C$5-'END Jul 2016'!P9)*'END Jul 2016'!Q9/100),(('END Jul 2016'!R9-'END Jul 2016'!P9)*'END Jul 2016'!Q9/100)))</f>
        <v>0</v>
      </c>
      <c r="F15" s="181">
        <v>0</v>
      </c>
      <c r="G15" s="181">
        <f>IF(($C$5&lt;'END Jul 2016'!R9),(0),($C$5-'END Jul 2016'!R9)*'END Jul 2016'!S9/100)</f>
        <v>11.4</v>
      </c>
      <c r="H15" s="183">
        <f t="shared" si="0"/>
        <v>495.33589999999998</v>
      </c>
      <c r="I15" s="202">
        <f t="shared" si="1"/>
        <v>2179.4779600000002</v>
      </c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</row>
    <row r="16" spans="1:62" ht="14" x14ac:dyDescent="0.3">
      <c r="A16" s="179" t="str">
        <f>'END Jul 2016'!K10</f>
        <v>EnergyAustralia</v>
      </c>
      <c r="B16" s="180">
        <f>'END Jul 2016'!G10</f>
        <v>41090</v>
      </c>
      <c r="C16" s="181">
        <f>91*'END Jul 2016'!M10/100</f>
        <v>74.259640000000005</v>
      </c>
      <c r="D16" s="181">
        <f>IF($C$5&gt;='END Jul 2016'!P10,('END Jul 2016'!P10*'END Jul 2016'!N10/100),($C$5*'END Jul 2016'!N10/100))</f>
        <v>254.77099999999999</v>
      </c>
      <c r="E16" s="182">
        <f>IF($C$5&lt;'END Jul 2016'!P10,0,IF(($C$5)&lt;='END Jul 2016'!R10,(($C$5-'END Jul 2016'!P10)*'END Jul 2016'!Q10/100),(('END Jul 2016'!R10-'END Jul 2016'!P10)*'END Jul 2016'!Q10/100)))</f>
        <v>184.49474999999998</v>
      </c>
      <c r="F16" s="181">
        <v>0</v>
      </c>
      <c r="G16" s="181">
        <f>IF(($C$5&lt;'END Jul 2016'!R10),(0),($C$5-'END Jul 2016'!R10)*'END Jul 2016'!S10/100)</f>
        <v>11.458449999999997</v>
      </c>
      <c r="H16" s="183">
        <f t="shared" si="0"/>
        <v>524.98383999999999</v>
      </c>
      <c r="I16" s="202">
        <f t="shared" si="1"/>
        <v>2309.9288960000003</v>
      </c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</row>
    <row r="17" spans="1:47" ht="14" x14ac:dyDescent="0.3">
      <c r="A17" s="179" t="str">
        <f>'END Jul 2016'!K11</f>
        <v>Mojo Power</v>
      </c>
      <c r="B17" s="180">
        <f>'END Jul 2016'!G11</f>
        <v>40991</v>
      </c>
      <c r="C17" s="181">
        <f>91*'END Jul 2016'!M11/100</f>
        <v>53.526199999999996</v>
      </c>
      <c r="D17" s="181">
        <f>IF($C$5&gt;='END Jul 2016'!P11,('END Jul 2016'!P11*'END Jul 2016'!N11/100),($C$5*'END Jul 2016'!N11/100))</f>
        <v>261.8</v>
      </c>
      <c r="E17" s="182">
        <f>IF($C$5&lt;'END Jul 2016'!P11,0,IF(($C$5)&lt;='END Jul 2016'!R11,(($C$5-'END Jul 2016'!P11)*'END Jul 2016'!Q11/100),(('END Jul 2016'!R11-'END Jul 2016'!P11)*'END Jul 2016'!Q11/100)))</f>
        <v>188.85</v>
      </c>
      <c r="F17" s="181">
        <v>0</v>
      </c>
      <c r="G17" s="181">
        <f>IF(($C$5&lt;'END Jul 2016'!R11),(0),($C$5-'END Jul 2016'!R11)*'END Jul 2016'!S11/100)</f>
        <v>11.725</v>
      </c>
      <c r="H17" s="183">
        <f t="shared" si="0"/>
        <v>515.90120000000002</v>
      </c>
      <c r="I17" s="202">
        <f t="shared" si="1"/>
        <v>2269.9652800000003</v>
      </c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</row>
    <row r="18" spans="1:47" ht="14" x14ac:dyDescent="0.3">
      <c r="A18" s="179" t="str">
        <f>'END Jul 2016'!K12</f>
        <v>Momentum Energy</v>
      </c>
      <c r="B18" s="180">
        <f>'END Jul 2016'!G12</f>
        <v>41097</v>
      </c>
      <c r="C18" s="181">
        <f>91*'END Jul 2016'!M12/100</f>
        <v>65.701999999999998</v>
      </c>
      <c r="D18" s="181">
        <f>IF($C$5&gt;='END Jul 2016'!P12,('END Jul 2016'!P12*'END Jul 2016'!N12/100),($C$5*'END Jul 2016'!N12/100))</f>
        <v>151.5</v>
      </c>
      <c r="E18" s="182">
        <f>IF($C$5&lt;'END Jul 2016'!P12,0,IF(($C$5)&lt;='END Jul 2016'!R12,(($C$5-'END Jul 2016'!P12)*'END Jul 2016'!Q12/100),(('END Jul 2016'!R12-'END Jul 2016'!P12)*'END Jul 2016'!Q12/100)))</f>
        <v>0</v>
      </c>
      <c r="F18" s="181">
        <v>0</v>
      </c>
      <c r="G18" s="181">
        <f>IF(($C$5&lt;'END Jul 2016'!R12),(0),($C$5-'END Jul 2016'!R12)*'END Jul 2016'!S12/100)</f>
        <v>255.95999999999995</v>
      </c>
      <c r="H18" s="183">
        <f t="shared" si="0"/>
        <v>473.16199999999992</v>
      </c>
      <c r="I18" s="202">
        <f t="shared" si="1"/>
        <v>2081.9127999999996</v>
      </c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</row>
    <row r="19" spans="1:47" ht="14" x14ac:dyDescent="0.3">
      <c r="A19" s="179" t="str">
        <f>'END Jul 2016'!K13</f>
        <v>Origin Energy</v>
      </c>
      <c r="B19" s="180">
        <f>'END Jul 2016'!G13</f>
        <v>41090</v>
      </c>
      <c r="C19" s="181">
        <f>91*'END Jul 2016'!M13/100</f>
        <v>71.435000000000002</v>
      </c>
      <c r="D19" s="181">
        <f>IF($C$5&gt;='END Jul 2016'!P13,('END Jul 2016'!P13*'END Jul 2016'!N13/100),($C$5*'END Jul 2016'!N13/100))</f>
        <v>234.3</v>
      </c>
      <c r="E19" s="182">
        <f>IF($C$5&lt;'END Jul 2016'!P13,0,IF(($C$5)&lt;='END Jul 2016'!R13,(($C$5-'END Jul 2016'!P13)*'END Jul 2016'!Q13/100),(('END Jul 2016'!R13-'END Jul 2016'!P13)*'END Jul 2016'!Q13/100)))</f>
        <v>171.22499999999999</v>
      </c>
      <c r="F19" s="181">
        <v>0</v>
      </c>
      <c r="G19" s="181">
        <f>IF(($C$5&lt;'END Jul 2016'!R13),(0),($C$5-'END Jul 2016'!R13)*'END Jul 2016'!S13/100)</f>
        <v>10.865</v>
      </c>
      <c r="H19" s="183">
        <f t="shared" si="0"/>
        <v>487.82500000000005</v>
      </c>
      <c r="I19" s="202">
        <f t="shared" si="1"/>
        <v>2146.4300000000003</v>
      </c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</row>
    <row r="20" spans="1:47" ht="14" x14ac:dyDescent="0.3">
      <c r="A20" s="179" t="str">
        <f>'END Jul 2016'!K14</f>
        <v>Powerdirect</v>
      </c>
      <c r="B20" s="180">
        <f>'END Jul 2016'!G14</f>
        <v>41121</v>
      </c>
      <c r="C20" s="181">
        <f>91*'END Jul 2016'!M14/100</f>
        <v>70.497699999999995</v>
      </c>
      <c r="D20" s="181">
        <f>IF($C$5&gt;='END Jul 2016'!P14,('END Jul 2016'!P14*'END Jul 2016'!N14/100),($C$5*'END Jul 2016'!N14/100))</f>
        <v>428.75</v>
      </c>
      <c r="E20" s="182">
        <f>IF($C$5&lt;'END Jul 2016'!P14,0,IF(($C$5)&lt;='END Jul 2016'!R14,(($C$5-'END Jul 2016'!P14)*'END Jul 2016'!Q14/100),(('END Jul 2016'!R14-'END Jul 2016'!P14)*'END Jul 2016'!Q14/100)))</f>
        <v>0</v>
      </c>
      <c r="F20" s="181">
        <v>0</v>
      </c>
      <c r="G20" s="181">
        <f>IF(($C$5&lt;'END Jul 2016'!R14),(0),($C$5-'END Jul 2016'!R14)*'END Jul 2016'!S14/100)</f>
        <v>11.97</v>
      </c>
      <c r="H20" s="183">
        <f t="shared" si="0"/>
        <v>511.21770000000004</v>
      </c>
      <c r="I20" s="202">
        <f t="shared" si="1"/>
        <v>2249.3578800000005</v>
      </c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</row>
    <row r="21" spans="1:47" ht="14" x14ac:dyDescent="0.3">
      <c r="A21" s="179" t="str">
        <f>'END Jul 2016'!K15</f>
        <v>Powershop</v>
      </c>
      <c r="B21" s="180">
        <f>'END Jul 2016'!G15</f>
        <v>41090</v>
      </c>
      <c r="C21" s="181">
        <f>91*'END Jul 2016'!M15/100</f>
        <v>80.720639999999989</v>
      </c>
      <c r="D21" s="181">
        <f>C5*'END Jul 2016'!N15/100</f>
        <v>418.17599999999999</v>
      </c>
      <c r="E21" s="182">
        <v>0</v>
      </c>
      <c r="F21" s="181">
        <v>0</v>
      </c>
      <c r="G21" s="181">
        <v>0</v>
      </c>
      <c r="H21" s="183">
        <f t="shared" si="0"/>
        <v>498.89663999999999</v>
      </c>
      <c r="I21" s="202">
        <f t="shared" si="1"/>
        <v>2195.1452160000003</v>
      </c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</row>
    <row r="22" spans="1:47" ht="14" x14ac:dyDescent="0.3">
      <c r="A22" s="179" t="str">
        <f>'END Jul 2016'!K16</f>
        <v>Red Energy</v>
      </c>
      <c r="B22" s="180">
        <f>'END Jul 2016'!G16</f>
        <v>41090</v>
      </c>
      <c r="C22" s="181">
        <f>91*'END Jul 2016'!M16/100</f>
        <v>67.148899999999998</v>
      </c>
      <c r="D22" s="181">
        <f>IF($C$5&gt;='END Jul 2016'!P16,('END Jul 2016'!P16*'END Jul 2016'!N16/100),($C$5*'END Jul 2016'!N16/100))</f>
        <v>248.6</v>
      </c>
      <c r="E22" s="182">
        <f>IF($C$5&lt;'END Jul 2016'!P16,0,IF(($C$5)&lt;='END Jul 2016'!R16,(($C$5-'END Jul 2016'!P16)*'END Jul 2016'!Q16/100),(('END Jul 2016'!R16-'END Jul 2016'!P16)*'END Jul 2016'!Q16/100)))</f>
        <v>175.65</v>
      </c>
      <c r="F22" s="181">
        <v>0</v>
      </c>
      <c r="G22" s="181">
        <f>IF(($C$5&lt;'END Jul 2016'!R16),(0),($C$5-'END Jul 2016'!R16)*'END Jul 2016'!S16/100)</f>
        <v>11.135</v>
      </c>
      <c r="H22" s="183">
        <f t="shared" si="0"/>
        <v>502.53390000000002</v>
      </c>
      <c r="I22" s="202">
        <f t="shared" si="1"/>
        <v>2211.1491600000004</v>
      </c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</row>
    <row r="23" spans="1:47" ht="14" x14ac:dyDescent="0.3">
      <c r="A23" s="179" t="str">
        <f>'END Jul 2016'!K17</f>
        <v>Simply Energy</v>
      </c>
      <c r="B23" s="180">
        <f>'END Jul 2016'!G17</f>
        <v>41093</v>
      </c>
      <c r="C23" s="181">
        <f>91*'END Jul 2016'!M17/100</f>
        <v>65.256100000000004</v>
      </c>
      <c r="D23" s="181">
        <f>IF($C$5&gt;='END Jul 2016'!P17,('END Jul 2016'!P17*'END Jul 2016'!N17/100),($C$5*'END Jul 2016'!N17/100))</f>
        <v>361.2</v>
      </c>
      <c r="E23" s="182">
        <f>IF($C$5&lt;'END Jul 2016'!P17,0,IF(($C$5)&lt;='END Jul 2016'!R17,(($C$5-'END Jul 2016'!P17)*'END Jul 2016'!Q17/100),(('END Jul 2016'!R17-'END Jul 2016'!P17)*'END Jul 2016'!Q17/100)))</f>
        <v>0</v>
      </c>
      <c r="F23" s="181">
        <v>0</v>
      </c>
      <c r="G23" s="181">
        <f>IF(($C$5&lt;'END Jul 2016'!R17),(0),($C$5-'END Jul 2016'!R17)*'END Jul 2016'!S17/100)</f>
        <v>11.47</v>
      </c>
      <c r="H23" s="183">
        <f t="shared" si="0"/>
        <v>437.92610000000002</v>
      </c>
      <c r="I23" s="202">
        <f t="shared" si="1"/>
        <v>1926.8748400000002</v>
      </c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</row>
    <row r="24" spans="1:47" ht="14.5" thickBot="1" x14ac:dyDescent="0.35">
      <c r="A24" s="184" t="str">
        <f>'END Jul 2016'!K18</f>
        <v>Urth Energy</v>
      </c>
      <c r="B24" s="185">
        <f>'END Jul 2016'!G18</f>
        <v>41090</v>
      </c>
      <c r="C24" s="186">
        <f>91*'END Jul 2016'!M18/100</f>
        <v>71.435000000000002</v>
      </c>
      <c r="D24" s="186">
        <f>IF($C$5&gt;='END Jul 2016'!P18,('END Jul 2016'!P18*'END Jul 2016'!N18/100),($C$5*'END Jul 2016'!N18/100))</f>
        <v>237</v>
      </c>
      <c r="E24" s="187">
        <f>IF($C$5&lt;'END Jul 2016'!P18,0,IF(($C$5)&lt;='END Jul 2016'!R18,(($C$5-'END Jul 2016'!P18)*'END Jul 2016'!Q18/100),(('END Jul 2016'!R18-'END Jul 2016'!P18)*'END Jul 2016'!Q18/100)))</f>
        <v>160.29999999999998</v>
      </c>
      <c r="F24" s="186">
        <v>0</v>
      </c>
      <c r="G24" s="186">
        <f>IF(($C$5&lt;'END Jul 2016'!R18),(0),($C$5-'END Jul 2016'!R18)*'END Jul 2016'!S18/100)</f>
        <v>21.3</v>
      </c>
      <c r="H24" s="188">
        <f t="shared" si="0"/>
        <v>490.03500000000003</v>
      </c>
      <c r="I24" s="203">
        <f t="shared" si="1"/>
        <v>2156.1540000000005</v>
      </c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</row>
    <row r="25" spans="1:47" s="173" customFormat="1" ht="14" x14ac:dyDescent="0.3"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</row>
    <row r="26" spans="1:47" s="173" customFormat="1" ht="14.5" thickBot="1" x14ac:dyDescent="0.35"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</row>
    <row r="27" spans="1:47" ht="14" x14ac:dyDescent="0.3">
      <c r="A27" s="176" t="s">
        <v>89</v>
      </c>
      <c r="B27" s="91"/>
      <c r="C27" s="91"/>
      <c r="D27" s="91"/>
      <c r="E27" s="91"/>
      <c r="F27" s="91"/>
      <c r="G27" s="91"/>
      <c r="H27" s="91"/>
      <c r="I27" s="177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</row>
    <row r="28" spans="1:47" ht="14" x14ac:dyDescent="0.3">
      <c r="A28" s="92" t="s">
        <v>79</v>
      </c>
      <c r="B28" s="93"/>
      <c r="C28" s="168">
        <v>2000</v>
      </c>
      <c r="D28" s="93"/>
      <c r="E28" s="93"/>
      <c r="F28" s="93"/>
      <c r="G28" s="93"/>
      <c r="H28" s="93"/>
      <c r="I28" s="178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</row>
    <row r="29" spans="1:47" ht="14" x14ac:dyDescent="0.3">
      <c r="A29" s="92" t="s">
        <v>91</v>
      </c>
      <c r="B29" s="93"/>
      <c r="C29" s="169">
        <v>0.7</v>
      </c>
      <c r="D29" s="93"/>
      <c r="E29" s="93"/>
      <c r="F29" s="93"/>
      <c r="G29" s="93"/>
      <c r="H29" s="93"/>
      <c r="I29" s="178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</row>
    <row r="30" spans="1:47" ht="14" x14ac:dyDescent="0.3">
      <c r="A30" s="92" t="s">
        <v>92</v>
      </c>
      <c r="B30" s="93"/>
      <c r="C30" s="169">
        <v>0.3</v>
      </c>
      <c r="D30" s="93"/>
      <c r="E30" s="93"/>
      <c r="F30" s="93"/>
      <c r="G30" s="93"/>
      <c r="H30" s="93"/>
      <c r="I30" s="178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</row>
    <row r="31" spans="1:47" ht="14" x14ac:dyDescent="0.3">
      <c r="A31" s="92"/>
      <c r="B31" s="93"/>
      <c r="C31" s="93"/>
      <c r="D31" s="93"/>
      <c r="E31" s="93"/>
      <c r="F31" s="93"/>
      <c r="G31" s="93"/>
      <c r="H31" s="93"/>
      <c r="I31" s="178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</row>
    <row r="32" spans="1:47" ht="28" x14ac:dyDescent="0.3">
      <c r="A32" s="301" t="s">
        <v>80</v>
      </c>
      <c r="B32" s="298" t="s">
        <v>81</v>
      </c>
      <c r="C32" s="298" t="s">
        <v>82</v>
      </c>
      <c r="D32" s="298" t="s">
        <v>83</v>
      </c>
      <c r="E32" s="298" t="s">
        <v>84</v>
      </c>
      <c r="F32" s="298" t="s">
        <v>86</v>
      </c>
      <c r="G32" s="298" t="s">
        <v>93</v>
      </c>
      <c r="H32" s="298" t="s">
        <v>87</v>
      </c>
      <c r="I32" s="300" t="s">
        <v>88</v>
      </c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</row>
    <row r="33" spans="1:47" ht="14" x14ac:dyDescent="0.3">
      <c r="A33" s="179" t="str">
        <f>'END Jul 2016'!K19</f>
        <v>1st Energy</v>
      </c>
      <c r="B33" s="180">
        <f>'END Jul 2016'!G19</f>
        <v>41114</v>
      </c>
      <c r="C33" s="181">
        <f>91*'END Jul 2016'!M19/100</f>
        <v>76.066900000000004</v>
      </c>
      <c r="D33" s="181">
        <f>IF($C$28*$C$29&gt;='END Jul 2016'!P19,('END Jul 2016'!P19*'END Jul 2016'!N19/100),(($C$28*$C$29)*'END Jul 2016'!N19/100))</f>
        <v>248.4</v>
      </c>
      <c r="E33" s="182">
        <f>IF($C$28*$C$29&lt;'END Jul 2016'!P19,0,IF(($C$28*$C$29)&lt;='END Jul 2016'!R19,(($C$28*$C$29-'END Jul 2016'!P19)*'END Jul 2016'!Q19/100),(('END Jul 2016'!R19-'END Jul 2016'!P19)*'END Jul 2016'!Q19/100)))</f>
        <v>97.88</v>
      </c>
      <c r="F33" s="181">
        <f>IF(($C$28*$C$29&lt;'END Jul 2016'!R19),(0),($C$28*$C$29-'END Jul 2016'!R19)*'END Jul 2016'!S19/100)</f>
        <v>0</v>
      </c>
      <c r="G33" s="181">
        <f>($C$28*$C$30)*'END Jul 2016'!AE19/100</f>
        <v>53.64</v>
      </c>
      <c r="H33" s="183">
        <f>SUM(C33:G33)</f>
        <v>475.98689999999999</v>
      </c>
      <c r="I33" s="202">
        <f>(H33*4)*1.1</f>
        <v>2094.3423600000001</v>
      </c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</row>
    <row r="34" spans="1:47" ht="14" x14ac:dyDescent="0.3">
      <c r="A34" s="179" t="str">
        <f>'END Jul 2016'!K20</f>
        <v>AGL</v>
      </c>
      <c r="B34" s="180">
        <f>'END Jul 2016'!G20</f>
        <v>41090</v>
      </c>
      <c r="C34" s="181">
        <f>91*'END Jul 2016'!M20/100</f>
        <v>76.066900000000004</v>
      </c>
      <c r="D34" s="181">
        <f>IF($C$28*$C$29&gt;='END Jul 2016'!P20,('END Jul 2016'!P20*'END Jul 2016'!N20/100),(($C$28*$C$29)*'END Jul 2016'!N20/100))</f>
        <v>246.4</v>
      </c>
      <c r="E34" s="182">
        <f>IF($C$28*$C$29&lt;'END Jul 2016'!P20,0,IF(($C$28*$C$29)&lt;='END Jul 2016'!R20,(($C$28*$C$29-'END Jul 2016'!P20)*'END Jul 2016'!Q20/100),(('END Jul 2016'!R20-'END Jul 2016'!P20)*'END Jul 2016'!Q20/100)))</f>
        <v>96.68</v>
      </c>
      <c r="F34" s="181">
        <f>IF(($C$28*$C$29&lt;'END Jul 2016'!R20),(0),($C$28*$C$29-'END Jul 2016'!R20)*'END Jul 2016'!S20/100)</f>
        <v>0</v>
      </c>
      <c r="G34" s="181">
        <f>($C$28*$C$30)*'END Jul 2016'!AE20/100</f>
        <v>44.04</v>
      </c>
      <c r="H34" s="183">
        <f t="shared" ref="H34:H49" si="2">SUM(C34:G34)</f>
        <v>463.18690000000004</v>
      </c>
      <c r="I34" s="202">
        <f t="shared" ref="I34:I49" si="3">(H34*4)*1.1</f>
        <v>2038.0223600000004</v>
      </c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</row>
    <row r="35" spans="1:47" ht="14" x14ac:dyDescent="0.3">
      <c r="A35" s="179" t="str">
        <f>'END Jul 2016'!K21</f>
        <v>Alinta Energy</v>
      </c>
      <c r="B35" s="180">
        <f>'END Jul 2016'!G21</f>
        <v>41121</v>
      </c>
      <c r="C35" s="181">
        <f>91*'END Jul 2016'!M21/100</f>
        <v>76.567399999999992</v>
      </c>
      <c r="D35" s="181">
        <f>IF($C$28*$C$29&gt;='END Jul 2016'!P21,('END Jul 2016'!P21*'END Jul 2016'!N21/100),(($C$28*$C$29)*'END Jul 2016'!N21/100))</f>
        <v>241.7</v>
      </c>
      <c r="E35" s="182">
        <f>IF($C$28*$C$29&lt;'END Jul 2016'!P21,0,IF(($C$28*$C$29)&lt;='END Jul 2016'!R21,(($C$28*$C$29-'END Jul 2016'!P21)*'END Jul 2016'!Q21/100),(('END Jul 2016'!R21-'END Jul 2016'!P21)*'END Jul 2016'!Q21/100)))</f>
        <v>90.2</v>
      </c>
      <c r="F35" s="181">
        <f>IF(($C$28*$C$29&lt;'END Jul 2016'!R21),(0),($C$28*$C$29-'END Jul 2016'!R21)*'END Jul 2016'!S21/100)</f>
        <v>0</v>
      </c>
      <c r="G35" s="181">
        <f>($C$28*$C$30)*'END Jul 2016'!AE21/100</f>
        <v>48.6</v>
      </c>
      <c r="H35" s="183">
        <f t="shared" si="2"/>
        <v>457.06739999999996</v>
      </c>
      <c r="I35" s="202">
        <f t="shared" si="3"/>
        <v>2011.09656</v>
      </c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</row>
    <row r="36" spans="1:47" ht="14" x14ac:dyDescent="0.3">
      <c r="A36" s="179" t="str">
        <f>'END Jul 2016'!K22</f>
        <v>Click Energy</v>
      </c>
      <c r="B36" s="180">
        <f>'END Jul 2016'!G22</f>
        <v>41090</v>
      </c>
      <c r="C36" s="181">
        <f>91*'END Jul 2016'!M22/100</f>
        <v>83.72</v>
      </c>
      <c r="D36" s="181">
        <f>IF($C$28*$C$29&gt;='END Jul 2016'!P22,('END Jul 2016'!P22*'END Jul 2016'!N22/100),(($C$28*$C$29)*'END Jul 2016'!N22/100))</f>
        <v>268</v>
      </c>
      <c r="E36" s="182">
        <f>IF($C$28*$C$29&lt;'END Jul 2016'!P22,0,IF(($C$28*$C$29)&lt;='END Jul 2016'!R22,(($C$28*$C$29-'END Jul 2016'!P22)*'END Jul 2016'!Q22/100),(('END Jul 2016'!R22-'END Jul 2016'!P22)*'END Jul 2016'!Q22/100)))</f>
        <v>103.2</v>
      </c>
      <c r="F36" s="181">
        <f>IF(($C$28*$C$29&lt;'END Jul 2016'!R22),(0),($C$28*$C$29-'END Jul 2016'!R22)*'END Jul 2016'!S22/100)</f>
        <v>0</v>
      </c>
      <c r="G36" s="181">
        <f>($C$28*$C$30)*'END Jul 2016'!AE22/100</f>
        <v>70.8</v>
      </c>
      <c r="H36" s="183">
        <f t="shared" si="2"/>
        <v>525.72</v>
      </c>
      <c r="I36" s="202">
        <f t="shared" si="3"/>
        <v>2313.1680000000001</v>
      </c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</row>
    <row r="37" spans="1:47" ht="14" x14ac:dyDescent="0.3">
      <c r="A37" s="179" t="str">
        <f>'END Jul 2016'!K23</f>
        <v>Commander</v>
      </c>
      <c r="B37" s="180">
        <f>'END Jul 2016'!G23</f>
        <v>41121</v>
      </c>
      <c r="C37" s="181">
        <f>91*'END Jul 2016'!M23/100</f>
        <v>75.493600000000001</v>
      </c>
      <c r="D37" s="181">
        <f>IF($C$28*$C$29&gt;='END Jul 2016'!P23,('END Jul 2016'!P23*'END Jul 2016'!N23/100),(($C$28*$C$29)*'END Jul 2016'!N23/100))</f>
        <v>346.5</v>
      </c>
      <c r="E37" s="182">
        <f>IF($C$28*$C$29&lt;'END Jul 2016'!P23,0,IF(($C$28*$C$29)&lt;='END Jul 2016'!R23,(($C$28*$C$29-'END Jul 2016'!P23)*'END Jul 2016'!Q23/100),(('END Jul 2016'!R23-'END Jul 2016'!P23)*'END Jul 2016'!Q23/100)))</f>
        <v>0</v>
      </c>
      <c r="F37" s="181">
        <f>IF(($C$28*$C$29&lt;'END Jul 2016'!R23),(0),($C$28*$C$29-'END Jul 2016'!R23)*'END Jul 2016'!S23/100)</f>
        <v>0</v>
      </c>
      <c r="G37" s="181">
        <f>($C$28*$C$30)*'END Jul 2016'!AE23/100</f>
        <v>45.6</v>
      </c>
      <c r="H37" s="183">
        <f t="shared" si="2"/>
        <v>467.59360000000004</v>
      </c>
      <c r="I37" s="202">
        <f t="shared" si="3"/>
        <v>2057.4118400000002</v>
      </c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</row>
    <row r="38" spans="1:47" ht="14" x14ac:dyDescent="0.3">
      <c r="A38" s="179" t="str">
        <f>'END Jul 2016'!K24</f>
        <v>CovaU</v>
      </c>
      <c r="B38" s="180">
        <f>'END Jul 2016'!G24</f>
        <v>41097</v>
      </c>
      <c r="C38" s="181">
        <f>91*'END Jul 2016'!M24/100</f>
        <v>93.593500000000006</v>
      </c>
      <c r="D38" s="181">
        <f>IF($C$28*$C$29&gt;='END Jul 2016'!P24,('END Jul 2016'!P24*'END Jul 2016'!N24/100),(($C$28*$C$29)*'END Jul 2016'!N24/100))</f>
        <v>277</v>
      </c>
      <c r="E38" s="182">
        <f>IF($C$28*$C$29&lt;'END Jul 2016'!P24,0,IF(($C$28*$C$29)&lt;='END Jul 2016'!R24,(($C$28*$C$29-'END Jul 2016'!P24)*'END Jul 2016'!Q24/100),(('END Jul 2016'!R24-'END Jul 2016'!P24)*'END Jul 2016'!Q24/100)))</f>
        <v>107.16</v>
      </c>
      <c r="F38" s="181">
        <f>IF(($C$28*$C$29&lt;'END Jul 2016'!R24),(0),($C$28*$C$29-'END Jul 2016'!R24)*'END Jul 2016'!S24/100)</f>
        <v>0</v>
      </c>
      <c r="G38" s="181">
        <f>($C$28*$C$30)*'END Jul 2016'!AE24/100</f>
        <v>76.44</v>
      </c>
      <c r="H38" s="183">
        <f t="shared" si="2"/>
        <v>554.19350000000009</v>
      </c>
      <c r="I38" s="202">
        <f t="shared" si="3"/>
        <v>2438.4514000000004</v>
      </c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</row>
    <row r="39" spans="1:47" ht="14" x14ac:dyDescent="0.3">
      <c r="A39" s="179" t="str">
        <f>'END Jul 2016'!K25</f>
        <v>Diamond Energy</v>
      </c>
      <c r="B39" s="180">
        <f>'END Jul 2016'!G25</f>
        <v>41121</v>
      </c>
      <c r="C39" s="181">
        <f>91*'END Jul 2016'!M25/100</f>
        <v>81.881799999999998</v>
      </c>
      <c r="D39" s="181">
        <f>IF($C$28*$C$29&gt;='END Jul 2016'!P25,('END Jul 2016'!P25*'END Jul 2016'!N25/100),(($C$28*$C$29)*'END Jul 2016'!N25/100))</f>
        <v>65.849999999999994</v>
      </c>
      <c r="E39" s="182">
        <f>IF($C$28*$C$29&lt;'END Jul 2016'!P25,0,IF(($C$28*$C$29)&lt;='END Jul 2016'!R25,(($C$28*$C$29-'END Jul 2016'!P25)*'END Jul 2016'!Q25/100),(('END Jul 2016'!R25-'END Jul 2016'!P25)*'END Jul 2016'!Q25/100)))</f>
        <v>159.33599999999998</v>
      </c>
      <c r="F39" s="181">
        <f>IF(($C$28*$C$29&lt;'END Jul 2016'!R25),(0),($C$28*$C$29-'END Jul 2016'!R25)*'END Jul 2016'!S25/100)</f>
        <v>91.01</v>
      </c>
      <c r="G39" s="181">
        <f>($C$28*$C$30)*'END Jul 2016'!AE25/100</f>
        <v>59.7</v>
      </c>
      <c r="H39" s="183">
        <f t="shared" si="2"/>
        <v>457.77779999999996</v>
      </c>
      <c r="I39" s="202">
        <f t="shared" si="3"/>
        <v>2014.2223200000001</v>
      </c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</row>
    <row r="40" spans="1:47" ht="14" x14ac:dyDescent="0.3">
      <c r="A40" s="179" t="str">
        <f>'END Jul 2016'!K26</f>
        <v>Dodo Power &amp; Gas</v>
      </c>
      <c r="B40" s="180">
        <f>'END Jul 2016'!G26</f>
        <v>41121</v>
      </c>
      <c r="C40" s="181">
        <f>91*'END Jul 2016'!M26/100</f>
        <v>75.029499999999999</v>
      </c>
      <c r="D40" s="181">
        <f>IF($C$28*$C$29&gt;='END Jul 2016'!P26,('END Jul 2016'!P26*'END Jul 2016'!N26/100),(($C$28*$C$29)*'END Jul 2016'!N26/100))</f>
        <v>331.1</v>
      </c>
      <c r="E40" s="182">
        <f>IF($C$28*$C$29&lt;'END Jul 2016'!P26,0,IF(($C$28*$C$29)&lt;='END Jul 2016'!R26,(($C$28*$C$29-'END Jul 2016'!P26)*'END Jul 2016'!Q26/100),(('END Jul 2016'!R26-'END Jul 2016'!P26)*'END Jul 2016'!Q26/100)))</f>
        <v>0</v>
      </c>
      <c r="F40" s="181">
        <f>IF(($C$28*$C$29&lt;'END Jul 2016'!R26),(0),($C$28*$C$29-'END Jul 2016'!R26)*'END Jul 2016'!S26/100)</f>
        <v>0</v>
      </c>
      <c r="G40" s="181">
        <f>($C$28*$C$30)*'END Jul 2016'!AE26/100</f>
        <v>42.9</v>
      </c>
      <c r="H40" s="183">
        <f t="shared" si="2"/>
        <v>449.02949999999998</v>
      </c>
      <c r="I40" s="202">
        <f t="shared" si="3"/>
        <v>1975.7298000000001</v>
      </c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</row>
    <row r="41" spans="1:47" ht="14" x14ac:dyDescent="0.3">
      <c r="A41" s="179" t="str">
        <f>'END Jul 2016'!K27</f>
        <v>EnergyAustralia</v>
      </c>
      <c r="B41" s="180">
        <f>'END Jul 2016'!G27</f>
        <v>41090</v>
      </c>
      <c r="C41" s="181">
        <f>91*'END Jul 2016'!M27/100</f>
        <v>78.377390000000005</v>
      </c>
      <c r="D41" s="181">
        <f>IF($C$28*$C$29&gt;='END Jul 2016'!P27,('END Jul 2016'!P27*'END Jul 2016'!N27/100),(($C$28*$C$29)*'END Jul 2016'!N27/100))</f>
        <v>254.77099999999999</v>
      </c>
      <c r="E41" s="182">
        <f>IF($C$28*$C$29&lt;'END Jul 2016'!P27,0,IF(($C$28*$C$29)&lt;='END Jul 2016'!R27,(($C$28*$C$29-'END Jul 2016'!P27)*'END Jul 2016'!Q27/100),(('END Jul 2016'!R27-'END Jul 2016'!P27)*'END Jul 2016'!Q27/100)))</f>
        <v>98.397199999999998</v>
      </c>
      <c r="F41" s="181">
        <f>IF(($C$28*$C$29&lt;'END Jul 2016'!R27),(0),($C$28*$C$29-'END Jul 2016'!R27)*'END Jul 2016'!S27/100)</f>
        <v>0</v>
      </c>
      <c r="G41" s="181">
        <f>($C$28*$C$30)*'END Jul 2016'!AE27/100</f>
        <v>47.589599999999997</v>
      </c>
      <c r="H41" s="183">
        <f t="shared" si="2"/>
        <v>479.13519000000002</v>
      </c>
      <c r="I41" s="202">
        <f t="shared" si="3"/>
        <v>2108.1948360000001</v>
      </c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</row>
    <row r="42" spans="1:47" ht="14" x14ac:dyDescent="0.3">
      <c r="A42" s="179" t="str">
        <f>'END Jul 2016'!K28</f>
        <v>Mojo Power</v>
      </c>
      <c r="B42" s="180">
        <f>'END Jul 2016'!G28</f>
        <v>40991</v>
      </c>
      <c r="C42" s="181">
        <f>91*'END Jul 2016'!M28/100</f>
        <v>59.486699999999999</v>
      </c>
      <c r="D42" s="181">
        <f>IF($C$28*$C$29&gt;='END Jul 2016'!P28,('END Jul 2016'!P28*'END Jul 2016'!N28/100),(($C$28*$C$29)*'END Jul 2016'!N28/100))</f>
        <v>261.8</v>
      </c>
      <c r="E42" s="182">
        <f>IF($C$28*$C$29&lt;'END Jul 2016'!P28,0,IF(($C$28*$C$29)&lt;='END Jul 2016'!R28,(($C$28*$C$29-'END Jul 2016'!P28)*'END Jul 2016'!Q28/100),(('END Jul 2016'!R28-'END Jul 2016'!P28)*'END Jul 2016'!Q28/100)))</f>
        <v>100.72</v>
      </c>
      <c r="F42" s="181">
        <f>IF(($C$28*$C$29&lt;'END Jul 2016'!R28),(0),($C$28*$C$29-'END Jul 2016'!R28)*'END Jul 2016'!S28/100)</f>
        <v>0</v>
      </c>
      <c r="G42" s="181">
        <f>($C$28*$C$30)*'END Jul 2016'!AE28/100</f>
        <v>69.3</v>
      </c>
      <c r="H42" s="183">
        <f t="shared" si="2"/>
        <v>491.30670000000003</v>
      </c>
      <c r="I42" s="202">
        <f t="shared" si="3"/>
        <v>2161.7494800000004</v>
      </c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</row>
    <row r="43" spans="1:47" ht="14" x14ac:dyDescent="0.3">
      <c r="A43" s="179" t="str">
        <f>'END Jul 2016'!K29</f>
        <v>Momentum Energy</v>
      </c>
      <c r="B43" s="180">
        <f>'END Jul 2016'!G29</f>
        <v>41097</v>
      </c>
      <c r="C43" s="181">
        <f>91*'END Jul 2016'!M29/100</f>
        <v>65.701999999999998</v>
      </c>
      <c r="D43" s="181">
        <f>IF($C$28*$C$29&gt;='END Jul 2016'!P29,('END Jul 2016'!P29*'END Jul 2016'!N29/100),(($C$28*$C$29)*'END Jul 2016'!N29/100))</f>
        <v>151.5</v>
      </c>
      <c r="E43" s="182">
        <f>IF($C$28*$C$29&lt;'END Jul 2016'!P29,0,IF(($C$28*$C$29)&lt;='END Jul 2016'!R29,(($C$28*$C$29-'END Jul 2016'!P29)*'END Jul 2016'!Q29/100),(('END Jul 2016'!R29-'END Jul 2016'!P29)*'END Jul 2016'!Q29/100)))</f>
        <v>0</v>
      </c>
      <c r="F43" s="181">
        <f>IF(($C$28*$C$29&lt;'END Jul 2016'!R29),(0),($C$28*$C$29-'END Jul 2016'!R29)*'END Jul 2016'!S29/100)</f>
        <v>170.64</v>
      </c>
      <c r="G43" s="181">
        <f>($C$28*$C$30)*'END Jul 2016'!AE29/100</f>
        <v>74.280000000000015</v>
      </c>
      <c r="H43" s="183">
        <f t="shared" si="2"/>
        <v>462.12200000000001</v>
      </c>
      <c r="I43" s="202">
        <f t="shared" si="3"/>
        <v>2033.3368000000003</v>
      </c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</row>
    <row r="44" spans="1:47" ht="14" x14ac:dyDescent="0.3">
      <c r="A44" s="179" t="str">
        <f>'END Jul 2016'!K30</f>
        <v>Origin Energy</v>
      </c>
      <c r="B44" s="180">
        <f>'END Jul 2016'!G30</f>
        <v>41090</v>
      </c>
      <c r="C44" s="181">
        <f>91*'END Jul 2016'!M30/100</f>
        <v>75.984999999999999</v>
      </c>
      <c r="D44" s="181">
        <f>IF($C$28*$C$29&gt;='END Jul 2016'!P30,('END Jul 2016'!P30*'END Jul 2016'!N30/100),(($C$28*$C$29)*'END Jul 2016'!N30/100))</f>
        <v>234.3</v>
      </c>
      <c r="E44" s="182">
        <f>IF($C$28*$C$29&lt;'END Jul 2016'!P30,0,IF(($C$28*$C$29)&lt;='END Jul 2016'!R30,(($C$28*$C$29-'END Jul 2016'!P30)*'END Jul 2016'!Q30/100),(('END Jul 2016'!R30-'END Jul 2016'!P30)*'END Jul 2016'!Q30/100)))</f>
        <v>91.32</v>
      </c>
      <c r="F44" s="181">
        <f>IF(($C$28*$C$29&lt;'END Jul 2016'!R30),(0),($C$28*$C$29-'END Jul 2016'!R30)*'END Jul 2016'!S30/100)</f>
        <v>0</v>
      </c>
      <c r="G44" s="181">
        <f>($C$28*$C$30)*'END Jul 2016'!AE30/100</f>
        <v>47.4</v>
      </c>
      <c r="H44" s="183">
        <f t="shared" si="2"/>
        <v>449.005</v>
      </c>
      <c r="I44" s="202">
        <f t="shared" si="3"/>
        <v>1975.6220000000001</v>
      </c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</row>
    <row r="45" spans="1:47" ht="14" x14ac:dyDescent="0.3">
      <c r="A45" s="179" t="str">
        <f>'END Jul 2016'!K31</f>
        <v>Powerdirect</v>
      </c>
      <c r="B45" s="180">
        <f>'END Jul 2016'!G31</f>
        <v>41121</v>
      </c>
      <c r="C45" s="181">
        <f>91*'END Jul 2016'!M31/100</f>
        <v>70.497699999999995</v>
      </c>
      <c r="D45" s="181">
        <f>IF($C$28*$C$29&gt;='END Jul 2016'!P31,('END Jul 2016'!P31*'END Jul 2016'!N31/100),(($C$28*$C$29)*'END Jul 2016'!N31/100))</f>
        <v>343</v>
      </c>
      <c r="E45" s="182">
        <f>IF($C$28*$C$29&lt;'END Jul 2016'!P31,0,IF(($C$28*$C$29)&lt;='END Jul 2016'!R31,(($C$28*$C$29-'END Jul 2016'!P31)*'END Jul 2016'!Q31/100),(('END Jul 2016'!R31-'END Jul 2016'!P31)*'END Jul 2016'!Q31/100)))</f>
        <v>0</v>
      </c>
      <c r="F45" s="181">
        <f>IF(($C$28*$C$29&lt;'END Jul 2016'!R31),(0),($C$28*$C$29-'END Jul 2016'!R31)*'END Jul 2016'!S31/100)</f>
        <v>0</v>
      </c>
      <c r="G45" s="181">
        <f>($C$28*$C$30)*'END Jul 2016'!AE31/100</f>
        <v>75.180000000000007</v>
      </c>
      <c r="H45" s="183">
        <f t="shared" si="2"/>
        <v>488.67770000000002</v>
      </c>
      <c r="I45" s="202">
        <f t="shared" si="3"/>
        <v>2150.1818800000001</v>
      </c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</row>
    <row r="46" spans="1:47" ht="14" x14ac:dyDescent="0.3">
      <c r="A46" s="179" t="str">
        <f>'END Jul 2016'!K32</f>
        <v>Powershop</v>
      </c>
      <c r="B46" s="180">
        <f>'END Jul 2016'!G32</f>
        <v>41090</v>
      </c>
      <c r="C46" s="181">
        <f>91*'END Jul 2016'!M32/100</f>
        <v>85.088639999999998</v>
      </c>
      <c r="D46" s="181">
        <f>(C28*C29)*'END Jul 2016'!N32/100</f>
        <v>325.24799999999999</v>
      </c>
      <c r="E46" s="182">
        <v>0</v>
      </c>
      <c r="F46" s="181">
        <v>0</v>
      </c>
      <c r="G46" s="181">
        <f>($C$28*$C$30)*'END Jul 2016'!AE32/100</f>
        <v>74.188800000000001</v>
      </c>
      <c r="H46" s="183">
        <f t="shared" si="2"/>
        <v>484.52544</v>
      </c>
      <c r="I46" s="202">
        <f t="shared" si="3"/>
        <v>2131.911936</v>
      </c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</row>
    <row r="47" spans="1:47" ht="14" x14ac:dyDescent="0.3">
      <c r="A47" s="179" t="str">
        <f>'END Jul 2016'!K33</f>
        <v>Red Energy</v>
      </c>
      <c r="B47" s="180">
        <f>'END Jul 2016'!G33</f>
        <v>41090</v>
      </c>
      <c r="C47" s="181">
        <f>91*'END Jul 2016'!M33/100</f>
        <v>70.870800000000003</v>
      </c>
      <c r="D47" s="181">
        <f>IF($C$28*$C$29&gt;='END Jul 2016'!P33,('END Jul 2016'!P33*'END Jul 2016'!N33/100),(($C$28*$C$29)*'END Jul 2016'!N33/100))</f>
        <v>248.6</v>
      </c>
      <c r="E47" s="182">
        <f>IF($C$28*$C$29&lt;'END Jul 2016'!P33,0,IF(($C$28*$C$29)&lt;='END Jul 2016'!R33,(($C$28*$C$29-'END Jul 2016'!P33)*'END Jul 2016'!Q33/100),(('END Jul 2016'!R33-'END Jul 2016'!P33)*'END Jul 2016'!Q33/100)))</f>
        <v>93.68</v>
      </c>
      <c r="F47" s="181">
        <f>IF(($C$28*$C$29&lt;'END Jul 2016'!R33),(0),($C$28*$C$29-'END Jul 2016'!R33)*'END Jul 2016'!S33/100)</f>
        <v>0</v>
      </c>
      <c r="G47" s="181">
        <f>($C$28*$C$30)*'END Jul 2016'!AE33/100</f>
        <v>46.98</v>
      </c>
      <c r="H47" s="183">
        <f t="shared" si="2"/>
        <v>460.13080000000002</v>
      </c>
      <c r="I47" s="202">
        <f t="shared" si="3"/>
        <v>2024.5755200000003</v>
      </c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</row>
    <row r="48" spans="1:47" ht="14" x14ac:dyDescent="0.3">
      <c r="A48" s="179" t="str">
        <f>'END Jul 2016'!K34</f>
        <v>Simply Energy</v>
      </c>
      <c r="B48" s="180">
        <f>'END Jul 2016'!G34</f>
        <v>41093</v>
      </c>
      <c r="C48" s="181">
        <f>91*'END Jul 2016'!M34/100</f>
        <v>69.605899999999991</v>
      </c>
      <c r="D48" s="181">
        <f>IF($C$28*$C$29&gt;='END Jul 2016'!P34,('END Jul 2016'!P34*'END Jul 2016'!N34/100),(($C$28*$C$29)*'END Jul 2016'!N34/100))</f>
        <v>288.95999999999998</v>
      </c>
      <c r="E48" s="182">
        <f>IF($C$28*$C$29&lt;'END Jul 2016'!P34,0,IF(($C$28*$C$29)&lt;='END Jul 2016'!R34,(($C$28*$C$29-'END Jul 2016'!P34)*'END Jul 2016'!Q34/100),(('END Jul 2016'!R34-'END Jul 2016'!P34)*'END Jul 2016'!Q34/100)))</f>
        <v>0</v>
      </c>
      <c r="F48" s="181">
        <f>IF(($C$28*$C$29&lt;'END Jul 2016'!R34),(0),($C$28*$C$29-'END Jul 2016'!R34)*'END Jul 2016'!S34/100)</f>
        <v>0</v>
      </c>
      <c r="G48" s="181">
        <f>($C$28*$C$30)*'END Jul 2016'!AE34/100</f>
        <v>35.82</v>
      </c>
      <c r="H48" s="183">
        <f t="shared" si="2"/>
        <v>394.38589999999994</v>
      </c>
      <c r="I48" s="202">
        <f t="shared" si="3"/>
        <v>1735.2979599999999</v>
      </c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</row>
    <row r="49" spans="1:47" ht="14.5" thickBot="1" x14ac:dyDescent="0.35">
      <c r="A49" s="184" t="str">
        <f>'END Jul 2016'!K35</f>
        <v>Urth Energy</v>
      </c>
      <c r="B49" s="185">
        <f>'END Jul 2016'!G35</f>
        <v>41090</v>
      </c>
      <c r="C49" s="186">
        <f>91*'END Jul 2016'!M35/100</f>
        <v>75.984999999999999</v>
      </c>
      <c r="D49" s="186">
        <f>IF($C$28*$C$29&gt;='END Jul 2016'!P35,('END Jul 2016'!P35*'END Jul 2016'!N35/100),(($C$28*$C$29)*'END Jul 2016'!N35/100))</f>
        <v>237</v>
      </c>
      <c r="E49" s="187">
        <f>IF($C$28*$C$29&lt;'END Jul 2016'!P35,0,IF(($C$28*$C$29)&lt;='END Jul 2016'!R35,(($C$28*$C$29-'END Jul 2016'!P35)*'END Jul 2016'!Q35/100),(('END Jul 2016'!R35-'END Jul 2016'!P35)*'END Jul 2016'!Q35/100)))</f>
        <v>91.6</v>
      </c>
      <c r="F49" s="186">
        <f>IF(($C$28*$C$29&lt;'END Jul 2016'!R35),(0),($C$28*$C$29-'END Jul 2016'!R35)*'END Jul 2016'!S35/100)</f>
        <v>0</v>
      </c>
      <c r="G49" s="186">
        <f>($C$28*$C$30)*'END Jul 2016'!AE35/100</f>
        <v>47.4</v>
      </c>
      <c r="H49" s="188">
        <f t="shared" si="2"/>
        <v>451.98500000000001</v>
      </c>
      <c r="I49" s="203">
        <f t="shared" si="3"/>
        <v>1988.7340000000002</v>
      </c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</row>
    <row r="50" spans="1:47" s="173" customFormat="1" ht="14" x14ac:dyDescent="0.3"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</row>
    <row r="51" spans="1:47" s="173" customFormat="1" ht="14.5" thickBot="1" x14ac:dyDescent="0.35"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</row>
    <row r="52" spans="1:47" ht="14" x14ac:dyDescent="0.3">
      <c r="A52" s="176" t="s">
        <v>94</v>
      </c>
      <c r="B52" s="91"/>
      <c r="C52" s="91"/>
      <c r="D52" s="91"/>
      <c r="E52" s="91"/>
      <c r="F52" s="91"/>
      <c r="G52" s="91"/>
      <c r="H52" s="91"/>
      <c r="I52" s="177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</row>
    <row r="53" spans="1:47" ht="14" x14ac:dyDescent="0.3">
      <c r="A53" s="92" t="s">
        <v>79</v>
      </c>
      <c r="B53" s="93"/>
      <c r="C53" s="189">
        <v>2000</v>
      </c>
      <c r="D53" s="93"/>
      <c r="E53" s="93"/>
      <c r="F53" s="93"/>
      <c r="G53" s="93"/>
      <c r="H53" s="93"/>
      <c r="I53" s="178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</row>
    <row r="54" spans="1:47" ht="14" x14ac:dyDescent="0.3">
      <c r="A54" s="92" t="s">
        <v>91</v>
      </c>
      <c r="B54" s="93"/>
      <c r="C54" s="190">
        <v>0.2</v>
      </c>
      <c r="D54" s="93"/>
      <c r="E54" s="93"/>
      <c r="F54" s="93"/>
      <c r="G54" s="93"/>
      <c r="H54" s="93"/>
      <c r="I54" s="178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</row>
    <row r="55" spans="1:47" ht="14" x14ac:dyDescent="0.3">
      <c r="A55" s="92" t="s">
        <v>95</v>
      </c>
      <c r="B55" s="93"/>
      <c r="C55" s="190">
        <v>0.5</v>
      </c>
      <c r="D55" s="93"/>
      <c r="E55" s="93"/>
      <c r="F55" s="93"/>
      <c r="G55" s="93"/>
      <c r="H55" s="93"/>
      <c r="I55" s="178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</row>
    <row r="56" spans="1:47" ht="14" x14ac:dyDescent="0.3">
      <c r="A56" s="92" t="s">
        <v>92</v>
      </c>
      <c r="B56" s="93"/>
      <c r="C56" s="190">
        <v>0.3</v>
      </c>
      <c r="D56" s="93"/>
      <c r="E56" s="93"/>
      <c r="F56" s="93"/>
      <c r="G56" s="93"/>
      <c r="H56" s="93"/>
      <c r="I56" s="178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</row>
    <row r="57" spans="1:47" ht="14" x14ac:dyDescent="0.3">
      <c r="A57" s="92"/>
      <c r="B57" s="93"/>
      <c r="C57" s="93"/>
      <c r="D57" s="93"/>
      <c r="E57" s="93"/>
      <c r="F57" s="93"/>
      <c r="G57" s="93"/>
      <c r="H57" s="93"/>
      <c r="I57" s="178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</row>
    <row r="58" spans="1:47" ht="28" x14ac:dyDescent="0.3">
      <c r="A58" s="301" t="s">
        <v>80</v>
      </c>
      <c r="B58" s="298" t="s">
        <v>81</v>
      </c>
      <c r="C58" s="298" t="s">
        <v>82</v>
      </c>
      <c r="D58" s="298" t="s">
        <v>96</v>
      </c>
      <c r="E58" s="298" t="s">
        <v>86</v>
      </c>
      <c r="F58" s="298" t="s">
        <v>97</v>
      </c>
      <c r="G58" s="298" t="s">
        <v>98</v>
      </c>
      <c r="H58" s="298" t="s">
        <v>87</v>
      </c>
      <c r="I58" s="300" t="s">
        <v>88</v>
      </c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</row>
    <row r="59" spans="1:47" ht="14" x14ac:dyDescent="0.3">
      <c r="A59" s="179" t="str">
        <f>'END Jul 2016'!K36</f>
        <v>1st Energy</v>
      </c>
      <c r="B59" s="180">
        <f>'END Jul 2016'!G36</f>
        <v>41114</v>
      </c>
      <c r="C59" s="181">
        <f>91*'END Jul 2016'!M36/100</f>
        <v>90.535899999999998</v>
      </c>
      <c r="D59" s="181">
        <f>($C$53*$C$54)*'END Jul 2016'!N36/100</f>
        <v>131.80000000000001</v>
      </c>
      <c r="E59" s="181">
        <v>0</v>
      </c>
      <c r="F59" s="181">
        <f>($C$53*$C$55)*'END Jul 2016'!AH36/100</f>
        <v>270</v>
      </c>
      <c r="G59" s="181">
        <f>($C$53*$C$56)*'END Jul 2016'!W36/100</f>
        <v>78.900000000000006</v>
      </c>
      <c r="H59" s="183">
        <f>SUM(C59:G59)</f>
        <v>571.23590000000002</v>
      </c>
      <c r="I59" s="202">
        <f t="shared" ref="I59:I75" si="4">(H59*4)*1.1</f>
        <v>2513.4379600000002</v>
      </c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</row>
    <row r="60" spans="1:47" ht="14" x14ac:dyDescent="0.3">
      <c r="A60" s="179" t="str">
        <f>'END Jul 2016'!K37</f>
        <v>AGL</v>
      </c>
      <c r="B60" s="180">
        <f>'END Jul 2016'!G37</f>
        <v>41090</v>
      </c>
      <c r="C60" s="181">
        <f>91*'END Jul 2016'!M37/100</f>
        <v>90.535899999999998</v>
      </c>
      <c r="D60" s="181">
        <f>($C$53*$C$54)*'END Jul 2016'!N37/100</f>
        <v>131.80000000000001</v>
      </c>
      <c r="E60" s="181">
        <v>0</v>
      </c>
      <c r="F60" s="181">
        <f>($C$53*$C$55)*'END Jul 2016'!AH37/100</f>
        <v>270</v>
      </c>
      <c r="G60" s="181">
        <f>($C$53*$C$56)*'END Jul 2016'!W37/100</f>
        <v>78.900000000000006</v>
      </c>
      <c r="H60" s="183">
        <f t="shared" ref="H60:H75" si="5">SUM(C60:G60)</f>
        <v>571.23590000000002</v>
      </c>
      <c r="I60" s="202">
        <f t="shared" si="4"/>
        <v>2513.4379600000002</v>
      </c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</row>
    <row r="61" spans="1:47" ht="14" x14ac:dyDescent="0.3">
      <c r="A61" s="179" t="str">
        <f>'END Jul 2016'!K38</f>
        <v>Alinta Energy</v>
      </c>
      <c r="B61" s="180">
        <f>'END Jul 2016'!G38</f>
        <v>41121</v>
      </c>
      <c r="C61" s="181">
        <f>91*'END Jul 2016'!M38/100</f>
        <v>94.412499999999994</v>
      </c>
      <c r="D61" s="181">
        <f>($C$53*$C$54)*'END Jul 2016'!N38/100</f>
        <v>127.08</v>
      </c>
      <c r="E61" s="181">
        <v>0</v>
      </c>
      <c r="F61" s="181">
        <f>($C$53*$C$55)*'END Jul 2016'!AH38/100</f>
        <v>259.60000000000002</v>
      </c>
      <c r="G61" s="181">
        <f>($C$53*$C$56)*'END Jul 2016'!W38/100</f>
        <v>79.38</v>
      </c>
      <c r="H61" s="183">
        <f t="shared" si="5"/>
        <v>560.47250000000008</v>
      </c>
      <c r="I61" s="202">
        <f t="shared" si="4"/>
        <v>2466.0790000000006</v>
      </c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</row>
    <row r="62" spans="1:47" ht="14" x14ac:dyDescent="0.3">
      <c r="A62" s="179" t="str">
        <f>'END Jul 2016'!K39</f>
        <v>Click Energy</v>
      </c>
      <c r="B62" s="180">
        <f>'END Jul 2016'!G39</f>
        <v>41090</v>
      </c>
      <c r="C62" s="181">
        <f>91*'END Jul 2016'!M39/100</f>
        <v>94.64</v>
      </c>
      <c r="D62" s="181">
        <f>($C$53*$C$54)*'END Jul 2016'!N39/100</f>
        <v>136</v>
      </c>
      <c r="E62" s="181">
        <v>0</v>
      </c>
      <c r="F62" s="181">
        <f>($C$53*$C$55)*'END Jul 2016'!AH39/100</f>
        <v>280</v>
      </c>
      <c r="G62" s="181">
        <f>($C$53*$C$56)*'END Jul 2016'!W39/100</f>
        <v>114</v>
      </c>
      <c r="H62" s="183">
        <f t="shared" si="5"/>
        <v>624.64</v>
      </c>
      <c r="I62" s="202">
        <f t="shared" si="4"/>
        <v>2748.4160000000002</v>
      </c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</row>
    <row r="63" spans="1:47" ht="14" x14ac:dyDescent="0.3">
      <c r="A63" s="179" t="str">
        <f>'END Jul 2016'!K40</f>
        <v>Commander</v>
      </c>
      <c r="B63" s="180">
        <f>'END Jul 2016'!G40</f>
        <v>41121</v>
      </c>
      <c r="C63" s="181">
        <f>91*'END Jul 2016'!M40/100</f>
        <v>91.091000000000008</v>
      </c>
      <c r="D63" s="181">
        <f>($C$53*$C$54)*'END Jul 2016'!N40/100</f>
        <v>138.4</v>
      </c>
      <c r="E63" s="181">
        <v>0</v>
      </c>
      <c r="F63" s="181">
        <f>($C$53*$C$55)*'END Jul 2016'!AH40/100</f>
        <v>264</v>
      </c>
      <c r="G63" s="181">
        <f>($C$53*$C$56)*'END Jul 2016'!W40/100</f>
        <v>81</v>
      </c>
      <c r="H63" s="183">
        <f t="shared" si="5"/>
        <v>574.49099999999999</v>
      </c>
      <c r="I63" s="202">
        <f t="shared" si="4"/>
        <v>2527.7604000000001</v>
      </c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</row>
    <row r="64" spans="1:47" ht="14" x14ac:dyDescent="0.3">
      <c r="A64" s="179" t="str">
        <f>'END Jul 2016'!K41</f>
        <v>CovaU</v>
      </c>
      <c r="B64" s="180">
        <f>'END Jul 2016'!G41</f>
        <v>41097</v>
      </c>
      <c r="C64" s="181">
        <f>91*'END Jul 2016'!M41/100</f>
        <v>121.94</v>
      </c>
      <c r="D64" s="181">
        <f>($C$53*$C$54)*'END Jul 2016'!N41/100</f>
        <v>134.84</v>
      </c>
      <c r="E64" s="181">
        <v>0</v>
      </c>
      <c r="F64" s="181">
        <f>($C$53*$C$55)*'END Jul 2016'!AH41/100</f>
        <v>266</v>
      </c>
      <c r="G64" s="181">
        <f>($C$53*$C$56)*'END Jul 2016'!W41/100</f>
        <v>106.8</v>
      </c>
      <c r="H64" s="183">
        <f t="shared" si="5"/>
        <v>629.57999999999993</v>
      </c>
      <c r="I64" s="202">
        <f t="shared" si="4"/>
        <v>2770.152</v>
      </c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</row>
    <row r="65" spans="1:47" ht="14" x14ac:dyDescent="0.3">
      <c r="A65" s="179" t="str">
        <f>'END Jul 2016'!K42</f>
        <v>Diamond Energy</v>
      </c>
      <c r="B65" s="180">
        <f>'END Jul 2016'!G42</f>
        <v>41121</v>
      </c>
      <c r="C65" s="181">
        <f>91*'END Jul 2016'!M42/100</f>
        <v>89.998999999999995</v>
      </c>
      <c r="D65" s="181">
        <f>IF($C$53*$C$54&gt;='END Jul 2016'!P42,('END Jul 2016'!P42*'END Jul 2016'!N42/100),(($C$53*$C$54)*'END Jul 2016'!N42/100))</f>
        <v>122.12</v>
      </c>
      <c r="E65" s="181">
        <f>IF(($C$53*$C$54&lt;'END Jul 2016'!P42),(0),($C$53*$C$54-'END Jul 2016'!P42)*'END Jul 2016'!Q42/100)</f>
        <v>0</v>
      </c>
      <c r="F65" s="181">
        <f>($C$53*$C$55)*'END Jul 2016'!AH42/100</f>
        <v>249.7</v>
      </c>
      <c r="G65" s="181">
        <f>($C$53*$C$56)*'END Jul 2016'!W42/100</f>
        <v>83.04</v>
      </c>
      <c r="H65" s="183">
        <f t="shared" si="5"/>
        <v>544.85899999999992</v>
      </c>
      <c r="I65" s="202">
        <f t="shared" si="4"/>
        <v>2397.3795999999998</v>
      </c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</row>
    <row r="66" spans="1:47" ht="14" x14ac:dyDescent="0.3">
      <c r="A66" s="179" t="str">
        <f>'END Jul 2016'!K43</f>
        <v>Dodo Power &amp; Gas</v>
      </c>
      <c r="B66" s="180">
        <f>'END Jul 2016'!G43</f>
        <v>41121</v>
      </c>
      <c r="C66" s="181">
        <f>91*'END Jul 2016'!M43/100</f>
        <v>90.044500000000014</v>
      </c>
      <c r="D66" s="181">
        <f>($C$53*$C$54)*'END Jul 2016'!N43/100</f>
        <v>131.96</v>
      </c>
      <c r="E66" s="181">
        <v>0</v>
      </c>
      <c r="F66" s="181">
        <f>($C$53*$C$55)*'END Jul 2016'!AH43/100</f>
        <v>242</v>
      </c>
      <c r="G66" s="181">
        <f>($C$53*$C$56)*'END Jul 2016'!W43/100</f>
        <v>75.900000000000006</v>
      </c>
      <c r="H66" s="183">
        <f t="shared" si="5"/>
        <v>539.90449999999998</v>
      </c>
      <c r="I66" s="202">
        <f t="shared" si="4"/>
        <v>2375.5798</v>
      </c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</row>
    <row r="67" spans="1:47" ht="14" x14ac:dyDescent="0.3">
      <c r="A67" s="179" t="str">
        <f>'END Jul 2016'!K44</f>
        <v>EnergyAustralia</v>
      </c>
      <c r="B67" s="180">
        <f>'END Jul 2016'!G44</f>
        <v>41090</v>
      </c>
      <c r="C67" s="181">
        <f>91*'END Jul 2016'!M44/100</f>
        <v>93.098459999999989</v>
      </c>
      <c r="D67" s="181">
        <f>($C$53*$C$54)*'END Jul 2016'!N44/100</f>
        <v>138.77600000000001</v>
      </c>
      <c r="E67" s="181">
        <v>0</v>
      </c>
      <c r="F67" s="181">
        <f>($C$53*$C$55)*'END Jul 2016'!AH44/100</f>
        <v>258.11500000000001</v>
      </c>
      <c r="G67" s="181">
        <f>($C$53*$C$56)*'END Jul 2016'!W44/100</f>
        <v>78.438000000000002</v>
      </c>
      <c r="H67" s="183">
        <f t="shared" si="5"/>
        <v>568.42746</v>
      </c>
      <c r="I67" s="202">
        <f t="shared" si="4"/>
        <v>2501.0808240000001</v>
      </c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</row>
    <row r="68" spans="1:47" ht="14" x14ac:dyDescent="0.3">
      <c r="A68" s="179" t="str">
        <f>'END Jul 2016'!K45</f>
        <v>Mojo Power</v>
      </c>
      <c r="B68" s="180">
        <f>'END Jul 2016'!G45</f>
        <v>40991</v>
      </c>
      <c r="C68" s="181">
        <f>91*'END Jul 2016'!M45/100</f>
        <v>121.61239999999998</v>
      </c>
      <c r="D68" s="181">
        <f>($C$53*$C$54)*'END Jul 2016'!N45/100</f>
        <v>129.44</v>
      </c>
      <c r="E68" s="181">
        <v>0</v>
      </c>
      <c r="F68" s="181">
        <f>($C$53*$C$55)*'END Jul 2016'!AH45/100</f>
        <v>250</v>
      </c>
      <c r="G68" s="181">
        <f>($C$53*$C$56)*'END Jul 2016'!W45/100</f>
        <v>108</v>
      </c>
      <c r="H68" s="183">
        <f t="shared" si="5"/>
        <v>609.05240000000003</v>
      </c>
      <c r="I68" s="202">
        <f t="shared" si="4"/>
        <v>2679.8305600000003</v>
      </c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</row>
    <row r="69" spans="1:47" ht="14" x14ac:dyDescent="0.3">
      <c r="A69" s="179" t="str">
        <f>'END Jul 2016'!K46</f>
        <v>Momentum Energy</v>
      </c>
      <c r="B69" s="180">
        <f>'END Jul 2016'!G46</f>
        <v>41097</v>
      </c>
      <c r="C69" s="181">
        <f>91*'END Jul 2016'!M46/100</f>
        <v>80.899000000000001</v>
      </c>
      <c r="D69" s="181">
        <f>IF($C$53*$C$54&gt;='END Jul 2016'!P46,('END Jul 2016'!P46*'END Jul 2016'!N46/100),(($C$53*$C$54)*'END Jul 2016'!N46/100))</f>
        <v>138.04</v>
      </c>
      <c r="E69" s="181">
        <f>IF(($C$53*$C$54&lt;'END Jul 2016'!P46),(0),($C$53*$C$54-'END Jul 2016'!P46)*'END Jul 2016'!Q46/100)</f>
        <v>0</v>
      </c>
      <c r="F69" s="181">
        <f>($C$53*$C$55)*'END Jul 2016'!AH46/100</f>
        <v>212</v>
      </c>
      <c r="G69" s="181">
        <f>($C$53*$C$56)*'END Jul 2016'!W46/100</f>
        <v>88.44</v>
      </c>
      <c r="H69" s="183">
        <f t="shared" si="5"/>
        <v>519.37899999999991</v>
      </c>
      <c r="I69" s="202">
        <f t="shared" si="4"/>
        <v>2285.2675999999997</v>
      </c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</row>
    <row r="70" spans="1:47" ht="14" x14ac:dyDescent="0.3">
      <c r="A70" s="179" t="str">
        <f>'END Jul 2016'!K47</f>
        <v>Origin Energy</v>
      </c>
      <c r="B70" s="180">
        <f>'END Jul 2016'!G47</f>
        <v>41090</v>
      </c>
      <c r="C70" s="181">
        <f>91*'END Jul 2016'!M47/100</f>
        <v>90.09</v>
      </c>
      <c r="D70" s="181">
        <f>($C$53*$C$54)*'END Jul 2016'!N47/100</f>
        <v>128.4</v>
      </c>
      <c r="E70" s="181">
        <v>0</v>
      </c>
      <c r="F70" s="181">
        <f>($C$53*$C$55)*'END Jul 2016'!AH47/100</f>
        <v>265</v>
      </c>
      <c r="G70" s="181">
        <f>($C$53*$C$56)*'END Jul 2016'!W47/100</f>
        <v>84</v>
      </c>
      <c r="H70" s="183">
        <f t="shared" si="5"/>
        <v>567.49</v>
      </c>
      <c r="I70" s="202">
        <f t="shared" si="4"/>
        <v>2496.9560000000001</v>
      </c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</row>
    <row r="71" spans="1:47" ht="14" x14ac:dyDescent="0.3">
      <c r="A71" s="179" t="str">
        <f>'END Jul 2016'!K48</f>
        <v>Powerdirect</v>
      </c>
      <c r="B71" s="180">
        <f>'END Jul 2016'!G48</f>
        <v>41121</v>
      </c>
      <c r="C71" s="181">
        <f>91*'END Jul 2016'!M48/100</f>
        <v>90.535899999999998</v>
      </c>
      <c r="D71" s="181">
        <f>($C$53*$C$54)*'END Jul 2016'!N48/100</f>
        <v>131.68</v>
      </c>
      <c r="E71" s="181">
        <v>0</v>
      </c>
      <c r="F71" s="181">
        <f>($C$53*$C$55)*'END Jul 2016'!AH48/100</f>
        <v>269.7</v>
      </c>
      <c r="G71" s="181">
        <f>($C$53*$C$56)*'END Jul 2016'!W48/100</f>
        <v>78.719999999999985</v>
      </c>
      <c r="H71" s="183">
        <f t="shared" si="5"/>
        <v>570.63589999999999</v>
      </c>
      <c r="I71" s="202">
        <f t="shared" si="4"/>
        <v>2510.7979600000003</v>
      </c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</row>
    <row r="72" spans="1:47" ht="14" x14ac:dyDescent="0.3">
      <c r="A72" s="179" t="str">
        <f>'END Jul 2016'!K49</f>
        <v>Powershop</v>
      </c>
      <c r="B72" s="180">
        <f>'END Jul 2016'!G49</f>
        <v>41090</v>
      </c>
      <c r="C72" s="181">
        <f>91*'END Jul 2016'!M49/100</f>
        <v>104.83200000000001</v>
      </c>
      <c r="D72" s="181">
        <f>($C$53*$C$54)*'END Jul 2016'!N49/100</f>
        <v>112.3968</v>
      </c>
      <c r="E72" s="181">
        <v>0</v>
      </c>
      <c r="F72" s="181">
        <f>($C$53*$C$55)*'END Jul 2016'!AH49/100</f>
        <v>223.488</v>
      </c>
      <c r="G72" s="181">
        <f>($C$53*$C$56)*'END Jul 2016'!W49/100</f>
        <v>104.31360000000001</v>
      </c>
      <c r="H72" s="183">
        <f t="shared" si="5"/>
        <v>545.0304000000001</v>
      </c>
      <c r="I72" s="202">
        <f t="shared" si="4"/>
        <v>2398.1337600000006</v>
      </c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</row>
    <row r="73" spans="1:47" ht="14" x14ac:dyDescent="0.3">
      <c r="A73" s="179" t="str">
        <f>'END Jul 2016'!K50</f>
        <v>Red Energy</v>
      </c>
      <c r="B73" s="180">
        <f>'END Jul 2016'!G50</f>
        <v>41090</v>
      </c>
      <c r="C73" s="181">
        <f>91*'END Jul 2016'!M50/100</f>
        <v>83.592600000000004</v>
      </c>
      <c r="D73" s="181">
        <f>($C$53*$C$54)*'END Jul 2016'!N50/100</f>
        <v>122.16</v>
      </c>
      <c r="E73" s="181">
        <v>0</v>
      </c>
      <c r="F73" s="181">
        <f>($C$53*$C$55)*'END Jul 2016'!AH50/100</f>
        <v>257</v>
      </c>
      <c r="G73" s="181">
        <f>($C$53*$C$56)*'END Jul 2016'!W50/100</f>
        <v>83.1</v>
      </c>
      <c r="H73" s="183">
        <f t="shared" si="5"/>
        <v>545.85260000000005</v>
      </c>
      <c r="I73" s="202">
        <f t="shared" si="4"/>
        <v>2401.7514400000005</v>
      </c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</row>
    <row r="74" spans="1:47" ht="14" x14ac:dyDescent="0.3">
      <c r="A74" s="179" t="str">
        <f>'END Jul 2016'!K51</f>
        <v>Simply Energy</v>
      </c>
      <c r="B74" s="180">
        <f>'END Jul 2016'!G51</f>
        <v>41093</v>
      </c>
      <c r="C74" s="181">
        <f>91*'END Jul 2016'!M51/100</f>
        <v>74.774699999999996</v>
      </c>
      <c r="D74" s="181">
        <f>($C$53*$C$54)*'END Jul 2016'!N51/100</f>
        <v>113.72</v>
      </c>
      <c r="E74" s="181">
        <v>0</v>
      </c>
      <c r="F74" s="181">
        <f>($C$53*$C$55)*'END Jul 2016'!AH51/100</f>
        <v>218.6</v>
      </c>
      <c r="G74" s="181">
        <f>($C$53*$C$56)*'END Jul 2016'!W51/100</f>
        <v>66.180000000000007</v>
      </c>
      <c r="H74" s="183">
        <f t="shared" si="5"/>
        <v>473.2747</v>
      </c>
      <c r="I74" s="202">
        <f t="shared" si="4"/>
        <v>2082.40868</v>
      </c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</row>
    <row r="75" spans="1:47" ht="14.5" thickBot="1" x14ac:dyDescent="0.35">
      <c r="A75" s="184" t="str">
        <f>'END Jul 2016'!K52</f>
        <v>Urth Energy</v>
      </c>
      <c r="B75" s="185">
        <f>'END Jul 2016'!G52</f>
        <v>41090</v>
      </c>
      <c r="C75" s="186">
        <f>91*'END Jul 2016'!M52/100</f>
        <v>90.09</v>
      </c>
      <c r="D75" s="186">
        <f>($C$53*$C$54)*'END Jul 2016'!N52/100</f>
        <v>126.4</v>
      </c>
      <c r="E75" s="186">
        <v>0</v>
      </c>
      <c r="F75" s="186">
        <f>($C$53*$C$55)*'END Jul 2016'!AH52/100</f>
        <v>239</v>
      </c>
      <c r="G75" s="186">
        <f>($C$53*$C$56)*'END Jul 2016'!W52/100</f>
        <v>96.6</v>
      </c>
      <c r="H75" s="188">
        <f t="shared" si="5"/>
        <v>552.09</v>
      </c>
      <c r="I75" s="203">
        <f t="shared" si="4"/>
        <v>2429.1960000000004</v>
      </c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</row>
    <row r="76" spans="1:47" s="173" customFormat="1" ht="14" x14ac:dyDescent="0.3"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</row>
    <row r="77" spans="1:47" s="173" customFormat="1" ht="14" x14ac:dyDescent="0.3"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</row>
    <row r="78" spans="1:47" s="173" customFormat="1" ht="14" x14ac:dyDescent="0.3"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</row>
    <row r="79" spans="1:47" s="173" customFormat="1" ht="14" x14ac:dyDescent="0.3"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</row>
    <row r="80" spans="1:47" s="173" customFormat="1" ht="14" x14ac:dyDescent="0.3"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</row>
    <row r="81" spans="10:47" s="173" customFormat="1" ht="14" x14ac:dyDescent="0.3"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</row>
    <row r="82" spans="10:47" s="173" customFormat="1" ht="14" x14ac:dyDescent="0.3"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</row>
    <row r="83" spans="10:47" s="173" customFormat="1" ht="14" x14ac:dyDescent="0.3"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</row>
    <row r="84" spans="10:47" s="173" customFormat="1" ht="14" x14ac:dyDescent="0.3"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</row>
    <row r="85" spans="10:47" s="173" customFormat="1" ht="14" x14ac:dyDescent="0.3"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</row>
    <row r="86" spans="10:47" s="173" customFormat="1" ht="14" x14ac:dyDescent="0.3"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</row>
    <row r="87" spans="10:47" s="173" customFormat="1" ht="14" x14ac:dyDescent="0.3"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</row>
    <row r="88" spans="10:47" s="173" customFormat="1" ht="14" x14ac:dyDescent="0.3"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</row>
    <row r="89" spans="10:47" s="173" customFormat="1" ht="14" x14ac:dyDescent="0.3"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</row>
    <row r="90" spans="10:47" s="173" customFormat="1" ht="14" x14ac:dyDescent="0.3"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</row>
    <row r="91" spans="10:47" s="173" customFormat="1" ht="14" x14ac:dyDescent="0.3"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</row>
    <row r="92" spans="10:47" s="173" customFormat="1" ht="14" x14ac:dyDescent="0.3">
      <c r="J92" s="172"/>
      <c r="K92" s="172"/>
      <c r="L92" s="172"/>
      <c r="M92" s="172"/>
      <c r="N92" s="172"/>
      <c r="O92" s="172"/>
      <c r="P92" s="172"/>
      <c r="Q92" s="172"/>
      <c r="R92" s="172"/>
      <c r="S92" s="172"/>
      <c r="T92" s="172"/>
      <c r="U92" s="172"/>
      <c r="V92" s="172"/>
      <c r="W92" s="172"/>
      <c r="X92" s="172"/>
      <c r="Y92" s="172"/>
      <c r="Z92" s="172"/>
      <c r="AA92" s="172"/>
      <c r="AB92" s="172"/>
      <c r="AC92" s="172"/>
      <c r="AD92" s="172"/>
      <c r="AE92" s="172"/>
      <c r="AF92" s="172"/>
      <c r="AG92" s="172"/>
      <c r="AH92" s="172"/>
      <c r="AI92" s="172"/>
      <c r="AJ92" s="172"/>
      <c r="AK92" s="172"/>
      <c r="AL92" s="172"/>
      <c r="AM92" s="172"/>
      <c r="AN92" s="172"/>
      <c r="AO92" s="172"/>
      <c r="AP92" s="172"/>
      <c r="AQ92" s="172"/>
      <c r="AR92" s="172"/>
      <c r="AS92" s="172"/>
      <c r="AT92" s="172"/>
      <c r="AU92" s="172"/>
    </row>
    <row r="93" spans="10:47" s="173" customFormat="1" ht="14" x14ac:dyDescent="0.3">
      <c r="J93" s="172"/>
      <c r="K93" s="172"/>
      <c r="L93" s="172"/>
      <c r="M93" s="172"/>
      <c r="N93" s="172"/>
      <c r="O93" s="172"/>
      <c r="P93" s="172"/>
      <c r="Q93" s="172"/>
      <c r="R93" s="172"/>
      <c r="S93" s="172"/>
      <c r="T93" s="172"/>
      <c r="U93" s="172"/>
      <c r="V93" s="172"/>
      <c r="W93" s="172"/>
      <c r="X93" s="172"/>
      <c r="Y93" s="172"/>
      <c r="Z93" s="172"/>
      <c r="AA93" s="172"/>
      <c r="AB93" s="172"/>
      <c r="AC93" s="172"/>
      <c r="AD93" s="172"/>
      <c r="AE93" s="172"/>
      <c r="AF93" s="172"/>
      <c r="AG93" s="172"/>
      <c r="AH93" s="172"/>
      <c r="AI93" s="172"/>
      <c r="AJ93" s="172"/>
      <c r="AK93" s="172"/>
      <c r="AL93" s="172"/>
      <c r="AM93" s="172"/>
      <c r="AN93" s="172"/>
      <c r="AO93" s="172"/>
      <c r="AP93" s="172"/>
      <c r="AQ93" s="172"/>
      <c r="AR93" s="172"/>
      <c r="AS93" s="172"/>
      <c r="AT93" s="172"/>
      <c r="AU93" s="172"/>
    </row>
    <row r="94" spans="10:47" s="173" customFormat="1" ht="14" x14ac:dyDescent="0.3">
      <c r="J94" s="172"/>
      <c r="K94" s="172"/>
      <c r="L94" s="172"/>
      <c r="M94" s="172"/>
      <c r="N94" s="172"/>
      <c r="O94" s="172"/>
      <c r="P94" s="172"/>
      <c r="Q94" s="172"/>
      <c r="R94" s="172"/>
      <c r="S94" s="172"/>
      <c r="T94" s="172"/>
      <c r="U94" s="172"/>
      <c r="V94" s="172"/>
      <c r="W94" s="172"/>
      <c r="X94" s="172"/>
      <c r="Y94" s="172"/>
      <c r="Z94" s="172"/>
      <c r="AA94" s="172"/>
      <c r="AB94" s="172"/>
      <c r="AC94" s="172"/>
      <c r="AD94" s="172"/>
      <c r="AE94" s="172"/>
      <c r="AF94" s="172"/>
      <c r="AG94" s="172"/>
      <c r="AH94" s="172"/>
      <c r="AI94" s="172"/>
      <c r="AJ94" s="172"/>
      <c r="AK94" s="172"/>
      <c r="AL94" s="172"/>
      <c r="AM94" s="172"/>
      <c r="AN94" s="172"/>
      <c r="AO94" s="172"/>
      <c r="AP94" s="172"/>
      <c r="AQ94" s="172"/>
      <c r="AR94" s="172"/>
      <c r="AS94" s="172"/>
      <c r="AT94" s="172"/>
      <c r="AU94" s="172"/>
    </row>
    <row r="95" spans="10:47" s="173" customFormat="1" ht="14" x14ac:dyDescent="0.3">
      <c r="J95" s="172"/>
      <c r="K95" s="172"/>
      <c r="L95" s="172"/>
      <c r="M95" s="172"/>
      <c r="N95" s="172"/>
      <c r="O95" s="172"/>
      <c r="P95" s="172"/>
      <c r="Q95" s="172"/>
      <c r="R95" s="172"/>
      <c r="S95" s="172"/>
      <c r="T95" s="172"/>
      <c r="U95" s="172"/>
      <c r="V95" s="172"/>
      <c r="W95" s="172"/>
      <c r="X95" s="172"/>
      <c r="Y95" s="172"/>
      <c r="Z95" s="172"/>
      <c r="AA95" s="172"/>
      <c r="AB95" s="172"/>
      <c r="AC95" s="172"/>
      <c r="AD95" s="172"/>
      <c r="AE95" s="172"/>
      <c r="AF95" s="172"/>
      <c r="AG95" s="172"/>
      <c r="AH95" s="172"/>
      <c r="AI95" s="172"/>
      <c r="AJ95" s="172"/>
      <c r="AK95" s="172"/>
      <c r="AL95" s="172"/>
      <c r="AM95" s="172"/>
      <c r="AN95" s="172"/>
      <c r="AO95" s="172"/>
      <c r="AP95" s="172"/>
      <c r="AQ95" s="172"/>
      <c r="AR95" s="172"/>
      <c r="AS95" s="172"/>
      <c r="AT95" s="172"/>
      <c r="AU95" s="172"/>
    </row>
    <row r="96" spans="10:47" s="173" customFormat="1" ht="14" x14ac:dyDescent="0.3">
      <c r="J96" s="172"/>
      <c r="K96" s="172"/>
      <c r="L96" s="172"/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72"/>
      <c r="Z96" s="172"/>
      <c r="AA96" s="172"/>
      <c r="AB96" s="172"/>
      <c r="AC96" s="172"/>
      <c r="AD96" s="172"/>
      <c r="AE96" s="172"/>
      <c r="AF96" s="172"/>
      <c r="AG96" s="172"/>
      <c r="AH96" s="172"/>
      <c r="AI96" s="172"/>
      <c r="AJ96" s="172"/>
      <c r="AK96" s="172"/>
      <c r="AL96" s="172"/>
      <c r="AM96" s="172"/>
      <c r="AN96" s="172"/>
      <c r="AO96" s="172"/>
      <c r="AP96" s="172"/>
      <c r="AQ96" s="172"/>
      <c r="AR96" s="172"/>
      <c r="AS96" s="172"/>
      <c r="AT96" s="172"/>
      <c r="AU96" s="172"/>
    </row>
    <row r="97" spans="10:47" s="173" customFormat="1" ht="14" x14ac:dyDescent="0.3">
      <c r="J97" s="172"/>
      <c r="K97" s="172"/>
      <c r="L97" s="172"/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72"/>
      <c r="Z97" s="172"/>
      <c r="AA97" s="172"/>
      <c r="AB97" s="172"/>
      <c r="AC97" s="172"/>
      <c r="AD97" s="172"/>
      <c r="AE97" s="172"/>
      <c r="AF97" s="172"/>
      <c r="AG97" s="172"/>
      <c r="AH97" s="172"/>
      <c r="AI97" s="172"/>
      <c r="AJ97" s="172"/>
      <c r="AK97" s="172"/>
      <c r="AL97" s="172"/>
      <c r="AM97" s="172"/>
      <c r="AN97" s="172"/>
      <c r="AO97" s="172"/>
      <c r="AP97" s="172"/>
      <c r="AQ97" s="172"/>
      <c r="AR97" s="172"/>
      <c r="AS97" s="172"/>
      <c r="AT97" s="172"/>
      <c r="AU97" s="172"/>
    </row>
    <row r="98" spans="10:47" s="173" customFormat="1" ht="14" x14ac:dyDescent="0.3">
      <c r="J98" s="172"/>
      <c r="K98" s="172"/>
      <c r="L98" s="172"/>
      <c r="M98" s="172"/>
      <c r="N98" s="172"/>
      <c r="O98" s="172"/>
      <c r="P98" s="172"/>
      <c r="Q98" s="172"/>
      <c r="R98" s="172"/>
      <c r="S98" s="172"/>
      <c r="T98" s="172"/>
      <c r="U98" s="172"/>
      <c r="V98" s="172"/>
      <c r="W98" s="172"/>
      <c r="X98" s="172"/>
      <c r="Y98" s="172"/>
      <c r="Z98" s="172"/>
      <c r="AA98" s="172"/>
      <c r="AB98" s="172"/>
      <c r="AC98" s="172"/>
      <c r="AD98" s="172"/>
      <c r="AE98" s="172"/>
      <c r="AF98" s="172"/>
      <c r="AG98" s="172"/>
      <c r="AH98" s="172"/>
      <c r="AI98" s="172"/>
      <c r="AJ98" s="172"/>
      <c r="AK98" s="172"/>
      <c r="AL98" s="172"/>
      <c r="AM98" s="172"/>
      <c r="AN98" s="172"/>
      <c r="AO98" s="172"/>
      <c r="AP98" s="172"/>
      <c r="AQ98" s="172"/>
      <c r="AR98" s="172"/>
      <c r="AS98" s="172"/>
      <c r="AT98" s="172"/>
      <c r="AU98" s="172"/>
    </row>
    <row r="99" spans="10:47" s="173" customFormat="1" ht="14" x14ac:dyDescent="0.3">
      <c r="J99" s="172"/>
      <c r="K99" s="172"/>
      <c r="L99" s="172"/>
      <c r="M99" s="172"/>
      <c r="N99" s="172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2"/>
      <c r="AK99" s="172"/>
      <c r="AL99" s="172"/>
      <c r="AM99" s="172"/>
      <c r="AN99" s="172"/>
      <c r="AO99" s="172"/>
      <c r="AP99" s="172"/>
      <c r="AQ99" s="172"/>
      <c r="AR99" s="172"/>
      <c r="AS99" s="172"/>
      <c r="AT99" s="172"/>
      <c r="AU99" s="172"/>
    </row>
    <row r="100" spans="10:47" s="173" customFormat="1" ht="14" x14ac:dyDescent="0.3">
      <c r="J100" s="172"/>
      <c r="K100" s="172"/>
      <c r="L100" s="172"/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72"/>
      <c r="Z100" s="172"/>
      <c r="AA100" s="172"/>
      <c r="AB100" s="172"/>
      <c r="AC100" s="172"/>
      <c r="AD100" s="172"/>
      <c r="AE100" s="172"/>
      <c r="AF100" s="172"/>
      <c r="AG100" s="172"/>
      <c r="AH100" s="172"/>
      <c r="AI100" s="172"/>
      <c r="AJ100" s="172"/>
      <c r="AK100" s="172"/>
      <c r="AL100" s="172"/>
      <c r="AM100" s="172"/>
      <c r="AN100" s="172"/>
      <c r="AO100" s="172"/>
      <c r="AP100" s="172"/>
      <c r="AQ100" s="172"/>
      <c r="AR100" s="172"/>
      <c r="AS100" s="172"/>
      <c r="AT100" s="172"/>
      <c r="AU100" s="172"/>
    </row>
    <row r="101" spans="10:47" s="173" customFormat="1" ht="14" x14ac:dyDescent="0.3">
      <c r="J101" s="172"/>
      <c r="K101" s="172"/>
      <c r="L101" s="172"/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72"/>
      <c r="Z101" s="172"/>
      <c r="AA101" s="172"/>
      <c r="AB101" s="172"/>
      <c r="AC101" s="172"/>
      <c r="AD101" s="172"/>
      <c r="AE101" s="172"/>
      <c r="AF101" s="172"/>
      <c r="AG101" s="172"/>
      <c r="AH101" s="172"/>
      <c r="AI101" s="172"/>
      <c r="AJ101" s="172"/>
      <c r="AK101" s="172"/>
      <c r="AL101" s="172"/>
      <c r="AM101" s="172"/>
      <c r="AN101" s="172"/>
      <c r="AO101" s="172"/>
      <c r="AP101" s="172"/>
      <c r="AQ101" s="172"/>
      <c r="AR101" s="172"/>
      <c r="AS101" s="172"/>
      <c r="AT101" s="172"/>
      <c r="AU101" s="172"/>
    </row>
    <row r="102" spans="10:47" s="173" customFormat="1" ht="14" x14ac:dyDescent="0.3">
      <c r="J102" s="172"/>
      <c r="K102" s="172"/>
      <c r="L102" s="172"/>
      <c r="M102" s="172"/>
      <c r="N102" s="172"/>
      <c r="O102" s="172"/>
      <c r="P102" s="172"/>
      <c r="Q102" s="172"/>
      <c r="R102" s="172"/>
      <c r="S102" s="172"/>
      <c r="T102" s="172"/>
      <c r="U102" s="172"/>
      <c r="V102" s="172"/>
      <c r="W102" s="172"/>
      <c r="X102" s="172"/>
      <c r="Y102" s="172"/>
      <c r="Z102" s="172"/>
      <c r="AA102" s="172"/>
      <c r="AB102" s="172"/>
      <c r="AC102" s="172"/>
      <c r="AD102" s="172"/>
      <c r="AE102" s="172"/>
      <c r="AF102" s="172"/>
      <c r="AG102" s="172"/>
      <c r="AH102" s="172"/>
      <c r="AI102" s="172"/>
      <c r="AJ102" s="172"/>
      <c r="AK102" s="172"/>
      <c r="AL102" s="172"/>
      <c r="AM102" s="172"/>
      <c r="AN102" s="172"/>
      <c r="AO102" s="172"/>
      <c r="AP102" s="172"/>
      <c r="AQ102" s="172"/>
      <c r="AR102" s="172"/>
      <c r="AS102" s="172"/>
      <c r="AT102" s="172"/>
      <c r="AU102" s="172"/>
    </row>
    <row r="103" spans="10:47" s="173" customFormat="1" ht="14" x14ac:dyDescent="0.3">
      <c r="J103" s="172"/>
      <c r="K103" s="172"/>
      <c r="L103" s="172"/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72"/>
      <c r="Z103" s="172"/>
      <c r="AA103" s="172"/>
      <c r="AB103" s="172"/>
      <c r="AC103" s="172"/>
      <c r="AD103" s="172"/>
      <c r="AE103" s="172"/>
      <c r="AF103" s="172"/>
      <c r="AG103" s="172"/>
      <c r="AH103" s="172"/>
      <c r="AI103" s="172"/>
      <c r="AJ103" s="172"/>
      <c r="AK103" s="172"/>
      <c r="AL103" s="172"/>
      <c r="AM103" s="172"/>
      <c r="AN103" s="172"/>
      <c r="AO103" s="172"/>
      <c r="AP103" s="172"/>
      <c r="AQ103" s="172"/>
      <c r="AR103" s="172"/>
      <c r="AS103" s="172"/>
      <c r="AT103" s="172"/>
      <c r="AU103" s="172"/>
    </row>
    <row r="104" spans="10:47" s="173" customFormat="1" ht="14" x14ac:dyDescent="0.3">
      <c r="J104" s="172"/>
      <c r="K104" s="172"/>
      <c r="L104" s="172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172"/>
      <c r="AF104" s="172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172"/>
    </row>
    <row r="105" spans="10:47" s="173" customFormat="1" ht="14" x14ac:dyDescent="0.3">
      <c r="J105" s="172"/>
      <c r="K105" s="172"/>
      <c r="L105" s="172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172"/>
      <c r="AF105" s="172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172"/>
    </row>
    <row r="106" spans="10:47" s="173" customFormat="1" ht="14" x14ac:dyDescent="0.3">
      <c r="J106" s="172"/>
      <c r="K106" s="172"/>
      <c r="L106" s="172"/>
      <c r="M106" s="172"/>
      <c r="N106" s="172"/>
      <c r="O106" s="172"/>
      <c r="P106" s="172"/>
      <c r="Q106" s="172"/>
      <c r="R106" s="172"/>
      <c r="S106" s="172"/>
      <c r="T106" s="172"/>
      <c r="U106" s="172"/>
      <c r="V106" s="172"/>
      <c r="W106" s="172"/>
      <c r="X106" s="172"/>
      <c r="Y106" s="172"/>
      <c r="Z106" s="172"/>
      <c r="AA106" s="172"/>
      <c r="AB106" s="172"/>
      <c r="AC106" s="172"/>
      <c r="AD106" s="172"/>
      <c r="AE106" s="172"/>
      <c r="AF106" s="172"/>
      <c r="AG106" s="172"/>
      <c r="AH106" s="172"/>
      <c r="AI106" s="172"/>
      <c r="AJ106" s="172"/>
      <c r="AK106" s="172"/>
      <c r="AL106" s="172"/>
      <c r="AM106" s="172"/>
      <c r="AN106" s="172"/>
      <c r="AO106" s="172"/>
      <c r="AP106" s="172"/>
      <c r="AQ106" s="172"/>
      <c r="AR106" s="172"/>
      <c r="AS106" s="172"/>
      <c r="AT106" s="172"/>
      <c r="AU106" s="172"/>
    </row>
    <row r="107" spans="10:47" s="173" customFormat="1" ht="14" x14ac:dyDescent="0.3">
      <c r="J107" s="172"/>
      <c r="K107" s="172"/>
      <c r="L107" s="172"/>
      <c r="M107" s="172"/>
      <c r="N107" s="172"/>
      <c r="O107" s="172"/>
      <c r="P107" s="172"/>
      <c r="Q107" s="172"/>
      <c r="R107" s="172"/>
      <c r="S107" s="172"/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  <c r="AF107" s="172"/>
      <c r="AG107" s="172"/>
      <c r="AH107" s="172"/>
      <c r="AI107" s="172"/>
      <c r="AJ107" s="172"/>
      <c r="AK107" s="172"/>
      <c r="AL107" s="172"/>
      <c r="AM107" s="172"/>
      <c r="AN107" s="172"/>
      <c r="AO107" s="172"/>
      <c r="AP107" s="172"/>
      <c r="AQ107" s="172"/>
      <c r="AR107" s="172"/>
      <c r="AS107" s="172"/>
      <c r="AT107" s="172"/>
      <c r="AU107" s="172"/>
    </row>
    <row r="108" spans="10:47" s="173" customFormat="1" ht="14" x14ac:dyDescent="0.3">
      <c r="J108" s="172"/>
      <c r="K108" s="172"/>
      <c r="L108" s="172"/>
      <c r="M108" s="172"/>
      <c r="N108" s="172"/>
      <c r="O108" s="172"/>
      <c r="P108" s="172"/>
      <c r="Q108" s="172"/>
      <c r="R108" s="172"/>
      <c r="S108" s="172"/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  <c r="AF108" s="172"/>
      <c r="AG108" s="172"/>
      <c r="AH108" s="172"/>
      <c r="AI108" s="172"/>
      <c r="AJ108" s="172"/>
      <c r="AK108" s="172"/>
      <c r="AL108" s="172"/>
      <c r="AM108" s="172"/>
      <c r="AN108" s="172"/>
      <c r="AO108" s="172"/>
      <c r="AP108" s="172"/>
      <c r="AQ108" s="172"/>
      <c r="AR108" s="172"/>
      <c r="AS108" s="172"/>
      <c r="AT108" s="172"/>
      <c r="AU108" s="172"/>
    </row>
    <row r="109" spans="10:47" s="173" customFormat="1" ht="14" x14ac:dyDescent="0.3"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  <c r="AF109" s="172"/>
      <c r="AG109" s="172"/>
      <c r="AH109" s="172"/>
      <c r="AI109" s="172"/>
      <c r="AJ109" s="172"/>
      <c r="AK109" s="172"/>
      <c r="AL109" s="172"/>
      <c r="AM109" s="172"/>
      <c r="AN109" s="172"/>
      <c r="AO109" s="172"/>
      <c r="AP109" s="172"/>
      <c r="AQ109" s="172"/>
      <c r="AR109" s="172"/>
      <c r="AS109" s="172"/>
      <c r="AT109" s="172"/>
      <c r="AU109" s="172"/>
    </row>
    <row r="110" spans="10:47" s="173" customFormat="1" ht="14" x14ac:dyDescent="0.3"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  <c r="AF110" s="172"/>
      <c r="AG110" s="172"/>
      <c r="AH110" s="172"/>
      <c r="AI110" s="172"/>
      <c r="AJ110" s="172"/>
      <c r="AK110" s="172"/>
      <c r="AL110" s="172"/>
      <c r="AM110" s="172"/>
      <c r="AN110" s="172"/>
      <c r="AO110" s="172"/>
      <c r="AP110" s="172"/>
      <c r="AQ110" s="172"/>
      <c r="AR110" s="172"/>
      <c r="AS110" s="172"/>
      <c r="AT110" s="172"/>
      <c r="AU110" s="172"/>
    </row>
    <row r="111" spans="10:47" s="173" customFormat="1" ht="14" x14ac:dyDescent="0.3">
      <c r="J111" s="172"/>
      <c r="K111" s="172"/>
      <c r="L111" s="172"/>
      <c r="M111" s="172"/>
      <c r="N111" s="172"/>
      <c r="O111" s="172"/>
      <c r="P111" s="172"/>
      <c r="Q111" s="172"/>
      <c r="R111" s="172"/>
      <c r="S111" s="172"/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  <c r="AF111" s="172"/>
      <c r="AG111" s="172"/>
      <c r="AH111" s="172"/>
      <c r="AI111" s="172"/>
      <c r="AJ111" s="172"/>
      <c r="AK111" s="172"/>
      <c r="AL111" s="172"/>
      <c r="AM111" s="172"/>
      <c r="AN111" s="172"/>
      <c r="AO111" s="172"/>
      <c r="AP111" s="172"/>
      <c r="AQ111" s="172"/>
      <c r="AR111" s="172"/>
      <c r="AS111" s="172"/>
      <c r="AT111" s="172"/>
      <c r="AU111" s="172"/>
    </row>
    <row r="112" spans="10:47" s="173" customFormat="1" ht="14" x14ac:dyDescent="0.3">
      <c r="J112" s="172"/>
      <c r="K112" s="172"/>
      <c r="L112" s="172"/>
      <c r="M112" s="172"/>
      <c r="N112" s="172"/>
      <c r="O112" s="172"/>
      <c r="P112" s="172"/>
      <c r="Q112" s="172"/>
      <c r="R112" s="172"/>
      <c r="S112" s="172"/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  <c r="AF112" s="172"/>
      <c r="AG112" s="172"/>
      <c r="AH112" s="172"/>
      <c r="AI112" s="172"/>
      <c r="AJ112" s="172"/>
      <c r="AK112" s="172"/>
      <c r="AL112" s="172"/>
      <c r="AM112" s="172"/>
      <c r="AN112" s="172"/>
      <c r="AO112" s="172"/>
      <c r="AP112" s="172"/>
      <c r="AQ112" s="172"/>
      <c r="AR112" s="172"/>
      <c r="AS112" s="172"/>
      <c r="AT112" s="172"/>
      <c r="AU112" s="172"/>
    </row>
    <row r="113" spans="10:47" s="173" customFormat="1" ht="14" x14ac:dyDescent="0.3">
      <c r="J113" s="172"/>
      <c r="K113" s="172"/>
      <c r="L113" s="172"/>
      <c r="M113" s="172"/>
      <c r="N113" s="172"/>
      <c r="O113" s="172"/>
      <c r="P113" s="172"/>
      <c r="Q113" s="172"/>
      <c r="R113" s="172"/>
      <c r="S113" s="172"/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  <c r="AF113" s="172"/>
      <c r="AG113" s="172"/>
      <c r="AH113" s="172"/>
      <c r="AI113" s="172"/>
      <c r="AJ113" s="172"/>
      <c r="AK113" s="172"/>
      <c r="AL113" s="172"/>
      <c r="AM113" s="172"/>
      <c r="AN113" s="172"/>
      <c r="AO113" s="172"/>
      <c r="AP113" s="172"/>
      <c r="AQ113" s="172"/>
      <c r="AR113" s="172"/>
      <c r="AS113" s="172"/>
      <c r="AT113" s="172"/>
      <c r="AU113" s="172"/>
    </row>
    <row r="114" spans="10:47" s="173" customFormat="1" ht="14" x14ac:dyDescent="0.3">
      <c r="J114" s="172"/>
      <c r="K114" s="172"/>
      <c r="L114" s="172"/>
      <c r="M114" s="172"/>
      <c r="N114" s="172"/>
      <c r="O114" s="172"/>
      <c r="P114" s="172"/>
      <c r="Q114" s="172"/>
      <c r="R114" s="172"/>
      <c r="S114" s="172"/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  <c r="AF114" s="172"/>
      <c r="AG114" s="172"/>
      <c r="AH114" s="172"/>
      <c r="AI114" s="172"/>
      <c r="AJ114" s="172"/>
      <c r="AK114" s="172"/>
      <c r="AL114" s="172"/>
      <c r="AM114" s="172"/>
      <c r="AN114" s="172"/>
      <c r="AO114" s="172"/>
      <c r="AP114" s="172"/>
      <c r="AQ114" s="172"/>
      <c r="AR114" s="172"/>
      <c r="AS114" s="172"/>
      <c r="AT114" s="172"/>
      <c r="AU114" s="172"/>
    </row>
    <row r="115" spans="10:47" s="173" customFormat="1" ht="14" x14ac:dyDescent="0.3">
      <c r="J115" s="172"/>
      <c r="K115" s="172"/>
      <c r="L115" s="172"/>
      <c r="M115" s="172"/>
      <c r="N115" s="172"/>
      <c r="O115" s="172"/>
      <c r="P115" s="172"/>
      <c r="Q115" s="172"/>
      <c r="R115" s="172"/>
      <c r="S115" s="172"/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  <c r="AF115" s="172"/>
      <c r="AG115" s="172"/>
      <c r="AH115" s="172"/>
      <c r="AI115" s="172"/>
      <c r="AJ115" s="172"/>
      <c r="AK115" s="172"/>
      <c r="AL115" s="172"/>
      <c r="AM115" s="172"/>
      <c r="AN115" s="172"/>
      <c r="AO115" s="172"/>
      <c r="AP115" s="172"/>
      <c r="AQ115" s="172"/>
      <c r="AR115" s="172"/>
      <c r="AS115" s="172"/>
      <c r="AT115" s="172"/>
      <c r="AU115" s="172"/>
    </row>
    <row r="116" spans="10:47" s="173" customFormat="1" ht="14" x14ac:dyDescent="0.3">
      <c r="J116" s="172"/>
      <c r="K116" s="172"/>
      <c r="L116" s="172"/>
      <c r="M116" s="172"/>
      <c r="N116" s="172"/>
      <c r="O116" s="172"/>
      <c r="P116" s="172"/>
      <c r="Q116" s="172"/>
      <c r="R116" s="172"/>
      <c r="S116" s="172"/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  <c r="AF116" s="172"/>
      <c r="AG116" s="172"/>
      <c r="AH116" s="172"/>
      <c r="AI116" s="172"/>
      <c r="AJ116" s="172"/>
      <c r="AK116" s="172"/>
      <c r="AL116" s="172"/>
      <c r="AM116" s="172"/>
      <c r="AN116" s="172"/>
      <c r="AO116" s="172"/>
      <c r="AP116" s="172"/>
      <c r="AQ116" s="172"/>
      <c r="AR116" s="172"/>
      <c r="AS116" s="172"/>
      <c r="AT116" s="172"/>
      <c r="AU116" s="172"/>
    </row>
    <row r="117" spans="10:47" s="173" customFormat="1" ht="14" x14ac:dyDescent="0.3">
      <c r="J117" s="172"/>
      <c r="K117" s="172"/>
      <c r="L117" s="172"/>
      <c r="M117" s="172"/>
      <c r="N117" s="172"/>
      <c r="O117" s="172"/>
      <c r="P117" s="172"/>
      <c r="Q117" s="172"/>
      <c r="R117" s="172"/>
      <c r="S117" s="172"/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  <c r="AF117" s="172"/>
      <c r="AG117" s="172"/>
      <c r="AH117" s="172"/>
      <c r="AI117" s="172"/>
      <c r="AJ117" s="172"/>
      <c r="AK117" s="172"/>
      <c r="AL117" s="172"/>
      <c r="AM117" s="172"/>
      <c r="AN117" s="172"/>
      <c r="AO117" s="172"/>
      <c r="AP117" s="172"/>
      <c r="AQ117" s="172"/>
      <c r="AR117" s="172"/>
      <c r="AS117" s="172"/>
      <c r="AT117" s="172"/>
      <c r="AU117" s="172"/>
    </row>
    <row r="118" spans="10:47" s="173" customFormat="1" ht="14" x14ac:dyDescent="0.3">
      <c r="J118" s="172"/>
      <c r="K118" s="172"/>
      <c r="L118" s="172"/>
      <c r="M118" s="172"/>
      <c r="N118" s="172"/>
      <c r="O118" s="172"/>
      <c r="P118" s="172"/>
      <c r="Q118" s="172"/>
      <c r="R118" s="172"/>
      <c r="S118" s="172"/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  <c r="AF118" s="172"/>
      <c r="AG118" s="172"/>
      <c r="AH118" s="172"/>
      <c r="AI118" s="172"/>
      <c r="AJ118" s="172"/>
      <c r="AK118" s="172"/>
      <c r="AL118" s="172"/>
      <c r="AM118" s="172"/>
      <c r="AN118" s="172"/>
      <c r="AO118" s="172"/>
      <c r="AP118" s="172"/>
      <c r="AQ118" s="172"/>
      <c r="AR118" s="172"/>
      <c r="AS118" s="172"/>
      <c r="AT118" s="172"/>
      <c r="AU118" s="172"/>
    </row>
    <row r="119" spans="10:47" s="173" customFormat="1" ht="14" x14ac:dyDescent="0.3">
      <c r="J119" s="172"/>
      <c r="K119" s="172"/>
      <c r="L119" s="172"/>
      <c r="M119" s="172"/>
      <c r="N119" s="172"/>
      <c r="O119" s="172"/>
      <c r="P119" s="172"/>
      <c r="Q119" s="172"/>
      <c r="R119" s="172"/>
      <c r="S119" s="172"/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  <c r="AF119" s="172"/>
      <c r="AG119" s="172"/>
      <c r="AH119" s="172"/>
      <c r="AI119" s="172"/>
      <c r="AJ119" s="172"/>
      <c r="AK119" s="172"/>
      <c r="AL119" s="172"/>
      <c r="AM119" s="172"/>
      <c r="AN119" s="172"/>
      <c r="AO119" s="172"/>
      <c r="AP119" s="172"/>
      <c r="AQ119" s="172"/>
      <c r="AR119" s="172"/>
      <c r="AS119" s="172"/>
      <c r="AT119" s="172"/>
      <c r="AU119" s="172"/>
    </row>
    <row r="120" spans="10:47" s="173" customFormat="1" ht="14" x14ac:dyDescent="0.3">
      <c r="J120" s="172"/>
      <c r="K120" s="172"/>
      <c r="L120" s="172"/>
      <c r="M120" s="172"/>
      <c r="N120" s="172"/>
      <c r="O120" s="172"/>
      <c r="P120" s="172"/>
      <c r="Q120" s="172"/>
      <c r="R120" s="172"/>
      <c r="S120" s="172"/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  <c r="AF120" s="172"/>
      <c r="AG120" s="172"/>
      <c r="AH120" s="172"/>
      <c r="AI120" s="172"/>
      <c r="AJ120" s="172"/>
      <c r="AK120" s="172"/>
      <c r="AL120" s="172"/>
      <c r="AM120" s="172"/>
      <c r="AN120" s="172"/>
      <c r="AO120" s="172"/>
      <c r="AP120" s="172"/>
      <c r="AQ120" s="172"/>
      <c r="AR120" s="172"/>
      <c r="AS120" s="172"/>
      <c r="AT120" s="172"/>
      <c r="AU120" s="172"/>
    </row>
    <row r="121" spans="10:47" s="173" customFormat="1" ht="14" x14ac:dyDescent="0.3">
      <c r="J121" s="172"/>
      <c r="K121" s="172"/>
      <c r="L121" s="172"/>
      <c r="M121" s="172"/>
      <c r="N121" s="172"/>
      <c r="O121" s="172"/>
      <c r="P121" s="172"/>
      <c r="Q121" s="172"/>
      <c r="R121" s="172"/>
      <c r="S121" s="172"/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  <c r="AF121" s="172"/>
      <c r="AG121" s="172"/>
      <c r="AH121" s="172"/>
      <c r="AI121" s="172"/>
      <c r="AJ121" s="172"/>
      <c r="AK121" s="172"/>
      <c r="AL121" s="172"/>
      <c r="AM121" s="172"/>
      <c r="AN121" s="172"/>
      <c r="AO121" s="172"/>
      <c r="AP121" s="172"/>
      <c r="AQ121" s="172"/>
      <c r="AR121" s="172"/>
      <c r="AS121" s="172"/>
      <c r="AT121" s="172"/>
      <c r="AU121" s="172"/>
    </row>
    <row r="122" spans="10:47" s="173" customFormat="1" ht="14" x14ac:dyDescent="0.3">
      <c r="J122" s="172"/>
      <c r="K122" s="172"/>
      <c r="L122" s="172"/>
      <c r="M122" s="172"/>
      <c r="N122" s="172"/>
      <c r="O122" s="172"/>
      <c r="P122" s="172"/>
      <c r="Q122" s="172"/>
      <c r="R122" s="172"/>
      <c r="S122" s="172"/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  <c r="AF122" s="172"/>
      <c r="AG122" s="172"/>
      <c r="AH122" s="172"/>
      <c r="AI122" s="172"/>
      <c r="AJ122" s="172"/>
      <c r="AK122" s="172"/>
      <c r="AL122" s="172"/>
      <c r="AM122" s="172"/>
      <c r="AN122" s="172"/>
      <c r="AO122" s="172"/>
      <c r="AP122" s="172"/>
      <c r="AQ122" s="172"/>
      <c r="AR122" s="172"/>
      <c r="AS122" s="172"/>
      <c r="AT122" s="172"/>
      <c r="AU122" s="172"/>
    </row>
    <row r="123" spans="10:47" s="173" customFormat="1" ht="14" x14ac:dyDescent="0.3"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  <c r="AF123" s="172"/>
      <c r="AG123" s="172"/>
      <c r="AH123" s="172"/>
      <c r="AI123" s="172"/>
      <c r="AJ123" s="172"/>
      <c r="AK123" s="172"/>
      <c r="AL123" s="172"/>
      <c r="AM123" s="172"/>
      <c r="AN123" s="172"/>
      <c r="AO123" s="172"/>
      <c r="AP123" s="172"/>
      <c r="AQ123" s="172"/>
      <c r="AR123" s="172"/>
      <c r="AS123" s="172"/>
      <c r="AT123" s="172"/>
      <c r="AU123" s="172"/>
    </row>
    <row r="124" spans="10:47" s="173" customFormat="1" ht="14" x14ac:dyDescent="0.3">
      <c r="J124" s="172"/>
      <c r="K124" s="172"/>
      <c r="L124" s="172"/>
      <c r="M124" s="172"/>
      <c r="N124" s="172"/>
      <c r="O124" s="172"/>
      <c r="P124" s="172"/>
      <c r="Q124" s="172"/>
      <c r="R124" s="172"/>
      <c r="S124" s="172"/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  <c r="AF124" s="172"/>
      <c r="AG124" s="172"/>
      <c r="AH124" s="172"/>
      <c r="AI124" s="172"/>
      <c r="AJ124" s="172"/>
      <c r="AK124" s="172"/>
      <c r="AL124" s="172"/>
      <c r="AM124" s="172"/>
      <c r="AN124" s="172"/>
      <c r="AO124" s="172"/>
      <c r="AP124" s="172"/>
      <c r="AQ124" s="172"/>
      <c r="AR124" s="172"/>
      <c r="AS124" s="172"/>
      <c r="AT124" s="172"/>
      <c r="AU124" s="172"/>
    </row>
    <row r="125" spans="10:47" s="173" customFormat="1" ht="14" x14ac:dyDescent="0.3">
      <c r="J125" s="172"/>
      <c r="K125" s="172"/>
      <c r="L125" s="172"/>
      <c r="M125" s="172"/>
      <c r="N125" s="172"/>
      <c r="O125" s="172"/>
      <c r="P125" s="172"/>
      <c r="Q125" s="172"/>
      <c r="R125" s="172"/>
      <c r="S125" s="172"/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  <c r="AF125" s="172"/>
      <c r="AG125" s="172"/>
      <c r="AH125" s="172"/>
      <c r="AI125" s="172"/>
      <c r="AJ125" s="172"/>
      <c r="AK125" s="172"/>
      <c r="AL125" s="172"/>
      <c r="AM125" s="172"/>
      <c r="AN125" s="172"/>
      <c r="AO125" s="172"/>
      <c r="AP125" s="172"/>
      <c r="AQ125" s="172"/>
      <c r="AR125" s="172"/>
      <c r="AS125" s="172"/>
      <c r="AT125" s="172"/>
      <c r="AU125" s="172"/>
    </row>
    <row r="126" spans="10:47" s="173" customFormat="1" ht="14" x14ac:dyDescent="0.3">
      <c r="J126" s="172"/>
      <c r="K126" s="172"/>
      <c r="L126" s="172"/>
      <c r="M126" s="172"/>
      <c r="N126" s="172"/>
      <c r="O126" s="172"/>
      <c r="P126" s="172"/>
      <c r="Q126" s="172"/>
      <c r="R126" s="172"/>
      <c r="S126" s="172"/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  <c r="AF126" s="172"/>
      <c r="AG126" s="172"/>
      <c r="AH126" s="172"/>
      <c r="AI126" s="172"/>
      <c r="AJ126" s="172"/>
      <c r="AK126" s="172"/>
      <c r="AL126" s="172"/>
      <c r="AM126" s="172"/>
      <c r="AN126" s="172"/>
      <c r="AO126" s="172"/>
      <c r="AP126" s="172"/>
      <c r="AQ126" s="172"/>
      <c r="AR126" s="172"/>
      <c r="AS126" s="172"/>
      <c r="AT126" s="172"/>
      <c r="AU126" s="172"/>
    </row>
    <row r="127" spans="10:47" s="173" customFormat="1" ht="14" x14ac:dyDescent="0.3">
      <c r="J127" s="172"/>
      <c r="K127" s="172"/>
      <c r="L127" s="172"/>
      <c r="M127" s="172"/>
      <c r="N127" s="172"/>
      <c r="O127" s="172"/>
      <c r="P127" s="172"/>
      <c r="Q127" s="172"/>
      <c r="R127" s="172"/>
      <c r="S127" s="172"/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  <c r="AF127" s="172"/>
      <c r="AG127" s="172"/>
      <c r="AH127" s="172"/>
      <c r="AI127" s="172"/>
      <c r="AJ127" s="172"/>
      <c r="AK127" s="172"/>
      <c r="AL127" s="172"/>
      <c r="AM127" s="172"/>
      <c r="AN127" s="172"/>
      <c r="AO127" s="172"/>
      <c r="AP127" s="172"/>
      <c r="AQ127" s="172"/>
      <c r="AR127" s="172"/>
      <c r="AS127" s="172"/>
      <c r="AT127" s="172"/>
      <c r="AU127" s="172"/>
    </row>
    <row r="128" spans="10:47" s="173" customFormat="1" ht="14" x14ac:dyDescent="0.3">
      <c r="J128" s="172"/>
      <c r="K128" s="172"/>
      <c r="L128" s="172"/>
      <c r="M128" s="172"/>
      <c r="N128" s="172"/>
      <c r="O128" s="172"/>
      <c r="P128" s="172"/>
      <c r="Q128" s="172"/>
      <c r="R128" s="172"/>
      <c r="S128" s="172"/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  <c r="AF128" s="172"/>
      <c r="AG128" s="172"/>
      <c r="AH128" s="172"/>
      <c r="AI128" s="172"/>
      <c r="AJ128" s="172"/>
      <c r="AK128" s="172"/>
      <c r="AL128" s="172"/>
      <c r="AM128" s="172"/>
      <c r="AN128" s="172"/>
      <c r="AO128" s="172"/>
      <c r="AP128" s="172"/>
      <c r="AQ128" s="172"/>
      <c r="AR128" s="172"/>
      <c r="AS128" s="172"/>
      <c r="AT128" s="172"/>
      <c r="AU128" s="172"/>
    </row>
    <row r="129" spans="10:47" s="173" customFormat="1" ht="14" x14ac:dyDescent="0.3">
      <c r="J129" s="172"/>
      <c r="K129" s="172"/>
      <c r="L129" s="172"/>
      <c r="M129" s="172"/>
      <c r="N129" s="172"/>
      <c r="O129" s="172"/>
      <c r="P129" s="172"/>
      <c r="Q129" s="172"/>
      <c r="R129" s="172"/>
      <c r="S129" s="172"/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  <c r="AF129" s="172"/>
      <c r="AG129" s="172"/>
      <c r="AH129" s="172"/>
      <c r="AI129" s="172"/>
      <c r="AJ129" s="172"/>
      <c r="AK129" s="172"/>
      <c r="AL129" s="172"/>
      <c r="AM129" s="172"/>
      <c r="AN129" s="172"/>
      <c r="AO129" s="172"/>
      <c r="AP129" s="172"/>
      <c r="AQ129" s="172"/>
      <c r="AR129" s="172"/>
      <c r="AS129" s="172"/>
      <c r="AT129" s="172"/>
      <c r="AU129" s="172"/>
    </row>
    <row r="130" spans="10:47" s="173" customFormat="1" ht="14" x14ac:dyDescent="0.3">
      <c r="J130" s="172"/>
      <c r="K130" s="172"/>
      <c r="L130" s="172"/>
      <c r="M130" s="172"/>
      <c r="N130" s="172"/>
      <c r="O130" s="172"/>
      <c r="P130" s="172"/>
      <c r="Q130" s="172"/>
      <c r="R130" s="172"/>
      <c r="S130" s="172"/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  <c r="AF130" s="172"/>
      <c r="AG130" s="172"/>
      <c r="AH130" s="172"/>
      <c r="AI130" s="172"/>
      <c r="AJ130" s="172"/>
      <c r="AK130" s="172"/>
      <c r="AL130" s="172"/>
      <c r="AM130" s="172"/>
      <c r="AN130" s="172"/>
      <c r="AO130" s="172"/>
      <c r="AP130" s="172"/>
      <c r="AQ130" s="172"/>
      <c r="AR130" s="172"/>
      <c r="AS130" s="172"/>
      <c r="AT130" s="172"/>
      <c r="AU130" s="172"/>
    </row>
    <row r="131" spans="10:47" s="173" customFormat="1" ht="14" x14ac:dyDescent="0.3">
      <c r="J131" s="172"/>
      <c r="K131" s="172"/>
      <c r="L131" s="172"/>
      <c r="M131" s="172"/>
      <c r="N131" s="172"/>
      <c r="O131" s="172"/>
      <c r="P131" s="172"/>
      <c r="Q131" s="172"/>
      <c r="R131" s="172"/>
      <c r="S131" s="172"/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  <c r="AF131" s="172"/>
      <c r="AG131" s="172"/>
      <c r="AH131" s="172"/>
      <c r="AI131" s="172"/>
      <c r="AJ131" s="172"/>
      <c r="AK131" s="172"/>
      <c r="AL131" s="172"/>
      <c r="AM131" s="172"/>
      <c r="AN131" s="172"/>
      <c r="AO131" s="172"/>
      <c r="AP131" s="172"/>
      <c r="AQ131" s="172"/>
      <c r="AR131" s="172"/>
      <c r="AS131" s="172"/>
      <c r="AT131" s="172"/>
      <c r="AU131" s="172"/>
    </row>
    <row r="132" spans="10:47" s="173" customFormat="1" ht="14" x14ac:dyDescent="0.3">
      <c r="J132" s="172"/>
      <c r="K132" s="172"/>
      <c r="L132" s="172"/>
      <c r="M132" s="172"/>
      <c r="N132" s="172"/>
      <c r="O132" s="172"/>
      <c r="P132" s="172"/>
      <c r="Q132" s="172"/>
      <c r="R132" s="172"/>
      <c r="S132" s="172"/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  <c r="AF132" s="172"/>
      <c r="AG132" s="172"/>
      <c r="AH132" s="172"/>
      <c r="AI132" s="172"/>
      <c r="AJ132" s="172"/>
      <c r="AK132" s="172"/>
      <c r="AL132" s="172"/>
      <c r="AM132" s="172"/>
      <c r="AN132" s="172"/>
      <c r="AO132" s="172"/>
      <c r="AP132" s="172"/>
      <c r="AQ132" s="172"/>
      <c r="AR132" s="172"/>
      <c r="AS132" s="172"/>
      <c r="AT132" s="172"/>
      <c r="AU132" s="172"/>
    </row>
    <row r="133" spans="10:47" s="173" customFormat="1" ht="14" x14ac:dyDescent="0.3">
      <c r="J133" s="172"/>
      <c r="K133" s="172"/>
      <c r="L133" s="172"/>
      <c r="M133" s="172"/>
      <c r="N133" s="172"/>
      <c r="O133" s="172"/>
      <c r="P133" s="172"/>
      <c r="Q133" s="172"/>
      <c r="R133" s="172"/>
      <c r="S133" s="172"/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  <c r="AF133" s="172"/>
      <c r="AG133" s="172"/>
      <c r="AH133" s="172"/>
      <c r="AI133" s="172"/>
      <c r="AJ133" s="172"/>
      <c r="AK133" s="172"/>
      <c r="AL133" s="172"/>
      <c r="AM133" s="172"/>
      <c r="AN133" s="172"/>
      <c r="AO133" s="172"/>
      <c r="AP133" s="172"/>
      <c r="AQ133" s="172"/>
      <c r="AR133" s="172"/>
      <c r="AS133" s="172"/>
      <c r="AT133" s="172"/>
      <c r="AU133" s="172"/>
    </row>
    <row r="134" spans="10:47" s="173" customFormat="1" ht="14" x14ac:dyDescent="0.3">
      <c r="J134" s="172"/>
      <c r="K134" s="172"/>
      <c r="L134" s="172"/>
      <c r="M134" s="172"/>
      <c r="N134" s="172"/>
      <c r="O134" s="172"/>
      <c r="P134" s="172"/>
      <c r="Q134" s="172"/>
      <c r="R134" s="172"/>
      <c r="S134" s="172"/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  <c r="AF134" s="172"/>
      <c r="AG134" s="172"/>
      <c r="AH134" s="172"/>
      <c r="AI134" s="172"/>
      <c r="AJ134" s="172"/>
      <c r="AK134" s="172"/>
      <c r="AL134" s="172"/>
      <c r="AM134" s="172"/>
      <c r="AN134" s="172"/>
      <c r="AO134" s="172"/>
      <c r="AP134" s="172"/>
      <c r="AQ134" s="172"/>
      <c r="AR134" s="172"/>
      <c r="AS134" s="172"/>
      <c r="AT134" s="172"/>
      <c r="AU134" s="172"/>
    </row>
    <row r="135" spans="10:47" s="173" customFormat="1" ht="14" x14ac:dyDescent="0.3">
      <c r="J135" s="172"/>
      <c r="K135" s="172"/>
      <c r="L135" s="172"/>
      <c r="M135" s="172"/>
      <c r="N135" s="172"/>
      <c r="O135" s="172"/>
      <c r="P135" s="172"/>
      <c r="Q135" s="172"/>
      <c r="R135" s="172"/>
      <c r="S135" s="172"/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  <c r="AF135" s="172"/>
      <c r="AG135" s="172"/>
      <c r="AH135" s="172"/>
      <c r="AI135" s="172"/>
      <c r="AJ135" s="172"/>
      <c r="AK135" s="172"/>
      <c r="AL135" s="172"/>
      <c r="AM135" s="172"/>
      <c r="AN135" s="172"/>
      <c r="AO135" s="172"/>
      <c r="AP135" s="172"/>
      <c r="AQ135" s="172"/>
      <c r="AR135" s="172"/>
      <c r="AS135" s="172"/>
      <c r="AT135" s="172"/>
      <c r="AU135" s="172"/>
    </row>
    <row r="136" spans="10:47" s="173" customFormat="1" ht="14" x14ac:dyDescent="0.3">
      <c r="J136" s="172"/>
      <c r="K136" s="172"/>
      <c r="L136" s="172"/>
      <c r="M136" s="172"/>
      <c r="N136" s="172"/>
      <c r="O136" s="172"/>
      <c r="P136" s="172"/>
      <c r="Q136" s="172"/>
      <c r="R136" s="172"/>
      <c r="S136" s="172"/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  <c r="AF136" s="172"/>
      <c r="AG136" s="172"/>
      <c r="AH136" s="172"/>
      <c r="AI136" s="172"/>
      <c r="AJ136" s="172"/>
      <c r="AK136" s="172"/>
      <c r="AL136" s="172"/>
      <c r="AM136" s="172"/>
      <c r="AN136" s="172"/>
      <c r="AO136" s="172"/>
      <c r="AP136" s="172"/>
      <c r="AQ136" s="172"/>
      <c r="AR136" s="172"/>
      <c r="AS136" s="172"/>
      <c r="AT136" s="172"/>
      <c r="AU136" s="172"/>
    </row>
    <row r="137" spans="10:47" s="173" customFormat="1" ht="14" x14ac:dyDescent="0.3">
      <c r="J137" s="172"/>
      <c r="K137" s="172"/>
      <c r="L137" s="172"/>
      <c r="M137" s="172"/>
      <c r="N137" s="172"/>
      <c r="O137" s="172"/>
      <c r="P137" s="172"/>
      <c r="Q137" s="172"/>
      <c r="R137" s="172"/>
      <c r="S137" s="172"/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  <c r="AF137" s="172"/>
      <c r="AG137" s="172"/>
      <c r="AH137" s="172"/>
      <c r="AI137" s="172"/>
      <c r="AJ137" s="172"/>
      <c r="AK137" s="172"/>
      <c r="AL137" s="172"/>
      <c r="AM137" s="172"/>
      <c r="AN137" s="172"/>
      <c r="AO137" s="172"/>
      <c r="AP137" s="172"/>
      <c r="AQ137" s="172"/>
      <c r="AR137" s="172"/>
      <c r="AS137" s="172"/>
      <c r="AT137" s="172"/>
      <c r="AU137" s="172"/>
    </row>
    <row r="138" spans="10:47" s="173" customFormat="1" ht="14" x14ac:dyDescent="0.3">
      <c r="J138" s="172"/>
      <c r="K138" s="172"/>
      <c r="L138" s="172"/>
      <c r="M138" s="172"/>
      <c r="N138" s="172"/>
      <c r="O138" s="172"/>
      <c r="P138" s="172"/>
      <c r="Q138" s="172"/>
      <c r="R138" s="172"/>
      <c r="S138" s="172"/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  <c r="AF138" s="172"/>
      <c r="AG138" s="172"/>
      <c r="AH138" s="172"/>
      <c r="AI138" s="172"/>
      <c r="AJ138" s="172"/>
      <c r="AK138" s="172"/>
      <c r="AL138" s="172"/>
      <c r="AM138" s="172"/>
      <c r="AN138" s="172"/>
      <c r="AO138" s="172"/>
      <c r="AP138" s="172"/>
      <c r="AQ138" s="172"/>
      <c r="AR138" s="172"/>
      <c r="AS138" s="172"/>
      <c r="AT138" s="172"/>
      <c r="AU138" s="172"/>
    </row>
    <row r="139" spans="10:47" s="173" customFormat="1" ht="14" x14ac:dyDescent="0.3">
      <c r="J139" s="172"/>
      <c r="K139" s="172"/>
      <c r="L139" s="172"/>
      <c r="M139" s="172"/>
      <c r="N139" s="172"/>
      <c r="O139" s="172"/>
      <c r="P139" s="172"/>
      <c r="Q139" s="172"/>
      <c r="R139" s="172"/>
      <c r="S139" s="172"/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  <c r="AF139" s="172"/>
      <c r="AG139" s="172"/>
      <c r="AH139" s="172"/>
      <c r="AI139" s="172"/>
      <c r="AJ139" s="172"/>
      <c r="AK139" s="172"/>
      <c r="AL139" s="172"/>
      <c r="AM139" s="172"/>
      <c r="AN139" s="172"/>
      <c r="AO139" s="172"/>
      <c r="AP139" s="172"/>
      <c r="AQ139" s="172"/>
      <c r="AR139" s="172"/>
      <c r="AS139" s="172"/>
      <c r="AT139" s="172"/>
      <c r="AU139" s="172"/>
    </row>
    <row r="140" spans="10:47" s="173" customFormat="1" ht="14" x14ac:dyDescent="0.3">
      <c r="J140" s="172"/>
      <c r="K140" s="172"/>
      <c r="L140" s="172"/>
      <c r="M140" s="172"/>
      <c r="N140" s="172"/>
      <c r="O140" s="172"/>
      <c r="P140" s="172"/>
      <c r="Q140" s="172"/>
      <c r="R140" s="172"/>
      <c r="S140" s="172"/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  <c r="AF140" s="172"/>
      <c r="AG140" s="172"/>
      <c r="AH140" s="172"/>
      <c r="AI140" s="172"/>
      <c r="AJ140" s="172"/>
      <c r="AK140" s="172"/>
      <c r="AL140" s="172"/>
      <c r="AM140" s="172"/>
      <c r="AN140" s="172"/>
      <c r="AO140" s="172"/>
      <c r="AP140" s="172"/>
      <c r="AQ140" s="172"/>
      <c r="AR140" s="172"/>
      <c r="AS140" s="172"/>
      <c r="AT140" s="172"/>
      <c r="AU140" s="172"/>
    </row>
    <row r="141" spans="10:47" s="173" customFormat="1" ht="14" x14ac:dyDescent="0.3">
      <c r="J141" s="172"/>
      <c r="K141" s="172"/>
      <c r="L141" s="172"/>
      <c r="M141" s="172"/>
      <c r="N141" s="172"/>
      <c r="O141" s="172"/>
      <c r="P141" s="172"/>
      <c r="Q141" s="172"/>
      <c r="R141" s="172"/>
      <c r="S141" s="172"/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  <c r="AF141" s="172"/>
      <c r="AG141" s="172"/>
      <c r="AH141" s="172"/>
      <c r="AI141" s="172"/>
      <c r="AJ141" s="172"/>
      <c r="AK141" s="172"/>
      <c r="AL141" s="172"/>
      <c r="AM141" s="172"/>
      <c r="AN141" s="172"/>
      <c r="AO141" s="172"/>
      <c r="AP141" s="172"/>
      <c r="AQ141" s="172"/>
      <c r="AR141" s="172"/>
      <c r="AS141" s="172"/>
      <c r="AT141" s="172"/>
      <c r="AU141" s="172"/>
    </row>
    <row r="142" spans="10:47" s="173" customFormat="1" ht="14" x14ac:dyDescent="0.3">
      <c r="J142" s="172"/>
      <c r="K142" s="172"/>
      <c r="L142" s="172"/>
      <c r="M142" s="172"/>
      <c r="N142" s="172"/>
      <c r="O142" s="172"/>
      <c r="P142" s="172"/>
      <c r="Q142" s="172"/>
      <c r="R142" s="172"/>
      <c r="S142" s="172"/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  <c r="AF142" s="172"/>
      <c r="AG142" s="172"/>
      <c r="AH142" s="172"/>
      <c r="AI142" s="172"/>
      <c r="AJ142" s="172"/>
      <c r="AK142" s="172"/>
      <c r="AL142" s="172"/>
      <c r="AM142" s="172"/>
      <c r="AN142" s="172"/>
      <c r="AO142" s="172"/>
      <c r="AP142" s="172"/>
      <c r="AQ142" s="172"/>
      <c r="AR142" s="172"/>
      <c r="AS142" s="172"/>
      <c r="AT142" s="172"/>
      <c r="AU142" s="172"/>
    </row>
    <row r="143" spans="10:47" s="173" customFormat="1" ht="14" x14ac:dyDescent="0.3">
      <c r="J143" s="172"/>
      <c r="K143" s="172"/>
      <c r="L143" s="172"/>
      <c r="M143" s="172"/>
      <c r="N143" s="172"/>
      <c r="O143" s="172"/>
      <c r="P143" s="172"/>
      <c r="Q143" s="172"/>
      <c r="R143" s="172"/>
      <c r="S143" s="172"/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  <c r="AF143" s="172"/>
      <c r="AG143" s="172"/>
      <c r="AH143" s="172"/>
      <c r="AI143" s="172"/>
      <c r="AJ143" s="172"/>
      <c r="AK143" s="172"/>
      <c r="AL143" s="172"/>
      <c r="AM143" s="172"/>
      <c r="AN143" s="172"/>
      <c r="AO143" s="172"/>
      <c r="AP143" s="172"/>
      <c r="AQ143" s="172"/>
      <c r="AR143" s="172"/>
      <c r="AS143" s="172"/>
      <c r="AT143" s="172"/>
      <c r="AU143" s="172"/>
    </row>
    <row r="144" spans="10:47" s="173" customFormat="1" ht="14" x14ac:dyDescent="0.3">
      <c r="J144" s="172"/>
      <c r="K144" s="172"/>
      <c r="L144" s="172"/>
      <c r="M144" s="172"/>
      <c r="N144" s="172"/>
      <c r="O144" s="172"/>
      <c r="P144" s="172"/>
      <c r="Q144" s="172"/>
      <c r="R144" s="172"/>
      <c r="S144" s="172"/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  <c r="AF144" s="172"/>
      <c r="AG144" s="172"/>
      <c r="AH144" s="172"/>
      <c r="AI144" s="172"/>
      <c r="AJ144" s="172"/>
      <c r="AK144" s="172"/>
      <c r="AL144" s="172"/>
      <c r="AM144" s="172"/>
      <c r="AN144" s="172"/>
      <c r="AO144" s="172"/>
      <c r="AP144" s="172"/>
      <c r="AQ144" s="172"/>
      <c r="AR144" s="172"/>
      <c r="AS144" s="172"/>
      <c r="AT144" s="172"/>
      <c r="AU144" s="172"/>
    </row>
    <row r="145" spans="10:47" s="173" customFormat="1" ht="14" x14ac:dyDescent="0.3">
      <c r="J145" s="172"/>
      <c r="K145" s="172"/>
      <c r="L145" s="172"/>
      <c r="M145" s="172"/>
      <c r="N145" s="172"/>
      <c r="O145" s="172"/>
      <c r="P145" s="172"/>
      <c r="Q145" s="172"/>
      <c r="R145" s="172"/>
      <c r="S145" s="172"/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  <c r="AF145" s="172"/>
      <c r="AG145" s="172"/>
      <c r="AH145" s="172"/>
      <c r="AI145" s="172"/>
      <c r="AJ145" s="172"/>
      <c r="AK145" s="172"/>
      <c r="AL145" s="172"/>
      <c r="AM145" s="172"/>
      <c r="AN145" s="172"/>
      <c r="AO145" s="172"/>
      <c r="AP145" s="172"/>
      <c r="AQ145" s="172"/>
      <c r="AR145" s="172"/>
      <c r="AS145" s="172"/>
      <c r="AT145" s="172"/>
      <c r="AU145" s="172"/>
    </row>
    <row r="146" spans="10:47" s="173" customFormat="1" ht="14" x14ac:dyDescent="0.3">
      <c r="J146" s="172"/>
      <c r="K146" s="172"/>
      <c r="L146" s="172"/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  <c r="AF146" s="172"/>
      <c r="AG146" s="172"/>
      <c r="AH146" s="172"/>
      <c r="AI146" s="172"/>
      <c r="AJ146" s="172"/>
      <c r="AK146" s="172"/>
      <c r="AL146" s="172"/>
      <c r="AM146" s="172"/>
      <c r="AN146" s="172"/>
      <c r="AO146" s="172"/>
      <c r="AP146" s="172"/>
      <c r="AQ146" s="172"/>
      <c r="AR146" s="172"/>
      <c r="AS146" s="172"/>
      <c r="AT146" s="172"/>
      <c r="AU146" s="172"/>
    </row>
    <row r="147" spans="10:47" s="173" customFormat="1" ht="14" x14ac:dyDescent="0.3">
      <c r="J147" s="172"/>
      <c r="K147" s="172"/>
      <c r="L147" s="172"/>
      <c r="M147" s="172"/>
      <c r="N147" s="172"/>
      <c r="O147" s="172"/>
      <c r="P147" s="172"/>
      <c r="Q147" s="172"/>
      <c r="R147" s="172"/>
      <c r="S147" s="172"/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  <c r="AF147" s="172"/>
      <c r="AG147" s="172"/>
      <c r="AH147" s="172"/>
      <c r="AI147" s="172"/>
      <c r="AJ147" s="172"/>
      <c r="AK147" s="172"/>
      <c r="AL147" s="172"/>
      <c r="AM147" s="172"/>
      <c r="AN147" s="172"/>
      <c r="AO147" s="172"/>
      <c r="AP147" s="172"/>
      <c r="AQ147" s="172"/>
      <c r="AR147" s="172"/>
      <c r="AS147" s="172"/>
      <c r="AT147" s="172"/>
      <c r="AU147" s="172"/>
    </row>
    <row r="148" spans="10:47" s="173" customFormat="1" ht="14" x14ac:dyDescent="0.3">
      <c r="J148" s="172"/>
      <c r="K148" s="172"/>
      <c r="L148" s="172"/>
      <c r="M148" s="172"/>
      <c r="N148" s="172"/>
      <c r="O148" s="172"/>
      <c r="P148" s="172"/>
      <c r="Q148" s="172"/>
      <c r="R148" s="172"/>
      <c r="S148" s="172"/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  <c r="AF148" s="172"/>
      <c r="AG148" s="172"/>
      <c r="AH148" s="172"/>
      <c r="AI148" s="172"/>
      <c r="AJ148" s="172"/>
      <c r="AK148" s="172"/>
      <c r="AL148" s="172"/>
      <c r="AM148" s="172"/>
      <c r="AN148" s="172"/>
      <c r="AO148" s="172"/>
      <c r="AP148" s="172"/>
      <c r="AQ148" s="172"/>
      <c r="AR148" s="172"/>
      <c r="AS148" s="172"/>
      <c r="AT148" s="172"/>
      <c r="AU148" s="172"/>
    </row>
    <row r="149" spans="10:47" s="173" customFormat="1" ht="14" x14ac:dyDescent="0.3">
      <c r="J149" s="172"/>
      <c r="K149" s="172"/>
      <c r="L149" s="172"/>
      <c r="M149" s="172"/>
      <c r="N149" s="172"/>
      <c r="O149" s="172"/>
      <c r="P149" s="172"/>
      <c r="Q149" s="172"/>
      <c r="R149" s="172"/>
      <c r="S149" s="172"/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  <c r="AF149" s="172"/>
      <c r="AG149" s="172"/>
      <c r="AH149" s="172"/>
      <c r="AI149" s="172"/>
      <c r="AJ149" s="172"/>
      <c r="AK149" s="172"/>
      <c r="AL149" s="172"/>
      <c r="AM149" s="172"/>
      <c r="AN149" s="172"/>
      <c r="AO149" s="172"/>
      <c r="AP149" s="172"/>
      <c r="AQ149" s="172"/>
      <c r="AR149" s="172"/>
      <c r="AS149" s="172"/>
      <c r="AT149" s="172"/>
      <c r="AU149" s="172"/>
    </row>
    <row r="150" spans="10:47" s="173" customFormat="1" ht="14" x14ac:dyDescent="0.3">
      <c r="J150" s="172"/>
      <c r="K150" s="172"/>
      <c r="L150" s="172"/>
      <c r="M150" s="172"/>
      <c r="N150" s="172"/>
      <c r="O150" s="172"/>
      <c r="P150" s="172"/>
      <c r="Q150" s="172"/>
      <c r="R150" s="172"/>
      <c r="S150" s="172"/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  <c r="AF150" s="172"/>
      <c r="AG150" s="172"/>
      <c r="AH150" s="172"/>
      <c r="AI150" s="172"/>
      <c r="AJ150" s="172"/>
      <c r="AK150" s="172"/>
      <c r="AL150" s="172"/>
      <c r="AM150" s="172"/>
      <c r="AN150" s="172"/>
      <c r="AO150" s="172"/>
      <c r="AP150" s="172"/>
      <c r="AQ150" s="172"/>
      <c r="AR150" s="172"/>
      <c r="AS150" s="172"/>
      <c r="AT150" s="172"/>
      <c r="AU150" s="172"/>
    </row>
    <row r="151" spans="10:47" s="173" customFormat="1" ht="14" x14ac:dyDescent="0.3">
      <c r="J151" s="172"/>
      <c r="K151" s="172"/>
      <c r="L151" s="172"/>
      <c r="M151" s="172"/>
      <c r="N151" s="172"/>
      <c r="O151" s="172"/>
      <c r="P151" s="172"/>
      <c r="Q151" s="172"/>
      <c r="R151" s="172"/>
      <c r="S151" s="172"/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  <c r="AF151" s="172"/>
      <c r="AG151" s="172"/>
      <c r="AH151" s="172"/>
      <c r="AI151" s="172"/>
      <c r="AJ151" s="172"/>
      <c r="AK151" s="172"/>
      <c r="AL151" s="172"/>
      <c r="AM151" s="172"/>
      <c r="AN151" s="172"/>
      <c r="AO151" s="172"/>
      <c r="AP151" s="172"/>
      <c r="AQ151" s="172"/>
      <c r="AR151" s="172"/>
      <c r="AS151" s="172"/>
      <c r="AT151" s="172"/>
      <c r="AU151" s="172"/>
    </row>
    <row r="152" spans="10:47" s="173" customFormat="1" ht="14" x14ac:dyDescent="0.3">
      <c r="J152" s="172"/>
      <c r="K152" s="172"/>
      <c r="L152" s="172"/>
      <c r="M152" s="172"/>
      <c r="N152" s="172"/>
      <c r="O152" s="172"/>
      <c r="P152" s="172"/>
      <c r="Q152" s="172"/>
      <c r="R152" s="172"/>
      <c r="S152" s="172"/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  <c r="AF152" s="172"/>
      <c r="AG152" s="172"/>
      <c r="AH152" s="172"/>
      <c r="AI152" s="172"/>
      <c r="AJ152" s="172"/>
      <c r="AK152" s="172"/>
      <c r="AL152" s="172"/>
      <c r="AM152" s="172"/>
      <c r="AN152" s="172"/>
      <c r="AO152" s="172"/>
      <c r="AP152" s="172"/>
      <c r="AQ152" s="172"/>
      <c r="AR152" s="172"/>
      <c r="AS152" s="172"/>
      <c r="AT152" s="172"/>
      <c r="AU152" s="172"/>
    </row>
    <row r="153" spans="10:47" s="173" customFormat="1" ht="14" x14ac:dyDescent="0.3">
      <c r="J153" s="172"/>
      <c r="K153" s="172"/>
      <c r="L153" s="172"/>
      <c r="M153" s="172"/>
      <c r="N153" s="172"/>
      <c r="O153" s="172"/>
      <c r="P153" s="172"/>
      <c r="Q153" s="172"/>
      <c r="R153" s="172"/>
      <c r="S153" s="172"/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  <c r="AF153" s="172"/>
      <c r="AG153" s="172"/>
      <c r="AH153" s="172"/>
      <c r="AI153" s="172"/>
      <c r="AJ153" s="172"/>
      <c r="AK153" s="172"/>
      <c r="AL153" s="172"/>
      <c r="AM153" s="172"/>
      <c r="AN153" s="172"/>
      <c r="AO153" s="172"/>
      <c r="AP153" s="172"/>
      <c r="AQ153" s="172"/>
      <c r="AR153" s="172"/>
      <c r="AS153" s="172"/>
      <c r="AT153" s="172"/>
      <c r="AU153" s="172"/>
    </row>
    <row r="154" spans="10:47" s="173" customFormat="1" ht="14" x14ac:dyDescent="0.3">
      <c r="J154" s="172"/>
      <c r="K154" s="172"/>
      <c r="L154" s="172"/>
      <c r="M154" s="172"/>
      <c r="N154" s="172"/>
      <c r="O154" s="172"/>
      <c r="P154" s="172"/>
      <c r="Q154" s="172"/>
      <c r="R154" s="172"/>
      <c r="S154" s="172"/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  <c r="AF154" s="172"/>
      <c r="AG154" s="172"/>
      <c r="AH154" s="172"/>
      <c r="AI154" s="172"/>
      <c r="AJ154" s="172"/>
      <c r="AK154" s="172"/>
      <c r="AL154" s="172"/>
      <c r="AM154" s="172"/>
      <c r="AN154" s="172"/>
      <c r="AO154" s="172"/>
      <c r="AP154" s="172"/>
      <c r="AQ154" s="172"/>
      <c r="AR154" s="172"/>
      <c r="AS154" s="172"/>
      <c r="AT154" s="172"/>
      <c r="AU154" s="172"/>
    </row>
    <row r="155" spans="10:47" s="173" customFormat="1" ht="14" x14ac:dyDescent="0.3">
      <c r="J155" s="172"/>
      <c r="K155" s="172"/>
      <c r="L155" s="172"/>
      <c r="M155" s="172"/>
      <c r="N155" s="172"/>
      <c r="O155" s="172"/>
      <c r="P155" s="172"/>
      <c r="Q155" s="172"/>
      <c r="R155" s="172"/>
      <c r="S155" s="172"/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  <c r="AF155" s="172"/>
      <c r="AG155" s="172"/>
      <c r="AH155" s="172"/>
      <c r="AI155" s="172"/>
      <c r="AJ155" s="172"/>
      <c r="AK155" s="172"/>
      <c r="AL155" s="172"/>
      <c r="AM155" s="172"/>
      <c r="AN155" s="172"/>
      <c r="AO155" s="172"/>
      <c r="AP155" s="172"/>
      <c r="AQ155" s="172"/>
      <c r="AR155" s="172"/>
      <c r="AS155" s="172"/>
      <c r="AT155" s="172"/>
      <c r="AU155" s="172"/>
    </row>
    <row r="156" spans="10:47" s="173" customFormat="1" ht="14" x14ac:dyDescent="0.3">
      <c r="J156" s="172"/>
      <c r="K156" s="172"/>
      <c r="L156" s="172"/>
      <c r="M156" s="172"/>
      <c r="N156" s="172"/>
      <c r="O156" s="172"/>
      <c r="P156" s="172"/>
      <c r="Q156" s="172"/>
      <c r="R156" s="172"/>
      <c r="S156" s="172"/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  <c r="AF156" s="172"/>
      <c r="AG156" s="172"/>
      <c r="AH156" s="172"/>
      <c r="AI156" s="172"/>
      <c r="AJ156" s="172"/>
      <c r="AK156" s="172"/>
      <c r="AL156" s="172"/>
      <c r="AM156" s="172"/>
      <c r="AN156" s="172"/>
      <c r="AO156" s="172"/>
      <c r="AP156" s="172"/>
      <c r="AQ156" s="172"/>
      <c r="AR156" s="172"/>
      <c r="AS156" s="172"/>
      <c r="AT156" s="172"/>
      <c r="AU156" s="172"/>
    </row>
    <row r="157" spans="10:47" s="173" customFormat="1" ht="14" x14ac:dyDescent="0.3">
      <c r="J157" s="172"/>
      <c r="K157" s="172"/>
      <c r="L157" s="172"/>
      <c r="M157" s="172"/>
      <c r="N157" s="172"/>
      <c r="O157" s="172"/>
      <c r="P157" s="172"/>
      <c r="Q157" s="172"/>
      <c r="R157" s="172"/>
      <c r="S157" s="172"/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  <c r="AF157" s="172"/>
      <c r="AG157" s="172"/>
      <c r="AH157" s="172"/>
      <c r="AI157" s="172"/>
      <c r="AJ157" s="172"/>
      <c r="AK157" s="172"/>
      <c r="AL157" s="172"/>
      <c r="AM157" s="172"/>
      <c r="AN157" s="172"/>
      <c r="AO157" s="172"/>
      <c r="AP157" s="172"/>
      <c r="AQ157" s="172"/>
      <c r="AR157" s="172"/>
      <c r="AS157" s="172"/>
      <c r="AT157" s="172"/>
      <c r="AU157" s="172"/>
    </row>
    <row r="158" spans="10:47" s="173" customFormat="1" ht="14" x14ac:dyDescent="0.3">
      <c r="J158" s="172"/>
      <c r="K158" s="172"/>
      <c r="L158" s="172"/>
      <c r="M158" s="172"/>
      <c r="N158" s="172"/>
      <c r="O158" s="172"/>
      <c r="P158" s="172"/>
      <c r="Q158" s="172"/>
      <c r="R158" s="172"/>
      <c r="S158" s="172"/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  <c r="AF158" s="172"/>
      <c r="AG158" s="172"/>
      <c r="AH158" s="172"/>
      <c r="AI158" s="172"/>
      <c r="AJ158" s="172"/>
      <c r="AK158" s="172"/>
      <c r="AL158" s="172"/>
      <c r="AM158" s="172"/>
      <c r="AN158" s="172"/>
      <c r="AO158" s="172"/>
      <c r="AP158" s="172"/>
      <c r="AQ158" s="172"/>
      <c r="AR158" s="172"/>
      <c r="AS158" s="172"/>
      <c r="AT158" s="172"/>
      <c r="AU158" s="172"/>
    </row>
    <row r="159" spans="10:47" s="173" customFormat="1" ht="14" x14ac:dyDescent="0.3">
      <c r="J159" s="172"/>
      <c r="K159" s="172"/>
      <c r="L159" s="172"/>
      <c r="M159" s="172"/>
      <c r="N159" s="172"/>
      <c r="O159" s="172"/>
      <c r="P159" s="172"/>
      <c r="Q159" s="172"/>
      <c r="R159" s="172"/>
      <c r="S159" s="172"/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  <c r="AF159" s="172"/>
      <c r="AG159" s="172"/>
      <c r="AH159" s="172"/>
      <c r="AI159" s="172"/>
      <c r="AJ159" s="172"/>
      <c r="AK159" s="172"/>
      <c r="AL159" s="172"/>
      <c r="AM159" s="172"/>
      <c r="AN159" s="172"/>
      <c r="AO159" s="172"/>
      <c r="AP159" s="172"/>
      <c r="AQ159" s="172"/>
      <c r="AR159" s="172"/>
      <c r="AS159" s="172"/>
      <c r="AT159" s="172"/>
      <c r="AU159" s="172"/>
    </row>
    <row r="160" spans="10:47" s="173" customFormat="1" ht="14" x14ac:dyDescent="0.3">
      <c r="J160" s="172"/>
      <c r="K160" s="172"/>
      <c r="L160" s="172"/>
      <c r="M160" s="172"/>
      <c r="N160" s="172"/>
      <c r="O160" s="172"/>
      <c r="P160" s="172"/>
      <c r="Q160" s="172"/>
      <c r="R160" s="172"/>
      <c r="S160" s="172"/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  <c r="AF160" s="172"/>
      <c r="AG160" s="172"/>
      <c r="AH160" s="172"/>
      <c r="AI160" s="172"/>
      <c r="AJ160" s="172"/>
      <c r="AK160" s="172"/>
      <c r="AL160" s="172"/>
      <c r="AM160" s="172"/>
      <c r="AN160" s="172"/>
      <c r="AO160" s="172"/>
      <c r="AP160" s="172"/>
      <c r="AQ160" s="172"/>
      <c r="AR160" s="172"/>
      <c r="AS160" s="172"/>
      <c r="AT160" s="172"/>
      <c r="AU160" s="172"/>
    </row>
    <row r="161" spans="10:47" s="173" customFormat="1" ht="14" x14ac:dyDescent="0.3"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  <c r="AF161" s="172"/>
      <c r="AG161" s="172"/>
      <c r="AH161" s="172"/>
      <c r="AI161" s="172"/>
      <c r="AJ161" s="172"/>
      <c r="AK161" s="172"/>
      <c r="AL161" s="172"/>
      <c r="AM161" s="172"/>
      <c r="AN161" s="172"/>
      <c r="AO161" s="172"/>
      <c r="AP161" s="172"/>
      <c r="AQ161" s="172"/>
      <c r="AR161" s="172"/>
      <c r="AS161" s="172"/>
      <c r="AT161" s="172"/>
      <c r="AU161" s="172"/>
    </row>
    <row r="162" spans="10:47" s="173" customFormat="1" ht="14" x14ac:dyDescent="0.3"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  <c r="AF162" s="172"/>
      <c r="AG162" s="172"/>
      <c r="AH162" s="172"/>
      <c r="AI162" s="172"/>
      <c r="AJ162" s="172"/>
      <c r="AK162" s="172"/>
      <c r="AL162" s="172"/>
      <c r="AM162" s="172"/>
      <c r="AN162" s="172"/>
      <c r="AO162" s="172"/>
      <c r="AP162" s="172"/>
      <c r="AQ162" s="172"/>
      <c r="AR162" s="172"/>
      <c r="AS162" s="172"/>
      <c r="AT162" s="172"/>
      <c r="AU162" s="172"/>
    </row>
    <row r="163" spans="10:47" s="173" customFormat="1" x14ac:dyDescent="0.3"/>
    <row r="164" spans="10:47" s="173" customFormat="1" x14ac:dyDescent="0.3"/>
    <row r="165" spans="10:47" s="173" customFormat="1" x14ac:dyDescent="0.3"/>
    <row r="166" spans="10:47" s="173" customFormat="1" x14ac:dyDescent="0.3"/>
    <row r="167" spans="10:47" s="173" customFormat="1" x14ac:dyDescent="0.3"/>
    <row r="168" spans="10:47" s="173" customFormat="1" x14ac:dyDescent="0.3"/>
    <row r="169" spans="10:47" s="173" customFormat="1" x14ac:dyDescent="0.3"/>
    <row r="170" spans="10:47" s="173" customFormat="1" x14ac:dyDescent="0.3"/>
    <row r="171" spans="10:47" s="173" customFormat="1" x14ac:dyDescent="0.3"/>
    <row r="172" spans="10:47" s="173" customFormat="1" x14ac:dyDescent="0.3"/>
    <row r="173" spans="10:47" s="173" customFormat="1" x14ac:dyDescent="0.3"/>
    <row r="174" spans="10:47" s="173" customFormat="1" x14ac:dyDescent="0.3"/>
    <row r="175" spans="10:47" s="173" customFormat="1" x14ac:dyDescent="0.3"/>
    <row r="176" spans="10:47" s="173" customFormat="1" x14ac:dyDescent="0.3"/>
    <row r="177" s="173" customFormat="1" x14ac:dyDescent="0.3"/>
    <row r="178" s="173" customFormat="1" x14ac:dyDescent="0.3"/>
    <row r="179" s="173" customFormat="1" x14ac:dyDescent="0.3"/>
    <row r="180" s="173" customFormat="1" x14ac:dyDescent="0.3"/>
    <row r="181" s="173" customFormat="1" x14ac:dyDescent="0.3"/>
    <row r="182" s="173" customFormat="1" x14ac:dyDescent="0.3"/>
    <row r="183" s="173" customFormat="1" x14ac:dyDescent="0.3"/>
    <row r="184" s="173" customFormat="1" x14ac:dyDescent="0.3"/>
    <row r="185" s="173" customFormat="1" x14ac:dyDescent="0.3"/>
    <row r="186" s="173" customFormat="1" x14ac:dyDescent="0.3"/>
    <row r="187" s="173" customFormat="1" x14ac:dyDescent="0.3"/>
    <row r="188" s="173" customFormat="1" x14ac:dyDescent="0.3"/>
    <row r="189" s="173" customFormat="1" x14ac:dyDescent="0.3"/>
    <row r="190" s="173" customFormat="1" x14ac:dyDescent="0.3"/>
    <row r="191" s="173" customFormat="1" x14ac:dyDescent="0.3"/>
    <row r="192" s="173" customFormat="1" x14ac:dyDescent="0.3"/>
    <row r="193" s="173" customFormat="1" x14ac:dyDescent="0.3"/>
    <row r="194" s="173" customFormat="1" x14ac:dyDescent="0.3"/>
    <row r="195" s="173" customFormat="1" x14ac:dyDescent="0.3"/>
    <row r="196" s="173" customFormat="1" x14ac:dyDescent="0.3"/>
    <row r="197" s="173" customFormat="1" x14ac:dyDescent="0.3"/>
    <row r="198" s="173" customFormat="1" x14ac:dyDescent="0.3"/>
    <row r="199" s="173" customFormat="1" x14ac:dyDescent="0.3"/>
    <row r="200" s="173" customFormat="1" x14ac:dyDescent="0.3"/>
    <row r="201" s="173" customFormat="1" x14ac:dyDescent="0.3"/>
    <row r="202" s="173" customFormat="1" x14ac:dyDescent="0.3"/>
    <row r="203" s="173" customFormat="1" x14ac:dyDescent="0.3"/>
    <row r="204" s="173" customFormat="1" x14ac:dyDescent="0.3"/>
    <row r="205" s="173" customFormat="1" x14ac:dyDescent="0.3"/>
    <row r="206" s="173" customFormat="1" x14ac:dyDescent="0.3"/>
    <row r="207" s="173" customFormat="1" x14ac:dyDescent="0.3"/>
    <row r="208" s="173" customFormat="1" x14ac:dyDescent="0.3"/>
    <row r="209" s="173" customFormat="1" x14ac:dyDescent="0.3"/>
    <row r="210" s="173" customFormat="1" x14ac:dyDescent="0.3"/>
    <row r="211" s="173" customFormat="1" x14ac:dyDescent="0.3"/>
    <row r="212" s="173" customFormat="1" x14ac:dyDescent="0.3"/>
    <row r="213" s="173" customFormat="1" x14ac:dyDescent="0.3"/>
    <row r="214" s="173" customFormat="1" x14ac:dyDescent="0.3"/>
    <row r="215" s="173" customFormat="1" x14ac:dyDescent="0.3"/>
    <row r="216" s="173" customFormat="1" x14ac:dyDescent="0.3"/>
    <row r="217" s="173" customFormat="1" x14ac:dyDescent="0.3"/>
    <row r="218" s="173" customFormat="1" x14ac:dyDescent="0.3"/>
    <row r="219" s="173" customFormat="1" x14ac:dyDescent="0.3"/>
    <row r="220" s="173" customFormat="1" x14ac:dyDescent="0.3"/>
    <row r="221" s="173" customFormat="1" x14ac:dyDescent="0.3"/>
    <row r="222" s="173" customFormat="1" x14ac:dyDescent="0.3"/>
    <row r="223" s="173" customFormat="1" x14ac:dyDescent="0.3"/>
    <row r="224" s="173" customFormat="1" x14ac:dyDescent="0.3"/>
    <row r="225" s="173" customFormat="1" x14ac:dyDescent="0.3"/>
    <row r="226" s="173" customFormat="1" x14ac:dyDescent="0.3"/>
    <row r="227" s="173" customFormat="1" x14ac:dyDescent="0.3"/>
    <row r="228" s="173" customFormat="1" x14ac:dyDescent="0.3"/>
    <row r="229" s="173" customFormat="1" x14ac:dyDescent="0.3"/>
    <row r="230" s="173" customFormat="1" x14ac:dyDescent="0.3"/>
    <row r="231" s="173" customFormat="1" x14ac:dyDescent="0.3"/>
    <row r="232" s="173" customFormat="1" x14ac:dyDescent="0.3"/>
    <row r="233" s="173" customFormat="1" x14ac:dyDescent="0.3"/>
    <row r="234" s="173" customFormat="1" x14ac:dyDescent="0.3"/>
    <row r="235" s="173" customFormat="1" x14ac:dyDescent="0.3"/>
    <row r="236" s="173" customFormat="1" x14ac:dyDescent="0.3"/>
    <row r="237" s="173" customFormat="1" x14ac:dyDescent="0.3"/>
    <row r="238" s="173" customFormat="1" x14ac:dyDescent="0.3"/>
    <row r="239" s="173" customFormat="1" x14ac:dyDescent="0.3"/>
    <row r="240" s="173" customFormat="1" x14ac:dyDescent="0.3"/>
    <row r="241" s="173" customFormat="1" x14ac:dyDescent="0.3"/>
    <row r="242" s="173" customFormat="1" x14ac:dyDescent="0.3"/>
    <row r="243" s="173" customFormat="1" x14ac:dyDescent="0.3"/>
    <row r="244" s="173" customFormat="1" x14ac:dyDescent="0.3"/>
    <row r="245" s="173" customFormat="1" x14ac:dyDescent="0.3"/>
    <row r="246" s="173" customFormat="1" x14ac:dyDescent="0.3"/>
    <row r="247" s="173" customFormat="1" x14ac:dyDescent="0.3"/>
    <row r="248" s="173" customFormat="1" x14ac:dyDescent="0.3"/>
    <row r="249" s="173" customFormat="1" x14ac:dyDescent="0.3"/>
    <row r="250" s="173" customFormat="1" x14ac:dyDescent="0.3"/>
    <row r="251" s="173" customFormat="1" x14ac:dyDescent="0.3"/>
    <row r="252" s="173" customFormat="1" x14ac:dyDescent="0.3"/>
    <row r="253" s="173" customFormat="1" x14ac:dyDescent="0.3"/>
    <row r="254" s="173" customFormat="1" x14ac:dyDescent="0.3"/>
    <row r="255" s="173" customFormat="1" x14ac:dyDescent="0.3"/>
    <row r="256" s="173" customFormat="1" x14ac:dyDescent="0.3"/>
    <row r="257" s="173" customFormat="1" x14ac:dyDescent="0.3"/>
    <row r="258" s="173" customFormat="1" x14ac:dyDescent="0.3"/>
    <row r="259" s="173" customFormat="1" x14ac:dyDescent="0.3"/>
    <row r="260" s="173" customFormat="1" x14ac:dyDescent="0.3"/>
    <row r="261" s="173" customFormat="1" x14ac:dyDescent="0.3"/>
    <row r="262" s="173" customFormat="1" x14ac:dyDescent="0.3"/>
    <row r="263" s="173" customFormat="1" x14ac:dyDescent="0.3"/>
    <row r="264" s="173" customFormat="1" x14ac:dyDescent="0.3"/>
    <row r="265" s="173" customFormat="1" x14ac:dyDescent="0.3"/>
    <row r="266" s="173" customFormat="1" x14ac:dyDescent="0.3"/>
    <row r="267" s="173" customFormat="1" x14ac:dyDescent="0.3"/>
    <row r="268" s="173" customFormat="1" x14ac:dyDescent="0.3"/>
    <row r="269" s="173" customFormat="1" x14ac:dyDescent="0.3"/>
    <row r="270" s="173" customFormat="1" x14ac:dyDescent="0.3"/>
    <row r="271" s="173" customFormat="1" x14ac:dyDescent="0.3"/>
    <row r="272" s="173" customFormat="1" x14ac:dyDescent="0.3"/>
    <row r="273" s="173" customFormat="1" x14ac:dyDescent="0.3"/>
    <row r="274" s="173" customFormat="1" x14ac:dyDescent="0.3"/>
    <row r="275" s="173" customFormat="1" x14ac:dyDescent="0.3"/>
    <row r="276" s="173" customFormat="1" x14ac:dyDescent="0.3"/>
    <row r="277" s="173" customFormat="1" x14ac:dyDescent="0.3"/>
    <row r="278" s="173" customFormat="1" x14ac:dyDescent="0.3"/>
    <row r="279" s="173" customFormat="1" x14ac:dyDescent="0.3"/>
    <row r="280" s="173" customFormat="1" x14ac:dyDescent="0.3"/>
    <row r="281" s="173" customFormat="1" x14ac:dyDescent="0.3"/>
    <row r="282" s="173" customFormat="1" x14ac:dyDescent="0.3"/>
    <row r="283" s="173" customFormat="1" x14ac:dyDescent="0.3"/>
    <row r="284" s="173" customFormat="1" x14ac:dyDescent="0.3"/>
    <row r="285" s="173" customFormat="1" x14ac:dyDescent="0.3"/>
    <row r="286" s="173" customFormat="1" x14ac:dyDescent="0.3"/>
    <row r="287" s="173" customFormat="1" x14ac:dyDescent="0.3"/>
    <row r="288" s="173" customFormat="1" x14ac:dyDescent="0.3"/>
    <row r="289" s="173" customFormat="1" x14ac:dyDescent="0.3"/>
    <row r="290" s="173" customFormat="1" x14ac:dyDescent="0.3"/>
    <row r="291" s="173" customFormat="1" x14ac:dyDescent="0.3"/>
    <row r="292" s="173" customFormat="1" x14ac:dyDescent="0.3"/>
    <row r="293" s="173" customFormat="1" x14ac:dyDescent="0.3"/>
    <row r="294" s="173" customFormat="1" x14ac:dyDescent="0.3"/>
    <row r="295" s="173" customFormat="1" x14ac:dyDescent="0.3"/>
    <row r="296" s="173" customFormat="1" x14ac:dyDescent="0.3"/>
    <row r="297" s="173" customFormat="1" x14ac:dyDescent="0.3"/>
    <row r="298" s="173" customFormat="1" x14ac:dyDescent="0.3"/>
    <row r="299" s="173" customFormat="1" x14ac:dyDescent="0.3"/>
    <row r="300" s="173" customFormat="1" x14ac:dyDescent="0.3"/>
    <row r="301" s="173" customFormat="1" x14ac:dyDescent="0.3"/>
    <row r="302" s="173" customFormat="1" x14ac:dyDescent="0.3"/>
    <row r="303" s="173" customFormat="1" x14ac:dyDescent="0.3"/>
    <row r="304" s="173" customFormat="1" x14ac:dyDescent="0.3"/>
    <row r="305" s="173" customFormat="1" x14ac:dyDescent="0.3"/>
    <row r="306" s="173" customFormat="1" x14ac:dyDescent="0.3"/>
    <row r="307" s="173" customFormat="1" x14ac:dyDescent="0.3"/>
    <row r="308" s="173" customFormat="1" x14ac:dyDescent="0.3"/>
    <row r="309" s="173" customFormat="1" x14ac:dyDescent="0.3"/>
    <row r="310" s="173" customFormat="1" x14ac:dyDescent="0.3"/>
    <row r="311" s="173" customFormat="1" x14ac:dyDescent="0.3"/>
    <row r="312" s="173" customFormat="1" x14ac:dyDescent="0.3"/>
    <row r="313" s="173" customFormat="1" x14ac:dyDescent="0.3"/>
    <row r="314" s="173" customFormat="1" x14ac:dyDescent="0.3"/>
    <row r="315" s="173" customFormat="1" x14ac:dyDescent="0.3"/>
    <row r="316" s="173" customFormat="1" x14ac:dyDescent="0.3"/>
    <row r="317" s="173" customFormat="1" x14ac:dyDescent="0.3"/>
    <row r="318" s="173" customFormat="1" x14ac:dyDescent="0.3"/>
    <row r="319" s="173" customFormat="1" x14ac:dyDescent="0.3"/>
    <row r="320" s="173" customFormat="1" x14ac:dyDescent="0.3"/>
    <row r="321" s="173" customFormat="1" x14ac:dyDescent="0.3"/>
    <row r="322" s="173" customFormat="1" x14ac:dyDescent="0.3"/>
    <row r="323" s="173" customFormat="1" x14ac:dyDescent="0.3"/>
    <row r="324" s="173" customFormat="1" x14ac:dyDescent="0.3"/>
    <row r="325" s="173" customFormat="1" x14ac:dyDescent="0.3"/>
    <row r="326" s="173" customFormat="1" x14ac:dyDescent="0.3"/>
    <row r="327" s="173" customFormat="1" x14ac:dyDescent="0.3"/>
    <row r="328" s="173" customFormat="1" x14ac:dyDescent="0.3"/>
    <row r="329" s="173" customFormat="1" x14ac:dyDescent="0.3"/>
    <row r="330" s="173" customFormat="1" x14ac:dyDescent="0.3"/>
    <row r="331" s="173" customFormat="1" x14ac:dyDescent="0.3"/>
    <row r="332" s="173" customFormat="1" x14ac:dyDescent="0.3"/>
    <row r="333" s="173" customFormat="1" x14ac:dyDescent="0.3"/>
    <row r="334" s="173" customFormat="1" x14ac:dyDescent="0.3"/>
    <row r="335" s="173" customFormat="1" x14ac:dyDescent="0.3"/>
    <row r="336" s="173" customFormat="1" x14ac:dyDescent="0.3"/>
    <row r="337" s="173" customFormat="1" x14ac:dyDescent="0.3"/>
    <row r="338" s="173" customFormat="1" x14ac:dyDescent="0.3"/>
    <row r="339" s="173" customFormat="1" x14ac:dyDescent="0.3"/>
    <row r="340" s="173" customFormat="1" x14ac:dyDescent="0.3"/>
    <row r="341" s="173" customFormat="1" x14ac:dyDescent="0.3"/>
    <row r="342" s="173" customFormat="1" x14ac:dyDescent="0.3"/>
    <row r="343" s="173" customFormat="1" x14ac:dyDescent="0.3"/>
    <row r="344" s="173" customFormat="1" x14ac:dyDescent="0.3"/>
    <row r="345" s="173" customFormat="1" x14ac:dyDescent="0.3"/>
    <row r="346" s="173" customFormat="1" x14ac:dyDescent="0.3"/>
    <row r="347" s="173" customFormat="1" x14ac:dyDescent="0.3"/>
    <row r="348" s="173" customFormat="1" x14ac:dyDescent="0.3"/>
    <row r="349" s="173" customFormat="1" x14ac:dyDescent="0.3"/>
    <row r="350" s="173" customFormat="1" x14ac:dyDescent="0.3"/>
    <row r="351" s="173" customFormat="1" x14ac:dyDescent="0.3"/>
    <row r="352" s="173" customFormat="1" x14ac:dyDescent="0.3"/>
    <row r="353" s="173" customFormat="1" x14ac:dyDescent="0.3"/>
    <row r="354" s="173" customFormat="1" x14ac:dyDescent="0.3"/>
    <row r="355" s="173" customFormat="1" x14ac:dyDescent="0.3"/>
    <row r="356" s="173" customFormat="1" x14ac:dyDescent="0.3"/>
    <row r="357" s="173" customFormat="1" x14ac:dyDescent="0.3"/>
    <row r="358" s="173" customFormat="1" x14ac:dyDescent="0.3"/>
    <row r="359" s="173" customFormat="1" x14ac:dyDescent="0.3"/>
    <row r="360" s="173" customFormat="1" x14ac:dyDescent="0.3"/>
    <row r="361" s="173" customFormat="1" x14ac:dyDescent="0.3"/>
    <row r="362" s="173" customFormat="1" x14ac:dyDescent="0.3"/>
    <row r="363" s="173" customFormat="1" x14ac:dyDescent="0.3"/>
    <row r="364" s="173" customFormat="1" x14ac:dyDescent="0.3"/>
    <row r="365" s="173" customFormat="1" x14ac:dyDescent="0.3"/>
    <row r="366" s="173" customFormat="1" x14ac:dyDescent="0.3"/>
    <row r="367" s="173" customFormat="1" x14ac:dyDescent="0.3"/>
    <row r="368" s="173" customFormat="1" x14ac:dyDescent="0.3"/>
    <row r="369" s="173" customFormat="1" x14ac:dyDescent="0.3"/>
    <row r="370" s="173" customFormat="1" x14ac:dyDescent="0.3"/>
    <row r="371" s="173" customFormat="1" x14ac:dyDescent="0.3"/>
    <row r="372" s="173" customFormat="1" x14ac:dyDescent="0.3"/>
  </sheetData>
  <sheetProtection algorithmName="SHA-512" hashValue="sGQvcyRM8n0Z0sfkwX49obOXlAQ3heGlRnljJhdsxjiN/FoxTDT0JekfM3EoLiI2tEEnHTs9318a70ddxA73DA==" saltValue="kuwXEDjF+iYQyr0ktFihLA==" spinCount="100000" sheet="1" objects="1" scenarios="1"/>
  <phoneticPr fontId="5" type="noConversion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:T97"/>
  <sheetViews>
    <sheetView workbookViewId="0">
      <selection activeCell="G66" sqref="G66"/>
    </sheetView>
  </sheetViews>
  <sheetFormatPr defaultColWidth="10.84375" defaultRowHeight="13.5" x14ac:dyDescent="0.3"/>
  <cols>
    <col min="1" max="1" width="14.15234375" style="26" customWidth="1"/>
    <col min="2" max="2" width="12.15234375" style="26" customWidth="1"/>
    <col min="3" max="3" width="13.3046875" style="26" customWidth="1"/>
    <col min="4" max="20" width="12.15234375" style="26" customWidth="1"/>
    <col min="21" max="16384" width="10.84375" style="26"/>
  </cols>
  <sheetData>
    <row r="1" spans="1:20" x14ac:dyDescent="0.3">
      <c r="A1" s="25" t="s">
        <v>102</v>
      </c>
    </row>
    <row r="2" spans="1:20" x14ac:dyDescent="0.3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</row>
    <row r="3" spans="1:20" x14ac:dyDescent="0.3">
      <c r="A3" s="28" t="s">
        <v>103</v>
      </c>
    </row>
    <row r="4" spans="1:20" x14ac:dyDescent="0.3">
      <c r="G4" s="64"/>
    </row>
    <row r="5" spans="1:20" x14ac:dyDescent="0.3">
      <c r="A5" s="29" t="s">
        <v>78</v>
      </c>
      <c r="B5" s="30" t="s">
        <v>79</v>
      </c>
      <c r="D5" s="46">
        <v>1800</v>
      </c>
      <c r="G5" s="64"/>
      <c r="H5" s="64"/>
    </row>
    <row r="6" spans="1:20" x14ac:dyDescent="0.3">
      <c r="A6" s="29"/>
      <c r="C6" s="30"/>
    </row>
    <row r="8" spans="1:20" x14ac:dyDescent="0.3">
      <c r="A8" s="31" t="s">
        <v>104</v>
      </c>
      <c r="B8" s="103" t="s">
        <v>105</v>
      </c>
      <c r="C8" s="111" t="s">
        <v>106</v>
      </c>
      <c r="D8" s="111" t="s">
        <v>107</v>
      </c>
      <c r="E8" s="111" t="s">
        <v>108</v>
      </c>
      <c r="F8" s="58" t="s">
        <v>52</v>
      </c>
      <c r="G8" s="58" t="s">
        <v>109</v>
      </c>
      <c r="H8" s="58" t="s">
        <v>110</v>
      </c>
      <c r="I8" s="58" t="s">
        <v>111</v>
      </c>
      <c r="J8" s="58" t="s">
        <v>112</v>
      </c>
      <c r="K8" s="58" t="s">
        <v>113</v>
      </c>
      <c r="L8" s="58" t="s">
        <v>114</v>
      </c>
      <c r="M8" s="33" t="s">
        <v>50</v>
      </c>
      <c r="N8" s="33" t="s">
        <v>115</v>
      </c>
      <c r="O8" s="33" t="s">
        <v>116</v>
      </c>
      <c r="P8" s="33" t="s">
        <v>117</v>
      </c>
      <c r="Q8" s="33" t="s">
        <v>118</v>
      </c>
      <c r="R8" s="33" t="s">
        <v>119</v>
      </c>
      <c r="S8" s="34" t="s">
        <v>120</v>
      </c>
      <c r="T8" s="34" t="s">
        <v>121</v>
      </c>
    </row>
    <row r="9" spans="1:20" x14ac:dyDescent="0.3">
      <c r="A9" s="26" t="s">
        <v>122</v>
      </c>
      <c r="B9" s="104">
        <f>IF(($D5&gt;'Essential Jul''15'!E7),( 'Essential Jul''15'!E7*'Essential Jul''15'!E9)/100*1.1,($D5*'Essential Jul''15'!E9)/100*1.1)</f>
        <v>237.82</v>
      </c>
      <c r="C9" s="125">
        <f>IF(($D5&gt;'Essential Jul''15'!F7),( 'Essential Jul''15'!F7*'Essential Jul''15'!F9)/100*1.1,($D5*'Essential Jul''15'!F9)/100*1.1)</f>
        <v>267.96000000000004</v>
      </c>
      <c r="D9" s="181">
        <f>IF(($D5&gt;'Essential Jul''15'!G7),( 'Essential Jul''15'!G7*'Essential Jul''15'!G9)/100*1.1,($D5*'Essential Jul''15'!G9)/100*1.1)</f>
        <v>243.98000000000002</v>
      </c>
      <c r="E9" s="181">
        <f>IF(($D5&gt;'Essential Jul''15'!H7),( 'Essential Jul''15'!H7*'Essential Jul''15'!H9)/100*1.1,($D5*'Essential Jul''15'!H9)/100*1.1)</f>
        <v>267.74</v>
      </c>
      <c r="F9" s="54">
        <f>$D5*'Essential Jul''15'!I9/100*1.1</f>
        <v>555.98400000000004</v>
      </c>
      <c r="G9" s="54">
        <f>$D5*'Essential Jul''15'!J9/100*1.1</f>
        <v>598.83119999999997</v>
      </c>
      <c r="H9" s="54">
        <f>$D5*'Essential Jul''15'!K9/100*1.1</f>
        <v>576.37800000000004</v>
      </c>
      <c r="I9" s="54">
        <f>$D5*'Essential Jul''15'!L9/100*1.1</f>
        <v>564.49800000000005</v>
      </c>
      <c r="J9" s="181">
        <f>IF(($D5&gt;'Essential Jul''15'!M7),( 'Essential Jul''15'!M7*'Essential Jul''15'!M9)/100*1.1,($D5*'Essential Jul''15'!M9)/100*1.1)</f>
        <v>280.47800000000001</v>
      </c>
      <c r="K9" s="181">
        <f>IF(($D5&gt;'Essential Jul''15'!N7),( 'Essential Jul''15'!N7*'Essential Jul''15'!N9)/100*1.1,($D5*'Essential Jul''15'!N9)/100*1.1)</f>
        <v>159.06</v>
      </c>
      <c r="L9" s="54">
        <f>$D5*'Essential Jul''15'!O9/100*1.1</f>
        <v>554.99400000000003</v>
      </c>
      <c r="M9" s="54">
        <f>$D5*'Essential Jul''15'!P9/100*1.1</f>
        <v>407.88000000000005</v>
      </c>
      <c r="N9" s="181">
        <f>IF(($D5&gt;'Essential Jul''15'!Q7),( 'Essential Jul''15'!Q7*'Essential Jul''15'!Q9)/100*1.1,($D5*'Essential Jul''15'!Q9)/100*1.1)</f>
        <v>242.55</v>
      </c>
      <c r="O9" s="54">
        <f>$D5*'Essential Jul''15'!R9/100*1.1</f>
        <v>615.78</v>
      </c>
      <c r="P9" s="54">
        <f>$D5*'Essential Jul''15'!S9/100*1.1</f>
        <v>614.39400000000001</v>
      </c>
      <c r="Q9" s="54">
        <f>$D5*'Essential Jul''15'!T9/100*1.1</f>
        <v>555.39</v>
      </c>
      <c r="R9" s="54">
        <f>$D5*'Essential Jul''15'!U9/100*1.1</f>
        <v>439.16400000000004</v>
      </c>
      <c r="S9" s="36"/>
      <c r="T9" s="36"/>
    </row>
    <row r="10" spans="1:20" x14ac:dyDescent="0.3">
      <c r="A10" s="26" t="s">
        <v>123</v>
      </c>
      <c r="B10" s="104">
        <f>IF($D5&lt;'Essential Jul''15'!E7,0,IF($D5&lt;='Essential Jul''15'!E8,($D5-'Essential Jul''15'!E7)*('Essential Jul''15'!E10/100*1.1),('Essential Jul''15'!E8-'Essential Jul''15'!E7)*('Essential Jul''15'!E10/100*1.1)))</f>
        <v>175.8075</v>
      </c>
      <c r="C10" s="125">
        <f>IF($D5&lt;'Essential Jul''15'!F7,0,IF($D5&lt;='Essential Jul''15'!F8,($D5-'Essential Jul''15'!F7)*('Essential Jul''15'!F10/100*1.1),('Essential Jul''15'!F8-'Essential Jul''15'!F7)*('Essential Jul''15'!F10/100*1.1)))</f>
        <v>198.33</v>
      </c>
      <c r="D10" s="181">
        <f>IF($D5&lt;'Essential Jul''15'!G7,0,IF($D5&lt;='Essential Jul''15'!G8,($D5-'Essential Jul''15'!G7)*('Essential Jul''15'!G10/100*1.1),('Essential Jul''15'!G8-'Essential Jul''15'!G7)*('Essential Jul''15'!G10/100*1.1)))</f>
        <v>180.345</v>
      </c>
      <c r="E10" s="181">
        <f>IF($D5&lt;='Essential Jul''15'!H8,0,IF($D5&gt;'Essential Jul''15'!H8,($D5-'Essential Jul''15'!H7)*'Essential Jul''15'!H10/100*1.1))</f>
        <v>0</v>
      </c>
      <c r="F10" s="54">
        <v>0</v>
      </c>
      <c r="G10" s="54">
        <v>0</v>
      </c>
      <c r="H10" s="54">
        <v>0</v>
      </c>
      <c r="I10" s="54">
        <v>0</v>
      </c>
      <c r="J10" s="181">
        <f>IF($D5&lt;'Essential Jul''15'!M7,0,IF($D5&lt;='Essential Jul''15'!M8,($D5-'Essential Jul''15'!M7)*('Essential Jul''15'!M10/100*1.1),('Essential Jul''15'!M8-'Essential Jul''15'!M7)*('Essential Jul''15'!M10/100*1.1)))</f>
        <v>207.68632500000001</v>
      </c>
      <c r="K10" s="181">
        <f>IF($D5&lt;='Essential Jul''15'!N8,0,IF($D5&gt;'Essential Jul''15'!N8,($D5-'Essential Jul''15'!N7)*'Essential Jul''15'!N10/100*1.1))</f>
        <v>0</v>
      </c>
      <c r="L10" s="54">
        <v>0</v>
      </c>
      <c r="M10" s="54">
        <v>0</v>
      </c>
      <c r="N10" s="181">
        <f>IF($D5&lt;'Essential Jul''15'!Q7,0,IF($D5&lt;='Essential Jul''15'!Q8,($D5-'Essential Jul''15'!Q7)*('Essential Jul''15'!Q10/100*1.1),('Essential Jul''15'!Q8-'Essential Jul''15'!Q7)*('Essential Jul''15'!Q10/100*1.1)))</f>
        <v>166.56750000000002</v>
      </c>
      <c r="O10" s="54">
        <v>0</v>
      </c>
      <c r="P10" s="54">
        <v>0</v>
      </c>
      <c r="Q10" s="54">
        <v>0</v>
      </c>
      <c r="R10" s="54">
        <v>0</v>
      </c>
      <c r="S10" s="36"/>
      <c r="T10" s="36"/>
    </row>
    <row r="11" spans="1:20" x14ac:dyDescent="0.3">
      <c r="A11" s="26" t="s">
        <v>86</v>
      </c>
      <c r="B11" s="104">
        <f>IF(($D5&gt;'Essential Jul''15'!E8),($D5-'Essential Jul''15'!E8)*'Essential Jul''15'!E11/100*1.1,0)</f>
        <v>11.544499999999999</v>
      </c>
      <c r="C11" s="125">
        <f>IF(($D5&gt;'Essential Jul''15'!F8),($D5-'Essential Jul''15'!F8)*'Essential Jul''15'!F11/100*1.1,0)</f>
        <v>13.046000000000001</v>
      </c>
      <c r="D11" s="181">
        <f>IF(($D5&gt;'Essential Jul''15'!G8),($D5-'Essential Jul''15'!G8)*'Essential Jul''15'!G11/100*1.1,0)</f>
        <v>11.847000000000001</v>
      </c>
      <c r="E11" s="181">
        <f>IF(($D5&lt;'Essential Jul''15'!H7+'Essential Jul''15'!H8),(0),($D5-1000)*'Essential Jul''15'!H11/100*1.1)</f>
        <v>209.61600000000001</v>
      </c>
      <c r="F11" s="54">
        <v>0</v>
      </c>
      <c r="G11" s="54">
        <v>0</v>
      </c>
      <c r="H11" s="54">
        <v>0</v>
      </c>
      <c r="I11" s="54">
        <v>0</v>
      </c>
      <c r="J11" s="181">
        <f>IF(($D5&gt;'Essential Jul''15'!M8),($D5-'Essential Jul''15'!M8)*'Essential Jul''15'!M11/100*1.1,0)</f>
        <v>13.828485000000002</v>
      </c>
      <c r="K11" s="181">
        <f>IF(($D5&lt;'Essential Jul''15'!N7+'Essential Jul''15'!N8),(0),($D5-600)*'Essential Jul''15'!N11/100*1.1)</f>
        <v>282.084</v>
      </c>
      <c r="L11" s="54">
        <v>0</v>
      </c>
      <c r="M11" s="54">
        <v>0</v>
      </c>
      <c r="N11" s="181">
        <f>IF(($D5&gt;'Essential Jul''15'!Q8),($D5-'Essential Jul''15'!Q8)*'Essential Jul''15'!Q11/100*1.1,0)</f>
        <v>10.725000000000001</v>
      </c>
      <c r="O11" s="54">
        <v>0</v>
      </c>
      <c r="P11" s="54">
        <v>0</v>
      </c>
      <c r="Q11" s="54">
        <v>0</v>
      </c>
      <c r="R11" s="54">
        <v>0</v>
      </c>
      <c r="S11" s="36"/>
      <c r="T11" s="36"/>
    </row>
    <row r="12" spans="1:20" x14ac:dyDescent="0.3">
      <c r="A12" s="26" t="s">
        <v>124</v>
      </c>
      <c r="B12" s="104">
        <f>'Essential Jul''15'!E12*91/100*1.1</f>
        <v>126.54642</v>
      </c>
      <c r="C12" s="125">
        <f>'Essential Jul''15'!F12*91/100*1.1</f>
        <v>128.02790000000002</v>
      </c>
      <c r="D12" s="181">
        <f>'Essential Jul''15'!G12*91/100*1.1</f>
        <v>131.47134000000003</v>
      </c>
      <c r="E12" s="181">
        <f>'Essential Jul''15'!H12*91/100*1.1</f>
        <v>128.02790000000002</v>
      </c>
      <c r="F12" s="54">
        <f>'Essential Jul''15'!I12*91/100*1.1</f>
        <v>126.96684000000002</v>
      </c>
      <c r="G12" s="54">
        <f>'Essential Jul''15'!J12*91/100*1.1</f>
        <v>131.16103000000001</v>
      </c>
      <c r="H12" s="54">
        <f>'Essential Jul''15'!K12*91/100*1.1</f>
        <v>124.91479000000002</v>
      </c>
      <c r="I12" s="54">
        <f>'Essential Jul''15'!L12*91/100*1.1</f>
        <v>122.29217</v>
      </c>
      <c r="J12" s="181">
        <f>'Essential Jul''15'!M12*91/100*1.1</f>
        <v>118.203085</v>
      </c>
      <c r="K12" s="181">
        <f>'Essential Jul''15'!N12*91/100*1.1</f>
        <v>128.36824000000001</v>
      </c>
      <c r="L12" s="54">
        <f>'Essential Jul''15'!O12*91/100*1.1</f>
        <v>127.19707</v>
      </c>
      <c r="M12" s="54">
        <f>'Essential Jul''15'!P12*91/100*1.1</f>
        <v>156.15600000000003</v>
      </c>
      <c r="N12" s="181">
        <f>'Essential Jul''15'!Q12*91/100*1.1</f>
        <v>130.02990000000003</v>
      </c>
      <c r="O12" s="54">
        <f>'Essential Jul''15'!R12*91/100*1.1</f>
        <v>124.91479000000002</v>
      </c>
      <c r="P12" s="54">
        <f>'Essential Jul''15'!S12*91/100*1.1</f>
        <v>126.02590000000001</v>
      </c>
      <c r="Q12" s="54">
        <f>'Essential Jul''15'!T12*91/100*1.1</f>
        <v>125.72560000000001</v>
      </c>
      <c r="R12" s="54">
        <f>'Essential Jul''15'!U12*91/100*1.1</f>
        <v>131.47134000000003</v>
      </c>
      <c r="S12" s="36">
        <f>AVERAGE(C12:R12)</f>
        <v>128.80961843750001</v>
      </c>
      <c r="T12" s="36"/>
    </row>
    <row r="13" spans="1:20" x14ac:dyDescent="0.3">
      <c r="A13" s="26" t="s">
        <v>87</v>
      </c>
      <c r="B13" s="105">
        <f t="shared" ref="B13:R13" si="0">SUM(B9:B12)</f>
        <v>551.71842000000004</v>
      </c>
      <c r="C13" s="126">
        <f t="shared" si="0"/>
        <v>607.36390000000006</v>
      </c>
      <c r="D13" s="182">
        <f t="shared" si="0"/>
        <v>567.64334000000008</v>
      </c>
      <c r="E13" s="182">
        <f t="shared" si="0"/>
        <v>605.38390000000004</v>
      </c>
      <c r="F13" s="54">
        <f t="shared" si="0"/>
        <v>682.95084000000008</v>
      </c>
      <c r="G13" s="54">
        <f t="shared" si="0"/>
        <v>729.99222999999995</v>
      </c>
      <c r="H13" s="54">
        <f t="shared" si="0"/>
        <v>701.29279000000008</v>
      </c>
      <c r="I13" s="54">
        <f t="shared" si="0"/>
        <v>686.79016999999999</v>
      </c>
      <c r="J13" s="182">
        <f t="shared" si="0"/>
        <v>620.19589500000006</v>
      </c>
      <c r="K13" s="182">
        <f t="shared" si="0"/>
        <v>569.51224000000002</v>
      </c>
      <c r="L13" s="54">
        <f t="shared" si="0"/>
        <v>682.19107000000008</v>
      </c>
      <c r="M13" s="54">
        <f t="shared" si="0"/>
        <v>564.03600000000006</v>
      </c>
      <c r="N13" s="182">
        <f t="shared" si="0"/>
        <v>549.87240000000008</v>
      </c>
      <c r="O13" s="54">
        <f t="shared" si="0"/>
        <v>740.69479000000001</v>
      </c>
      <c r="P13" s="54">
        <f t="shared" si="0"/>
        <v>740.41989999999998</v>
      </c>
      <c r="Q13" s="54">
        <f t="shared" si="0"/>
        <v>681.11559999999997</v>
      </c>
      <c r="R13" s="54">
        <f t="shared" si="0"/>
        <v>570.63534000000004</v>
      </c>
      <c r="S13" s="36">
        <f>AVERAGE(C13:R13)</f>
        <v>643.75565031250005</v>
      </c>
      <c r="T13" s="36"/>
    </row>
    <row r="14" spans="1:20" x14ac:dyDescent="0.3">
      <c r="A14" s="37" t="s">
        <v>121</v>
      </c>
      <c r="B14" s="100">
        <f>B13*4</f>
        <v>2206.8736800000001</v>
      </c>
      <c r="C14" s="63">
        <f>C13*4</f>
        <v>2429.4556000000002</v>
      </c>
      <c r="D14" s="63">
        <f>D13*4</f>
        <v>2270.5733600000003</v>
      </c>
      <c r="E14" s="63">
        <f>E13*4</f>
        <v>2421.5356000000002</v>
      </c>
      <c r="F14" s="63">
        <f t="shared" ref="F14:O14" si="1">F13*4</f>
        <v>2731.8033600000003</v>
      </c>
      <c r="G14" s="63">
        <f t="shared" si="1"/>
        <v>2919.9689199999998</v>
      </c>
      <c r="H14" s="63">
        <f t="shared" si="1"/>
        <v>2805.1711600000003</v>
      </c>
      <c r="I14" s="63">
        <f t="shared" si="1"/>
        <v>2747.16068</v>
      </c>
      <c r="J14" s="63">
        <f t="shared" si="1"/>
        <v>2480.7835800000003</v>
      </c>
      <c r="K14" s="63">
        <f t="shared" si="1"/>
        <v>2278.0489600000001</v>
      </c>
      <c r="L14" s="63">
        <f t="shared" si="1"/>
        <v>2728.7642800000003</v>
      </c>
      <c r="M14" s="63">
        <f t="shared" si="1"/>
        <v>2256.1440000000002</v>
      </c>
      <c r="N14" s="63">
        <f t="shared" si="1"/>
        <v>2199.4896000000003</v>
      </c>
      <c r="O14" s="63">
        <f t="shared" si="1"/>
        <v>2962.77916</v>
      </c>
      <c r="P14" s="63">
        <f>P13*4</f>
        <v>2961.6795999999999</v>
      </c>
      <c r="Q14" s="63">
        <f>Q13*4</f>
        <v>2724.4623999999999</v>
      </c>
      <c r="R14" s="63">
        <f>R13*4</f>
        <v>2282.5413600000002</v>
      </c>
      <c r="S14" s="40"/>
      <c r="T14" s="40">
        <f>AVERAGE(C14:R14)</f>
        <v>2575.0226012500002</v>
      </c>
    </row>
    <row r="15" spans="1:20" x14ac:dyDescent="0.3">
      <c r="B15" s="101"/>
      <c r="S15" s="41"/>
      <c r="T15" s="41"/>
    </row>
    <row r="16" spans="1:20" x14ac:dyDescent="0.3">
      <c r="A16" s="31" t="s">
        <v>125</v>
      </c>
      <c r="B16" s="103" t="s">
        <v>105</v>
      </c>
      <c r="C16" s="111" t="s">
        <v>106</v>
      </c>
      <c r="D16" s="111" t="s">
        <v>107</v>
      </c>
      <c r="E16" s="111" t="s">
        <v>108</v>
      </c>
      <c r="F16" s="58" t="s">
        <v>52</v>
      </c>
      <c r="G16" s="58" t="s">
        <v>109</v>
      </c>
      <c r="H16" s="58" t="s">
        <v>110</v>
      </c>
      <c r="I16" s="58" t="s">
        <v>111</v>
      </c>
      <c r="J16" s="58" t="s">
        <v>112</v>
      </c>
      <c r="K16" s="58" t="s">
        <v>113</v>
      </c>
      <c r="L16" s="58" t="s">
        <v>114</v>
      </c>
      <c r="M16" s="33" t="s">
        <v>50</v>
      </c>
      <c r="N16" s="33" t="s">
        <v>115</v>
      </c>
      <c r="O16" s="33" t="s">
        <v>116</v>
      </c>
      <c r="P16" s="33" t="s">
        <v>117</v>
      </c>
      <c r="Q16" s="33" t="s">
        <v>118</v>
      </c>
      <c r="R16" s="33" t="s">
        <v>119</v>
      </c>
      <c r="S16" s="34" t="s">
        <v>120</v>
      </c>
      <c r="T16" s="34" t="s">
        <v>121</v>
      </c>
    </row>
    <row r="17" spans="1:20" x14ac:dyDescent="0.3">
      <c r="A17" s="26" t="s">
        <v>122</v>
      </c>
      <c r="B17" s="104">
        <f>IF($D5&gt;'Ausgrid Jul''15'!E7,'Ausgrid Jul''15'!E7*'Ausgrid Jul''15'!E9/100*1.1,'Bills Jul''15'!$D5*'Ausgrid Jul''15'!E9/100*1.1)</f>
        <v>221.1902</v>
      </c>
      <c r="C17" s="54">
        <f>IF($D5&gt;'Ausgrid Jul''15'!F7,'Ausgrid Jul''15'!F7*'Ausgrid Jul''15'!F9/100*1.1,'Bills Jul''15'!$D5*'Ausgrid Jul''15'!F9/100*1.1)</f>
        <v>241.67000000000002</v>
      </c>
      <c r="D17" s="54">
        <f>IF($D5&gt;'Ausgrid Jul''15'!G7,'Ausgrid Jul''15'!G7*'Ausgrid Jul''15'!G9/100*1.1,'Bills Jul''15'!$D5*'Ausgrid Jul''15'!G9/100*1.1)</f>
        <v>233.31</v>
      </c>
      <c r="E17" s="54">
        <f>IF($D5&gt;'Ausgrid Jul''15'!H7,'Ausgrid Jul''15'!H7*'Ausgrid Jul''15'!H9/100*1.1,'Bills Jul''15'!$D5*'Ausgrid Jul''15'!H9/100*1.1)</f>
        <v>437.55250000000001</v>
      </c>
      <c r="F17" s="54">
        <f>IF($D5&gt;'Ausgrid Jul''15'!I7,'Ausgrid Jul''15'!I7*'Ausgrid Jul''15'!I9/100*1.1,'Bills Jul''15'!$D5*'Ausgrid Jul''15'!I9/100*1.1)</f>
        <v>248.82000000000002</v>
      </c>
      <c r="G17" s="54">
        <f>IF($D5&gt;'Ausgrid Jul''15'!J7,'Ausgrid Jul''15'!J7*'Ausgrid Jul''15'!J9/100*1.1,'Bills Jul''15'!$D5*'Ausgrid Jul''15'!J9/100*1.1)</f>
        <v>261.69000000000005</v>
      </c>
      <c r="H17" s="54">
        <f>IF($D5&gt;'Ausgrid Jul''15'!K7,'Ausgrid Jul''15'!K7*'Ausgrid Jul''15'!K9/100*1.1,'Bills Jul''15'!$D5*'Ausgrid Jul''15'!K9/100*1.1)</f>
        <v>251.90000000000003</v>
      </c>
      <c r="I17" s="54">
        <f>IF($D5&gt;'Ausgrid Jul''15'!L7,'Ausgrid Jul''15'!L7*'Ausgrid Jul''15'!L9/100*1.1,'Bills Jul''15'!$D5*'Ausgrid Jul''15'!L9/100*1.1)</f>
        <v>246.51000000000002</v>
      </c>
      <c r="J17" s="54">
        <f>IF($D5&gt;'Ausgrid Jul''15'!M7,'Ausgrid Jul''15'!M7*'Ausgrid Jul''15'!M9/100*1.1,'Bills Jul''15'!$D5*'Ausgrid Jul''15'!M9/100*1.1)</f>
        <v>245.89070000000004</v>
      </c>
      <c r="K17" s="54">
        <f>IF($D5&gt;='Ausgrid Jul''15'!N7,('Ausgrid Jul''15'!N7*'Ausgrid Jul''15'!N9/100*1.1),($D5*'Ausgrid Jul''15'!N9/100*1.1))</f>
        <v>176.68200000000002</v>
      </c>
      <c r="L17" s="54">
        <f>IF($D5&gt;'Ausgrid Jul''15'!O7,'Ausgrid Jul''15'!O7*'Ausgrid Jul''15'!O9/100*1.1,'Bills Jul''15'!$D5*'Ausgrid Jul''15'!O9/100*1.1)</f>
        <v>241.67000000000002</v>
      </c>
      <c r="M17" s="54">
        <f>$D5*'Ausgrid Jul''15'!P9/100*1.1</f>
        <v>406.69200000000006</v>
      </c>
      <c r="N17" s="54">
        <f>IF($D5&gt;'Ausgrid Jul''15'!Q7,'Ausgrid Jul''15'!Q7*'Ausgrid Jul''15'!Q9/100*1.1,'Bills Jul''15'!$D5*'Ausgrid Jul''15'!Q9/100*1.1)</f>
        <v>219.45000000000002</v>
      </c>
      <c r="O17" s="54">
        <f>IF($D5&gt;'Ausgrid Jul''15'!R7,'Ausgrid Jul''15'!R7*'Ausgrid Jul''15'!R9/100*1.1,'Bills Jul''15'!$D5*'Ausgrid Jul''15'!R9/100*1.1)</f>
        <v>273.90000000000003</v>
      </c>
      <c r="P17" s="54">
        <f>IF($D5&gt;'Ausgrid Jul''15'!S7,'Ausgrid Jul''15'!S7*'Ausgrid Jul''15'!S9/100*1.1,'Bills Jul''15'!$D5*'Ausgrid Jul''15'!S9/100*1.1)</f>
        <v>268.18</v>
      </c>
      <c r="Q17" s="54">
        <f>IF($D5&gt;='Ausgrid Jul''15'!T7,('Ausgrid Jul''15'!T7*'Ausgrid Jul''15'!T9/100*1.1),($D5*'Ausgrid Jul''15'!T9/100*1.1))</f>
        <v>74.646000000000001</v>
      </c>
      <c r="R17" s="54">
        <f>IF($D5&gt;'Ausgrid Jul''15'!U7,'Ausgrid Jul''15'!U7*'Ausgrid Jul''15'!U9/100*1.1,'Bills Jul''15'!$D5*'Ausgrid Jul''15'!U9/100*1.1)</f>
        <v>233.31</v>
      </c>
      <c r="S17" s="36"/>
      <c r="T17" s="36"/>
    </row>
    <row r="18" spans="1:20" x14ac:dyDescent="0.3">
      <c r="A18" s="26" t="s">
        <v>123</v>
      </c>
      <c r="B18" s="104">
        <f>IF($D5&lt;='Ausgrid Jul''15'!E7,0,IF('Bills Jul''15'!$D5&gt;'Ausgrid Jul''15'!E7,('Bills Jul''15'!$D5-'Ausgrid Jul''15'!E7)*'Ausgrid Jul''15'!E10/100*1.1))</f>
        <v>166.42823999999999</v>
      </c>
      <c r="C18" s="54">
        <f>IF($D5&lt;='Ausgrid Jul''15'!F7,0,IF('Bills Jul''15'!$D5&gt;'Ausgrid Jul''15'!F7,('Bills Jul''15'!$D5-'Ausgrid Jul''15'!F7)*'Ausgrid Jul''15'!F10/100*1.1))</f>
        <v>195.09600000000003</v>
      </c>
      <c r="D18" s="54">
        <f>IF($D5&lt;='Ausgrid Jul''15'!G7,0,IF('Bills Jul''15'!$D5&gt;'Ausgrid Jul''15'!G7,('Bills Jul''15'!$D5-'Ausgrid Jul''15'!G7)*'Ausgrid Jul''15'!G10/100*1.1))</f>
        <v>181.63200000000003</v>
      </c>
      <c r="E18" s="54">
        <f>IF($D5&lt;='Ausgrid Jul''15'!H7,0,IF('Bills Jul''15'!$D5&gt;'Ausgrid Jul''15'!H7,('Bills Jul''15'!$D5-'Ausgrid Jul''15'!H7)*'Ausgrid Jul''15'!H10/100*1.1))</f>
        <v>0</v>
      </c>
      <c r="F18" s="54">
        <f>IF($D5&lt;='Ausgrid Jul''15'!I7,0,IF('Bills Jul''15'!$D5&gt;'Ausgrid Jul''15'!I7,('Bills Jul''15'!$D5-'Ausgrid Jul''15'!I7)*'Ausgrid Jul''15'!I10/100*1.1))</f>
        <v>200.02400000000003</v>
      </c>
      <c r="G18" s="54">
        <f>IF($D5&lt;='Ausgrid Jul''15'!J7,0,IF('Bills Jul''15'!$D5&gt;'Ausgrid Jul''15'!J7,('Bills Jul''15'!$D5-'Ausgrid Jul''15'!J7)*'Ausgrid Jul''15'!J10/100*1.1))</f>
        <v>223.02720000000002</v>
      </c>
      <c r="H18" s="54">
        <f>IF($D5&lt;='Ausgrid Jul''15'!K7,0,IF('Bills Jul''15'!$D5&gt;'Ausgrid Jul''15'!K7,('Bills Jul''15'!$D5-'Ausgrid Jul''15'!K7)*'Ausgrid Jul''15'!K10/100*1.1))</f>
        <v>214.54400000000001</v>
      </c>
      <c r="I18" s="54">
        <f>IF($D5&lt;='Ausgrid Jul''15'!L7,0,IF('Bills Jul''15'!$D5&gt;'Ausgrid Jul''15'!L7,('Bills Jul''15'!$D5-'Ausgrid Jul''15'!L7)*'Ausgrid Jul''15'!L10/100*1.1))</f>
        <v>210.23200000000003</v>
      </c>
      <c r="J18" s="54">
        <f>IF($D5&lt;='Ausgrid Jul''15'!M7,0,IF('Bills Jul''15'!$D5&gt;'Ausgrid Jul''15'!M7,('Bills Jul''15'!$D5-'Ausgrid Jul''15'!M7)*'Ausgrid Jul''15'!M10/100*1.1))</f>
        <v>194.02768000000003</v>
      </c>
      <c r="K18" s="54">
        <f>IF($D5&lt;'Ausgrid Jul''15'!N7,0,IF($D5&lt;='Ausgrid Jul''15'!N8,($D5-'Ausgrid Jul''15'!N7)*('Ausgrid Jul''15'!N10/100*1.1),('Ausgrid Jul''15'!N8-'Ausgrid Jul''15'!N7)*('Ausgrid Jul''15'!N10/100*1.1)))</f>
        <v>300.03600000000006</v>
      </c>
      <c r="L18" s="54">
        <f>IF($D5&lt;='Ausgrid Jul''15'!O7,0,IF('Bills Jul''15'!$D5&gt;'Ausgrid Jul''15'!O7,('Bills Jul''15'!$D5-'Ausgrid Jul''15'!O7)*'Ausgrid Jul''15'!O10/100*1.1))</f>
        <v>204.86400000000003</v>
      </c>
      <c r="M18" s="54">
        <v>0</v>
      </c>
      <c r="N18" s="54">
        <f>IF($D5&lt;='Ausgrid Jul''15'!Q7,0,IF('Bills Jul''15'!$D5&gt;'Ausgrid Jul''15'!Q7,('Bills Jul''15'!$D5-'Ausgrid Jul''15'!Q7)*'Ausgrid Jul''15'!Q10/100*1.1))</f>
        <v>181.28000000000003</v>
      </c>
      <c r="O18" s="54">
        <f>IF($D5&lt;='Ausgrid Jul''15'!R7,0,IF('Bills Jul''15'!$D5&gt;'Ausgrid Jul''15'!R7,('Bills Jul''15'!$D5-'Ausgrid Jul''15'!R7)*'Ausgrid Jul''15'!R10/100*1.1))</f>
        <v>232.14400000000001</v>
      </c>
      <c r="P18" s="54">
        <f>IF($D5&lt;='Ausgrid Jul''15'!S7,0,IF('Bills Jul''15'!$D5&gt;'Ausgrid Jul''15'!S7,('Bills Jul''15'!$D5-'Ausgrid Jul''15'!S7)*'Ausgrid Jul''15'!S10/100*1.1))</f>
        <v>228.62400000000002</v>
      </c>
      <c r="Q18" s="54">
        <f>IF($D5&lt;'Ausgrid Jul''15'!T7,0,IF($D5&lt;='Ausgrid Jul''15'!T8,($D5-'Ausgrid Jul''15'!T7)*('Ausgrid Jul''15'!T10/100*1.1),('Ausgrid Jul''15'!T8-'Ausgrid Jul''15'!T7)*('Ausgrid Jul''15'!T10/100*1.1)))</f>
        <v>179.38800000000001</v>
      </c>
      <c r="R18" s="54">
        <f>IF($D5&lt;='Ausgrid Jul''15'!U7,0,IF('Bills Jul''15'!$D5&gt;'Ausgrid Jul''15'!U7,('Bills Jul''15'!$D5-'Ausgrid Jul''15'!U7)*'Ausgrid Jul''15'!U10/100*1.1))</f>
        <v>181.63200000000003</v>
      </c>
      <c r="S18" s="36"/>
      <c r="T18" s="36"/>
    </row>
    <row r="19" spans="1:20" x14ac:dyDescent="0.3">
      <c r="A19" s="26" t="s">
        <v>86</v>
      </c>
      <c r="B19" s="104">
        <f>IF(($D5&lt;'Ausgrid Jul''15'!E7+'Ausgrid Jul''15'!E8),(0),('Bills Jul''15'!$D5-2000)*'Ausgrid Jul''15'!E11/100*1.1)</f>
        <v>0</v>
      </c>
      <c r="C19" s="54">
        <f>IF(($D5&lt;'Ausgrid Jul''15'!F7+'Ausgrid Jul''15'!F8),(0),('Bills Jul''15'!$D5-2000)*'Ausgrid Jul''15'!F11/100*1.1)</f>
        <v>0</v>
      </c>
      <c r="D19" s="54">
        <f>IF(($D5&lt;'Ausgrid Jul''15'!G7+'Ausgrid Jul''15'!G8),(0),('Bills Jul''15'!$D5-2000)*'Ausgrid Jul''15'!G11/100*1.1)</f>
        <v>0</v>
      </c>
      <c r="E19" s="54">
        <f>IF(($D5&lt;'Ausgrid Jul''15'!H7+'Ausgrid Jul''15'!H8),(0),('Bills Jul''15'!$D5-1750)*'Ausgrid Jul''15'!H11/100*1.1)</f>
        <v>13.112</v>
      </c>
      <c r="F19" s="54">
        <f>IF(($D5&lt;'Ausgrid Jul''15'!I7+'Ausgrid Jul''15'!I8),(0),('Bills Jul''15'!$D5-2000)*'Ausgrid Jul''15'!I11/100*1.1)</f>
        <v>0</v>
      </c>
      <c r="G19" s="54">
        <f>IF(($D5&lt;'Ausgrid Jul''15'!J7+'Ausgrid Jul''15'!J8),(0),('Bills Jul''15'!$D5-2000)*'Ausgrid Jul''15'!J11/100*1.1)</f>
        <v>0</v>
      </c>
      <c r="H19" s="54">
        <f>IF(($D5&lt;'Ausgrid Jul''15'!K7+'Ausgrid Jul''15'!K8),(0),('Bills Jul''15'!$D5-2000)*'Ausgrid Jul''15'!K11/100*1.1)</f>
        <v>0</v>
      </c>
      <c r="I19" s="54">
        <f>IF(($D5&lt;'Ausgrid Jul''15'!L7+'Ausgrid Jul''15'!L8),(0),('Bills Jul''15'!$D5-2000)*'Ausgrid Jul''15'!L11/100*1.1)</f>
        <v>0</v>
      </c>
      <c r="J19" s="54">
        <f>IF(($D5&lt;'Ausgrid Jul''15'!M7+'Ausgrid Jul''15'!M8),(0),('Bills Jul''15'!$D5-2000)*'Ausgrid Jul''15'!M11/100*1.1)</f>
        <v>0</v>
      </c>
      <c r="K19" s="54">
        <f>IF(($D5&gt;'Ausgrid Jul''15'!N8),($D5-'Ausgrid Jul''15'!N8)*'Ausgrid Jul''15'!N11/100*1.1,0)</f>
        <v>0</v>
      </c>
      <c r="L19" s="54">
        <f>IF(($D5&lt;'Ausgrid Jul''15'!O7+'Ausgrid Jul''15'!O8),(0),('Bills Jul''15'!$D5-2000)*'Ausgrid Jul''15'!O11/100*1.1)</f>
        <v>0</v>
      </c>
      <c r="M19" s="54">
        <v>0</v>
      </c>
      <c r="N19" s="54">
        <f>IF(($D5&lt;'Ausgrid Jul''15'!Q7+'Ausgrid Jul''15'!Q8),(0),('Bills Jul''15'!$D5-2000)*'Ausgrid Jul''15'!Q11/100*1.1)</f>
        <v>0</v>
      </c>
      <c r="O19" s="54">
        <f>IF(($D5&lt;'Ausgrid Jul''15'!R7+'Ausgrid Jul''15'!R8),(0),('Bills Jul''15'!$D5-2000)*'Ausgrid Jul''15'!R11/100*1.1)</f>
        <v>0</v>
      </c>
      <c r="P19" s="54">
        <f>IF(($D5&lt;'Ausgrid Jul''15'!S7+'Ausgrid Jul''15'!S8),(0),('Bills Jul''15'!$D5-2000)*'Ausgrid Jul''15'!S11/100*1.1)</f>
        <v>0</v>
      </c>
      <c r="Q19" s="54">
        <f>IF(($D5&gt;'Ausgrid Jul''15'!T8),($D5-'Ausgrid Jul''15'!T8)*'Ausgrid Jul''15'!T11/100*1.1,0)</f>
        <v>200.34300000000002</v>
      </c>
      <c r="R19" s="54">
        <f>IF(($D5&lt;'Ausgrid Jul''15'!U7+'Ausgrid Jul''15'!U8),(0),('Bills Jul''15'!$D5-2000)*'Ausgrid Jul''15'!U11/100*1.1)</f>
        <v>0</v>
      </c>
      <c r="S19" s="36"/>
      <c r="T19" s="36"/>
    </row>
    <row r="20" spans="1:20" x14ac:dyDescent="0.3">
      <c r="A20" s="26" t="s">
        <v>124</v>
      </c>
      <c r="B20" s="104">
        <f>'Ausgrid Jul''15'!E12*91/100*1.1</f>
        <v>71.191120000000012</v>
      </c>
      <c r="C20" s="54">
        <f>'Ausgrid Jul''15'!F12*91/100*1.1</f>
        <v>72.842770000000002</v>
      </c>
      <c r="D20" s="54">
        <f>'Ausgrid Jul''15'!G12*91/100*1.1</f>
        <v>75.685609999999997</v>
      </c>
      <c r="E20" s="54">
        <f>'Ausgrid Jul''15'!H12*91/100*1.1</f>
        <v>72.842770000000002</v>
      </c>
      <c r="F20" s="54">
        <f>'Ausgrid Jul''15'!I12*91/100*1.1</f>
        <v>72.041970000000006</v>
      </c>
      <c r="G20" s="54">
        <f>'Ausgrid Jul''15'!J12*91/100*1.1</f>
        <v>74.624550000000013</v>
      </c>
      <c r="H20" s="54">
        <f>'Ausgrid Jul''15'!K12*91/100*1.1</f>
        <v>71.060990000000004</v>
      </c>
      <c r="I20" s="54">
        <f>'Ausgrid Jul''15'!L12*91/100*1.1</f>
        <v>69.579510000000013</v>
      </c>
      <c r="J20" s="54">
        <f>'Ausgrid Jul''15'!M12*91/100*1.1</f>
        <v>67.189121999999998</v>
      </c>
      <c r="K20" s="54">
        <f>'Ausgrid Jul''15'!N12*91/100*1.1</f>
        <v>73.813739999999996</v>
      </c>
      <c r="L20" s="54">
        <f>'Ausgrid Jul''15'!O12*91/100*1.1</f>
        <v>72.152079999999998</v>
      </c>
      <c r="M20" s="54">
        <f>'Ausgrid Jul''15'!P12*91/100*1.1</f>
        <v>89.339250000000007</v>
      </c>
      <c r="N20" s="54">
        <f>'Ausgrid Jul''15'!Q12*91/100*1.1</f>
        <v>75.275200000000012</v>
      </c>
      <c r="O20" s="54">
        <f>'Ausgrid Jul''15'!R12*91/100*1.1</f>
        <v>71.071000000000012</v>
      </c>
      <c r="P20" s="54">
        <f>'Ausgrid Jul''15'!S12*91/100*1.1</f>
        <v>71.971900000000005</v>
      </c>
      <c r="Q20" s="54">
        <f>'Ausgrid Jul''15'!T12*91/100*1.1</f>
        <v>71.321250000000006</v>
      </c>
      <c r="R20" s="54">
        <f>'Ausgrid Jul''15'!U12*91/100*1.1</f>
        <v>75.685609999999997</v>
      </c>
      <c r="S20" s="36">
        <f>AVERAGE(C20:R20)</f>
        <v>73.531082624999996</v>
      </c>
      <c r="T20" s="36"/>
    </row>
    <row r="21" spans="1:20" x14ac:dyDescent="0.3">
      <c r="A21" s="26" t="s">
        <v>87</v>
      </c>
      <c r="B21" s="105">
        <f>SUM(B17:B20)</f>
        <v>458.80955999999998</v>
      </c>
      <c r="C21" s="54">
        <f>SUM(C17:C20)</f>
        <v>509.60877000000005</v>
      </c>
      <c r="D21" s="54">
        <f>SUM(D17:D20)</f>
        <v>490.62761</v>
      </c>
      <c r="E21" s="54">
        <f t="shared" ref="E21:R21" si="2">SUM(E17:E20)</f>
        <v>523.50727000000006</v>
      </c>
      <c r="F21" s="54">
        <f t="shared" si="2"/>
        <v>520.88597000000004</v>
      </c>
      <c r="G21" s="54">
        <f t="shared" si="2"/>
        <v>559.34175000000005</v>
      </c>
      <c r="H21" s="54">
        <f t="shared" si="2"/>
        <v>537.50499000000013</v>
      </c>
      <c r="I21" s="54">
        <f t="shared" si="2"/>
        <v>526.3215100000001</v>
      </c>
      <c r="J21" s="54">
        <f t="shared" si="2"/>
        <v>507.10750200000007</v>
      </c>
      <c r="K21" s="54">
        <f t="shared" si="2"/>
        <v>550.53174000000013</v>
      </c>
      <c r="L21" s="54">
        <f t="shared" si="2"/>
        <v>518.68608000000006</v>
      </c>
      <c r="M21" s="54">
        <f t="shared" si="2"/>
        <v>496.03125000000006</v>
      </c>
      <c r="N21" s="54">
        <f t="shared" si="2"/>
        <v>476.00520000000006</v>
      </c>
      <c r="O21" s="54">
        <f t="shared" si="2"/>
        <v>577.11500000000001</v>
      </c>
      <c r="P21" s="54">
        <f t="shared" si="2"/>
        <v>568.77590000000009</v>
      </c>
      <c r="Q21" s="54">
        <f t="shared" si="2"/>
        <v>525.69825000000003</v>
      </c>
      <c r="R21" s="54">
        <f t="shared" si="2"/>
        <v>490.62761</v>
      </c>
      <c r="S21" s="36">
        <f>AVERAGE(C21:R21)</f>
        <v>523.64852512500022</v>
      </c>
      <c r="T21" s="36"/>
    </row>
    <row r="22" spans="1:20" x14ac:dyDescent="0.3">
      <c r="A22" s="37" t="s">
        <v>121</v>
      </c>
      <c r="B22" s="100">
        <f>B21*4</f>
        <v>1835.2382399999999</v>
      </c>
      <c r="C22" s="63">
        <f>C21*4</f>
        <v>2038.4350800000002</v>
      </c>
      <c r="D22" s="63">
        <f>D21*4</f>
        <v>1962.51044</v>
      </c>
      <c r="E22" s="63">
        <f>E21*4</f>
        <v>2094.0290800000002</v>
      </c>
      <c r="F22" s="63">
        <f t="shared" ref="F22:L22" si="3">F21*4</f>
        <v>2083.5438800000002</v>
      </c>
      <c r="G22" s="63">
        <f t="shared" si="3"/>
        <v>2237.3670000000002</v>
      </c>
      <c r="H22" s="63">
        <f t="shared" si="3"/>
        <v>2150.0199600000005</v>
      </c>
      <c r="I22" s="63">
        <f t="shared" si="3"/>
        <v>2105.2860400000004</v>
      </c>
      <c r="J22" s="63">
        <f t="shared" si="3"/>
        <v>2028.4300080000003</v>
      </c>
      <c r="K22" s="63">
        <f t="shared" si="3"/>
        <v>2202.1269600000005</v>
      </c>
      <c r="L22" s="63">
        <f t="shared" si="3"/>
        <v>2074.7443200000002</v>
      </c>
      <c r="M22" s="63">
        <f t="shared" ref="M22:R22" si="4">M21*4</f>
        <v>1984.1250000000002</v>
      </c>
      <c r="N22" s="63">
        <f t="shared" si="4"/>
        <v>1904.0208000000002</v>
      </c>
      <c r="O22" s="63">
        <f t="shared" si="4"/>
        <v>2308.46</v>
      </c>
      <c r="P22" s="63">
        <f t="shared" si="4"/>
        <v>2275.1036000000004</v>
      </c>
      <c r="Q22" s="63">
        <f t="shared" si="4"/>
        <v>2102.7930000000001</v>
      </c>
      <c r="R22" s="63">
        <f t="shared" si="4"/>
        <v>1962.51044</v>
      </c>
      <c r="S22" s="40"/>
      <c r="T22" s="40">
        <f>AVERAGE(C22:R22)</f>
        <v>2094.5941005000009</v>
      </c>
    </row>
    <row r="23" spans="1:20" x14ac:dyDescent="0.3">
      <c r="B23" s="101"/>
      <c r="S23" s="41"/>
      <c r="T23" s="41"/>
    </row>
    <row r="24" spans="1:20" x14ac:dyDescent="0.3">
      <c r="A24" s="31" t="s">
        <v>126</v>
      </c>
      <c r="B24" s="103" t="s">
        <v>105</v>
      </c>
      <c r="C24" s="111" t="s">
        <v>106</v>
      </c>
      <c r="D24" s="111" t="s">
        <v>107</v>
      </c>
      <c r="E24" s="111" t="s">
        <v>108</v>
      </c>
      <c r="F24" s="58" t="s">
        <v>52</v>
      </c>
      <c r="G24" s="58" t="s">
        <v>109</v>
      </c>
      <c r="H24" s="58" t="s">
        <v>110</v>
      </c>
      <c r="I24" s="58" t="s">
        <v>111</v>
      </c>
      <c r="J24" s="58" t="s">
        <v>112</v>
      </c>
      <c r="K24" s="58" t="s">
        <v>113</v>
      </c>
      <c r="L24" s="58" t="s">
        <v>114</v>
      </c>
      <c r="M24" s="33" t="s">
        <v>50</v>
      </c>
      <c r="N24" s="33" t="s">
        <v>115</v>
      </c>
      <c r="O24" s="33" t="s">
        <v>116</v>
      </c>
      <c r="P24" s="33" t="s">
        <v>117</v>
      </c>
      <c r="Q24" s="33" t="s">
        <v>118</v>
      </c>
      <c r="R24" s="33" t="s">
        <v>119</v>
      </c>
      <c r="S24" s="34" t="s">
        <v>120</v>
      </c>
      <c r="T24" s="34" t="s">
        <v>121</v>
      </c>
    </row>
    <row r="25" spans="1:20" x14ac:dyDescent="0.3">
      <c r="A25" s="26" t="s">
        <v>122</v>
      </c>
      <c r="B25" s="104">
        <f>IF($D5&gt;'Endeavour Jul''15'!E7,'Endeavour Jul''15'!E7*'Endeavour Jul''15'!E9/100*1.1,'Bills Jul''15'!$D5*'Endeavour Jul''15'!E9/100*1.1)</f>
        <v>235.73000000000002</v>
      </c>
      <c r="C25" s="125">
        <f>IF($D5&gt;'Endeavour Jul''15'!F7,'Endeavour Jul''15'!F7*'Endeavour Jul''15'!F9/100*1.1,'Bills Jul''15'!$D5*'Endeavour Jul''15'!F9/100*1.1)</f>
        <v>246.73000000000005</v>
      </c>
      <c r="D25" s="181">
        <f>IF($D5&gt;'Endeavour Jul''15'!G7,'Endeavour Jul''15'!G7*'Endeavour Jul''15'!G9/100*1.1,'Bills Jul''15'!$D5*'Endeavour Jul''15'!G9/100*1.1)</f>
        <v>239.91000000000003</v>
      </c>
      <c r="E25" s="181">
        <f>IF($D5&gt;'Endeavour Jul''15'!H7,'Endeavour Jul''15'!H7*'Endeavour Jul''15'!H9/100*1.1,'Bills Jul''15'!$D5*'Endeavour Jul''15'!H9/100*1.1)</f>
        <v>429.27500000000003</v>
      </c>
      <c r="F25" s="181">
        <f>IF($D5&gt;'Endeavour Jul''15'!I7,'Endeavour Jul''15'!I7*'Endeavour Jul''15'!I9/100*1.1,'Bills Jul''15'!$D5*'Endeavour Jul''15'!I9/100*1.1)</f>
        <v>432.16250000000002</v>
      </c>
      <c r="G25" s="181">
        <f>IF($D5&gt;'Endeavour Jul''15'!J7,'Endeavour Jul''15'!J7*'Endeavour Jul''15'!J9/100*1.1,'Bills Jul''15'!$D5*'Endeavour Jul''15'!J9/100*1.1)</f>
        <v>452.68299999999999</v>
      </c>
      <c r="H25" s="181">
        <f>IF($D5&gt;'Endeavour Jul''15'!K7,'Endeavour Jul''15'!K7*'Endeavour Jul''15'!K9/100*1.1,'Bills Jul''15'!$D5*'Endeavour Jul''15'!K9/100*1.1)</f>
        <v>436.20500000000004</v>
      </c>
      <c r="I25" s="181">
        <f>IF($D5&gt;'Endeavour Jul''15'!L7,'Endeavour Jul''15'!L7*'Endeavour Jul''15'!L9/100*1.1,'Bills Jul''15'!$D5*'Endeavour Jul''15'!L9/100*1.1)</f>
        <v>426.77250000000004</v>
      </c>
      <c r="J25" s="181">
        <f>IF($D5&gt;'Endeavour Jul''15'!M7,'Endeavour Jul''15'!M7*'Endeavour Jul''15'!M9/100*1.1,'Bills Jul''15'!$D5*'Endeavour Jul''15'!M9/100*1.1)</f>
        <v>253.34980000000002</v>
      </c>
      <c r="K25" s="181">
        <f>IF($D5&gt;'Endeavour Jul''15'!N7,'Endeavour Jul''15'!N7*'Endeavour Jul''15'!N9/100*1.1,'Bills Jul''15'!$D5*'Endeavour Jul''15'!N9/100*1.1)</f>
        <v>167.97</v>
      </c>
      <c r="L25" s="181">
        <f>IF($D5&gt;'Endeavour Jul''15'!O7,'Endeavour Jul''15'!O7*'Endeavour Jul''15'!O9/100*1.1,'Bills Jul''15'!$D5*'Endeavour Jul''15'!O9/100*1.1)</f>
        <v>429.08250000000004</v>
      </c>
      <c r="M25" s="181">
        <f>$D5*'Endeavour Jul''15'!P9/100*1.1</f>
        <v>396.00000000000006</v>
      </c>
      <c r="N25" s="181">
        <f>IF($D5&gt;'Endeavour Jul''15'!Q7,'Endeavour Jul''15'!Q7*'Endeavour Jul''15'!Q9/100*1.1,'Bills Jul''15'!$D5*'Endeavour Jul''15'!Q9/100*1.1)</f>
        <v>234.85000000000002</v>
      </c>
      <c r="O25" s="181">
        <f>IF($D5&gt;'Endeavour Jul''15'!R7,'Endeavour Jul''15'!R7*'Endeavour Jul''15'!R9/100*1.1,'Bills Jul''15'!$D5*'Endeavour Jul''15'!R9/100*1.1)</f>
        <v>474.70500000000004</v>
      </c>
      <c r="P25" s="181">
        <f>IF($D5&gt;'Endeavour Jul''15'!S7,'Endeavour Jul''15'!S7*'Endeavour Jul''15'!S9/100*1.1,'Bills Jul''15'!$D5*'Endeavour Jul''15'!S9/100*1.1)</f>
        <v>464.31000000000006</v>
      </c>
      <c r="Q25" s="181">
        <f>IF($D5&gt;'Endeavour Jul''15'!T7,'Endeavour Jul''15'!T7*'Endeavour Jul''15'!T9/100*1.1,'Bills Jul''15'!$D5*'Endeavour Jul''15'!T9/100*1.1)</f>
        <v>232.25399999999999</v>
      </c>
      <c r="R25" s="181">
        <f>IF($D5&gt;'Endeavour Jul''15'!U7,'Endeavour Jul''15'!U7*'Endeavour Jul''15'!U9/100*1.1,'Bills Jul''15'!$D5*'Endeavour Jul''15'!U9/100*1.1)</f>
        <v>419.84250000000003</v>
      </c>
      <c r="S25" s="36"/>
      <c r="T25" s="36"/>
    </row>
    <row r="26" spans="1:20" x14ac:dyDescent="0.3">
      <c r="A26" s="26" t="s">
        <v>123</v>
      </c>
      <c r="B26" s="104">
        <f>IF($D5&lt;'Endeavour Jul''15'!E7,0,IF($D5&lt;='Endeavour Jul''15'!E8,($D5-'Endeavour Jul''15'!E7)*('Endeavour Jul''15'!E10/100*1.1),('Endeavour Jul''15'!E8-'Endeavour Jul''15'!E7)*('Endeavour Jul''15'!E10/100*1.1)))</f>
        <v>171.93</v>
      </c>
      <c r="C26" s="125">
        <f>IF($D5&lt;'Endeavour Jul''15'!F7,0,IF($D5&lt;='Endeavour Jul''15'!F8,($D5-'Endeavour Jul''15'!F7)*('Endeavour Jul''15'!F10/100*1.1),('Endeavour Jul''15'!F8-'Endeavour Jul''15'!F7)*('Endeavour Jul''15'!F10/100*1.1)))</f>
        <v>181.50000000000003</v>
      </c>
      <c r="D26" s="181">
        <f>IF($D5&lt;'Endeavour Jul''15'!G7,0,IF($D5&lt;='Endeavour Jul''15'!G8,($D5-'Endeavour Jul''15'!G7)*('Endeavour Jul''15'!G10/100*1.1),('Endeavour Jul''15'!G8-'Endeavour Jul''15'!G7)*('Endeavour Jul''15'!G10/100*1.1)))</f>
        <v>175.06500000000003</v>
      </c>
      <c r="E26" s="181">
        <f>IF($D5&lt;='Endeavour Jul''15'!H7,0,IF('Bills Jul''15'!$D5&gt;'Endeavour Jul''15'!H7,('Bills Jul''15'!$D5-'Endeavour Jul''15'!H7)*'Endeavour Jul''15'!H10/100*1.1))</f>
        <v>0</v>
      </c>
      <c r="F26" s="181">
        <f>IF($D5&lt;='Endeavour Jul''15'!I7,0,IF('Bills Jul''15'!$D5&gt;'Endeavour Jul''15'!I7,('Bills Jul''15'!$D5-'Endeavour Jul''15'!I7)*'Endeavour Jul''15'!I10/100*1.1))</f>
        <v>0</v>
      </c>
      <c r="G26" s="181">
        <f>IF($D5&lt;='Endeavour Jul''15'!J7,0,IF('Bills Jul''15'!$D5&gt;'Endeavour Jul''15'!J7,('Bills Jul''15'!$D5-'Endeavour Jul''15'!J7)*'Endeavour Jul''15'!J10/100*1.1))</f>
        <v>0</v>
      </c>
      <c r="H26" s="181">
        <f>IF($D5&lt;='Endeavour Jul''15'!K7,0,IF('Bills Jul''15'!$D5&gt;'Endeavour Jul''15'!K7,('Bills Jul''15'!$D5-'Endeavour Jul''15'!K7)*'Endeavour Jul''15'!K10/100*1.1))</f>
        <v>0</v>
      </c>
      <c r="I26" s="181">
        <f>IF($D5&lt;='Endeavour Jul''15'!L7,0,IF('Bills Jul''15'!$D5&gt;'Endeavour Jul''15'!L7,('Bills Jul''15'!$D5-'Endeavour Jul''15'!L7)*'Endeavour Jul''15'!L10/100*1.1))</f>
        <v>0</v>
      </c>
      <c r="J26" s="181">
        <f>IF($D5&lt;'Endeavour Jul''15'!M7,0,IF($D5&lt;='Endeavour Jul''15'!M8,($D5-'Endeavour Jul''15'!M7)*('Endeavour Jul''15'!M10/100*1.1),('Endeavour Jul''15'!M8-'Endeavour Jul''15'!M7)*('Endeavour Jul''15'!M10/100*1.1)))</f>
        <v>183.37440000000001</v>
      </c>
      <c r="K26" s="181">
        <f>IF($D5&lt;='Endeavour Jul''15'!N7,0,IF('Bills Jul''15'!$D5&gt;'Endeavour Jul''15'!N7,('Bills Jul''15'!$D5-'Endeavour Jul''15'!N7)*'Endeavour Jul''15'!N10/100*1.1))</f>
        <v>0</v>
      </c>
      <c r="L26" s="181">
        <f>IF($D5&lt;='Endeavour Jul''15'!O7,0,IF('Bills Jul''15'!$D5&gt;'Endeavour Jul''15'!O7,('Bills Jul''15'!$D5-'Endeavour Jul''15'!O7)*'Endeavour Jul''15'!O10/100*1.1))</f>
        <v>0</v>
      </c>
      <c r="M26" s="181">
        <v>0</v>
      </c>
      <c r="N26" s="181">
        <f>IF($D5&lt;'Endeavour Jul''15'!Q7,0,IF($D5&lt;='Endeavour Jul''15'!Q8,($D5-'Endeavour Jul''15'!Q7)*('Endeavour Jul''15'!Q10/100*1.1),('Endeavour Jul''15'!Q8-'Endeavour Jul''15'!Q7)*('Endeavour Jul''15'!Q10/100*1.1)))</f>
        <v>174.40500000000003</v>
      </c>
      <c r="O26" s="181">
        <f>IF($D5&lt;='Endeavour Jul''15'!R7,0,IF('Bills Jul''15'!$D5&gt;'Endeavour Jul''15'!R7,('Bills Jul''15'!$D5-'Endeavour Jul''15'!R7)*'Endeavour Jul''15'!R10/100*1.1))</f>
        <v>0</v>
      </c>
      <c r="P26" s="181">
        <f>IF($D5&lt;='Endeavour Jul''15'!S7,0,IF('Bills Jul''15'!$D5&gt;'Endeavour Jul''15'!S7,('Bills Jul''15'!$D5-'Endeavour Jul''15'!S7)*'Endeavour Jul''15'!S10/100*1.1))</f>
        <v>0</v>
      </c>
      <c r="Q26" s="181">
        <f>IF($D5&lt;='Endeavour Jul''15'!T7,0,IF('Bills Jul''15'!$D5&gt;'Endeavour Jul''15'!T7,('Bills Jul''15'!$D5-'Endeavour Jul''15'!T7)*'Endeavour Jul''15'!T10/100*1.1))</f>
        <v>0</v>
      </c>
      <c r="R26" s="181">
        <f>IF($D5&lt;='Endeavour Jul''15'!U7,0,IF('Bills Jul''15'!$D5&gt;'Endeavour Jul''15'!U7,('Bills Jul''15'!$D5-'Endeavour Jul''15'!U7)*'Endeavour Jul''15'!U10/100*1.1))</f>
        <v>0</v>
      </c>
      <c r="S26" s="36"/>
      <c r="T26" s="36"/>
    </row>
    <row r="27" spans="1:20" x14ac:dyDescent="0.3">
      <c r="A27" s="26" t="s">
        <v>86</v>
      </c>
      <c r="B27" s="104">
        <f>IF(($D5&gt;'Endeavour Jul''15'!E8),($D5-'Endeavour Jul''15'!E8)*'Endeavour Jul''15'!E11/100*1.1,0)</f>
        <v>10.329000000000001</v>
      </c>
      <c r="C27" s="125">
        <f>IF(($D5&gt;'Endeavour Jul''15'!F8),($D5-'Endeavour Jul''15'!F8)*'Endeavour Jul''15'!F11/100*1.1,0)</f>
        <v>11.990000000000002</v>
      </c>
      <c r="D27" s="181">
        <f>IF(($D5&gt;'Endeavour Jul''15'!G8),($D5-'Endeavour Jul''15'!G8)*'Endeavour Jul''15'!G11/100*1.1,0)</f>
        <v>11.2475</v>
      </c>
      <c r="E27" s="181">
        <f>IF(($D5&lt;'Endeavour Jul''15'!H7+'Endeavour Jul''15'!H8),(0),('Bills Jul''15'!$D5-1750)*'Endeavour Jul''15'!H11/100*1.1)</f>
        <v>11.984500000000001</v>
      </c>
      <c r="F27" s="181">
        <f>IF(($D5&lt;'Endeavour Jul''15'!I7+'Endeavour Jul''15'!I8),(0),('Bills Jul''15'!$D5-1750)*'Endeavour Jul''15'!I11/100*1.1)</f>
        <v>12.710500000000001</v>
      </c>
      <c r="G27" s="181">
        <f>IF(($D5&lt;'Endeavour Jul''15'!J7+'Endeavour Jul''15'!J8),(0),('Bills Jul''15'!$D5-1750)*'Endeavour Jul''15'!J11/100*1.1)</f>
        <v>14.522200000000002</v>
      </c>
      <c r="H27" s="181">
        <f>IF(($D5&lt;'Endeavour Jul''15'!K7+'Endeavour Jul''15'!K8),(0),('Bills Jul''15'!$D5-1750)*'Endeavour Jul''15'!K11/100*1.1)</f>
        <v>13.975500000000002</v>
      </c>
      <c r="I27" s="181">
        <f>IF(($D5&lt;'Endeavour Jul''15'!L7+'Endeavour Jul''15'!L8),(0),('Bills Jul''15'!$D5-1750)*'Endeavour Jul''15'!L11/100*1.1)</f>
        <v>13.706000000000001</v>
      </c>
      <c r="J27" s="181">
        <f>IF(($D5&gt;'Endeavour Jul''15'!M8),($D5-'Endeavour Jul''15'!M8)*'Endeavour Jul''15'!M11/100*1.1,0)</f>
        <v>11.609950000000001</v>
      </c>
      <c r="K27" s="181">
        <f>IF(($D5&lt;'Endeavour Jul''15'!N7+'Endeavour Jul''15'!N8),(0),('Bills Jul''15'!$D5-600)*'Endeavour Jul''15'!N11/100*1.1)</f>
        <v>281.55599999999998</v>
      </c>
      <c r="L27" s="181">
        <f>IF(($D5&lt;'Endeavour Jul''15'!O7+'Endeavour Jul''15'!O8),(0),('Bills Jul''15'!$D5-1750)*'Endeavour Jul''15'!O11/100*1.1)</f>
        <v>13.623500000000002</v>
      </c>
      <c r="M27" s="181">
        <v>0</v>
      </c>
      <c r="N27" s="181">
        <f>IF(($D5&gt;'Endeavour Jul''15'!Q8),($D5-'Endeavour Jul''15'!Q8)*'Endeavour Jul''15'!Q11/100*1.1,0)</f>
        <v>10.945</v>
      </c>
      <c r="O27" s="181">
        <f>IF(($D5&lt;'Endeavour Jul''15'!R7+'Endeavour Jul''15'!R8),(0),('Bills Jul''15'!$D5-1750)*'Endeavour Jul''15'!R11/100*1.1)</f>
        <v>15.075500000000002</v>
      </c>
      <c r="P27" s="181">
        <f>IF(($D5&lt;'Endeavour Jul''15'!S7+'Endeavour Jul''15'!S8),(0),('Bills Jul''15'!$D5-1750)*'Endeavour Jul''15'!S11/100*1.1)</f>
        <v>14.872</v>
      </c>
      <c r="Q27" s="181">
        <f>IF(($D5&lt;'Endeavour Jul''15'!T7+'Endeavour Jul''15'!T8),(0),('Bills Jul''15'!$D5-1020)*'Endeavour Jul''15'!T11/100*1.1)</f>
        <v>198.62700000000001</v>
      </c>
      <c r="R27" s="181">
        <f>IF(($D5&lt;'Endeavour Jul''15'!U7+'Endeavour Jul''15'!U8),(0),('Bills Jul''15'!$D5-1750)*'Endeavour Jul''15'!U11/100*1.1)</f>
        <v>11.671000000000001</v>
      </c>
      <c r="S27" s="36"/>
      <c r="T27" s="36"/>
    </row>
    <row r="28" spans="1:20" x14ac:dyDescent="0.3">
      <c r="A28" s="26" t="s">
        <v>124</v>
      </c>
      <c r="B28" s="104">
        <f>'Endeavour Jul''15'!E12*91/100*1.1</f>
        <v>70.960890000000006</v>
      </c>
      <c r="C28" s="125">
        <f>'Endeavour Jul''15'!F12*91/100*1.1</f>
        <v>71.69162</v>
      </c>
      <c r="D28" s="181">
        <f>'Endeavour Jul''15'!G12*91/100*1.1</f>
        <v>74.394319999999993</v>
      </c>
      <c r="E28" s="181">
        <f>'Endeavour Jul''15'!H12*91/100*1.1</f>
        <v>71.69162</v>
      </c>
      <c r="F28" s="181">
        <f>'Endeavour Jul''15'!I12*91/100*1.1</f>
        <v>70.800730000000001</v>
      </c>
      <c r="G28" s="181">
        <f>'Endeavour Jul''15'!J12*91/100*1.1</f>
        <v>73.447373999999996</v>
      </c>
      <c r="H28" s="181">
        <f>'Endeavour Jul''15'!K12*91/100*1.1</f>
        <v>69.919849999999997</v>
      </c>
      <c r="I28" s="181">
        <f>'Endeavour Jul''15'!L12*91/100*1.1</f>
        <v>68.478409999999997</v>
      </c>
      <c r="J28" s="181">
        <f>'Endeavour Jul''15'!M12*91/100*1.1</f>
        <v>75.315239999999989</v>
      </c>
      <c r="K28" s="181">
        <f>'Endeavour Jul''15'!N12*91/100*1.1</f>
        <v>72.272199999999998</v>
      </c>
      <c r="L28" s="181">
        <f>'Endeavour Jul''15'!O12*91/100*1.1</f>
        <v>70.890819999999991</v>
      </c>
      <c r="M28" s="181">
        <f>'Endeavour Jul''15'!P12*91/100*1.1</f>
        <v>92.492400000000018</v>
      </c>
      <c r="N28" s="181">
        <f>'Endeavour Jul''15'!Q12*91/100*1.1</f>
        <v>73.973900000000015</v>
      </c>
      <c r="O28" s="181">
        <f>'Endeavour Jul''15'!R12*91/100*1.1</f>
        <v>69.949880000000007</v>
      </c>
      <c r="P28" s="181">
        <f>'Endeavour Jul''15'!S12*91/100*1.1</f>
        <v>70.770700000000005</v>
      </c>
      <c r="Q28" s="181">
        <f>'Endeavour Jul''15'!T12*91/100*1.1</f>
        <v>65.965900000000019</v>
      </c>
      <c r="R28" s="181">
        <f>'Endeavour Jul''15'!U12*91/100*1.1</f>
        <v>94.514420000000001</v>
      </c>
      <c r="S28" s="36">
        <f>AVERAGE(C28:R28)</f>
        <v>74.16058649999998</v>
      </c>
      <c r="T28" s="36"/>
    </row>
    <row r="29" spans="1:20" x14ac:dyDescent="0.3">
      <c r="A29" s="26" t="s">
        <v>87</v>
      </c>
      <c r="B29" s="102">
        <f>SUM(B25:B28)</f>
        <v>488.94989000000004</v>
      </c>
      <c r="C29" s="127">
        <f t="shared" ref="C29:L29" si="5">SUM(C25:C28)</f>
        <v>511.91162000000008</v>
      </c>
      <c r="D29" s="128">
        <f t="shared" si="5"/>
        <v>500.61682000000002</v>
      </c>
      <c r="E29" s="128">
        <f t="shared" si="5"/>
        <v>512.95112000000006</v>
      </c>
      <c r="F29" s="128">
        <f t="shared" si="5"/>
        <v>515.67373000000009</v>
      </c>
      <c r="G29" s="128">
        <f t="shared" si="5"/>
        <v>540.65257399999996</v>
      </c>
      <c r="H29" s="128">
        <f t="shared" si="5"/>
        <v>520.10035000000005</v>
      </c>
      <c r="I29" s="128">
        <f t="shared" si="5"/>
        <v>508.95691000000005</v>
      </c>
      <c r="J29" s="128">
        <f t="shared" si="5"/>
        <v>523.64939000000004</v>
      </c>
      <c r="K29" s="128">
        <f t="shared" si="5"/>
        <v>521.79819999999995</v>
      </c>
      <c r="L29" s="128">
        <f t="shared" si="5"/>
        <v>513.59681999999998</v>
      </c>
      <c r="M29" s="128">
        <f t="shared" ref="M29:R29" si="6">SUM(M25:M28)</f>
        <v>488.49240000000009</v>
      </c>
      <c r="N29" s="128">
        <f t="shared" si="6"/>
        <v>494.17390000000006</v>
      </c>
      <c r="O29" s="128">
        <f t="shared" si="6"/>
        <v>559.73037999999997</v>
      </c>
      <c r="P29" s="128">
        <f t="shared" si="6"/>
        <v>549.95270000000005</v>
      </c>
      <c r="Q29" s="128">
        <f t="shared" si="6"/>
        <v>496.84690000000001</v>
      </c>
      <c r="R29" s="128">
        <f t="shared" si="6"/>
        <v>526.02791999999999</v>
      </c>
      <c r="S29" s="36">
        <f>AVERAGE(C29:R29)</f>
        <v>517.82073337500003</v>
      </c>
      <c r="T29" s="36"/>
    </row>
    <row r="30" spans="1:20" x14ac:dyDescent="0.3">
      <c r="A30" s="37" t="s">
        <v>121</v>
      </c>
      <c r="B30" s="100">
        <f>B29*4</f>
        <v>1955.7995600000002</v>
      </c>
      <c r="C30" s="63">
        <f>C29*4</f>
        <v>2047.6464800000003</v>
      </c>
      <c r="D30" s="63">
        <f>D29*4</f>
        <v>2002.4672800000001</v>
      </c>
      <c r="E30" s="63">
        <f>E29*4</f>
        <v>2051.8044800000002</v>
      </c>
      <c r="F30" s="63">
        <f t="shared" ref="F30:L30" si="7">F29*4</f>
        <v>2062.6949200000004</v>
      </c>
      <c r="G30" s="63">
        <f t="shared" si="7"/>
        <v>2162.6102959999998</v>
      </c>
      <c r="H30" s="63">
        <f t="shared" si="7"/>
        <v>2080.4014000000002</v>
      </c>
      <c r="I30" s="63">
        <f t="shared" si="7"/>
        <v>2035.8276400000002</v>
      </c>
      <c r="J30" s="63">
        <f t="shared" si="7"/>
        <v>2094.5975600000002</v>
      </c>
      <c r="K30" s="63">
        <f t="shared" si="7"/>
        <v>2087.1927999999998</v>
      </c>
      <c r="L30" s="63">
        <f t="shared" si="7"/>
        <v>2054.3872799999999</v>
      </c>
      <c r="M30" s="63">
        <f t="shared" ref="M30:R30" si="8">M29*4</f>
        <v>1953.9696000000004</v>
      </c>
      <c r="N30" s="63">
        <f t="shared" si="8"/>
        <v>1976.6956000000002</v>
      </c>
      <c r="O30" s="63">
        <f t="shared" si="8"/>
        <v>2238.9215199999999</v>
      </c>
      <c r="P30" s="63">
        <f t="shared" si="8"/>
        <v>2199.8108000000002</v>
      </c>
      <c r="Q30" s="63">
        <f>Q29*4</f>
        <v>1987.3876</v>
      </c>
      <c r="R30" s="63">
        <f t="shared" si="8"/>
        <v>2104.11168</v>
      </c>
      <c r="S30" s="40"/>
      <c r="T30" s="40">
        <f>AVERAGE(C30:R30)</f>
        <v>2071.2829335000001</v>
      </c>
    </row>
    <row r="33" spans="1:20" x14ac:dyDescent="0.3">
      <c r="A33" s="30" t="s">
        <v>127</v>
      </c>
      <c r="B33" s="30" t="s">
        <v>79</v>
      </c>
      <c r="D33" s="46">
        <v>2000</v>
      </c>
    </row>
    <row r="34" spans="1:20" x14ac:dyDescent="0.3">
      <c r="A34" s="42" t="s">
        <v>128</v>
      </c>
      <c r="B34" s="30" t="s">
        <v>91</v>
      </c>
      <c r="D34" s="47">
        <v>0.7</v>
      </c>
    </row>
    <row r="35" spans="1:20" x14ac:dyDescent="0.3">
      <c r="B35" s="30" t="s">
        <v>92</v>
      </c>
      <c r="D35" s="47">
        <v>0.3</v>
      </c>
    </row>
    <row r="36" spans="1:20" x14ac:dyDescent="0.3">
      <c r="C36" s="30"/>
      <c r="D36" s="30"/>
    </row>
    <row r="38" spans="1:20" x14ac:dyDescent="0.3">
      <c r="A38" s="31" t="s">
        <v>104</v>
      </c>
      <c r="B38" s="103" t="s">
        <v>105</v>
      </c>
      <c r="C38" s="111" t="s">
        <v>106</v>
      </c>
      <c r="D38" s="111" t="s">
        <v>107</v>
      </c>
      <c r="E38" s="111" t="s">
        <v>108</v>
      </c>
      <c r="F38" s="58" t="s">
        <v>52</v>
      </c>
      <c r="G38" s="58" t="s">
        <v>109</v>
      </c>
      <c r="H38" s="58" t="s">
        <v>110</v>
      </c>
      <c r="I38" s="58" t="s">
        <v>111</v>
      </c>
      <c r="J38" s="58" t="s">
        <v>112</v>
      </c>
      <c r="K38" s="58" t="s">
        <v>113</v>
      </c>
      <c r="L38" s="58" t="s">
        <v>114</v>
      </c>
      <c r="M38" s="33" t="s">
        <v>50</v>
      </c>
      <c r="N38" s="33" t="s">
        <v>115</v>
      </c>
      <c r="O38" s="33" t="s">
        <v>116</v>
      </c>
      <c r="P38" s="33" t="s">
        <v>117</v>
      </c>
      <c r="Q38" s="33" t="s">
        <v>118</v>
      </c>
      <c r="R38" s="33" t="s">
        <v>119</v>
      </c>
      <c r="S38" s="34" t="s">
        <v>120</v>
      </c>
      <c r="T38" s="34" t="s">
        <v>121</v>
      </c>
    </row>
    <row r="39" spans="1:20" x14ac:dyDescent="0.3">
      <c r="A39" s="26" t="s">
        <v>122</v>
      </c>
      <c r="B39" s="104">
        <f>IF($D33*$D34&gt;'Essential Jul''15'!E16,('Essential Jul''15'!E16*'Essential Jul''15'!E18/100*1.1),('Bills Jul''15'!$D33*'Bills Jul''15'!$D34)*'Essential Jul''15'!E18/100*1.1)</f>
        <v>237.82</v>
      </c>
      <c r="C39" s="125">
        <f>IF($D33*$D34&gt;'Essential Jul''15'!F16,('Essential Jul''15'!F16*'Essential Jul''15'!F18/100*1.1),('Bills Jul''15'!$D33*'Bills Jul''15'!$D34)*'Essential Jul''15'!F18/100*1.1)</f>
        <v>267.96000000000004</v>
      </c>
      <c r="D39" s="181">
        <f>IF($D33*$D34&gt;'Essential Jul''15'!G16,('Essential Jul''15'!G16*'Essential Jul''15'!G18/100*1.1),('Bills Jul''15'!$D33*'Bills Jul''15'!$D34)*'Essential Jul''15'!G18/100*1.1)</f>
        <v>243.98000000000002</v>
      </c>
      <c r="E39" s="181">
        <f>IF($D33*$D34&gt;'Essential Jul''15'!H16,('Essential Jul''15'!H16*'Essential Jul''15'!H18/100*1.1),('Bills Jul''15'!$D33*'Bills Jul''15'!$D34)*'Essential Jul''15'!H18/100*1.1)</f>
        <v>267.74</v>
      </c>
      <c r="F39" s="54">
        <f>($D33*$D34)*'Essential Jul''15'!I18/100*1.1</f>
        <v>432.43200000000002</v>
      </c>
      <c r="G39" s="54">
        <f>($D33*$D34)*'Essential Jul''15'!J18/100*1.1</f>
        <v>465.75760000000002</v>
      </c>
      <c r="H39" s="54">
        <f>($D33*$D34)*'Essential Jul''15'!K18/100*1.1</f>
        <v>448.29400000000004</v>
      </c>
      <c r="I39" s="54">
        <f>($D33*$D34)*'Essential Jul''15'!L18/100*1.1</f>
        <v>439.05400000000003</v>
      </c>
      <c r="J39" s="181">
        <f>IF($D33*$D34&gt;'Essential Jul''15'!M16,('Essential Jul''15'!M16*'Essential Jul''15'!M18/100*1.1),('Bills Jul''15'!$D33*'Bills Jul''15'!$D34)*'Essential Jul''15'!M18/100*1.1)</f>
        <v>280.47800000000001</v>
      </c>
      <c r="K39" s="181">
        <f>IF($D33*$D34&gt;'Essential Jul''15'!N16,('Essential Jul''15'!N16*'Essential Jul''15'!N18/100*1.1),('Bills Jul''15'!$D33*'Bills Jul''15'!$D34)*'Essential Jul''15'!N18/100*1.1)</f>
        <v>159.06</v>
      </c>
      <c r="L39" s="54">
        <f>($D33*$D34)*'Essential Jul''15'!O18/100*1.1</f>
        <v>431.66200000000003</v>
      </c>
      <c r="M39" s="54">
        <f>($D33*$D34)*'Essential Jul''15'!P18/100*1.1</f>
        <v>317.24000000000007</v>
      </c>
      <c r="N39" s="181">
        <f>IF($D33*$D34&gt;'Essential Jul''15'!Q16,('Essential Jul''15'!Q16*'Essential Jul''15'!Q18/100*1.1),('Bills Jul''15'!$D33*'Bills Jul''15'!$D34)*'Essential Jul''15'!Q18/100*1.1)</f>
        <v>249.81</v>
      </c>
      <c r="O39" s="54">
        <f>($D33*$D34)*'Essential Jul''15'!R18/100*1.1</f>
        <v>478.94</v>
      </c>
      <c r="P39" s="54">
        <f>($D33*$D34)*'Essential Jul''15'!S18/100*1.1</f>
        <v>477.86200000000008</v>
      </c>
      <c r="Q39" s="54">
        <f>($D33*$D34)*'Essential Jul''15'!T18/100*1.1</f>
        <v>431.97</v>
      </c>
      <c r="R39" s="132" t="s">
        <v>129</v>
      </c>
      <c r="S39" s="36"/>
      <c r="T39" s="36"/>
    </row>
    <row r="40" spans="1:20" x14ac:dyDescent="0.3">
      <c r="A40" s="26" t="s">
        <v>130</v>
      </c>
      <c r="B40" s="104">
        <f>IF($D33*$D34&lt;'Essential Jul''15'!E16,0,IF($D33*$D34&lt;='Essential Jul''15'!E17,( $D33*$D34-'Essential Jul''15'!E16)*('Essential Jul''15'!E19/100*1.1),('Essential Jul''15'!E17-'Essential Jul''15'!E16)*('Essential Jul''15'!E19/100*1.1)))</f>
        <v>93.76400000000001</v>
      </c>
      <c r="C40" s="125">
        <f>IF($D33*$D34&lt;'Essential Jul''15'!F16,0,IF($D33*$D34&lt;='Essential Jul''15'!F17,( $D33*$D34-'Essential Jul''15'!F16)*('Essential Jul''15'!F19/100*1.1),('Essential Jul''15'!F17-'Essential Jul''15'!F16)*('Essential Jul''15'!F19/100*1.1)))</f>
        <v>105.77600000000001</v>
      </c>
      <c r="D40" s="181">
        <f>IF($D33*$D34&lt;'Essential Jul''15'!G16,0,IF($D33*$D34&lt;='Essential Jul''15'!G17,( $D33*$D34-'Essential Jul''15'!G16)*('Essential Jul''15'!G19/100*1.1),('Essential Jul''15'!G17-'Essential Jul''15'!G16)*('Essential Jul''15'!G19/100*1.1)))</f>
        <v>96.183999999999997</v>
      </c>
      <c r="E40" s="181">
        <f>IF($D33*$D34&lt;='Essential Jul''15'!H16,0,IF('Bills Jul''15'!$D33*'Bills Jul''15'!$D34&gt;'Essential Jul''15'!H19,('Bills Jul''15'!$D33*'Bills Jul''15'!$D34-'Essential Jul''15'!H16)*'Essential Jul''15'!H19/100*1.1))</f>
        <v>0</v>
      </c>
      <c r="F40" s="54">
        <v>0</v>
      </c>
      <c r="G40" s="54">
        <v>0</v>
      </c>
      <c r="H40" s="54">
        <v>0</v>
      </c>
      <c r="I40" s="54">
        <v>0</v>
      </c>
      <c r="J40" s="181">
        <f>IF($D33*$D34&lt;'Essential Jul''15'!M16,0,IF($D33*$D34&lt;='Essential Jul''15'!M17,( $D33*$D34-'Essential Jul''15'!M16)*('Essential Jul''15'!M19/100*1.1),('Essential Jul''15'!M17-'Essential Jul''15'!M16)*('Essential Jul''15'!M19/100*1.1)))</f>
        <v>110.76604</v>
      </c>
      <c r="K40" s="181">
        <f>IF($D33*$D34&lt;='Essential Jul''15'!N16,0,IF('Bills Jul''15'!$D33*'Bills Jul''15'!$D34&gt;'Essential Jul''15'!N19,('Bills Jul''15'!$D33*'Bills Jul''15'!$D34-'Essential Jul''15'!N16)*'Essential Jul''15'!N19/100*1.1))</f>
        <v>0</v>
      </c>
      <c r="L40" s="54">
        <v>0</v>
      </c>
      <c r="M40" s="54">
        <v>0</v>
      </c>
      <c r="N40" s="181">
        <f>IF($D33*$D34&lt;'Essential Jul''15'!Q16,0,IF($D33*$D34&lt;='Essential Jul''15'!Q17,( $D33*$D34-'Essential Jul''15'!Q16)*('Essential Jul''15'!Q19/100*1.1),('Essential Jul''15'!Q17-'Essential Jul''15'!Q16)*('Essential Jul''15'!Q19/100*1.1)))</f>
        <v>91.52000000000001</v>
      </c>
      <c r="O40" s="54">
        <v>0</v>
      </c>
      <c r="P40" s="54">
        <v>0</v>
      </c>
      <c r="Q40" s="54">
        <v>0</v>
      </c>
      <c r="R40" s="132" t="s">
        <v>129</v>
      </c>
      <c r="S40" s="36"/>
      <c r="T40" s="36"/>
    </row>
    <row r="41" spans="1:20" x14ac:dyDescent="0.3">
      <c r="A41" s="26" t="s">
        <v>86</v>
      </c>
      <c r="B41" s="104">
        <f>IF(($D33*$D34&gt;'Essential Jul''15'!E17),( $D33*$D34-'Essential Jul''15'!E17)*'Essential Jul''15'!E20/100*1.1,0)</f>
        <v>0</v>
      </c>
      <c r="C41" s="125">
        <f>IF(($D33*$D34&gt;'Essential Jul''15'!F17),( $D33*$D34-'Essential Jul''15'!F17)*'Essential Jul''15'!F20/100*1.1,0)</f>
        <v>0</v>
      </c>
      <c r="D41" s="181">
        <f>IF(($D33*$D34&gt;'Essential Jul''15'!G17),( $D33*$D34-'Essential Jul''15'!G17)*'Essential Jul''15'!G20/100*1.1,0)</f>
        <v>0</v>
      </c>
      <c r="E41" s="181">
        <f>IF(($D33*$D34&lt;'Essential Jul''15'!H16+'Essential Jul''15'!H17),(0),('Bills Jul''15'!$D33*'Bills Jul''15'!$D34-1000)*'Essential Jul''15'!H20/100*1.1)</f>
        <v>0</v>
      </c>
      <c r="F41" s="54">
        <v>0</v>
      </c>
      <c r="G41" s="54">
        <v>0</v>
      </c>
      <c r="H41" s="54">
        <v>0</v>
      </c>
      <c r="I41" s="54">
        <v>0</v>
      </c>
      <c r="J41" s="181">
        <f>IF(($D33*$D34&gt;'Essential Jul''15'!M17),( $D33*$D34-'Essential Jul''15'!M17)*'Essential Jul''15'!M20/100*1.1,0)</f>
        <v>0</v>
      </c>
      <c r="K41" s="181">
        <f>IF(($D33*$D34&lt;'Essential Jul''15'!N16+'Essential Jul''15'!N17),(0),('Bills Jul''15'!$D33*'Bills Jul''15'!$D34-600)*'Essential Jul''15'!N20/100*1.1)</f>
        <v>188.05600000000001</v>
      </c>
      <c r="L41" s="54">
        <v>0</v>
      </c>
      <c r="M41" s="54">
        <v>0</v>
      </c>
      <c r="N41" s="181">
        <f>IF(($D33*$D34&gt;'Essential Jul''15'!Q17),( $D33*$D34-'Essential Jul''15'!Q17)*'Essential Jul''15'!Q20/100*1.1,0)</f>
        <v>0</v>
      </c>
      <c r="O41" s="54">
        <v>0</v>
      </c>
      <c r="P41" s="54">
        <v>0</v>
      </c>
      <c r="Q41" s="54">
        <v>0</v>
      </c>
      <c r="R41" s="132" t="s">
        <v>129</v>
      </c>
      <c r="S41" s="36"/>
      <c r="T41" s="36"/>
    </row>
    <row r="42" spans="1:20" x14ac:dyDescent="0.3">
      <c r="A42" s="26" t="s">
        <v>131</v>
      </c>
      <c r="B42" s="104">
        <f>($D33*$D35)*'Essential Jul''15'!E21/100*1.1</f>
        <v>64.812000000000012</v>
      </c>
      <c r="C42" s="125">
        <f>($D33*$D35)*'Essential Jul''15'!F21/100*1.1</f>
        <v>54.648000000000003</v>
      </c>
      <c r="D42" s="181">
        <f>($D33*$D35)*'Essential Jul''15'!G21/100*1.1</f>
        <v>68.574000000000012</v>
      </c>
      <c r="E42" s="181">
        <f>($D33*$D35)*'Essential Jul''15'!H21/100*1.1</f>
        <v>108.108</v>
      </c>
      <c r="F42" s="54">
        <f>($D33*$D35)*'Essential Jul''15'!I21/100*1.1</f>
        <v>65.208000000000013</v>
      </c>
      <c r="G42" s="54">
        <f>($D33*$D35)*'Essential Jul''15'!J21/100*1.1</f>
        <v>68.699400000000011</v>
      </c>
      <c r="H42" s="54">
        <f>($D33*$D35)*'Essential Jul''15'!K21/100*1.1</f>
        <v>67.452000000000012</v>
      </c>
      <c r="I42" s="54">
        <f>($D33*$D35)*'Essential Jul''15'!L21/100*1.1</f>
        <v>63.491999999999997</v>
      </c>
      <c r="J42" s="181">
        <f>($D33*$D35)*'Essential Jul''15'!M21/100*1.1</f>
        <v>58.624500000000005</v>
      </c>
      <c r="K42" s="181">
        <f>($D33*$D35)*'Essential Jul''15'!N21/100*1.1</f>
        <v>102.96000000000001</v>
      </c>
      <c r="L42" s="54">
        <f>($D33*$D35)*'Essential Jul''15'!O21/100*1.1</f>
        <v>65.406000000000006</v>
      </c>
      <c r="M42" s="54">
        <f>($D33*$D35)*'Essential Jul''15'!P21/100*1.1</f>
        <v>73.920000000000016</v>
      </c>
      <c r="N42" s="181">
        <f>($D33*$D35)*'Essential Jul''15'!Q21/100*1.1</f>
        <v>69.63</v>
      </c>
      <c r="O42" s="54">
        <f>($D33*$D35)*'Essential Jul''15'!R21/100*1.1</f>
        <v>80.652000000000001</v>
      </c>
      <c r="P42" s="54">
        <f>($D33*$D35)*'Essential Jul''15'!S21/100*1.1</f>
        <v>71.874000000000009</v>
      </c>
      <c r="Q42" s="54">
        <f>($D33*$D35)*'Essential Jul''15'!T21/100*1.1</f>
        <v>66.990000000000009</v>
      </c>
      <c r="R42" s="132" t="s">
        <v>129</v>
      </c>
      <c r="S42" s="36"/>
      <c r="T42" s="36"/>
    </row>
    <row r="43" spans="1:20" x14ac:dyDescent="0.3">
      <c r="A43" s="26" t="s">
        <v>124</v>
      </c>
      <c r="B43" s="104">
        <f>'Essential Jul''15'!E22*91/100*1.1</f>
        <v>138.04791</v>
      </c>
      <c r="C43" s="125">
        <f>'Essential Jul''15'!F22*91/100*1.1</f>
        <v>137.91777999999999</v>
      </c>
      <c r="D43" s="181">
        <f>'Essential Jul''15'!G22*91/100*1.1</f>
        <v>143.78363999999999</v>
      </c>
      <c r="E43" s="181">
        <f>'Essential Jul''15'!H22*91/100*1.1</f>
        <v>128.02790000000002</v>
      </c>
      <c r="F43" s="54">
        <f>'Essential Jul''15'!I22*91/100*1.1</f>
        <v>138.58844999999999</v>
      </c>
      <c r="G43" s="54">
        <f>'Essential Jul''15'!J22*91/100*1.1</f>
        <v>143.07993700000003</v>
      </c>
      <c r="H43" s="54">
        <f>'Essential Jul''15'!K22*91/100*1.1</f>
        <v>136.26613</v>
      </c>
      <c r="I43" s="54">
        <f>'Essential Jul''15'!L22*91/100*1.1</f>
        <v>133.40327000000002</v>
      </c>
      <c r="J43" s="181">
        <f>'Essential Jul''15'!M22*91/100*1.1</f>
        <v>129.70958000000002</v>
      </c>
      <c r="K43" s="181">
        <f>'Essential Jul''15'!N22*91/100*1.1</f>
        <v>128.36824000000001</v>
      </c>
      <c r="L43" s="54">
        <f>'Essential Jul''15'!O22*91/100*1.1</f>
        <v>127.19707</v>
      </c>
      <c r="M43" s="54">
        <f>'Essential Jul''15'!P22*91/100*1.1</f>
        <v>170.17</v>
      </c>
      <c r="N43" s="181">
        <f>'Essential Jul''15'!Q22*91/100*1.1</f>
        <v>141.65151000000003</v>
      </c>
      <c r="O43" s="54">
        <f>'Essential Jul''15'!R22*91/100*1.1</f>
        <v>136.26613</v>
      </c>
      <c r="P43" s="54">
        <f>'Essential Jul''15'!S22*91/100*1.1</f>
        <v>138.03790000000001</v>
      </c>
      <c r="Q43" s="54">
        <f>'Essential Jul''15'!T22*91/100*1.1</f>
        <v>137.23710000000003</v>
      </c>
      <c r="R43" s="132" t="s">
        <v>129</v>
      </c>
      <c r="S43" s="36">
        <f>AVERAGE(C43:Q43)</f>
        <v>137.98030913333335</v>
      </c>
      <c r="T43" s="36"/>
    </row>
    <row r="44" spans="1:20" x14ac:dyDescent="0.3">
      <c r="A44" s="26" t="s">
        <v>87</v>
      </c>
      <c r="B44" s="102">
        <f>SUM(B39:B43)</f>
        <v>534.44390999999996</v>
      </c>
      <c r="C44" s="127">
        <f>SUM(C39:C43)</f>
        <v>566.30178000000001</v>
      </c>
      <c r="D44" s="128">
        <f>SUM(D39:D43)</f>
        <v>552.52163999999993</v>
      </c>
      <c r="E44" s="128">
        <f>SUM(E39:E43)</f>
        <v>503.8759</v>
      </c>
      <c r="F44" s="54">
        <f t="shared" ref="F44:L44" si="9">SUM(F39:F43)</f>
        <v>636.22845000000007</v>
      </c>
      <c r="G44" s="54">
        <f t="shared" si="9"/>
        <v>677.53693700000008</v>
      </c>
      <c r="H44" s="54">
        <f t="shared" si="9"/>
        <v>652.01213000000007</v>
      </c>
      <c r="I44" s="54">
        <f t="shared" si="9"/>
        <v>635.94927000000007</v>
      </c>
      <c r="J44" s="128">
        <f t="shared" si="9"/>
        <v>579.57812000000013</v>
      </c>
      <c r="K44" s="128">
        <f>SUM(K39:K43)</f>
        <v>578.44424000000004</v>
      </c>
      <c r="L44" s="54">
        <f t="shared" si="9"/>
        <v>624.26507000000004</v>
      </c>
      <c r="M44" s="54">
        <f>SUM(M39:M43)</f>
        <v>561.33000000000004</v>
      </c>
      <c r="N44" s="128">
        <f>SUM(N39:N43)</f>
        <v>552.61151000000007</v>
      </c>
      <c r="O44" s="54">
        <f>SUM(O39:O43)</f>
        <v>695.85812999999996</v>
      </c>
      <c r="P44" s="54">
        <f>SUM(P39:P43)</f>
        <v>687.77390000000014</v>
      </c>
      <c r="Q44" s="54">
        <f>SUM(Q39:Q43)</f>
        <v>636.19710000000009</v>
      </c>
      <c r="R44" s="132" t="s">
        <v>129</v>
      </c>
      <c r="S44" s="36">
        <f>AVERAGE(C44:Q44)</f>
        <v>609.36561180000001</v>
      </c>
      <c r="T44" s="36"/>
    </row>
    <row r="45" spans="1:20" x14ac:dyDescent="0.3">
      <c r="A45" s="37" t="s">
        <v>121</v>
      </c>
      <c r="B45" s="100">
        <f>B44*4</f>
        <v>2137.7756399999998</v>
      </c>
      <c r="C45" s="63">
        <f>C44*4</f>
        <v>2265.20712</v>
      </c>
      <c r="D45" s="63">
        <f>D44*4</f>
        <v>2210.0865599999997</v>
      </c>
      <c r="E45" s="63">
        <f>E44*4</f>
        <v>2015.5036</v>
      </c>
      <c r="F45" s="63">
        <f t="shared" ref="F45:L45" si="10">F44*4</f>
        <v>2544.9138000000003</v>
      </c>
      <c r="G45" s="63">
        <f t="shared" si="10"/>
        <v>2710.1477480000003</v>
      </c>
      <c r="H45" s="63">
        <f t="shared" si="10"/>
        <v>2608.0485200000003</v>
      </c>
      <c r="I45" s="63">
        <f t="shared" si="10"/>
        <v>2543.7970800000003</v>
      </c>
      <c r="J45" s="63">
        <f t="shared" si="10"/>
        <v>2318.3124800000005</v>
      </c>
      <c r="K45" s="63">
        <f t="shared" si="10"/>
        <v>2313.7769600000001</v>
      </c>
      <c r="L45" s="63">
        <f t="shared" si="10"/>
        <v>2497.0602800000001</v>
      </c>
      <c r="M45" s="63">
        <f>M44*4</f>
        <v>2245.3200000000002</v>
      </c>
      <c r="N45" s="63">
        <f>N44*4</f>
        <v>2210.4460400000003</v>
      </c>
      <c r="O45" s="63">
        <f>O44*4</f>
        <v>2783.4325199999998</v>
      </c>
      <c r="P45" s="63">
        <f>P44*4</f>
        <v>2751.0956000000006</v>
      </c>
      <c r="Q45" s="63">
        <f>Q44*4</f>
        <v>2544.7884000000004</v>
      </c>
      <c r="R45" s="131" t="s">
        <v>129</v>
      </c>
      <c r="S45" s="40"/>
      <c r="T45" s="40">
        <f>AVERAGE(C45:Q45)</f>
        <v>2437.4624472</v>
      </c>
    </row>
    <row r="46" spans="1:20" x14ac:dyDescent="0.3">
      <c r="B46" s="101"/>
      <c r="S46" s="41"/>
      <c r="T46" s="41"/>
    </row>
    <row r="47" spans="1:20" x14ac:dyDescent="0.3">
      <c r="A47" s="31" t="s">
        <v>125</v>
      </c>
      <c r="B47" s="103" t="s">
        <v>105</v>
      </c>
      <c r="C47" s="111" t="s">
        <v>106</v>
      </c>
      <c r="D47" s="111" t="s">
        <v>107</v>
      </c>
      <c r="E47" s="111" t="s">
        <v>108</v>
      </c>
      <c r="F47" s="58" t="s">
        <v>52</v>
      </c>
      <c r="G47" s="58" t="s">
        <v>109</v>
      </c>
      <c r="H47" s="58" t="s">
        <v>110</v>
      </c>
      <c r="I47" s="58" t="s">
        <v>111</v>
      </c>
      <c r="J47" s="58" t="s">
        <v>112</v>
      </c>
      <c r="K47" s="58" t="s">
        <v>113</v>
      </c>
      <c r="L47" s="58" t="s">
        <v>114</v>
      </c>
      <c r="M47" s="33" t="s">
        <v>50</v>
      </c>
      <c r="N47" s="33" t="s">
        <v>115</v>
      </c>
      <c r="O47" s="33" t="s">
        <v>116</v>
      </c>
      <c r="P47" s="33" t="s">
        <v>117</v>
      </c>
      <c r="Q47" s="33" t="s">
        <v>118</v>
      </c>
      <c r="R47" s="33" t="s">
        <v>119</v>
      </c>
      <c r="S47" s="34" t="s">
        <v>120</v>
      </c>
      <c r="T47" s="34" t="s">
        <v>121</v>
      </c>
    </row>
    <row r="48" spans="1:20" x14ac:dyDescent="0.3">
      <c r="A48" s="26" t="s">
        <v>122</v>
      </c>
      <c r="B48" s="104">
        <f>IF($D33*$D34&gt;'Ausgrid Jul''15'!E16,('Ausgrid Jul''15'!E16*'Ausgrid Jul''15'!E18/100*1.1),('Bills Jul''15'!$D33*'Bills Jul''15'!$D34)*'Ausgrid Jul''15'!E18/100*1.1)</f>
        <v>221.1902</v>
      </c>
      <c r="C48" s="125">
        <f>IF($D33*$D34&gt;'Ausgrid Jul''15'!F16,('Ausgrid Jul''15'!F16*'Ausgrid Jul''15'!F18/100*1.1),('Bills Jul''15'!$D33*'Bills Jul''15'!$D34)*'Ausgrid Jul''15'!F18/100*1.1)</f>
        <v>241.67000000000002</v>
      </c>
      <c r="D48" s="181">
        <f>IF($D33*$D34&gt;'Ausgrid Jul''15'!G16,('Ausgrid Jul''15'!G16*'Ausgrid Jul''15'!G18/100*1.1),('Bills Jul''15'!$D33*'Bills Jul''15'!$D34)*'Ausgrid Jul''15'!G18/100*1.1)</f>
        <v>233.31</v>
      </c>
      <c r="E48" s="181">
        <f>IF($D33*$D34&gt;'Ausgrid Jul''15'!H16,('Ausgrid Jul''15'!H16*'Ausgrid Jul''15'!H18/100*1.1),('Bills Jul''15'!$D33*'Bills Jul''15'!$D34)*'Ausgrid Jul''15'!H18/100*1.1)</f>
        <v>350.04200000000003</v>
      </c>
      <c r="F48" s="181">
        <f>IF($D33*$D34&gt;'Ausgrid Jul''15'!I16,('Ausgrid Jul''15'!I16*'Ausgrid Jul''15'!I18/100*1.1),('Bills Jul''15'!$D33*'Bills Jul''15'!$D34)*'Ausgrid Jul''15'!I18/100*1.1)</f>
        <v>248.82000000000002</v>
      </c>
      <c r="G48" s="181">
        <f>IF($D33*$D34&gt;'Ausgrid Jul''15'!J16,('Ausgrid Jul''15'!J16*'Ausgrid Jul''15'!J18/100*1.1),('Bills Jul''15'!$D33*'Bills Jul''15'!$D34)*'Ausgrid Jul''15'!J18/100*1.1)</f>
        <v>261.69000000000005</v>
      </c>
      <c r="H48" s="181">
        <f>IF($D33*$D34&gt;'Ausgrid Jul''15'!K16,('Ausgrid Jul''15'!K16*'Ausgrid Jul''15'!K18/100*1.1),('Bills Jul''15'!$D33*'Bills Jul''15'!$D34)*'Ausgrid Jul''15'!K18/100*1.1)</f>
        <v>251.90000000000003</v>
      </c>
      <c r="I48" s="181">
        <f>IF($D33*$D34&gt;'Ausgrid Jul''15'!L16,('Ausgrid Jul''15'!L16*'Ausgrid Jul''15'!L18/100*1.1),('Bills Jul''15'!$D33*'Bills Jul''15'!$D34)*'Ausgrid Jul''15'!L18/100*1.1)</f>
        <v>246.51000000000002</v>
      </c>
      <c r="J48" s="181">
        <f>IF($D33*$D34&gt;'Ausgrid Jul''15'!M16,('Ausgrid Jul''15'!M16*'Ausgrid Jul''15'!M18/100*1.1),('Bills Jul''15'!$D33*'Bills Jul''15'!$D34)*'Ausgrid Jul''15'!M18/100*1.1)</f>
        <v>245.89070000000004</v>
      </c>
      <c r="K48" s="181">
        <f>IF($D33*$D34&gt;='Ausgrid Jul''15'!N16,('Ausgrid Jul''15'!N16*'Ausgrid Jul''15'!N18/100*1.1),($D33*$D34*'Ausgrid Jul''15'!N18/100*1.1))</f>
        <v>176.68200000000002</v>
      </c>
      <c r="L48" s="181">
        <f>IF($D33*$D34&gt;'Ausgrid Jul''15'!O16,('Ausgrid Jul''15'!O16*'Ausgrid Jul''15'!O18/100*1.1),('Bills Jul''15'!$D33*'Bills Jul''15'!$D34)*'Ausgrid Jul''15'!O18/100*1.1)</f>
        <v>241.67000000000002</v>
      </c>
      <c r="M48" s="181">
        <f>(D33*$D34)*'Ausgrid Jul''15'!P18/100*1.1</f>
        <v>316.31600000000003</v>
      </c>
      <c r="N48" s="181">
        <f>IF($D33*$D34&gt;'Ausgrid Jul''15'!Q16,('Ausgrid Jul''15'!Q16*'Ausgrid Jul''15'!Q18/100*1.1),('Bills Jul''15'!$D33*'Bills Jul''15'!$D34)*'Ausgrid Jul''15'!Q18/100*1.1)</f>
        <v>230.45000000000002</v>
      </c>
      <c r="O48" s="181">
        <f>IF($D33*$D34&gt;'Ausgrid Jul''15'!R16,('Ausgrid Jul''15'!R16*'Ausgrid Jul''15'!R18/100*1.1),('Bills Jul''15'!$D33*'Bills Jul''15'!$D34)*'Ausgrid Jul''15'!R18/100*1.1)</f>
        <v>273.90000000000003</v>
      </c>
      <c r="P48" s="181">
        <f>IF($D33*$D34&gt;'Ausgrid Jul''15'!S16,('Ausgrid Jul''15'!S16*'Ausgrid Jul''15'!S18/100*1.1),('Bills Jul''15'!$D33*'Bills Jul''15'!$D34)*'Ausgrid Jul''15'!S18/100*1.1)</f>
        <v>268.18</v>
      </c>
      <c r="Q48" s="181">
        <f>IF($D33*$D34&gt;='Ausgrid Jul''15'!T16,('Ausgrid Jul''15'!T16*'Ausgrid Jul''15'!T18/100*1.1),($D33*$D34*'Ausgrid Jul''15'!T18/100*1.1))</f>
        <v>74.646000000000001</v>
      </c>
      <c r="R48" s="181">
        <f>IF($D33*$D34&gt;'Ausgrid Jul''15'!U16,('Ausgrid Jul''15'!U16*'Ausgrid Jul''15'!U18/100*1.1),('Bills Jul''15'!$D33*'Bills Jul''15'!$D34)*'Ausgrid Jul''15'!U18/100*1.1)</f>
        <v>233.31</v>
      </c>
      <c r="S48" s="36"/>
      <c r="T48" s="36"/>
    </row>
    <row r="49" spans="1:20" x14ac:dyDescent="0.3">
      <c r="A49" s="26" t="s">
        <v>130</v>
      </c>
      <c r="B49" s="104">
        <f>IF($D33*$D34&lt;='Ausgrid Jul''15'!E16,0,IF('Bills Jul''15'!$D33*'Bills Jul''15'!$D34&gt;'Ausgrid Jul''15'!E19,('Bills Jul''15'!$D33*'Bills Jul''15'!$D34-'Ausgrid Jul''15'!E16)*'Ausgrid Jul''15'!E19/100*1.1))</f>
        <v>83.214119999999994</v>
      </c>
      <c r="C49" s="125">
        <f>IF($D33*$D34&lt;='Ausgrid Jul''15'!F16,0,IF('Bills Jul''15'!$D33*'Bills Jul''15'!$D34&gt;'Ausgrid Jul''15'!F19,('Bills Jul''15'!$D33*'Bills Jul''15'!$D34-'Ausgrid Jul''15'!F16)*'Ausgrid Jul''15'!F19/100*1.1))</f>
        <v>97.548000000000016</v>
      </c>
      <c r="D49" s="181">
        <f>IF($D33*$D34&lt;='Ausgrid Jul''15'!G16,0,IF('Bills Jul''15'!$D33*'Bills Jul''15'!$D34&gt;'Ausgrid Jul''15'!G19,('Bills Jul''15'!$D33*'Bills Jul''15'!$D34-'Ausgrid Jul''15'!G16)*'Ausgrid Jul''15'!G19/100*1.1))</f>
        <v>90.816000000000017</v>
      </c>
      <c r="E49" s="181">
        <f>IF($D33*$D34&lt;='Ausgrid Jul''15'!H16,0,IF('Bills Jul''15'!$D33*'Bills Jul''15'!$D34&gt;'Ausgrid Jul''15'!H19,('Bills Jul''15'!$D33*'Bills Jul''15'!$D34-'Ausgrid Jul''15'!H16)*'Ausgrid Jul''15'!H19/100*1.1))</f>
        <v>0</v>
      </c>
      <c r="F49" s="181">
        <f>IF($D33*$D34&lt;='Ausgrid Jul''15'!I16,0,IF('Bills Jul''15'!$D33*'Bills Jul''15'!$D34&gt;'Ausgrid Jul''15'!I19,('Bills Jul''15'!$D33*'Bills Jul''15'!$D34-'Ausgrid Jul''15'!I16)*'Ausgrid Jul''15'!I19/100*1.1))</f>
        <v>100.01200000000001</v>
      </c>
      <c r="G49" s="181">
        <f>IF($D33*$D34&lt;='Ausgrid Jul''15'!J16,0,IF('Bills Jul''15'!$D33*'Bills Jul''15'!$D34&gt;'Ausgrid Jul''15'!J19,('Bills Jul''15'!$D33*'Bills Jul''15'!$D34-'Ausgrid Jul''15'!J16)*'Ausgrid Jul''15'!J19/100*1.1))</f>
        <v>111.51360000000001</v>
      </c>
      <c r="H49" s="181">
        <f>IF($D33*$D34&lt;='Ausgrid Jul''15'!K16,0,IF('Bills Jul''15'!$D33*'Bills Jul''15'!$D34&gt;'Ausgrid Jul''15'!K19,('Bills Jul''15'!$D33*'Bills Jul''15'!$D34-'Ausgrid Jul''15'!K16)*'Ausgrid Jul''15'!K19/100*1.1))</f>
        <v>107.27200000000001</v>
      </c>
      <c r="I49" s="181">
        <f>IF($D33*$D34&lt;='Ausgrid Jul''15'!L16,0,IF('Bills Jul''15'!$D33*'Bills Jul''15'!$D34&gt;'Ausgrid Jul''15'!L19,('Bills Jul''15'!$D33*'Bills Jul''15'!$D34-'Ausgrid Jul''15'!L16)*'Ausgrid Jul''15'!L19/100*1.1))</f>
        <v>105.11600000000001</v>
      </c>
      <c r="J49" s="181">
        <f>IF($D33*$D34&lt;='Ausgrid Jul''15'!M16,0,IF('Bills Jul''15'!$D33*'Bills Jul''15'!$D34&gt;'Ausgrid Jul''15'!M19,('Bills Jul''15'!$D33*'Bills Jul''15'!$D34-'Ausgrid Jul''15'!M16)*'Ausgrid Jul''15'!M19/100*1.1))</f>
        <v>97.013840000000016</v>
      </c>
      <c r="K49" s="181">
        <f>IF($D33*$D34&lt;'Ausgrid Jul''15'!N16,0,IF($D33*$D34&lt;='Ausgrid Jul''15'!N17,($D33*$D34-'Ausgrid Jul''15'!N16)*('Ausgrid Jul''15'!N19/100*1.1),( 'Ausgrid Jul''15'!N17-'Ausgrid Jul''15'!N16)*( 'Ausgrid Jul''15'!N19/100*1.1)))</f>
        <v>200.02400000000003</v>
      </c>
      <c r="L49" s="181">
        <f>IF($D33*$D34&lt;='Ausgrid Jul''15'!O16,0,IF('Bills Jul''15'!$D33*'Bills Jul''15'!$D34&gt;'Ausgrid Jul''15'!O19,('Bills Jul''15'!$D33*'Bills Jul''15'!$D34-'Ausgrid Jul''15'!O16)*'Ausgrid Jul''15'!O19/100*1.1))</f>
        <v>102.43200000000002</v>
      </c>
      <c r="M49" s="181">
        <v>0</v>
      </c>
      <c r="N49" s="181">
        <f>IF($D33*$D34&lt;='Ausgrid Jul''15'!Q16,0,IF('Bills Jul''15'!$D33*'Bills Jul''15'!$D34&gt;'Ausgrid Jul''15'!Q19,('Bills Jul''15'!$D33*'Bills Jul''15'!$D34-'Ausgrid Jul''15'!Q16)*'Ausgrid Jul''15'!Q19/100*1.1))</f>
        <v>101.11200000000001</v>
      </c>
      <c r="O49" s="181">
        <f>IF($D33*$D34&lt;='Ausgrid Jul''15'!R16,0,IF('Bills Jul''15'!$D33*'Bills Jul''15'!$D34&gt;'Ausgrid Jul''15'!R19,('Bills Jul''15'!$D33*'Bills Jul''15'!$D34-'Ausgrid Jul''15'!R16)*'Ausgrid Jul''15'!R19/100*1.1))</f>
        <v>116.072</v>
      </c>
      <c r="P49" s="181">
        <f>IF($D33*$D34&lt;='Ausgrid Jul''15'!S16,0,IF('Bills Jul''15'!$D33*'Bills Jul''15'!$D34&gt;'Ausgrid Jul''15'!S19,('Bills Jul''15'!$D33*'Bills Jul''15'!$D34-'Ausgrid Jul''15'!S16)*'Ausgrid Jul''15'!S19/100*1.1))</f>
        <v>114.31200000000001</v>
      </c>
      <c r="Q49" s="181">
        <f>IF($D33*$D34&lt;'Ausgrid Jul''15'!T16,0,IF($D33*$D34&lt;='Ausgrid Jul''15'!T17,($D33*$D34-'Ausgrid Jul''15'!T16)*('Ausgrid Jul''15'!T19/100*1.1),( 'Ausgrid Jul''15'!T17-'Ausgrid Jul''15'!T16)*( 'Ausgrid Jul''15'!T19/100*1.1)))</f>
        <v>179.38800000000001</v>
      </c>
      <c r="R49" s="181">
        <f>IF($D33*$D34&lt;='Ausgrid Jul''15'!U16,0,IF('Bills Jul''15'!$D33*'Bills Jul''15'!$D34&gt;'Ausgrid Jul''15'!U19,('Bills Jul''15'!$D33*'Bills Jul''15'!$D34-'Ausgrid Jul''15'!U16)*'Ausgrid Jul''15'!U19/100*1.1))</f>
        <v>90.816000000000017</v>
      </c>
      <c r="S49" s="36"/>
      <c r="T49" s="36"/>
    </row>
    <row r="50" spans="1:20" x14ac:dyDescent="0.3">
      <c r="A50" s="26" t="s">
        <v>86</v>
      </c>
      <c r="B50" s="104">
        <f>IF(($D33*$D34&lt;'Ausgrid Jul''15'!E16+'Ausgrid Jul''15'!E17),(0),('Bills Jul''15'!$D33*'Bills Jul''15'!$D34-2000)*'Ausgrid Jul''15'!E20/100*1.1)</f>
        <v>0</v>
      </c>
      <c r="C50" s="125">
        <f>IF(($D33*$D34&lt;'Ausgrid Jul''15'!F16+'Ausgrid Jul''15'!F17),(0),('Bills Jul''15'!$D33*'Bills Jul''15'!$D34-2000)*'Ausgrid Jul''15'!F20/100*1.1)</f>
        <v>0</v>
      </c>
      <c r="D50" s="181">
        <f>IF(($D33*$D34&lt;'Ausgrid Jul''15'!G16+'Ausgrid Jul''15'!G17),(0),('Bills Jul''15'!$D33*'Bills Jul''15'!$D34-2000)*'Ausgrid Jul''15'!G20/100*1.1)</f>
        <v>0</v>
      </c>
      <c r="E50" s="181">
        <f>IF(($D33*$D34&lt;'Ausgrid Jul''15'!H16+'Ausgrid Jul''15'!H17),(0),('Bills Jul''15'!$D33*'Bills Jul''15'!$D34-1750)*'Ausgrid Jul''15'!H20/100*1.1)</f>
        <v>0</v>
      </c>
      <c r="F50" s="181">
        <f>IF(($D33*$D34&lt;'Ausgrid Jul''15'!I16+'Ausgrid Jul''15'!I17),(0),('Bills Jul''15'!$D33*'Bills Jul''15'!$D34-2000)*'Ausgrid Jul''15'!I20/100*1.1)</f>
        <v>0</v>
      </c>
      <c r="G50" s="181">
        <f>IF(($D33*$D34&lt;'Ausgrid Jul''15'!J16+'Ausgrid Jul''15'!J17),(0),('Bills Jul''15'!$D33*'Bills Jul''15'!$D34-2000)*'Ausgrid Jul''15'!J20/100*1.1)</f>
        <v>0</v>
      </c>
      <c r="H50" s="181">
        <f>IF(($D33*$D34&lt;'Ausgrid Jul''15'!K16+'Ausgrid Jul''15'!K17),(0),('Bills Jul''15'!$D33*'Bills Jul''15'!$D34-2000)*'Ausgrid Jul''15'!K20/100*1.1)</f>
        <v>0</v>
      </c>
      <c r="I50" s="181">
        <f>IF(($D33*$D34&lt;'Ausgrid Jul''15'!L16+'Ausgrid Jul''15'!L17),(0),('Bills Jul''15'!$D33*'Bills Jul''15'!$D34-2000)*'Ausgrid Jul''15'!L20/100*1.1)</f>
        <v>0</v>
      </c>
      <c r="J50" s="181">
        <f>IF(($D33*$D34&lt;'Ausgrid Jul''15'!M16+'Ausgrid Jul''15'!M17),(0),('Bills Jul''15'!$D33*'Bills Jul''15'!$D34-2000)*'Ausgrid Jul''15'!M20/100*1.1)</f>
        <v>0</v>
      </c>
      <c r="K50" s="181">
        <f>IF(($D33*$D34&gt;'Ausgrid Jul''15'!N17),($D33*$D34-'Ausgrid Jul''15'!N17)* 'Ausgrid Jul''15'!N20/100*1.1,0)</f>
        <v>0</v>
      </c>
      <c r="L50" s="181">
        <f>IF(($D33*$D34&lt;'Ausgrid Jul''15'!O16+'Ausgrid Jul''15'!O17),(0),('Bills Jul''15'!$D33*'Bills Jul''15'!$D34-2000)*'Ausgrid Jul''15'!O20/100*1.1)</f>
        <v>0</v>
      </c>
      <c r="M50" s="181">
        <v>0</v>
      </c>
      <c r="N50" s="181">
        <f>IF(($D33*$D34&lt;'Ausgrid Jul''15'!Q16+'Ausgrid Jul''15'!Q17),(0),('Bills Jul''15'!$D33*'Bills Jul''15'!$D34-2000)*'Ausgrid Jul''15'!Q20/100*1.1)</f>
        <v>0</v>
      </c>
      <c r="O50" s="181">
        <f>IF(($D33*$D34&lt;'Ausgrid Jul''15'!R16+'Ausgrid Jul''15'!R17),(0),('Bills Jul''15'!$D33*'Bills Jul''15'!$D34-2000)*'Ausgrid Jul''15'!R20/100*1.1)</f>
        <v>0</v>
      </c>
      <c r="P50" s="181">
        <f>IF(($D33*$D34&lt;'Ausgrid Jul''15'!S16+'Ausgrid Jul''15'!S17),(0),('Bills Jul''15'!$D33*'Bills Jul''15'!$D34-2000)*'Ausgrid Jul''15'!S20/100*1.1)</f>
        <v>0</v>
      </c>
      <c r="Q50" s="181">
        <f>IF(($D33*$D34&gt;'Ausgrid Jul''15'!T17),($D33*$D34-'Ausgrid Jul''15'!T17)* 'Ausgrid Jul''15'!T20/100*1.1,0)</f>
        <v>97.603000000000009</v>
      </c>
      <c r="R50" s="181">
        <f>IF(($D33*$D34&lt;'Ausgrid Jul''15'!U16+'Ausgrid Jul''15'!U17),(0),('Bills Jul''15'!$D33*'Bills Jul''15'!$D34-2000)*'Ausgrid Jul''15'!U20/100*1.1)</f>
        <v>0</v>
      </c>
      <c r="S50" s="36"/>
      <c r="T50" s="36"/>
    </row>
    <row r="51" spans="1:20" x14ac:dyDescent="0.3">
      <c r="A51" s="26" t="s">
        <v>131</v>
      </c>
      <c r="B51" s="104">
        <f>($D33*$D35)*'Ausgrid Jul''15'!E21/100*1.1</f>
        <v>48.230159999999998</v>
      </c>
      <c r="C51" s="125">
        <f>($D33*$D35)*'Ausgrid Jul''15'!F21/100*1.1</f>
        <v>52.866000000000007</v>
      </c>
      <c r="D51" s="181">
        <f>($D33*$D35)*'Ausgrid Jul''15'!G21/100*1.1</f>
        <v>53.790000000000006</v>
      </c>
      <c r="E51" s="181">
        <f>($D33*$D35)*'Ausgrid Jul''15'!H21/100*1.1</f>
        <v>74.513999999999996</v>
      </c>
      <c r="F51" s="181">
        <f>($D33*$D35)*'Ausgrid Jul''15'!I21/100*1.1</f>
        <v>75.108000000000018</v>
      </c>
      <c r="G51" s="181">
        <f>($D33*$D35)*'Ausgrid Jul''15'!J21/100*1.1</f>
        <v>55.492799999999995</v>
      </c>
      <c r="H51" s="181">
        <f>($D33*$D35)*'Ausgrid Jul''15'!K21/100*1.1</f>
        <v>54.45</v>
      </c>
      <c r="I51" s="181">
        <f>($D33*$D35)*'Ausgrid Jul''15'!L21/100*1.1</f>
        <v>51.216000000000008</v>
      </c>
      <c r="J51" s="181">
        <f>($D33*$D35)*'Ausgrid Jul''15'!M21/100*1.1</f>
        <v>53.42898000000001</v>
      </c>
      <c r="K51" s="181">
        <f>($D33*$D35)*'Ausgrid Jul''15'!N21/100*1.1</f>
        <v>89.034000000000006</v>
      </c>
      <c r="L51" s="181">
        <f>($D33*$D35)*'Ausgrid Jul''15'!O21/100*1.1</f>
        <v>52.800000000000004</v>
      </c>
      <c r="M51" s="181">
        <f>($D33*$D35)*'Ausgrid Jul''15'!P21/100*1.1</f>
        <v>64.02000000000001</v>
      </c>
      <c r="N51" s="181">
        <f>($D33*$D35)*'Ausgrid Jul''15'!Q21/100*1.1</f>
        <v>69.960000000000008</v>
      </c>
      <c r="O51" s="181">
        <f>($D33*$D35)*'Ausgrid Jul''15'!R21/100*1.1</f>
        <v>67.650000000000006</v>
      </c>
      <c r="P51" s="181">
        <f>($D33*$D35)*'Ausgrid Jul''15'!S21/100*1.1</f>
        <v>57.882000000000005</v>
      </c>
      <c r="Q51" s="181">
        <f>($D33*$D35)*'Ausgrid Jul''15'!T21/100*1.1</f>
        <v>52.668000000000006</v>
      </c>
      <c r="R51" s="181">
        <f>($D33*$D35)*'Ausgrid Jul''15'!U21/100*1.1</f>
        <v>53.13</v>
      </c>
      <c r="S51" s="36"/>
      <c r="T51" s="36"/>
    </row>
    <row r="52" spans="1:20" x14ac:dyDescent="0.3">
      <c r="A52" s="26" t="s">
        <v>124</v>
      </c>
      <c r="B52" s="104">
        <f>'Ausgrid Jul''15'!E22*91/100*1.1</f>
        <v>71.191120000000012</v>
      </c>
      <c r="C52" s="125">
        <f>'Ausgrid Jul''15'!F22*91/100*1.1</f>
        <v>72.842770000000002</v>
      </c>
      <c r="D52" s="181">
        <f>'Ausgrid Jul''15'!G22*91/100*1.1</f>
        <v>75.685609999999997</v>
      </c>
      <c r="E52" s="181">
        <f>'Ausgrid Jul''15'!H22*91/100*1.1</f>
        <v>72.842770000000002</v>
      </c>
      <c r="F52" s="181">
        <f>'Ausgrid Jul''15'!I22*91/100*1.1</f>
        <v>72.041970000000006</v>
      </c>
      <c r="G52" s="181">
        <f>'Ausgrid Jul''15'!J22*91/100*1.1</f>
        <v>74.624550000000013</v>
      </c>
      <c r="H52" s="181">
        <f>'Ausgrid Jul''15'!K22*91/100*1.1</f>
        <v>71.060990000000004</v>
      </c>
      <c r="I52" s="181">
        <f>'Ausgrid Jul''15'!L22*91/100*1.1</f>
        <v>69.579510000000013</v>
      </c>
      <c r="J52" s="181">
        <f>'Ausgrid Jul''15'!M22*91/100*1.1</f>
        <v>71.261189999999999</v>
      </c>
      <c r="K52" s="181">
        <f>'Ausgrid Jul''15'!N22*91/100*1.1</f>
        <v>73.913840000000008</v>
      </c>
      <c r="L52" s="181">
        <f>'Ausgrid Jul''15'!O22*91/100*1.1</f>
        <v>72.152079999999998</v>
      </c>
      <c r="M52" s="181">
        <f>'Ausgrid Jul''15'!P22*91/100*1.1</f>
        <v>93.543450000000007</v>
      </c>
      <c r="N52" s="181">
        <f>'Ausgrid Jul''15'!Q22*91/100*1.1</f>
        <v>75.275200000000012</v>
      </c>
      <c r="O52" s="181">
        <f>'Ausgrid Jul''15'!R22*91/100*1.1</f>
        <v>71.071000000000012</v>
      </c>
      <c r="P52" s="181">
        <f>'Ausgrid Jul''15'!S22*91/100*1.1</f>
        <v>71.971900000000005</v>
      </c>
      <c r="Q52" s="181">
        <f>'Ausgrid Jul''15'!T22*91/100*1.1</f>
        <v>71.321250000000006</v>
      </c>
      <c r="R52" s="181">
        <f>'Ausgrid Jul''15'!U22*91/100*1.1</f>
        <v>79.809730000000002</v>
      </c>
      <c r="S52" s="36">
        <f>AVERAGE(C52:R52)</f>
        <v>74.312363125000005</v>
      </c>
      <c r="T52" s="36"/>
    </row>
    <row r="53" spans="1:20" x14ac:dyDescent="0.3">
      <c r="A53" s="26" t="s">
        <v>87</v>
      </c>
      <c r="B53" s="105">
        <f>SUM(B48:B52)</f>
        <v>423.82560000000001</v>
      </c>
      <c r="C53" s="126">
        <f t="shared" ref="C53:M53" si="11">SUM(C48:C52)</f>
        <v>464.92677000000003</v>
      </c>
      <c r="D53" s="182">
        <f t="shared" si="11"/>
        <v>453.60161000000005</v>
      </c>
      <c r="E53" s="182">
        <f t="shared" si="11"/>
        <v>497.39877000000001</v>
      </c>
      <c r="F53" s="182">
        <f t="shared" si="11"/>
        <v>495.98197000000005</v>
      </c>
      <c r="G53" s="182">
        <f t="shared" si="11"/>
        <v>503.32095000000004</v>
      </c>
      <c r="H53" s="182">
        <f t="shared" si="11"/>
        <v>484.68299000000002</v>
      </c>
      <c r="I53" s="182">
        <f t="shared" si="11"/>
        <v>472.42151000000007</v>
      </c>
      <c r="J53" s="182">
        <f t="shared" si="11"/>
        <v>467.59471000000008</v>
      </c>
      <c r="K53" s="182">
        <f t="shared" si="11"/>
        <v>539.65384000000006</v>
      </c>
      <c r="L53" s="182">
        <f t="shared" si="11"/>
        <v>469.05408000000006</v>
      </c>
      <c r="M53" s="182">
        <f t="shared" si="11"/>
        <v>473.87945000000002</v>
      </c>
      <c r="N53" s="182">
        <f>SUM(N48:N52)</f>
        <v>476.79720000000009</v>
      </c>
      <c r="O53" s="182">
        <f>SUM(O48:O52)</f>
        <v>528.6930000000001</v>
      </c>
      <c r="P53" s="182">
        <f>SUM(P48:P52)</f>
        <v>512.34590000000003</v>
      </c>
      <c r="Q53" s="182">
        <f>SUM(Q48:Q52)</f>
        <v>475.62625000000003</v>
      </c>
      <c r="R53" s="182">
        <f>SUM(R48:R52)</f>
        <v>457.06573000000003</v>
      </c>
      <c r="S53" s="36">
        <f>AVERAGE(C53:R53)</f>
        <v>485.81529562500009</v>
      </c>
      <c r="T53" s="36"/>
    </row>
    <row r="54" spans="1:20" x14ac:dyDescent="0.3">
      <c r="A54" s="37" t="s">
        <v>121</v>
      </c>
      <c r="B54" s="100">
        <f>B53*4</f>
        <v>1695.3024</v>
      </c>
      <c r="C54" s="63">
        <f>C53*4</f>
        <v>1859.7070800000001</v>
      </c>
      <c r="D54" s="63">
        <f>D53*4</f>
        <v>1814.4064400000002</v>
      </c>
      <c r="E54" s="63">
        <f>E53*4</f>
        <v>1989.5950800000001</v>
      </c>
      <c r="F54" s="63">
        <f t="shared" ref="F54:R54" si="12">F53*4</f>
        <v>1983.9278800000002</v>
      </c>
      <c r="G54" s="63">
        <f t="shared" si="12"/>
        <v>2013.2838000000002</v>
      </c>
      <c r="H54" s="63">
        <f t="shared" si="12"/>
        <v>1938.7319600000001</v>
      </c>
      <c r="I54" s="63">
        <f t="shared" si="12"/>
        <v>1889.6860400000003</v>
      </c>
      <c r="J54" s="63">
        <f t="shared" si="12"/>
        <v>1870.3788400000003</v>
      </c>
      <c r="K54" s="63">
        <f t="shared" si="12"/>
        <v>2158.6153600000002</v>
      </c>
      <c r="L54" s="63">
        <f t="shared" si="12"/>
        <v>1876.2163200000002</v>
      </c>
      <c r="M54" s="63">
        <f t="shared" si="12"/>
        <v>1895.5178000000001</v>
      </c>
      <c r="N54" s="63">
        <f t="shared" si="12"/>
        <v>1907.1888000000004</v>
      </c>
      <c r="O54" s="63">
        <f t="shared" si="12"/>
        <v>2114.7720000000004</v>
      </c>
      <c r="P54" s="63">
        <f t="shared" si="12"/>
        <v>2049.3836000000001</v>
      </c>
      <c r="Q54" s="63">
        <f>Q53*4</f>
        <v>1902.5050000000001</v>
      </c>
      <c r="R54" s="63">
        <f t="shared" si="12"/>
        <v>1828.2629200000001</v>
      </c>
      <c r="S54" s="40"/>
      <c r="T54" s="40">
        <f>AVERAGE(C54:R54)</f>
        <v>1943.2611825000004</v>
      </c>
    </row>
    <row r="55" spans="1:20" x14ac:dyDescent="0.3">
      <c r="B55" s="101"/>
      <c r="S55" s="41"/>
      <c r="T55" s="41"/>
    </row>
    <row r="56" spans="1:20" x14ac:dyDescent="0.3">
      <c r="A56" s="31" t="s">
        <v>126</v>
      </c>
      <c r="B56" s="103" t="s">
        <v>105</v>
      </c>
      <c r="C56" s="111" t="s">
        <v>106</v>
      </c>
      <c r="D56" s="111" t="s">
        <v>107</v>
      </c>
      <c r="E56" s="111" t="s">
        <v>108</v>
      </c>
      <c r="F56" s="58" t="s">
        <v>52</v>
      </c>
      <c r="G56" s="58" t="s">
        <v>109</v>
      </c>
      <c r="H56" s="58" t="s">
        <v>110</v>
      </c>
      <c r="I56" s="58" t="s">
        <v>111</v>
      </c>
      <c r="J56" s="58" t="s">
        <v>112</v>
      </c>
      <c r="K56" s="58" t="s">
        <v>113</v>
      </c>
      <c r="L56" s="58" t="s">
        <v>114</v>
      </c>
      <c r="M56" s="33" t="s">
        <v>50</v>
      </c>
      <c r="N56" s="33" t="s">
        <v>115</v>
      </c>
      <c r="O56" s="33" t="s">
        <v>116</v>
      </c>
      <c r="P56" s="33" t="s">
        <v>117</v>
      </c>
      <c r="Q56" s="33" t="s">
        <v>118</v>
      </c>
      <c r="R56" s="33" t="s">
        <v>119</v>
      </c>
      <c r="S56" s="34" t="s">
        <v>120</v>
      </c>
      <c r="T56" s="34" t="s">
        <v>121</v>
      </c>
    </row>
    <row r="57" spans="1:20" x14ac:dyDescent="0.3">
      <c r="A57" s="26" t="s">
        <v>122</v>
      </c>
      <c r="B57" s="125">
        <f>IF($D33*$D34&gt;'Endeavour Jul''15'!E16,('Endeavour Jul''15'!E16*'Endeavour Jul''15'!E18/100*1.1),('Bills Jul''15'!$D33*'Bills Jul''15'!$D34)*'Endeavour Jul''15'!E18/100*1.1)</f>
        <v>235.73000000000002</v>
      </c>
      <c r="C57" s="125">
        <f>IF($D33*$D34&gt;'Endeavour Jul''15'!F16,('Endeavour Jul''15'!F16*'Endeavour Jul''15'!F18/100*1.1),('Bills Jul''15'!$D33*'Bills Jul''15'!$D34)*'Endeavour Jul''15'!F18/100*1.1)</f>
        <v>246.73000000000005</v>
      </c>
      <c r="D57" s="182">
        <f>IF($D33*$D34&gt;'Endeavour Jul''15'!G16,('Endeavour Jul''15'!G16*'Endeavour Jul''15'!G18/100*1.1),('Bills Jul''15'!$D33*'Bills Jul''15'!$D34)*'Endeavour Jul''15'!G18/100*1.1)</f>
        <v>239.91000000000003</v>
      </c>
      <c r="E57" s="181">
        <f>IF($D33*$D34&gt;'Endeavour Jul''15'!H16,('Endeavour Jul''15'!H16*'Endeavour Jul''15'!H18/100*1.1),('Bills Jul''15'!$D33*'Bills Jul''15'!$D34)*'Endeavour Jul''15'!H18/100*1.1)</f>
        <v>343.42</v>
      </c>
      <c r="F57" s="181">
        <f>IF($D33*$D34&gt;'Endeavour Jul''15'!I16,('Endeavour Jul''15'!I16*'Endeavour Jul''15'!I18/100*1.1),('Bills Jul''15'!$D33*'Bills Jul''15'!$D34)*'Endeavour Jul''15'!I18/100*1.1)</f>
        <v>345.73</v>
      </c>
      <c r="G57" s="181">
        <f>IF($D33*$D34&gt;'Endeavour Jul''15'!J16,('Endeavour Jul''15'!J16*'Endeavour Jul''15'!J18/100*1.1),('Bills Jul''15'!$D33*'Bills Jul''15'!$D34)*'Endeavour Jul''15'!J18/100*1.1)</f>
        <v>362.14639999999997</v>
      </c>
      <c r="H57" s="181">
        <f>IF($D33*$D34&gt;'Endeavour Jul''15'!K16,('Endeavour Jul''15'!K16*'Endeavour Jul''15'!K18/100*1.1),('Bills Jul''15'!$D33*'Bills Jul''15'!$D34)*'Endeavour Jul''15'!K18/100*1.1)</f>
        <v>348.96400000000006</v>
      </c>
      <c r="I57" s="181">
        <f>IF($D33*$D34&gt;'Endeavour Jul''15'!L16,('Endeavour Jul''15'!L16*'Endeavour Jul''15'!L18/100*1.1),('Bills Jul''15'!$D33*'Bills Jul''15'!$D34)*'Endeavour Jul''15'!L18/100*1.1)</f>
        <v>341.41800000000006</v>
      </c>
      <c r="J57" s="182">
        <f>IF($D33*$D34&gt;'Endeavour Jul''15'!M16,('Endeavour Jul''15'!M16*'Endeavour Jul''15'!M18/100*1.1),('Bills Jul''15'!$D33*'Bills Jul''15'!$D34)*'Endeavour Jul''15'!M18/100*1.1)</f>
        <v>253.34980000000002</v>
      </c>
      <c r="K57" s="181">
        <f>IF($D33*$D34&gt;'Endeavour Jul''15'!N16,('Endeavour Jul''15'!N16*'Endeavour Jul''15'!N18/100*1.1),('Bills Jul''15'!$D33*'Bills Jul''15'!$D34)*'Endeavour Jul''15'!N18/100*1.1)</f>
        <v>167.97</v>
      </c>
      <c r="L57" s="181">
        <f>IF($D33*$D34&gt;'Endeavour Jul''15'!O16,('Endeavour Jul''15'!O16*'Endeavour Jul''15'!O18/100*1.1),('Bills Jul''15'!$D33*'Bills Jul''15'!$D34)*'Endeavour Jul''15'!O18/100*1.1)</f>
        <v>343.26600000000002</v>
      </c>
      <c r="M57" s="181">
        <f>($D33*$D34)*'Endeavour Jul''15'!P18/100*1.1</f>
        <v>308</v>
      </c>
      <c r="N57" s="182">
        <f>IF($D33*$D34&gt;'Endeavour Jul''15'!Q16,('Endeavour Jul''15'!Q16*'Endeavour Jul''15'!Q18/100*1.1),('Bills Jul''15'!$D33*'Bills Jul''15'!$D34)*'Endeavour Jul''15'!Q18/100*1.1)</f>
        <v>241.89000000000001</v>
      </c>
      <c r="O57" s="181">
        <f>IF($D33*$D34&gt;'Endeavour Jul''15'!R16,('Endeavour Jul''15'!R16*'Endeavour Jul''15'!R18/100*1.1),('Bills Jul''15'!$D33*'Bills Jul''15'!$D34)*'Endeavour Jul''15'!R18/100*1.1)</f>
        <v>379.76400000000007</v>
      </c>
      <c r="P57" s="181">
        <f>IF($D33*$D34&gt;'Endeavour Jul''15'!S16,('Endeavour Jul''15'!S16*'Endeavour Jul''15'!S18/100*1.1),('Bills Jul''15'!$D33*'Bills Jul''15'!$D34)*'Endeavour Jul''15'!S18/100*1.1)</f>
        <v>371.44800000000004</v>
      </c>
      <c r="Q57" s="181">
        <f>IF($D33*$D34&gt;'Endeavour Jul''15'!T16,('Endeavour Jul''15'!T16*'Endeavour Jul''15'!T18/100*1.1),('Bills Jul''15'!$D33*'Bills Jul''15'!$D34)*'Endeavour Jul''15'!T18/100*1.1)</f>
        <v>232.25399999999999</v>
      </c>
      <c r="R57" s="132" t="s">
        <v>129</v>
      </c>
      <c r="S57" s="36"/>
      <c r="T57" s="36"/>
    </row>
    <row r="58" spans="1:20" x14ac:dyDescent="0.3">
      <c r="A58" s="26" t="s">
        <v>130</v>
      </c>
      <c r="B58" s="125">
        <f>IF($D33*$D34&lt;='Endeavour Jul''15'!E16,0,IF('Bills Jul''15'!$D33*'Bills Jul''15'!$D34&gt;'Endeavour Jul''15'!E19,('Bills Jul''15'!$D33*'Bills Jul''15'!$D34-'Endeavour Jul''15'!E16)*'Endeavour Jul''15'!E19/100*1.1))</f>
        <v>91.696000000000012</v>
      </c>
      <c r="C58" s="125">
        <f>IF($D33*$D34&lt;='Endeavour Jul''15'!F16,0,IF('Bills Jul''15'!$D33*'Bills Jul''15'!$D34&gt;'Endeavour Jul''15'!F19,('Bills Jul''15'!$D33*'Bills Jul''15'!$D34-'Endeavour Jul''15'!F16)*'Endeavour Jul''15'!F19/100*1.1))</f>
        <v>96.800000000000011</v>
      </c>
      <c r="D58" s="182">
        <f>IF($D33*$D34&lt;='Endeavour Jul''15'!G16,0,IF('Bills Jul''15'!$D33*'Bills Jul''15'!$D34&gt;'Endeavour Jul''15'!G19,('Bills Jul''15'!$D33*'Bills Jul''15'!$D34-'Endeavour Jul''15'!G16)*'Endeavour Jul''15'!G19/100*1.1))</f>
        <v>93.368000000000009</v>
      </c>
      <c r="E58" s="181">
        <f>IF($D33*$D34&lt;='Endeavour Jul''15'!H16,0,IF('Bills Jul''15'!$D33*'Bills Jul''15'!$D34&gt;'Endeavour Jul''15'!H19,('Bills Jul''15'!$D33*'Bills Jul''15'!$D34-'Endeavour Jul''15'!H16)*'Endeavour Jul''15'!H19/100*1.1))</f>
        <v>0</v>
      </c>
      <c r="F58" s="181">
        <f>IF($D33*$D34&lt;='Endeavour Jul''15'!I16,0,IF('Bills Jul''15'!$D33*'Bills Jul''15'!$D34&gt;'Endeavour Jul''15'!I19,('Bills Jul''15'!$D33*'Bills Jul''15'!$D34-'Endeavour Jul''15'!I16)*'Endeavour Jul''15'!I19/100*1.1))</f>
        <v>0</v>
      </c>
      <c r="G58" s="181">
        <f>IF($D33*$D34&lt;='Endeavour Jul''15'!J16,0,IF('Bills Jul''15'!$D33*'Bills Jul''15'!$D34&gt;'Endeavour Jul''15'!J19,('Bills Jul''15'!$D33*'Bills Jul''15'!$D34-'Endeavour Jul''15'!J16)*'Endeavour Jul''15'!J19/100*1.1))</f>
        <v>0</v>
      </c>
      <c r="H58" s="181">
        <f>IF($D33*$D34&lt;='Endeavour Jul''15'!K16,0,IF('Bills Jul''15'!$D33*'Bills Jul''15'!$D34&gt;'Endeavour Jul''15'!K19,('Bills Jul''15'!$D33*'Bills Jul''15'!$D34-'Endeavour Jul''15'!K16)*'Endeavour Jul''15'!K19/100*1.1))</f>
        <v>0</v>
      </c>
      <c r="I58" s="181">
        <f>IF($D33*$D34&lt;='Endeavour Jul''15'!L16,0,IF('Bills Jul''15'!$D33*'Bills Jul''15'!$D34&gt;'Endeavour Jul''15'!L19,('Bills Jul''15'!$D33*'Bills Jul''15'!$D34-'Endeavour Jul''15'!L16)*'Endeavour Jul''15'!L19/100*1.1))</f>
        <v>0</v>
      </c>
      <c r="J58" s="182">
        <f>IF($D33*$D34&lt;='Endeavour Jul''15'!M16,0,IF('Bills Jul''15'!$D33*'Bills Jul''15'!$D34&gt;'Endeavour Jul''15'!M19,('Bills Jul''15'!$D33*'Bills Jul''15'!$D34-'Endeavour Jul''15'!M16)*'Endeavour Jul''15'!M19/100*1.1))</f>
        <v>97.799679999999995</v>
      </c>
      <c r="K58" s="181">
        <f>IF($D33*$D34&lt;='Endeavour Jul''15'!N16,0,IF('Bills Jul''15'!$D33*'Bills Jul''15'!$D34&gt;'Endeavour Jul''15'!N19,('Bills Jul''15'!$D33*'Bills Jul''15'!$D34-'Endeavour Jul''15'!N16)*'Endeavour Jul''15'!N19/100*1.1))</f>
        <v>0</v>
      </c>
      <c r="L58" s="181">
        <f>IF($D33*$D34&lt;='Endeavour Jul''15'!O16,0,IF('Bills Jul''15'!$D33*'Bills Jul''15'!$D34&gt;'Endeavour Jul''15'!O19,('Bills Jul''15'!$D33*'Bills Jul''15'!$D34-'Endeavour Jul''15'!O16)*'Endeavour Jul''15'!O19/100*1.1))</f>
        <v>0</v>
      </c>
      <c r="M58" s="181">
        <v>0</v>
      </c>
      <c r="N58" s="182">
        <f>IF($D33*$D34&lt;='Endeavour Jul''15'!Q16,0,IF('Bills Jul''15'!$D33*'Bills Jul''15'!$D34&gt;'Endeavour Jul''15'!Q19,('Bills Jul''15'!$D33*'Bills Jul''15'!$D34-'Endeavour Jul''15'!Q16)*'Endeavour Jul''15'!Q19/100*1.1))</f>
        <v>95.788000000000011</v>
      </c>
      <c r="O58" s="181">
        <f>IF($D33*$D34&lt;='Endeavour Jul''15'!R16,0,IF('Bills Jul''15'!$D33*'Bills Jul''15'!$D34&gt;'Endeavour Jul''15'!R19,('Bills Jul''15'!$D33*'Bills Jul''15'!$D34-'Endeavour Jul''15'!R16)*'Endeavour Jul''15'!R19/100*1.1))</f>
        <v>0</v>
      </c>
      <c r="P58" s="181">
        <f>IF($D33*$D34&lt;='Endeavour Jul''15'!S16,0,IF('Bills Jul''15'!$D33*'Bills Jul''15'!$D34&gt;'Endeavour Jul''15'!S19,('Bills Jul''15'!$D33*'Bills Jul''15'!$D34-'Endeavour Jul''15'!S16)*'Endeavour Jul''15'!S19/100*1.1))</f>
        <v>0</v>
      </c>
      <c r="Q58" s="181">
        <f>IF($D33*$D34&lt;='Endeavour Jul''15'!T16,0,IF('Bills Jul''15'!$D33*'Bills Jul''15'!$D34&gt;'Endeavour Jul''15'!T19,('Bills Jul''15'!$D33*'Bills Jul''15'!$D34-'Endeavour Jul''15'!T16)*'Endeavour Jul''15'!T19/100*1.1))</f>
        <v>0</v>
      </c>
      <c r="R58" s="132" t="s">
        <v>129</v>
      </c>
      <c r="S58" s="36"/>
      <c r="T58" s="36"/>
    </row>
    <row r="59" spans="1:20" x14ac:dyDescent="0.3">
      <c r="A59" s="26" t="s">
        <v>86</v>
      </c>
      <c r="B59" s="125">
        <f>IF(($D33*$D34&gt;'Endeavour Jul''15'!E17),( $D33*$D34-'Endeavour Jul''15'!E17)*'Endeavour Jul''15'!E20/100*1.1,0)</f>
        <v>0</v>
      </c>
      <c r="C59" s="125">
        <f>IF(($D33*$D34&gt;'Endeavour Jul''15'!F17),( $D33*$D34-'Endeavour Jul''15'!F17)*'Endeavour Jul''15'!F20/100*1.1,0)</f>
        <v>0</v>
      </c>
      <c r="D59" s="182">
        <f>IF(($D33*$D34&gt;'Endeavour Jul''15'!G17),( $D33*$D34-'Endeavour Jul''15'!G17)*'Endeavour Jul''15'!G20/100*1.1,0)</f>
        <v>0</v>
      </c>
      <c r="E59" s="181">
        <f>IF(($D33*$D34&lt;'Endeavour Jul''15'!H16+'Endeavour Jul''15'!H17),(0),('Bills Jul''15'!$D33*'Bills Jul''15'!$D34-1750)*'Endeavour Jul''15'!H20/100*1.1)</f>
        <v>0</v>
      </c>
      <c r="F59" s="181">
        <f>IF(($D33*$D34&lt;'Endeavour Jul''15'!I16+'Endeavour Jul''15'!I17),(0),('Bills Jul''15'!$D33*'Bills Jul''15'!$D34-1750)*'Endeavour Jul''15'!I20/100*1.1)</f>
        <v>0</v>
      </c>
      <c r="G59" s="181">
        <f>IF(($D33*$D34&lt;'Endeavour Jul''15'!J16+'Endeavour Jul''15'!J17),(0),('Bills Jul''15'!$D33*'Bills Jul''15'!$D34-1750)*'Endeavour Jul''15'!J20/100*1.1)</f>
        <v>0</v>
      </c>
      <c r="H59" s="181">
        <f>IF(($D33*$D34&lt;'Endeavour Jul''15'!K16+'Endeavour Jul''15'!K17),(0),('Bills Jul''15'!$D33*'Bills Jul''15'!$D34-1750)*'Endeavour Jul''15'!K20/100*1.1)</f>
        <v>0</v>
      </c>
      <c r="I59" s="181">
        <f>IF(($D33*$D34&lt;'Endeavour Jul''15'!L16+'Endeavour Jul''15'!L17),(0),('Bills Jul''15'!$D33*'Bills Jul''15'!$D34-1750)*'Endeavour Jul''15'!L20/100*1.1)</f>
        <v>0</v>
      </c>
      <c r="J59" s="182">
        <f>IF(($D33*$D34&gt;'Endeavour Jul''15'!M17),( $D33*$D34-'Endeavour Jul''15'!M17)*'Endeavour Jul''15'!M20/100*1.1,0)</f>
        <v>0</v>
      </c>
      <c r="K59" s="181">
        <f>IF(($D33*$D34&lt;'Endeavour Jul''15'!N16+'Endeavour Jul''15'!N17),(0),('Bills Jul''15'!$D33*'Bills Jul''15'!$D34-600)*'Endeavour Jul''15'!N20/100*1.1)</f>
        <v>187.70400000000001</v>
      </c>
      <c r="L59" s="181">
        <f>IF(($D33*$D34&lt;'Endeavour Jul''15'!O16+'Endeavour Jul''15'!O17),(0),('Bills Jul''15'!$D33*'Bills Jul''15'!$D34-1750)*'Endeavour Jul''15'!O20/100*1.1)</f>
        <v>0</v>
      </c>
      <c r="M59" s="181">
        <v>0</v>
      </c>
      <c r="N59" s="182">
        <f>IF(($D33*$D34&gt;'Endeavour Jul''15'!Q17),( $D33*$D34-'Endeavour Jul''15'!Q17)*'Endeavour Jul''15'!Q20/100*1.1,0)</f>
        <v>0</v>
      </c>
      <c r="O59" s="181">
        <f>IF(($D33*$D34&lt;'Endeavour Jul''15'!R16+'Endeavour Jul''15'!R17),(0),('Bills Jul''15'!$D33*'Bills Jul''15'!$D34-1750)*'Endeavour Jul''15'!R20/100*1.1)</f>
        <v>0</v>
      </c>
      <c r="P59" s="181">
        <f>IF(($D33*$D34&lt;'Endeavour Jul''15'!S16+'Endeavour Jul''15'!S17),(0),('Bills Jul''15'!$D33*'Bills Jul''15'!$D34-1750)*'Endeavour Jul''15'!S20/100*1.1)</f>
        <v>0</v>
      </c>
      <c r="Q59" s="181">
        <f>IF(($D33*$D34&lt;'Endeavour Jul''15'!T16+'Endeavour Jul''15'!T17),(0),('Bills Jul''15'!$D33*'Bills Jul''15'!$D34-1020)*'Endeavour Jul''15'!T20/100*1.1)</f>
        <v>96.76700000000001</v>
      </c>
      <c r="R59" s="132" t="s">
        <v>129</v>
      </c>
      <c r="S59" s="36"/>
      <c r="T59" s="36"/>
    </row>
    <row r="60" spans="1:20" x14ac:dyDescent="0.3">
      <c r="A60" s="26" t="s">
        <v>131</v>
      </c>
      <c r="B60" s="125">
        <f>($D33*$D35)*'Endeavour Jul''15'!E21/100*1.1</f>
        <v>41.25</v>
      </c>
      <c r="C60" s="125">
        <f>($D33*$D35)*'Endeavour Jul''15'!F21/100*1.1</f>
        <v>41.381999999999998</v>
      </c>
      <c r="D60" s="181">
        <f>($D33*$D35)*'Endeavour Jul''15'!G21/100*1.1</f>
        <v>45.672000000000004</v>
      </c>
      <c r="E60" s="181">
        <f>($D33*$D35)*'Endeavour Jul''15'!H21/100*1.1</f>
        <v>73.391999999999996</v>
      </c>
      <c r="F60" s="181">
        <f>($D33*$D35)*'Endeavour Jul''15'!I21/100*1.1</f>
        <v>42.702000000000005</v>
      </c>
      <c r="G60" s="181">
        <f>($D33*$D35)*'Endeavour Jul''15'!J21/100*1.1</f>
        <v>76.896599999999992</v>
      </c>
      <c r="H60" s="181">
        <f>($D33*$D35)*'Endeavour Jul''15'!K21/100*1.1</f>
        <v>43.56</v>
      </c>
      <c r="I60" s="181">
        <f>($D33*$D35)*'Endeavour Jul''15'!L21/100*1.1</f>
        <v>40.326000000000001</v>
      </c>
      <c r="J60" s="181">
        <f>($D33*$D35)*'Endeavour Jul''15'!M21/100*1.1</f>
        <v>46.899600000000007</v>
      </c>
      <c r="K60" s="181">
        <f>($D33*$D35)*'Endeavour Jul''15'!N21/100*1.1</f>
        <v>81.708000000000027</v>
      </c>
      <c r="L60" s="181">
        <f>($D33*$D35)*'Endeavour Jul''15'!O21/100*1.1</f>
        <v>42.108000000000004</v>
      </c>
      <c r="M60" s="181">
        <f>($D33*$D35)*'Endeavour Jul''15'!P21/100*1.1</f>
        <v>54.78</v>
      </c>
      <c r="N60" s="181">
        <f>($D33*$D35)*'Endeavour Jul''15'!Q21/100*1.1</f>
        <v>48.048000000000002</v>
      </c>
      <c r="O60" s="181">
        <f>($D33*$D35)*'Endeavour Jul''15'!R21/100*1.1</f>
        <v>56.760000000000005</v>
      </c>
      <c r="P60" s="181">
        <f>($D33*$D35)*'Endeavour Jul''15'!S21/100*1.1</f>
        <v>46.266000000000005</v>
      </c>
      <c r="Q60" s="181">
        <f>($D33*$D35)*'Endeavour Jul''15'!T21/100*1.1</f>
        <v>41.58</v>
      </c>
      <c r="R60" s="132" t="s">
        <v>129</v>
      </c>
      <c r="S60" s="36"/>
      <c r="T60" s="36"/>
    </row>
    <row r="61" spans="1:20" x14ac:dyDescent="0.3">
      <c r="A61" s="26" t="s">
        <v>124</v>
      </c>
      <c r="B61" s="125">
        <f>'Endeavour Jul''15'!E22*91/100*1.1</f>
        <v>75.775700000000001</v>
      </c>
      <c r="C61" s="125">
        <f>'Endeavour Jul''15'!F22*91/100*1.1</f>
        <v>76.546469999999999</v>
      </c>
      <c r="D61" s="181">
        <f>'Endeavour Jul''15'!G22*91/100*1.1</f>
        <v>79.359280000000012</v>
      </c>
      <c r="E61" s="181">
        <f>'Endeavour Jul''15'!H22*91/100*1.1</f>
        <v>71.69162</v>
      </c>
      <c r="F61" s="181">
        <f>'Endeavour Jul''15'!I22*91/100*1.1</f>
        <v>75.545470000000009</v>
      </c>
      <c r="G61" s="181">
        <f>'Endeavour Jul''15'!J22*91/100*1.1</f>
        <v>78.429350999999997</v>
      </c>
      <c r="H61" s="181">
        <f>'Endeavour Jul''15'!K22*91/100*1.1</f>
        <v>74.614540000000005</v>
      </c>
      <c r="I61" s="181">
        <f>'Endeavour Jul''15'!L22*91/100*1.1</f>
        <v>73.123050000000006</v>
      </c>
      <c r="J61" s="181">
        <f>'Endeavour Jul''15'!M22*91/100*1.1</f>
        <v>79.499420000000001</v>
      </c>
      <c r="K61" s="181">
        <f>'Endeavour Jul''15'!N22*91/100*1.1</f>
        <v>72.272199999999998</v>
      </c>
      <c r="L61" s="181">
        <f>'Endeavour Jul''15'!O22*91/100*1.1</f>
        <v>70.890819999999991</v>
      </c>
      <c r="M61" s="181">
        <f>'Endeavour Jul''15'!P22*91/100*1.1</f>
        <v>97.497400000000013</v>
      </c>
      <c r="N61" s="181">
        <f>'Endeavour Jul''15'!Q22*91/100*1.1</f>
        <v>77.717640000000003</v>
      </c>
      <c r="O61" s="181">
        <f>'Endeavour Jul''15'!R22*91/100*1.1</f>
        <v>74.694620000000015</v>
      </c>
      <c r="P61" s="181">
        <f>'Endeavour Jul''15'!S22*91/100*1.1</f>
        <v>75.475400000000008</v>
      </c>
      <c r="Q61" s="181">
        <f>'Endeavour Jul''15'!T22*91/100*1.1</f>
        <v>70.770700000000005</v>
      </c>
      <c r="R61" s="132" t="s">
        <v>129</v>
      </c>
      <c r="S61" s="36">
        <f>AVERAGE(C61:Q61)</f>
        <v>76.541865399999992</v>
      </c>
      <c r="T61" s="36"/>
    </row>
    <row r="62" spans="1:20" x14ac:dyDescent="0.3">
      <c r="A62" s="26" t="s">
        <v>87</v>
      </c>
      <c r="B62" s="127">
        <f>SUM(B57:B61)</f>
        <v>444.45170000000007</v>
      </c>
      <c r="C62" s="127">
        <f t="shared" ref="C62:Q62" si="13">SUM(C57:C61)</f>
        <v>461.45847000000009</v>
      </c>
      <c r="D62" s="128">
        <f t="shared" si="13"/>
        <v>458.30928000000006</v>
      </c>
      <c r="E62" s="128">
        <f t="shared" si="13"/>
        <v>488.50362000000001</v>
      </c>
      <c r="F62" s="128">
        <f t="shared" si="13"/>
        <v>463.97747000000004</v>
      </c>
      <c r="G62" s="128">
        <f t="shared" si="13"/>
        <v>517.47235099999989</v>
      </c>
      <c r="H62" s="128">
        <f t="shared" si="13"/>
        <v>467.13854000000003</v>
      </c>
      <c r="I62" s="128">
        <f t="shared" si="13"/>
        <v>454.86705000000006</v>
      </c>
      <c r="J62" s="128">
        <f t="shared" si="13"/>
        <v>477.54850000000005</v>
      </c>
      <c r="K62" s="128">
        <f t="shared" si="13"/>
        <v>509.6542</v>
      </c>
      <c r="L62" s="128">
        <f t="shared" si="13"/>
        <v>456.26481999999999</v>
      </c>
      <c r="M62" s="128">
        <f t="shared" si="13"/>
        <v>460.2774</v>
      </c>
      <c r="N62" s="128">
        <f t="shared" si="13"/>
        <v>463.44364000000002</v>
      </c>
      <c r="O62" s="128">
        <f t="shared" si="13"/>
        <v>511.2186200000001</v>
      </c>
      <c r="P62" s="128">
        <f t="shared" si="13"/>
        <v>493.18940000000009</v>
      </c>
      <c r="Q62" s="128">
        <f t="shared" si="13"/>
        <v>441.37170000000003</v>
      </c>
      <c r="R62" s="132" t="s">
        <v>129</v>
      </c>
      <c r="S62" s="36">
        <f>AVERAGE(C62:Q62)</f>
        <v>474.97967073333342</v>
      </c>
      <c r="T62" s="36"/>
    </row>
    <row r="63" spans="1:20" x14ac:dyDescent="0.3">
      <c r="A63" s="37" t="s">
        <v>121</v>
      </c>
      <c r="B63" s="129">
        <f>B62*4</f>
        <v>1777.8068000000003</v>
      </c>
      <c r="C63" s="129">
        <f t="shared" ref="C63:Q63" si="14">C62*4</f>
        <v>1845.8338800000004</v>
      </c>
      <c r="D63" s="130">
        <f t="shared" si="14"/>
        <v>1833.2371200000002</v>
      </c>
      <c r="E63" s="130">
        <f t="shared" si="14"/>
        <v>1954.01448</v>
      </c>
      <c r="F63" s="130">
        <f t="shared" si="14"/>
        <v>1855.9098800000002</v>
      </c>
      <c r="G63" s="130">
        <f t="shared" si="14"/>
        <v>2069.8894039999996</v>
      </c>
      <c r="H63" s="130">
        <f t="shared" si="14"/>
        <v>1868.5541600000001</v>
      </c>
      <c r="I63" s="130">
        <f t="shared" si="14"/>
        <v>1819.4682000000003</v>
      </c>
      <c r="J63" s="130">
        <f t="shared" si="14"/>
        <v>1910.1940000000002</v>
      </c>
      <c r="K63" s="130">
        <f t="shared" si="14"/>
        <v>2038.6168</v>
      </c>
      <c r="L63" s="130">
        <f t="shared" si="14"/>
        <v>1825.0592799999999</v>
      </c>
      <c r="M63" s="130">
        <f t="shared" si="14"/>
        <v>1841.1096</v>
      </c>
      <c r="N63" s="130">
        <f t="shared" si="14"/>
        <v>1853.7745600000001</v>
      </c>
      <c r="O63" s="130">
        <f t="shared" si="14"/>
        <v>2044.8744800000004</v>
      </c>
      <c r="P63" s="130">
        <f t="shared" si="14"/>
        <v>1972.7576000000004</v>
      </c>
      <c r="Q63" s="130">
        <f t="shared" si="14"/>
        <v>1765.4868000000001</v>
      </c>
      <c r="R63" s="131" t="s">
        <v>129</v>
      </c>
      <c r="S63" s="40"/>
      <c r="T63" s="40">
        <f>AVERAGE(C63:Q63)</f>
        <v>1899.9186829333337</v>
      </c>
    </row>
    <row r="66" spans="1:20" x14ac:dyDescent="0.3">
      <c r="A66" s="42" t="s">
        <v>94</v>
      </c>
      <c r="B66" s="30" t="s">
        <v>79</v>
      </c>
      <c r="D66" s="46">
        <v>1800</v>
      </c>
    </row>
    <row r="67" spans="1:20" x14ac:dyDescent="0.3">
      <c r="B67" s="30" t="s">
        <v>91</v>
      </c>
      <c r="D67" s="47">
        <v>0.2</v>
      </c>
    </row>
    <row r="68" spans="1:20" x14ac:dyDescent="0.3">
      <c r="B68" s="30" t="s">
        <v>95</v>
      </c>
      <c r="D68" s="47">
        <v>0.5</v>
      </c>
    </row>
    <row r="69" spans="1:20" x14ac:dyDescent="0.3">
      <c r="B69" s="30" t="s">
        <v>92</v>
      </c>
      <c r="D69" s="47">
        <v>0.3</v>
      </c>
    </row>
    <row r="70" spans="1:20" x14ac:dyDescent="0.3">
      <c r="C70" s="30"/>
      <c r="D70" s="30"/>
    </row>
    <row r="71" spans="1:20" x14ac:dyDescent="0.3">
      <c r="B71" s="30"/>
      <c r="C71" s="30"/>
    </row>
    <row r="72" spans="1:20" x14ac:dyDescent="0.3">
      <c r="A72" s="31" t="s">
        <v>104</v>
      </c>
      <c r="B72" s="103" t="s">
        <v>105</v>
      </c>
      <c r="C72" s="111" t="s">
        <v>106</v>
      </c>
      <c r="D72" s="111" t="s">
        <v>107</v>
      </c>
      <c r="E72" s="111" t="s">
        <v>108</v>
      </c>
      <c r="F72" s="58" t="s">
        <v>52</v>
      </c>
      <c r="G72" s="58" t="s">
        <v>109</v>
      </c>
      <c r="H72" s="58" t="s">
        <v>110</v>
      </c>
      <c r="I72" s="58" t="s">
        <v>111</v>
      </c>
      <c r="J72" s="58" t="s">
        <v>112</v>
      </c>
      <c r="K72" s="58" t="s">
        <v>113</v>
      </c>
      <c r="L72" s="58" t="s">
        <v>114</v>
      </c>
      <c r="M72" s="33" t="s">
        <v>50</v>
      </c>
      <c r="N72" s="33" t="s">
        <v>115</v>
      </c>
      <c r="O72" s="33" t="s">
        <v>116</v>
      </c>
      <c r="P72" s="33" t="s">
        <v>117</v>
      </c>
      <c r="Q72" s="33" t="s">
        <v>118</v>
      </c>
      <c r="R72" s="33" t="s">
        <v>119</v>
      </c>
      <c r="S72" s="34" t="s">
        <v>120</v>
      </c>
      <c r="T72" s="34" t="s">
        <v>121</v>
      </c>
    </row>
    <row r="73" spans="1:20" x14ac:dyDescent="0.3">
      <c r="A73" s="26" t="s">
        <v>132</v>
      </c>
      <c r="B73" s="104">
        <f>($D66*$D67)*'Essential Jul''15'!E27/100*1.1</f>
        <v>102.28680000000001</v>
      </c>
      <c r="C73" s="55">
        <f>($D66*$D67)*'Essential Jul''15'!F27/100*1.1</f>
        <v>131.98680000000002</v>
      </c>
      <c r="D73" s="55">
        <f>($D66*$D67)*'Essential Jul''15'!G27/100*1.1</f>
        <v>106.2864</v>
      </c>
      <c r="E73" s="55">
        <f>($D66*$D67)*'Essential Jul''15'!H27/100*1.1</f>
        <v>114.24600000000001</v>
      </c>
      <c r="F73" s="55">
        <f>($D66*$D67)*'Essential Jul''15'!I27/100*1.1</f>
        <v>125.0568</v>
      </c>
      <c r="G73" s="55">
        <f>($D66*$D67)*'Essential Jul''15'!J27/100*1.1</f>
        <v>134.65188000000001</v>
      </c>
      <c r="H73" s="55">
        <f>($D66*$D67)*'Essential Jul''15'!K27/100*1.1</f>
        <v>129.45240000000001</v>
      </c>
      <c r="I73" s="132" t="s">
        <v>129</v>
      </c>
      <c r="J73" s="55">
        <f>($D66*$D67)*'Essential Jul''15'!M27/100*1.1</f>
        <v>112.84891200000001</v>
      </c>
      <c r="K73" s="55">
        <f>IF((D66*D67)&gt;'Essential Jul''15'!N26,('Essential Jul''15'!N26*'Essential Jul''15'!N27/100*1.1),($D66*$D67)*'Essential Jul''15'!N27/100*1.1)</f>
        <v>108.02880000000002</v>
      </c>
      <c r="L73" s="55">
        <f>($D66*$D67)*'Essential Jul''15'!O27/100*1.1</f>
        <v>122.44320000000002</v>
      </c>
      <c r="M73" s="55">
        <f>($D66*$D67)*'Essential Jul''15'!P27/100*1.1</f>
        <v>90.288000000000011</v>
      </c>
      <c r="N73" s="55">
        <f>($D66*$D67)*'Essential Jul''15'!Q27/100*1.1</f>
        <v>104.14800000000001</v>
      </c>
      <c r="O73" s="55">
        <f>($D66*$D67)*'Essential Jul''15'!R27/100*1.1</f>
        <v>137.3724</v>
      </c>
      <c r="P73" s="55">
        <f>($D66*$D67)*'Essential Jul''15'!S27/100*1.1</f>
        <v>137.80799999999999</v>
      </c>
      <c r="Q73" s="55">
        <f>($D66*$D67)*'Essential Jul''15'!T27/100*1.1</f>
        <v>116.42400000000001</v>
      </c>
      <c r="R73" s="55">
        <f>($D66*$D67)*'Essential Jul''15'!U27/100*1.1</f>
        <v>106.2864</v>
      </c>
      <c r="S73" s="36"/>
      <c r="T73" s="36"/>
    </row>
    <row r="74" spans="1:20" x14ac:dyDescent="0.3">
      <c r="A74" s="26" t="s">
        <v>130</v>
      </c>
      <c r="B74" s="104">
        <v>0</v>
      </c>
      <c r="C74" s="55">
        <v>0</v>
      </c>
      <c r="D74" s="55">
        <v>0</v>
      </c>
      <c r="E74" s="55">
        <v>0</v>
      </c>
      <c r="F74" s="55">
        <v>0</v>
      </c>
      <c r="G74" s="55">
        <v>0</v>
      </c>
      <c r="H74" s="55">
        <v>0</v>
      </c>
      <c r="I74" s="132" t="s">
        <v>129</v>
      </c>
      <c r="J74" s="55">
        <v>0</v>
      </c>
      <c r="K74" s="55">
        <f>IF(($D66*$D67)&lt;='Essential Jul''15'!N26,0,($D66*$D67-'Essential Jul''15'!N26*'Essential Jul''15'!N27/100*1.1))</f>
        <v>0</v>
      </c>
      <c r="L74" s="55">
        <v>0</v>
      </c>
      <c r="M74" s="55">
        <v>0</v>
      </c>
      <c r="N74" s="55">
        <v>0</v>
      </c>
      <c r="O74" s="55">
        <v>0</v>
      </c>
      <c r="P74" s="55">
        <v>0</v>
      </c>
      <c r="Q74" s="55">
        <v>0</v>
      </c>
      <c r="R74" s="55">
        <v>0</v>
      </c>
      <c r="S74" s="36"/>
      <c r="T74" s="36"/>
    </row>
    <row r="75" spans="1:20" x14ac:dyDescent="0.3">
      <c r="A75" s="26" t="s">
        <v>133</v>
      </c>
      <c r="B75" s="104">
        <f>($D66*$D68)*'Essential Jul''15'!E29/100*1.1</f>
        <v>255.71700000000001</v>
      </c>
      <c r="C75" s="55">
        <f>($D66*$D68)*'Essential Jul''15'!F29/100*1.1</f>
        <v>329.96700000000004</v>
      </c>
      <c r="D75" s="55">
        <f>($D66*$D68)*'Essential Jul''15'!G29/100*1.1</f>
        <v>265.71600000000001</v>
      </c>
      <c r="E75" s="55">
        <f>($D66*$D68)*'Essential Jul''15'!H29/100*1.1</f>
        <v>285.61500000000001</v>
      </c>
      <c r="F75" s="55">
        <f>($D66*$D68)*'Essential Jul''15'!I29/100*1.1</f>
        <v>312.64200000000005</v>
      </c>
      <c r="G75" s="55">
        <f>($D66*$D68)*'Essential Jul''15'!J29/100*1.1</f>
        <v>336.62970000000001</v>
      </c>
      <c r="H75" s="55">
        <f>($D66*$D68)*'Essential Jul''15'!K29/100*1.1</f>
        <v>323.63100000000003</v>
      </c>
      <c r="I75" s="132" t="s">
        <v>129</v>
      </c>
      <c r="J75" s="55">
        <f>($D66*$D68)*'Essential Jul''15'!M29/100*1.1</f>
        <v>282.12228000000005</v>
      </c>
      <c r="K75" s="55">
        <f>($D66*$D68)*'Essential Jul''15'!N28/100*1.1</f>
        <v>248.29200000000003</v>
      </c>
      <c r="L75" s="55">
        <f>($D66*$D68)*'Essential Jul''15'!O29/100*1.1</f>
        <v>306.108</v>
      </c>
      <c r="M75" s="55">
        <f>($D66*$D68)*'Essential Jul''15'!P29/100*1.1</f>
        <v>225.72</v>
      </c>
      <c r="N75" s="55">
        <f>($D66*$D68)*'Essential Jul''15'!Q29/100*1.1</f>
        <v>260.37</v>
      </c>
      <c r="O75" s="55">
        <f>($D66*$D68)*'Essential Jul''15'!R29/100*1.1</f>
        <v>343.43099999999998</v>
      </c>
      <c r="P75" s="55">
        <f>($D66*$D68)*'Essential Jul''15'!S29/100*1.1</f>
        <v>344.52000000000004</v>
      </c>
      <c r="Q75" s="55">
        <f>($D66*$D68)*'Essential Jul''15'!T29/100*1.1</f>
        <v>291.06000000000006</v>
      </c>
      <c r="R75" s="55">
        <f>($D66*$D68)*'Essential Jul''15'!U29/100*1.1</f>
        <v>265.71600000000001</v>
      </c>
      <c r="S75" s="36"/>
      <c r="T75" s="36"/>
    </row>
    <row r="76" spans="1:20" x14ac:dyDescent="0.3">
      <c r="A76" s="26" t="s">
        <v>134</v>
      </c>
      <c r="B76" s="104">
        <f>($D66*$D69)*'Essential Jul''15'!E30/100*1.1</f>
        <v>78.823800000000006</v>
      </c>
      <c r="C76" s="55">
        <f>($D66*$D69)*'Essential Jul''15'!F30/100*1.1</f>
        <v>91.951200000000028</v>
      </c>
      <c r="D76" s="55">
        <f>($D66*$D69)*'Essential Jul''15'!G30/100*1.1</f>
        <v>86.189400000000006</v>
      </c>
      <c r="E76" s="55">
        <f>($D66*$D69)*'Essential Jul''15'!H30/100*1.1</f>
        <v>91.713600000000014</v>
      </c>
      <c r="F76" s="55">
        <f>($D66*$D69)*'Essential Jul''15'!I30/100*1.1</f>
        <v>87.615000000000009</v>
      </c>
      <c r="G76" s="55">
        <f>($D66*$D69)*'Essential Jul''15'!J30/100*1.1</f>
        <v>93.329279999999997</v>
      </c>
      <c r="H76" s="55">
        <f>($D66*$D69)*'Essential Jul''15'!K30/100*1.1</f>
        <v>90.703800000000001</v>
      </c>
      <c r="I76" s="132" t="s">
        <v>129</v>
      </c>
      <c r="J76" s="55">
        <f>($D66*$D69)*'Essential Jul''15'!M30/100*1.1</f>
        <v>78.02605800000002</v>
      </c>
      <c r="K76" s="55">
        <f>($D66*$D69)*'Essential Jul''15'!N30/100*1.1</f>
        <v>86.13000000000001</v>
      </c>
      <c r="L76" s="55">
        <f>($D66*$D69)*'Essential Jul''15'!O30/100*1.1</f>
        <v>91.416600000000017</v>
      </c>
      <c r="M76" s="55">
        <f>($D66*$D69)*'Essential Jul''15'!P30/100*1.1</f>
        <v>86.13000000000001</v>
      </c>
      <c r="N76" s="55">
        <f>($D66*$D69)*'Essential Jul''15'!Q30/100*1.1</f>
        <v>87.317999999999998</v>
      </c>
      <c r="O76" s="55">
        <f>($D66*$D69)*'Essential Jul''15'!R30/100*1.1</f>
        <v>102.5838</v>
      </c>
      <c r="P76" s="55">
        <f>($D66*$D69)*'Essential Jul''15'!S30/100*1.1</f>
        <v>96.881399999999999</v>
      </c>
      <c r="Q76" s="55">
        <f>($D66*$D69)*'Essential Jul''15'!T30/100*1.1</f>
        <v>79.596000000000004</v>
      </c>
      <c r="R76" s="55">
        <f>($D66*$D69)*'Essential Jul''15'!U30/100*1.1</f>
        <v>86.189400000000006</v>
      </c>
      <c r="S76" s="36"/>
      <c r="T76" s="36"/>
    </row>
    <row r="77" spans="1:20" x14ac:dyDescent="0.3">
      <c r="A77" s="26" t="s">
        <v>124</v>
      </c>
      <c r="B77" s="104">
        <f>'Essential Jul''15'!E31*91/100*1.1</f>
        <v>126.54642</v>
      </c>
      <c r="C77" s="55">
        <f>'Essential Jul''15'!F31*91/100*1.1</f>
        <v>128.01788999999999</v>
      </c>
      <c r="D77" s="55">
        <f>'Essential Jul''15'!G31*91/100*1.1</f>
        <v>130.95081999999999</v>
      </c>
      <c r="E77" s="55">
        <f>'Essential Jul''15'!H31*91/100*1.1</f>
        <v>128.01788999999999</v>
      </c>
      <c r="F77" s="55">
        <f>'Essential Jul''15'!I31*91/100*1.1</f>
        <v>126.95683000000001</v>
      </c>
      <c r="G77" s="55">
        <f>'Essential Jul''15'!J31*91/100*1.1</f>
        <v>131.15001900000001</v>
      </c>
      <c r="H77" s="55">
        <f>'Essential Jul''15'!K31*91/100*1.1</f>
        <v>124.88476000000001</v>
      </c>
      <c r="I77" s="132" t="s">
        <v>129</v>
      </c>
      <c r="J77" s="55">
        <f>'Essential Jul''15'!M31*91/100*1.1</f>
        <v>120.295175</v>
      </c>
      <c r="K77" s="55">
        <f>'Essential Jul''15'!N31*91/100*1.1</f>
        <v>128.36824000000001</v>
      </c>
      <c r="L77" s="55">
        <f>'Essential Jul''15'!O31*91/100*1.1</f>
        <v>127.18706000000003</v>
      </c>
      <c r="M77" s="55">
        <f>'Essential Jul''15'!P31*91/100*1.1</f>
        <v>156.15600000000003</v>
      </c>
      <c r="N77" s="55">
        <f>'Essential Jul''15'!Q31*91/100*1.1</f>
        <v>130.02990000000003</v>
      </c>
      <c r="O77" s="55">
        <f>'Essential Jul''15'!R31*91/100*1.1</f>
        <v>124.91479000000002</v>
      </c>
      <c r="P77" s="55">
        <f>'Essential Jul''15'!S31*91/100*1.1</f>
        <v>126.02590000000001</v>
      </c>
      <c r="Q77" s="55">
        <f>'Essential Jul''15'!T31*91/100*1.1</f>
        <v>117.36725000000001</v>
      </c>
      <c r="R77" s="55">
        <f>'Essential Jul''15'!U31*91/100*1.1</f>
        <v>130.95081999999999</v>
      </c>
      <c r="S77" s="36">
        <f>AVERAGE(C77:H77,J77:R77)</f>
        <v>128.75155626666668</v>
      </c>
      <c r="T77" s="36"/>
    </row>
    <row r="78" spans="1:20" x14ac:dyDescent="0.3">
      <c r="A78" s="26" t="s">
        <v>87</v>
      </c>
      <c r="B78" s="105">
        <f>SUM(B73:B77)</f>
        <v>563.37401999999997</v>
      </c>
      <c r="C78" s="55">
        <f>SUM(C73:C77)</f>
        <v>681.92289000000005</v>
      </c>
      <c r="D78" s="55">
        <f>SUM(D73:D77)</f>
        <v>589.14262000000008</v>
      </c>
      <c r="E78" s="55">
        <f>SUM(E73:E77)</f>
        <v>619.59249</v>
      </c>
      <c r="F78" s="55">
        <f>SUM(F73:F77)</f>
        <v>652.2706300000001</v>
      </c>
      <c r="G78" s="55">
        <f t="shared" ref="G78:L78" si="15">SUM(G73:G77)</f>
        <v>695.76087900000005</v>
      </c>
      <c r="H78" s="55">
        <f t="shared" si="15"/>
        <v>668.67196000000001</v>
      </c>
      <c r="I78" s="132" t="s">
        <v>129</v>
      </c>
      <c r="J78" s="55">
        <f t="shared" si="15"/>
        <v>593.29242500000009</v>
      </c>
      <c r="K78" s="55">
        <f t="shared" si="15"/>
        <v>570.81904000000009</v>
      </c>
      <c r="L78" s="55">
        <f t="shared" si="15"/>
        <v>647.1548600000001</v>
      </c>
      <c r="M78" s="55">
        <f t="shared" ref="M78:R78" si="16">SUM(M73:M77)</f>
        <v>558.2940000000001</v>
      </c>
      <c r="N78" s="55">
        <f t="shared" si="16"/>
        <v>581.86590000000001</v>
      </c>
      <c r="O78" s="55">
        <f t="shared" si="16"/>
        <v>708.30199000000005</v>
      </c>
      <c r="P78" s="55">
        <f t="shared" si="16"/>
        <v>705.23530000000005</v>
      </c>
      <c r="Q78" s="55">
        <f>SUM(Q73:Q77)</f>
        <v>604.44725000000005</v>
      </c>
      <c r="R78" s="55">
        <f t="shared" si="16"/>
        <v>589.14262000000008</v>
      </c>
      <c r="S78" s="36">
        <f>AVERAGE(C78:H78,J78:R78)</f>
        <v>631.06099026666675</v>
      </c>
      <c r="T78" s="36"/>
    </row>
    <row r="79" spans="1:20" x14ac:dyDescent="0.3">
      <c r="A79" s="37" t="s">
        <v>121</v>
      </c>
      <c r="B79" s="100">
        <f>B78*4</f>
        <v>2253.4960799999999</v>
      </c>
      <c r="C79" s="63">
        <f>C78*4</f>
        <v>2727.6915600000002</v>
      </c>
      <c r="D79" s="63">
        <f>D78*4</f>
        <v>2356.5704800000003</v>
      </c>
      <c r="E79" s="63">
        <f>E78*4</f>
        <v>2478.36996</v>
      </c>
      <c r="F79" s="63">
        <f>F78*4</f>
        <v>2609.0825200000004</v>
      </c>
      <c r="G79" s="63">
        <f t="shared" ref="G79:L79" si="17">G78*4</f>
        <v>2783.0435160000002</v>
      </c>
      <c r="H79" s="63">
        <f t="shared" si="17"/>
        <v>2674.6878400000001</v>
      </c>
      <c r="I79" s="131" t="s">
        <v>129</v>
      </c>
      <c r="J79" s="63">
        <f t="shared" si="17"/>
        <v>2373.1697000000004</v>
      </c>
      <c r="K79" s="63">
        <f t="shared" si="17"/>
        <v>2283.2761600000003</v>
      </c>
      <c r="L79" s="63">
        <f t="shared" si="17"/>
        <v>2588.6194400000004</v>
      </c>
      <c r="M79" s="63">
        <f t="shared" ref="M79:R79" si="18">M78*4</f>
        <v>2233.1760000000004</v>
      </c>
      <c r="N79" s="63">
        <f t="shared" si="18"/>
        <v>2327.4636</v>
      </c>
      <c r="O79" s="63">
        <f t="shared" si="18"/>
        <v>2833.2079600000002</v>
      </c>
      <c r="P79" s="63">
        <f t="shared" si="18"/>
        <v>2820.9412000000002</v>
      </c>
      <c r="Q79" s="63">
        <f>Q78*4</f>
        <v>2417.7890000000002</v>
      </c>
      <c r="R79" s="63">
        <f t="shared" si="18"/>
        <v>2356.5704800000003</v>
      </c>
      <c r="S79" s="40"/>
      <c r="T79" s="40">
        <f>AVERAGE(C79:H79,J79:R79)</f>
        <v>2524.243961066667</v>
      </c>
    </row>
    <row r="80" spans="1:20" x14ac:dyDescent="0.3">
      <c r="B80" s="101"/>
    </row>
    <row r="81" spans="1:20" x14ac:dyDescent="0.3">
      <c r="A81" s="31" t="s">
        <v>125</v>
      </c>
      <c r="B81" s="103" t="s">
        <v>105</v>
      </c>
      <c r="C81" s="111" t="s">
        <v>106</v>
      </c>
      <c r="D81" s="111" t="s">
        <v>107</v>
      </c>
      <c r="E81" s="111" t="s">
        <v>108</v>
      </c>
      <c r="F81" s="58" t="s">
        <v>52</v>
      </c>
      <c r="G81" s="58" t="s">
        <v>109</v>
      </c>
      <c r="H81" s="58" t="s">
        <v>110</v>
      </c>
      <c r="I81" s="58" t="s">
        <v>111</v>
      </c>
      <c r="J81" s="58" t="s">
        <v>112</v>
      </c>
      <c r="K81" s="58" t="s">
        <v>113</v>
      </c>
      <c r="L81" s="58" t="s">
        <v>114</v>
      </c>
      <c r="M81" s="33" t="s">
        <v>50</v>
      </c>
      <c r="N81" s="33" t="s">
        <v>115</v>
      </c>
      <c r="O81" s="33" t="s">
        <v>116</v>
      </c>
      <c r="P81" s="33" t="s">
        <v>117</v>
      </c>
      <c r="Q81" s="33" t="s">
        <v>118</v>
      </c>
      <c r="R81" s="33" t="s">
        <v>119</v>
      </c>
      <c r="S81" s="34" t="s">
        <v>120</v>
      </c>
      <c r="T81" s="34" t="s">
        <v>121</v>
      </c>
    </row>
    <row r="82" spans="1:20" x14ac:dyDescent="0.3">
      <c r="A82" s="26" t="s">
        <v>132</v>
      </c>
      <c r="B82" s="104">
        <f>($D66*$D67)*'Ausgrid Jul''15'!E27/100*1.1</f>
        <v>176.76608400000001</v>
      </c>
      <c r="C82" s="55">
        <f>($D66*$D67)*'Ausgrid Jul''15'!F27/100*1.1</f>
        <v>184.02120000000002</v>
      </c>
      <c r="D82" s="55">
        <f>($D66*$D67)*'Ausgrid Jul''15'!G27/100*1.1</f>
        <v>182.1996</v>
      </c>
      <c r="E82" s="55">
        <f>($D66*$D67)*'Ausgrid Jul''15'!H27/100*1.1</f>
        <v>183.90239999999997</v>
      </c>
      <c r="F82" s="55">
        <f>($D66*$D67)*'Ausgrid Jul''15'!I27/100*1.1</f>
        <v>182.91240000000002</v>
      </c>
      <c r="G82" s="55">
        <f>($D66*$D67)*'Ausgrid Jul''15'!J27/100*1.1</f>
        <v>189.30384000000006</v>
      </c>
      <c r="H82" s="55">
        <f>($D66*$D67)*'Ausgrid Jul''15'!K27/100*1.1</f>
        <v>181.24920000000003</v>
      </c>
      <c r="I82" s="55">
        <f>($D66*$D67)*'Ausgrid Jul''15'!L27/100*1.1</f>
        <v>189.16920000000002</v>
      </c>
      <c r="J82" s="55">
        <f>($D66*$D67)*'Ausgrid Jul''15'!M27/100*1.1</f>
        <v>168.90588000000002</v>
      </c>
      <c r="K82" s="55">
        <f>IF((D66*D67)&gt;'Ausgrid Jul''15'!N26,('Ausgrid Jul''15'!N26*'Ausgrid Jul''15'!N27/100*1.1),($D66*$D67)*'Ausgrid Jul''15'!N27/100*1.1)</f>
        <v>171.90359999999998</v>
      </c>
      <c r="L82" s="55">
        <f>($D66*$D67)*'Ausgrid Jul''15'!O27/100*1.1</f>
        <v>172.61640000000003</v>
      </c>
      <c r="M82" s="55">
        <f>($D66*$D67)*'Ausgrid Jul''15'!P27/100*1.1</f>
        <v>153.41040000000004</v>
      </c>
      <c r="N82" s="55">
        <f>($D66*$D67)*'Ausgrid Jul''15'!Q27/100*1.1</f>
        <v>182.08080000000001</v>
      </c>
      <c r="O82" s="55">
        <f>($D66*$D67)*'Ausgrid Jul''15'!R27/100*1.1</f>
        <v>189.16920000000002</v>
      </c>
      <c r="P82" s="55">
        <f>($D66*$D67)*'Ausgrid Jul''15'!S27/100*1.1</f>
        <v>193.56479999999999</v>
      </c>
      <c r="Q82" s="55">
        <f>($D66*$D67)*'Ausgrid Jul''15'!T27/100*1.1</f>
        <v>164.34000000000003</v>
      </c>
      <c r="R82" s="55">
        <f>($D66*$D67)*'Ausgrid Jul''15'!U27/100*1.1</f>
        <v>182.1996</v>
      </c>
      <c r="S82" s="36"/>
      <c r="T82" s="36"/>
    </row>
    <row r="83" spans="1:20" x14ac:dyDescent="0.3">
      <c r="A83" s="26" t="s">
        <v>135</v>
      </c>
      <c r="B83" s="104">
        <v>0</v>
      </c>
      <c r="C83" s="55">
        <v>0</v>
      </c>
      <c r="D83" s="55">
        <v>0</v>
      </c>
      <c r="E83" s="55">
        <v>0</v>
      </c>
      <c r="F83" s="55">
        <v>0</v>
      </c>
      <c r="G83" s="55">
        <v>0</v>
      </c>
      <c r="H83" s="55">
        <v>0</v>
      </c>
      <c r="I83" s="55">
        <v>0</v>
      </c>
      <c r="J83" s="55">
        <v>0</v>
      </c>
      <c r="K83" s="55">
        <f>IF(($D66*$D67)&lt;='Ausgrid Jul''15'!N26,0,($D66*$D67-'Ausgrid Jul''15'!N26*'Ausgrid Jul''15'!N27/100*1.1))</f>
        <v>0</v>
      </c>
      <c r="L83" s="55">
        <v>0</v>
      </c>
      <c r="M83" s="55">
        <v>0</v>
      </c>
      <c r="N83" s="55">
        <v>0</v>
      </c>
      <c r="O83" s="55">
        <v>0</v>
      </c>
      <c r="P83" s="55">
        <v>0</v>
      </c>
      <c r="Q83" s="55">
        <v>0</v>
      </c>
      <c r="R83" s="55">
        <v>0</v>
      </c>
      <c r="S83" s="36"/>
      <c r="T83" s="36"/>
    </row>
    <row r="84" spans="1:20" x14ac:dyDescent="0.3">
      <c r="A84" s="26" t="s">
        <v>133</v>
      </c>
      <c r="B84" s="104">
        <f>($D66*$D68)*'Ausgrid Jul''15'!E29/100*1.1</f>
        <v>172.55897999999999</v>
      </c>
      <c r="C84" s="55">
        <f>($D66*$D68)*'Ausgrid Jul''15'!F29/100*1.1</f>
        <v>176.81400000000002</v>
      </c>
      <c r="D84" s="55">
        <f>($D66*$D68)*'Ausgrid Jul''15'!G29/100*1.1</f>
        <v>182.358</v>
      </c>
      <c r="E84" s="55">
        <f>($D66*$D68)*'Ausgrid Jul''15'!H29/100*1.1</f>
        <v>176.517</v>
      </c>
      <c r="F84" s="55">
        <f>($D66*$D68)*'Ausgrid Jul''15'!I29/100*1.1</f>
        <v>175.82400000000004</v>
      </c>
      <c r="G84" s="55">
        <f>($D66*$D68)*'Ausgrid Jul''15'!J29/100*1.1</f>
        <v>183.1302</v>
      </c>
      <c r="H84" s="55">
        <f>($D66*$D68)*'Ausgrid Jul''15'!K29/100*1.1</f>
        <v>176.81400000000002</v>
      </c>
      <c r="I84" s="55">
        <f>($D66*$D68)*'Ausgrid Jul''15'!L29/100*1.1</f>
        <v>196.61400000000003</v>
      </c>
      <c r="J84" s="55">
        <f>($D66*$D68)*'Ausgrid Jul''15'!M29/100*1.1</f>
        <v>176.79915</v>
      </c>
      <c r="K84" s="55">
        <f>($D66*$D68)*'Ausgrid Jul''15'!N28/100*1.1</f>
        <v>388.27800000000008</v>
      </c>
      <c r="L84" s="55">
        <f>($D66*$D68)*'Ausgrid Jul''15'!O29/100*1.1</f>
        <v>179.38800000000003</v>
      </c>
      <c r="M84" s="55">
        <f>($D66*$D68)*'Ausgrid Jul''15'!P29/100*1.1</f>
        <v>144.04499999999999</v>
      </c>
      <c r="N84" s="55">
        <f>($D66*$D68)*'Ausgrid Jul''15'!Q29/100*1.1</f>
        <v>178.59600000000003</v>
      </c>
      <c r="O84" s="55">
        <f>($D66*$D68)*'Ausgrid Jul''15'!R29/100*1.1</f>
        <v>196.61400000000003</v>
      </c>
      <c r="P84" s="55">
        <f>($D66*$D68)*'Ausgrid Jul''15'!S29/100*1.1</f>
        <v>190.37700000000001</v>
      </c>
      <c r="Q84" s="55">
        <f>($D66*$D68)*'Ausgrid Jul''15'!T29/100*1.1</f>
        <v>159.39000000000001</v>
      </c>
      <c r="R84" s="55">
        <f>($D66*$D68)*'Ausgrid Jul''15'!U29/100*1.1</f>
        <v>182.358</v>
      </c>
      <c r="S84" s="36"/>
      <c r="T84" s="36"/>
    </row>
    <row r="85" spans="1:20" x14ac:dyDescent="0.3">
      <c r="A85" s="26" t="s">
        <v>134</v>
      </c>
      <c r="B85" s="104">
        <f>($D66*$D69)*'Ausgrid Jul''15'!E30/100*1.1</f>
        <v>56.462076000000003</v>
      </c>
      <c r="C85" s="55">
        <f>($D66*$D69)*'Ausgrid Jul''15'!F30/100*1.1</f>
        <v>58.033800000000006</v>
      </c>
      <c r="D85" s="55">
        <f>($D66*$D69)*'Ausgrid Jul''15'!G30/100*1.1</f>
        <v>61.776000000000003</v>
      </c>
      <c r="E85" s="55">
        <f>($D66*$D69)*'Ausgrid Jul''15'!H30/100*1.1</f>
        <v>57.85560000000001</v>
      </c>
      <c r="F85" s="55">
        <f>($D66*$D69)*'Ausgrid Jul''15'!I30/100*1.1</f>
        <v>58.212000000000003</v>
      </c>
      <c r="G85" s="55">
        <f>($D66*$D69)*'Ausgrid Jul''15'!J30/100*1.1</f>
        <v>60.671160000000015</v>
      </c>
      <c r="H85" s="55">
        <f>($D66*$D69)*'Ausgrid Jul''15'!K30/100*1.1</f>
        <v>59.221800000000009</v>
      </c>
      <c r="I85" s="55">
        <f>($D66*$D69)*'Ausgrid Jul''15'!L30/100*1.1</f>
        <v>71.101800000000011</v>
      </c>
      <c r="J85" s="55">
        <f>($D66*$D69)*'Ausgrid Jul''15'!M30/100*1.1</f>
        <v>59.805702000000011</v>
      </c>
      <c r="K85" s="55">
        <f>($D66*$D69)*'Ausgrid Jul''15'!N30/100*1.1</f>
        <v>75.675600000000017</v>
      </c>
      <c r="L85" s="55">
        <f>($D66*$D69)*'Ausgrid Jul''15'!O30/100*1.1</f>
        <v>64.864800000000002</v>
      </c>
      <c r="M85" s="55">
        <f>($D66*$D69)*'Ausgrid Jul''15'!P30/100*1.1</f>
        <v>68.191200000000009</v>
      </c>
      <c r="N85" s="55">
        <f>($D66*$D69)*'Ausgrid Jul''15'!Q30/100*1.1</f>
        <v>62.370000000000012</v>
      </c>
      <c r="O85" s="55">
        <f>($D66*$D69)*'Ausgrid Jul''15'!R30/100*1.1</f>
        <v>71.101800000000011</v>
      </c>
      <c r="P85" s="55">
        <f>($D66*$D69)*'Ausgrid Jul''15'!S30/100*1.1</f>
        <v>63.142200000000017</v>
      </c>
      <c r="Q85" s="55">
        <f>($D66*$D69)*'Ausgrid Jul''15'!T30/100*1.1</f>
        <v>53.460000000000008</v>
      </c>
      <c r="R85" s="55">
        <f>($D66*$D69)*'Ausgrid Jul''15'!U30/100*1.1</f>
        <v>61.776000000000003</v>
      </c>
      <c r="S85" s="36"/>
      <c r="T85" s="36"/>
    </row>
    <row r="86" spans="1:20" x14ac:dyDescent="0.3">
      <c r="A86" s="26" t="s">
        <v>124</v>
      </c>
      <c r="B86" s="104">
        <f>'Ausgrid Jul''15'!E31*91/100*1.1</f>
        <v>79.327247999999997</v>
      </c>
      <c r="C86" s="55">
        <f>'Ausgrid Jul''15'!F31*91/100*1.1</f>
        <v>81.311230000000009</v>
      </c>
      <c r="D86" s="55">
        <f>'Ausgrid Jul''15'!G31*91/100*1.1</f>
        <v>82.662580000000005</v>
      </c>
      <c r="E86" s="55">
        <f>'Ausgrid Jul''15'!H31*91/100*1.1</f>
        <v>81.311230000000009</v>
      </c>
      <c r="F86" s="55">
        <f>'Ausgrid Jul''15'!I31*91/100*1.1</f>
        <v>80.610530000000011</v>
      </c>
      <c r="G86" s="55">
        <f>'Ausgrid Jul''15'!J31*91/100*1.1</f>
        <v>83.296212999999995</v>
      </c>
      <c r="H86" s="55">
        <f>'Ausgrid Jul''15'!K31*91/100*1.1</f>
        <v>79.329250000000016</v>
      </c>
      <c r="I86" s="55">
        <f>'Ausgrid Jul''15'!L31*91/100*1.1</f>
        <v>79.329250000000016</v>
      </c>
      <c r="J86" s="55">
        <f>'Ausgrid Jul''15'!M31*91/100*1.1</f>
        <v>78.997918999999996</v>
      </c>
      <c r="K86" s="55">
        <f>'Ausgrid Jul''15'!N31*91/100*1.1</f>
        <v>82.662580000000005</v>
      </c>
      <c r="L86" s="55">
        <f>'Ausgrid Jul''15'!O31*91/100*1.1</f>
        <v>79.679599999999994</v>
      </c>
      <c r="M86" s="55">
        <f>'Ausgrid Jul''15'!P31*91/100*1.1</f>
        <v>105.00490000000001</v>
      </c>
      <c r="N86" s="55">
        <f>'Ausgrid Jul''15'!Q31*91/100*1.1</f>
        <v>82.112030000000004</v>
      </c>
      <c r="O86" s="55">
        <f>'Ausgrid Jul''15'!R31*91/100*1.1</f>
        <v>79.329250000000016</v>
      </c>
      <c r="P86" s="55">
        <f>'Ausgrid Jul''15'!S31*91/100*1.1</f>
        <v>50.5505</v>
      </c>
      <c r="Q86" s="55">
        <f>'Ausgrid Jul''15'!T31*91/100*1.1</f>
        <v>76.176099999999991</v>
      </c>
      <c r="R86" s="55">
        <f>'Ausgrid Jul''15'!U31*91/100*1.1</f>
        <v>85.665580000000006</v>
      </c>
      <c r="S86" s="36">
        <f>AVERAGE(C86:R86)</f>
        <v>80.501796375000012</v>
      </c>
      <c r="T86" s="36"/>
    </row>
    <row r="87" spans="1:20" x14ac:dyDescent="0.3">
      <c r="A87" s="26" t="s">
        <v>87</v>
      </c>
      <c r="B87" s="105">
        <f>SUM(B82:B86)</f>
        <v>485.11438800000002</v>
      </c>
      <c r="C87" s="55">
        <f>SUM(C82:C86)</f>
        <v>500.18023000000005</v>
      </c>
      <c r="D87" s="55">
        <f>SUM(D82:D86)</f>
        <v>508.99617999999998</v>
      </c>
      <c r="E87" s="55">
        <f>SUM(E82:E86)</f>
        <v>499.58623</v>
      </c>
      <c r="F87" s="55">
        <f t="shared" ref="F87:L87" si="19">SUM(F82:F86)</f>
        <v>497.55893000000003</v>
      </c>
      <c r="G87" s="55">
        <f t="shared" si="19"/>
        <v>516.40141300000005</v>
      </c>
      <c r="H87" s="55">
        <f t="shared" si="19"/>
        <v>496.61425000000008</v>
      </c>
      <c r="I87" s="55">
        <f t="shared" si="19"/>
        <v>536.21425000000011</v>
      </c>
      <c r="J87" s="55">
        <f t="shared" si="19"/>
        <v>484.50865099999999</v>
      </c>
      <c r="K87" s="55">
        <f t="shared" si="19"/>
        <v>718.5197800000002</v>
      </c>
      <c r="L87" s="55">
        <f t="shared" si="19"/>
        <v>496.54880000000003</v>
      </c>
      <c r="M87" s="55">
        <f t="shared" ref="M87:R87" si="20">SUM(M82:M86)</f>
        <v>470.65150000000006</v>
      </c>
      <c r="N87" s="55">
        <f t="shared" si="20"/>
        <v>505.15883000000008</v>
      </c>
      <c r="O87" s="55">
        <f t="shared" si="20"/>
        <v>536.21425000000011</v>
      </c>
      <c r="P87" s="55">
        <f t="shared" si="20"/>
        <v>497.6345</v>
      </c>
      <c r="Q87" s="55">
        <f>SUM(Q82:Q86)</f>
        <v>453.36610000000007</v>
      </c>
      <c r="R87" s="55">
        <f t="shared" si="20"/>
        <v>511.99918000000002</v>
      </c>
      <c r="S87" s="36">
        <f>AVERAGE(C87:R87)</f>
        <v>514.3845671250001</v>
      </c>
      <c r="T87" s="36"/>
    </row>
    <row r="88" spans="1:20" x14ac:dyDescent="0.3">
      <c r="A88" s="37" t="s">
        <v>121</v>
      </c>
      <c r="B88" s="100">
        <f>B87*4</f>
        <v>1940.4575520000001</v>
      </c>
      <c r="C88" s="63">
        <f>C87*4</f>
        <v>2000.7209200000002</v>
      </c>
      <c r="D88" s="63">
        <f>D87*4</f>
        <v>2035.9847199999999</v>
      </c>
      <c r="E88" s="63">
        <f>E87*4</f>
        <v>1998.34492</v>
      </c>
      <c r="F88" s="63">
        <f t="shared" ref="F88:L88" si="21">F87*4</f>
        <v>1990.2357200000001</v>
      </c>
      <c r="G88" s="63">
        <f t="shared" si="21"/>
        <v>2065.6056520000002</v>
      </c>
      <c r="H88" s="63">
        <f t="shared" si="21"/>
        <v>1986.4570000000003</v>
      </c>
      <c r="I88" s="63">
        <f t="shared" si="21"/>
        <v>2144.8570000000004</v>
      </c>
      <c r="J88" s="63">
        <f t="shared" si="21"/>
        <v>1938.0346039999999</v>
      </c>
      <c r="K88" s="63">
        <f t="shared" si="21"/>
        <v>2874.0791200000008</v>
      </c>
      <c r="L88" s="63">
        <f t="shared" si="21"/>
        <v>1986.1952000000001</v>
      </c>
      <c r="M88" s="63">
        <f t="shared" ref="M88:R88" si="22">M87*4</f>
        <v>1882.6060000000002</v>
      </c>
      <c r="N88" s="63">
        <f t="shared" si="22"/>
        <v>2020.6353200000003</v>
      </c>
      <c r="O88" s="63">
        <f t="shared" si="22"/>
        <v>2144.8570000000004</v>
      </c>
      <c r="P88" s="63">
        <f t="shared" si="22"/>
        <v>1990.538</v>
      </c>
      <c r="Q88" s="63">
        <f>Q87*4</f>
        <v>1813.4644000000003</v>
      </c>
      <c r="R88" s="63">
        <f t="shared" si="22"/>
        <v>2047.9967200000001</v>
      </c>
      <c r="S88" s="40"/>
      <c r="T88" s="40">
        <f>AVERAGE(C88:R88)</f>
        <v>2057.5382685000004</v>
      </c>
    </row>
    <row r="89" spans="1:20" x14ac:dyDescent="0.3">
      <c r="B89" s="101"/>
    </row>
    <row r="90" spans="1:20" x14ac:dyDescent="0.3">
      <c r="A90" s="31" t="s">
        <v>136</v>
      </c>
      <c r="B90" s="103" t="s">
        <v>105</v>
      </c>
      <c r="C90" s="111" t="s">
        <v>106</v>
      </c>
      <c r="D90" s="111" t="s">
        <v>107</v>
      </c>
      <c r="E90" s="111" t="s">
        <v>108</v>
      </c>
      <c r="F90" s="58" t="s">
        <v>52</v>
      </c>
      <c r="G90" s="58" t="s">
        <v>109</v>
      </c>
      <c r="H90" s="58" t="s">
        <v>110</v>
      </c>
      <c r="I90" s="58" t="s">
        <v>111</v>
      </c>
      <c r="J90" s="58" t="s">
        <v>112</v>
      </c>
      <c r="K90" s="58" t="s">
        <v>113</v>
      </c>
      <c r="L90" s="58" t="s">
        <v>114</v>
      </c>
      <c r="M90" s="33" t="s">
        <v>50</v>
      </c>
      <c r="N90" s="33" t="s">
        <v>115</v>
      </c>
      <c r="O90" s="33" t="s">
        <v>116</v>
      </c>
      <c r="P90" s="33" t="s">
        <v>117</v>
      </c>
      <c r="Q90" s="33" t="s">
        <v>118</v>
      </c>
      <c r="R90" s="33" t="s">
        <v>119</v>
      </c>
      <c r="S90" s="34" t="s">
        <v>120</v>
      </c>
      <c r="T90" s="34" t="s">
        <v>121</v>
      </c>
    </row>
    <row r="91" spans="1:20" x14ac:dyDescent="0.3">
      <c r="A91" s="26" t="s">
        <v>132</v>
      </c>
      <c r="B91" s="104">
        <f>($D66*$D67)*'Endeavour Jul''15'!E27/100*1.1</f>
        <v>110.95920000000002</v>
      </c>
      <c r="C91" s="55">
        <f>($D66*$D67)*'Endeavour Jul''15'!F27/100*1.1</f>
        <v>119.59200000000001</v>
      </c>
      <c r="D91" s="55">
        <f>($D66*$D67)*'Endeavour Jul''15'!G27/100*1.1</f>
        <v>114.48360000000002</v>
      </c>
      <c r="E91" s="55">
        <f>($D66*$D67)*'Endeavour Jul''15'!H27/100*1.1</f>
        <v>119.47320000000002</v>
      </c>
      <c r="F91" s="55">
        <f>($D66*$D67)*'Endeavour Jul''15'!I27/100*1.1</f>
        <v>130.48200000000003</v>
      </c>
      <c r="G91" s="55">
        <f>($D66*$D67)*'Endeavour Jul''15'!J27/100*1.1</f>
        <v>139.32072000000002</v>
      </c>
      <c r="H91" s="55">
        <f>($D66*$D67)*'Endeavour Jul''15'!K27/100*1.1</f>
        <v>133.72920000000002</v>
      </c>
      <c r="I91" s="55">
        <f>($D66*$D67)*'Endeavour Jul''15'!L27/100*1.1</f>
        <v>155.81412000000003</v>
      </c>
      <c r="J91" s="55">
        <f>($D66*$D67)*'Endeavour Jul''15'!M27/100*1.1</f>
        <v>131.388048</v>
      </c>
      <c r="K91" s="55">
        <f>IF((D66*D67)&gt;'Endeavour Jul''15'!N26,('Endeavour Jul''15'!N26*'Endeavour Jul''15'!N27/100*1.1),($D66*$D67)*'Endeavour Jul''15'!N27/100*1.1)</f>
        <v>136.65960000000001</v>
      </c>
      <c r="L91" s="55">
        <f>($D66*$D67)*'Endeavour Jul''15'!O27/100*1.1</f>
        <v>127.86840000000001</v>
      </c>
      <c r="M91" s="55">
        <f>($D66*$D67)*'Endeavour Jul''15'!P27/100*1.1</f>
        <v>99.118800000000007</v>
      </c>
      <c r="N91" s="55">
        <f>($D66*$D67)*'Endeavour Jul''15'!Q27/100*1.1</f>
        <v>114.16680000000001</v>
      </c>
      <c r="O91" s="55">
        <f>($D66*$D67)*'Endeavour Jul''15'!R27/100*1.1</f>
        <v>141.64920000000004</v>
      </c>
      <c r="P91" s="55">
        <f>($D66*$D67)*'Endeavour Jul''15'!S27/100*1.1</f>
        <v>142.20359999999999</v>
      </c>
      <c r="Q91" s="55">
        <f>($D66*$D67)*'Endeavour Jul''15'!T27/100*1.1</f>
        <v>122.56200000000001</v>
      </c>
      <c r="R91" s="132" t="s">
        <v>129</v>
      </c>
      <c r="S91" s="36"/>
      <c r="T91" s="36"/>
    </row>
    <row r="92" spans="1:20" x14ac:dyDescent="0.3">
      <c r="A92" s="26" t="s">
        <v>135</v>
      </c>
      <c r="B92" s="104">
        <v>0</v>
      </c>
      <c r="C92" s="55">
        <v>0</v>
      </c>
      <c r="D92" s="55">
        <v>0</v>
      </c>
      <c r="E92" s="55">
        <v>0</v>
      </c>
      <c r="F92" s="55">
        <v>0</v>
      </c>
      <c r="G92" s="55">
        <v>0</v>
      </c>
      <c r="H92" s="55">
        <v>0</v>
      </c>
      <c r="I92" s="55">
        <v>0</v>
      </c>
      <c r="J92" s="55">
        <v>0</v>
      </c>
      <c r="K92" s="55">
        <f>IF(($D66*$D67)&lt;='Endeavour Jul''15'!N26,0,($D66*$D67-'Endeavour Jul''15'!N26*'Endeavour Jul''15'!N27/100*1.1))</f>
        <v>0</v>
      </c>
      <c r="L92" s="55">
        <v>0</v>
      </c>
      <c r="M92" s="55">
        <v>0</v>
      </c>
      <c r="N92" s="55">
        <v>0</v>
      </c>
      <c r="O92" s="55">
        <v>0</v>
      </c>
      <c r="P92" s="55">
        <v>0</v>
      </c>
      <c r="Q92" s="55">
        <v>0</v>
      </c>
      <c r="R92" s="132" t="s">
        <v>129</v>
      </c>
      <c r="S92" s="36"/>
      <c r="T92" s="36"/>
    </row>
    <row r="93" spans="1:20" x14ac:dyDescent="0.3">
      <c r="A93" s="26" t="s">
        <v>133</v>
      </c>
      <c r="B93" s="104">
        <f>($D66*$D68)*'Endeavour Jul''15'!E28/100*1.1</f>
        <v>0</v>
      </c>
      <c r="C93" s="55">
        <f>($D66*$D68)*'Endeavour Jul''15'!F28/100*1.1</f>
        <v>0</v>
      </c>
      <c r="D93" s="55">
        <f>($D66*$D68)*'Endeavour Jul''15'!G29/100*1.1</f>
        <v>233.93700000000001</v>
      </c>
      <c r="E93" s="55">
        <f>($D66*$D68)*'Endeavour Jul''15'!H29/100*1.1</f>
        <v>243.83700000000002</v>
      </c>
      <c r="F93" s="55">
        <f>($D66*$D68)*'Endeavour Jul''15'!I29/100*1.1</f>
        <v>248.49000000000004</v>
      </c>
      <c r="G93" s="55">
        <f>($D66*$D68)*'Endeavour Jul''15'!J29/100*1.1</f>
        <v>262.4391</v>
      </c>
      <c r="H93" s="55">
        <f>($D66*$D68)*'Endeavour Jul''15'!K29/100*1.1</f>
        <v>252.54900000000004</v>
      </c>
      <c r="I93" s="55">
        <f>($D66*$D68)*'Endeavour Jul''15'!L29/100*1.1</f>
        <v>299.58390000000003</v>
      </c>
      <c r="J93" s="55">
        <f>($D66*$D68)*'Endeavour Jul''15'!M29/100*1.1</f>
        <v>226.98027000000002</v>
      </c>
      <c r="K93" s="55">
        <f>($D66*$D68)*'Endeavour Jul''15'!N28/100*1.1</f>
        <v>265.32</v>
      </c>
      <c r="L93" s="55">
        <f>($D66*$D68)*'Endeavour Jul''15'!O29/100*1.1</f>
        <v>245.81700000000001</v>
      </c>
      <c r="M93" s="55">
        <f>($D66*$D68)*'Endeavour Jul''15'!P29/100*1.1</f>
        <v>196.02</v>
      </c>
      <c r="N93" s="55">
        <f>($D66*$D68)*'Endeavour Jul''15'!Q29/100*1.1</f>
        <v>229.68000000000004</v>
      </c>
      <c r="O93" s="55">
        <f>($D66*$D68)*'Endeavour Jul''15'!R29/100*1.1</f>
        <v>272.34900000000005</v>
      </c>
      <c r="P93" s="55">
        <f>($D66*$D68)*'Endeavour Jul''15'!S29/100*1.1</f>
        <v>269.28000000000003</v>
      </c>
      <c r="Q93" s="55">
        <f>($D66*$D68)*'Endeavour Jul''15'!T29/100*1.1</f>
        <v>231.66000000000003</v>
      </c>
      <c r="R93" s="132" t="s">
        <v>129</v>
      </c>
      <c r="S93" s="36"/>
      <c r="T93" s="36"/>
    </row>
    <row r="94" spans="1:20" x14ac:dyDescent="0.3">
      <c r="A94" s="26" t="s">
        <v>134</v>
      </c>
      <c r="B94" s="104">
        <f>($D66*$D69)*'Endeavour Jul''15'!E30/100*1.1</f>
        <v>67.716000000000008</v>
      </c>
      <c r="C94" s="55">
        <f>($D66*$D69)*'Endeavour Jul''15'!F30/100*1.1</f>
        <v>69.379199999999997</v>
      </c>
      <c r="D94" s="55">
        <f>($D66*$D69)*'Endeavour Jul''15'!G30/100*1.1</f>
        <v>71.517600000000002</v>
      </c>
      <c r="E94" s="55">
        <f>($D66*$D69)*'Endeavour Jul''15'!H30/100*1.1</f>
        <v>69.201000000000008</v>
      </c>
      <c r="F94" s="55">
        <f>($D66*$D69)*'Endeavour Jul''15'!I30/100*1.1</f>
        <v>70.091999999999999</v>
      </c>
      <c r="G94" s="55">
        <f>($D66*$D69)*'Endeavour Jul''15'!J30/100*1.1</f>
        <v>72.450180000000003</v>
      </c>
      <c r="H94" s="55">
        <f>($D66*$D69)*'Endeavour Jul''15'!K30/100*1.1</f>
        <v>70.567200000000014</v>
      </c>
      <c r="I94" s="55">
        <f>($D66*$D69)*'Endeavour Jul''15'!L30/100*1.1</f>
        <v>90.691920000000025</v>
      </c>
      <c r="J94" s="55">
        <f>($D66*$D69)*'Endeavour Jul''15'!M30/100*1.1</f>
        <v>69.708276000000012</v>
      </c>
      <c r="K94" s="55">
        <f>($D66*$D69)*'Endeavour Jul''15'!N30/100*1.1</f>
        <v>87.555600000000013</v>
      </c>
      <c r="L94" s="55">
        <f>($D66*$D69)*'Endeavour Jul''15'!O30/100*1.1</f>
        <v>74.428200000000004</v>
      </c>
      <c r="M94" s="55">
        <f>($D66*$D69)*'Endeavour Jul''15'!P30/100*1.1</f>
        <v>87.85260000000001</v>
      </c>
      <c r="N94" s="55">
        <f>($D66*$D69)*'Endeavour Jul''15'!Q30/100*1.1</f>
        <v>74.25</v>
      </c>
      <c r="O94" s="55">
        <f>($D66*$D69)*'Endeavour Jul''15'!R30/100*1.1</f>
        <v>82.447200000000024</v>
      </c>
      <c r="P94" s="55">
        <f>($D66*$D69)*'Endeavour Jul''15'!S30/100*1.1</f>
        <v>75.081600000000009</v>
      </c>
      <c r="Q94" s="55">
        <f>($D66*$D69)*'Endeavour Jul''15'!T30/100*1.1</f>
        <v>64.152000000000001</v>
      </c>
      <c r="R94" s="132" t="s">
        <v>129</v>
      </c>
      <c r="S94" s="36"/>
      <c r="T94" s="36"/>
    </row>
    <row r="95" spans="1:20" x14ac:dyDescent="0.3">
      <c r="A95" s="26" t="s">
        <v>124</v>
      </c>
      <c r="B95" s="104">
        <f>'Endeavour Jul''15'!E31*91/100*1.1</f>
        <v>91.281189999999995</v>
      </c>
      <c r="C95" s="55">
        <f>'Endeavour Jul''15'!F31*91/100*1.1</f>
        <v>92.212120000000013</v>
      </c>
      <c r="D95" s="55">
        <f>'Endeavour Jul''15'!G31*91/100*1.1</f>
        <v>94.514420000000001</v>
      </c>
      <c r="E95" s="55">
        <f>'Endeavour Jul''15'!H31*91/100*1.1</f>
        <v>92.212120000000013</v>
      </c>
      <c r="F95" s="55">
        <f>'Endeavour Jul''15'!I31*91/100*1.1</f>
        <v>91.321230000000014</v>
      </c>
      <c r="G95" s="55">
        <f>'Endeavour Jul''15'!J31*91/100*1.1</f>
        <v>94.468373999999997</v>
      </c>
      <c r="H95" s="55">
        <f>'Endeavour Jul''15'!K31*91/100*1.1</f>
        <v>89.939850000000007</v>
      </c>
      <c r="I95" s="55">
        <f>'Endeavour Jul''15'!L31*91/100*1.1</f>
        <v>98.966867999999991</v>
      </c>
      <c r="J95" s="55">
        <f>'Endeavour Jul''15'!M31*91/100*1.1</f>
        <v>93.098005000000015</v>
      </c>
      <c r="K95" s="55">
        <f>'Endeavour Jul''15'!N31*91/100*1.1</f>
        <v>88.988900000000015</v>
      </c>
      <c r="L95" s="55">
        <f>'Endeavour Jul''15'!O31*91/100*1.1</f>
        <v>80.50042000000002</v>
      </c>
      <c r="M95" s="55">
        <f>'Endeavour Jul''15'!P31*91/100*1.1</f>
        <v>120.12000000000002</v>
      </c>
      <c r="N95" s="55">
        <f>'Endeavour Jul''15'!Q31*91/100*1.1</f>
        <v>93.993900000000011</v>
      </c>
      <c r="O95" s="55">
        <f>'Endeavour Jul''15'!R31*91/100*1.1</f>
        <v>69.949880000000007</v>
      </c>
      <c r="P95" s="55">
        <f>'Endeavour Jul''15'!S31*91/100*1.1</f>
        <v>91.091000000000008</v>
      </c>
      <c r="Q95" s="55">
        <f>'Endeavour Jul''15'!T31*91/100*1.1</f>
        <v>90.390299999999996</v>
      </c>
      <c r="R95" s="132" t="s">
        <v>129</v>
      </c>
      <c r="S95" s="36">
        <f>AVERAGE(C95:Q95)</f>
        <v>92.11782580000002</v>
      </c>
      <c r="T95" s="36"/>
    </row>
    <row r="96" spans="1:20" x14ac:dyDescent="0.3">
      <c r="A96" s="26" t="s">
        <v>87</v>
      </c>
      <c r="B96" s="105">
        <f>SUM(B91:B95)</f>
        <v>269.95639</v>
      </c>
      <c r="C96" s="55">
        <f>SUM(C91:C95)</f>
        <v>281.18332000000004</v>
      </c>
      <c r="D96" s="55">
        <f>SUM(D91:D95)</f>
        <v>514.45262000000002</v>
      </c>
      <c r="E96" s="55">
        <f>SUM(E91:E95)</f>
        <v>524.72332000000006</v>
      </c>
      <c r="F96" s="55">
        <f t="shared" ref="F96:L96" si="23">SUM(F91:F95)</f>
        <v>540.38523000000009</v>
      </c>
      <c r="G96" s="55">
        <f t="shared" si="23"/>
        <v>568.67837399999996</v>
      </c>
      <c r="H96" s="55">
        <f t="shared" si="23"/>
        <v>546.78525000000013</v>
      </c>
      <c r="I96" s="55">
        <f t="shared" si="23"/>
        <v>645.05680800000005</v>
      </c>
      <c r="J96" s="55">
        <f t="shared" si="23"/>
        <v>521.17459900000006</v>
      </c>
      <c r="K96" s="55">
        <f t="shared" si="23"/>
        <v>578.52410000000009</v>
      </c>
      <c r="L96" s="55">
        <f t="shared" si="23"/>
        <v>528.61401999999998</v>
      </c>
      <c r="M96" s="55">
        <f>SUM(M91:M95)</f>
        <v>503.1114</v>
      </c>
      <c r="N96" s="55">
        <f>SUM(N91:N95)</f>
        <v>512.09070000000008</v>
      </c>
      <c r="O96" s="55">
        <f>SUM(O91:O95)</f>
        <v>566.39528000000018</v>
      </c>
      <c r="P96" s="55">
        <f>SUM(P91:P95)</f>
        <v>577.65620000000001</v>
      </c>
      <c r="Q96" s="55">
        <f>SUM(Q91:Q95)</f>
        <v>508.76430000000005</v>
      </c>
      <c r="R96" s="132" t="s">
        <v>129</v>
      </c>
      <c r="S96" s="36">
        <f>AVERAGE(C96:Q96)</f>
        <v>527.83970140000008</v>
      </c>
      <c r="T96" s="36"/>
    </row>
    <row r="97" spans="1:20" x14ac:dyDescent="0.3">
      <c r="A97" s="37" t="s">
        <v>121</v>
      </c>
      <c r="B97" s="100">
        <f>B96*4</f>
        <v>1079.82556</v>
      </c>
      <c r="C97" s="63">
        <f>C96*4</f>
        <v>1124.7332800000001</v>
      </c>
      <c r="D97" s="63">
        <f>D96*4</f>
        <v>2057.8104800000001</v>
      </c>
      <c r="E97" s="63">
        <f>E96*4</f>
        <v>2098.8932800000002</v>
      </c>
      <c r="F97" s="63">
        <f t="shared" ref="F97:L97" si="24">F96*4</f>
        <v>2161.5409200000004</v>
      </c>
      <c r="G97" s="63">
        <f t="shared" si="24"/>
        <v>2274.7134959999999</v>
      </c>
      <c r="H97" s="63">
        <f t="shared" si="24"/>
        <v>2187.1410000000005</v>
      </c>
      <c r="I97" s="63">
        <f t="shared" si="24"/>
        <v>2580.2272320000002</v>
      </c>
      <c r="J97" s="63">
        <f t="shared" si="24"/>
        <v>2084.6983960000002</v>
      </c>
      <c r="K97" s="63">
        <f t="shared" si="24"/>
        <v>2314.0964000000004</v>
      </c>
      <c r="L97" s="63">
        <f t="shared" si="24"/>
        <v>2114.4560799999999</v>
      </c>
      <c r="M97" s="63">
        <f>M96*4</f>
        <v>2012.4456</v>
      </c>
      <c r="N97" s="63">
        <f>N96*4</f>
        <v>2048.3628000000003</v>
      </c>
      <c r="O97" s="63">
        <f>O96*4</f>
        <v>2265.5811200000007</v>
      </c>
      <c r="P97" s="63">
        <f>P96*4</f>
        <v>2310.6248000000001</v>
      </c>
      <c r="Q97" s="63">
        <f>Q96*4</f>
        <v>2035.0572000000002</v>
      </c>
      <c r="R97" s="131" t="s">
        <v>129</v>
      </c>
      <c r="S97" s="40"/>
      <c r="T97" s="40">
        <f>AVERAGE(C97:Q97)</f>
        <v>2111.3588056000003</v>
      </c>
    </row>
  </sheetData>
  <sheetProtection algorithmName="SHA-512" hashValue="Mf5/MS2pmthEijmyzoRmKxC9fDQMbnUKN6JsDb6ZA0FE4NMs1TmryFOO9g4BgKe5wDZ1bCDHismTmcWZTfUq5A==" saltValue="q1TSzWy38HfzVDe3BpHLTg==" spinCount="100000" sheet="1" objects="1" scenarios="1"/>
  <phoneticPr fontId="5" type="noConversion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8"/>
  <dimension ref="A1:O94"/>
  <sheetViews>
    <sheetView workbookViewId="0">
      <selection activeCell="D42" sqref="D42"/>
    </sheetView>
  </sheetViews>
  <sheetFormatPr defaultColWidth="10.84375" defaultRowHeight="13.5" x14ac:dyDescent="0.3"/>
  <cols>
    <col min="1" max="1" width="14.15234375" style="26" customWidth="1"/>
    <col min="2" max="2" width="12.15234375" style="26" customWidth="1"/>
    <col min="3" max="3" width="13.4609375" style="26" customWidth="1"/>
    <col min="4" max="15" width="12.15234375" style="26" customWidth="1"/>
    <col min="16" max="16384" width="10.84375" style="26"/>
  </cols>
  <sheetData>
    <row r="1" spans="1:15" x14ac:dyDescent="0.3">
      <c r="A1" s="25" t="s">
        <v>102</v>
      </c>
    </row>
    <row r="2" spans="1:15" x14ac:dyDescent="0.3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</row>
    <row r="3" spans="1:15" x14ac:dyDescent="0.3">
      <c r="A3" s="28" t="s">
        <v>137</v>
      </c>
    </row>
    <row r="4" spans="1:15" x14ac:dyDescent="0.3">
      <c r="G4" s="64"/>
    </row>
    <row r="5" spans="1:15" x14ac:dyDescent="0.3">
      <c r="A5" s="29" t="s">
        <v>78</v>
      </c>
      <c r="B5" s="30" t="s">
        <v>79</v>
      </c>
      <c r="D5" s="46">
        <v>1800</v>
      </c>
      <c r="G5" s="64"/>
      <c r="H5" s="64"/>
    </row>
    <row r="6" spans="1:15" x14ac:dyDescent="0.3">
      <c r="A6" s="29"/>
      <c r="C6" s="30"/>
    </row>
    <row r="8" spans="1:15" x14ac:dyDescent="0.3">
      <c r="A8" s="31" t="s">
        <v>104</v>
      </c>
      <c r="B8" s="103" t="s">
        <v>105</v>
      </c>
      <c r="C8" s="111" t="s">
        <v>106</v>
      </c>
      <c r="D8" s="111" t="s">
        <v>107</v>
      </c>
      <c r="E8" s="111" t="s">
        <v>108</v>
      </c>
      <c r="F8" s="58" t="s">
        <v>52</v>
      </c>
      <c r="G8" s="58" t="s">
        <v>109</v>
      </c>
      <c r="H8" s="58" t="s">
        <v>110</v>
      </c>
      <c r="I8" s="58" t="s">
        <v>111</v>
      </c>
      <c r="J8" s="58" t="s">
        <v>112</v>
      </c>
      <c r="K8" s="58" t="s">
        <v>113</v>
      </c>
      <c r="L8" s="58" t="s">
        <v>114</v>
      </c>
      <c r="M8" s="58" t="s">
        <v>119</v>
      </c>
      <c r="N8" s="34" t="s">
        <v>120</v>
      </c>
      <c r="O8" s="34" t="s">
        <v>121</v>
      </c>
    </row>
    <row r="9" spans="1:15" x14ac:dyDescent="0.3">
      <c r="A9" s="26" t="s">
        <v>122</v>
      </c>
      <c r="B9" s="104">
        <f>$D5*'Essential Jul''14'!E9/100</f>
        <v>593.01</v>
      </c>
      <c r="C9" s="54">
        <f>$D5*'Essential Jul''14'!F9/100</f>
        <v>631.22399999999993</v>
      </c>
      <c r="D9" s="54">
        <f>$D5*'Essential Jul''14'!G9/100</f>
        <v>610.43399999999997</v>
      </c>
      <c r="E9" s="54">
        <f>$D5*'Essential Jul''14'!H9/100</f>
        <v>631.22399999999993</v>
      </c>
      <c r="F9" s="54">
        <f>$D5*'Essential Jul''14'!I9/100</f>
        <v>555.98400000000004</v>
      </c>
      <c r="G9" s="54">
        <f>$D5*'Essential Jul''14'!J9/100</f>
        <v>646.78679999999997</v>
      </c>
      <c r="H9" s="54">
        <f>$D5*'Essential Jul''14'!K9/100</f>
        <v>615.97799999999995</v>
      </c>
      <c r="I9" s="54">
        <f>$D5*'Essential Jul''14'!L9/100</f>
        <v>615.97799999999995</v>
      </c>
      <c r="J9" s="54">
        <f>$D5*'Essential Jul''14'!M9/100</f>
        <v>633.84551999999996</v>
      </c>
      <c r="K9" s="54">
        <f>$D5*'Essential Jul''14'!N9/100</f>
        <v>615.97799999999995</v>
      </c>
      <c r="L9" s="54">
        <f>$D5*'Essential Jul''14'!O9/100</f>
        <v>615.97799999999995</v>
      </c>
      <c r="M9" s="132" t="s">
        <v>129</v>
      </c>
      <c r="N9" s="36"/>
      <c r="O9" s="36"/>
    </row>
    <row r="10" spans="1:15" x14ac:dyDescent="0.3">
      <c r="A10" s="26" t="s">
        <v>123</v>
      </c>
      <c r="B10" s="10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132" t="s">
        <v>129</v>
      </c>
      <c r="N10" s="36"/>
      <c r="O10" s="36"/>
    </row>
    <row r="11" spans="1:15" x14ac:dyDescent="0.3">
      <c r="A11" s="26" t="s">
        <v>86</v>
      </c>
      <c r="B11" s="10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132" t="s">
        <v>129</v>
      </c>
      <c r="N11" s="36"/>
      <c r="O11" s="36"/>
    </row>
    <row r="12" spans="1:15" x14ac:dyDescent="0.3">
      <c r="A12" s="26" t="s">
        <v>124</v>
      </c>
      <c r="B12" s="104">
        <f>'Essential Jul''14'!E12*91/100</f>
        <v>123.04292</v>
      </c>
      <c r="C12" s="54">
        <f>'Essential Jul''14'!F12*91/100</f>
        <v>128.02789999999999</v>
      </c>
      <c r="D12" s="54">
        <f>'Essential Jul''14'!G12*91/100</f>
        <v>126.96683999999999</v>
      </c>
      <c r="E12" s="54">
        <f>'Essential Jul''14'!H12*91/100</f>
        <v>128.02789999999999</v>
      </c>
      <c r="F12" s="54">
        <f>'Essential Jul''14'!I12*91/100</f>
        <v>126.96683999999999</v>
      </c>
      <c r="G12" s="54">
        <f>'Essential Jul''14'!J12*91/100</f>
        <v>131.16103000000001</v>
      </c>
      <c r="H12" s="54">
        <f>'Essential Jul''14'!K12*91/100</f>
        <v>124.91479000000001</v>
      </c>
      <c r="I12" s="54">
        <f>'Essential Jul''14'!L12*91/100</f>
        <v>124.91479000000001</v>
      </c>
      <c r="J12" s="54">
        <f>'Essential Jul''14'!M12*91/100</f>
        <v>136.09596000000002</v>
      </c>
      <c r="K12" s="54">
        <f>'Essential Jul''14'!N12*91/100</f>
        <v>124.91479000000001</v>
      </c>
      <c r="L12" s="54">
        <f>'Essential Jul''14'!O12*91/100</f>
        <v>129.63951</v>
      </c>
      <c r="M12" s="132" t="s">
        <v>129</v>
      </c>
      <c r="N12" s="36">
        <f>AVERAGE(C12:L12)</f>
        <v>128.16303500000001</v>
      </c>
      <c r="O12" s="36"/>
    </row>
    <row r="13" spans="1:15" x14ac:dyDescent="0.3">
      <c r="A13" s="26" t="s">
        <v>87</v>
      </c>
      <c r="B13" s="105">
        <f>SUM(B9:B12)</f>
        <v>716.05291999999997</v>
      </c>
      <c r="C13" s="54">
        <f>SUM(C9:C12)</f>
        <v>759.25189999999998</v>
      </c>
      <c r="D13" s="54">
        <f>SUM(D9:D12)</f>
        <v>737.40084000000002</v>
      </c>
      <c r="E13" s="54">
        <f>SUM(E9:E12)</f>
        <v>759.25189999999998</v>
      </c>
      <c r="F13" s="54">
        <f t="shared" ref="F13:L13" si="0">SUM(F9:F12)</f>
        <v>682.95083999999997</v>
      </c>
      <c r="G13" s="54">
        <f t="shared" si="0"/>
        <v>777.94782999999995</v>
      </c>
      <c r="H13" s="54">
        <f t="shared" si="0"/>
        <v>740.89278999999999</v>
      </c>
      <c r="I13" s="54">
        <f t="shared" si="0"/>
        <v>740.89278999999999</v>
      </c>
      <c r="J13" s="54">
        <f t="shared" si="0"/>
        <v>769.94147999999996</v>
      </c>
      <c r="K13" s="54">
        <f t="shared" si="0"/>
        <v>740.89278999999999</v>
      </c>
      <c r="L13" s="54">
        <f t="shared" si="0"/>
        <v>745.61750999999992</v>
      </c>
      <c r="M13" s="132" t="s">
        <v>129</v>
      </c>
      <c r="N13" s="36">
        <f>AVERAGE(C13:L13)</f>
        <v>745.50406700000008</v>
      </c>
      <c r="O13" s="36"/>
    </row>
    <row r="14" spans="1:15" x14ac:dyDescent="0.3">
      <c r="A14" s="37" t="s">
        <v>121</v>
      </c>
      <c r="B14" s="100">
        <f>B13*4</f>
        <v>2864.2116799999999</v>
      </c>
      <c r="C14" s="63">
        <f>C13*4</f>
        <v>3037.0075999999999</v>
      </c>
      <c r="D14" s="63">
        <f>D13*4</f>
        <v>2949.6033600000001</v>
      </c>
      <c r="E14" s="63">
        <f>E13*4</f>
        <v>3037.0075999999999</v>
      </c>
      <c r="F14" s="63">
        <f t="shared" ref="F14:L14" si="1">F13*4</f>
        <v>2731.8033599999999</v>
      </c>
      <c r="G14" s="63">
        <f t="shared" si="1"/>
        <v>3111.7913199999998</v>
      </c>
      <c r="H14" s="63">
        <f t="shared" si="1"/>
        <v>2963.57116</v>
      </c>
      <c r="I14" s="63">
        <f t="shared" si="1"/>
        <v>2963.57116</v>
      </c>
      <c r="J14" s="63">
        <f t="shared" si="1"/>
        <v>3079.7659199999998</v>
      </c>
      <c r="K14" s="63">
        <f t="shared" si="1"/>
        <v>2963.57116</v>
      </c>
      <c r="L14" s="63">
        <f t="shared" si="1"/>
        <v>2982.4700399999997</v>
      </c>
      <c r="M14" s="131" t="s">
        <v>129</v>
      </c>
      <c r="N14" s="40"/>
      <c r="O14" s="40">
        <f>AVERAGE(C14:L14)</f>
        <v>2982.0162680000003</v>
      </c>
    </row>
    <row r="15" spans="1:15" x14ac:dyDescent="0.3">
      <c r="B15" s="101"/>
      <c r="N15" s="41"/>
      <c r="O15" s="41"/>
    </row>
    <row r="16" spans="1:15" x14ac:dyDescent="0.3">
      <c r="A16" s="31" t="s">
        <v>125</v>
      </c>
      <c r="B16" s="103" t="s">
        <v>105</v>
      </c>
      <c r="C16" s="111" t="s">
        <v>106</v>
      </c>
      <c r="D16" s="111" t="s">
        <v>107</v>
      </c>
      <c r="E16" s="111" t="s">
        <v>108</v>
      </c>
      <c r="F16" s="58" t="s">
        <v>52</v>
      </c>
      <c r="G16" s="58" t="s">
        <v>109</v>
      </c>
      <c r="H16" s="58" t="s">
        <v>110</v>
      </c>
      <c r="I16" s="58" t="s">
        <v>111</v>
      </c>
      <c r="J16" s="58" t="s">
        <v>112</v>
      </c>
      <c r="K16" s="58" t="s">
        <v>113</v>
      </c>
      <c r="L16" s="58" t="s">
        <v>114</v>
      </c>
      <c r="M16" s="58" t="s">
        <v>119</v>
      </c>
      <c r="N16" s="34" t="s">
        <v>120</v>
      </c>
      <c r="O16" s="34" t="s">
        <v>121</v>
      </c>
    </row>
    <row r="17" spans="1:15" x14ac:dyDescent="0.3">
      <c r="A17" s="26" t="s">
        <v>122</v>
      </c>
      <c r="B17" s="104">
        <f>IF($D5&gt;'Ausgrid Jul''14'!E7,'Ausgrid Jul''14'!E7*'Ausgrid Jul''14'!E9/100,'Bills Jul''14'!$D5*'Ausgrid Jul''14'!E9/100)</f>
        <v>267.3</v>
      </c>
      <c r="C17" s="54">
        <f>IF($D5&gt;'Ausgrid Jul''14'!F7,'Ausgrid Jul''14'!F7*'Ausgrid Jul''14'!F9/100,'Bills Jul''14'!$D5*'Ausgrid Jul''14'!F9/100)</f>
        <v>280.72000000000003</v>
      </c>
      <c r="D17" s="54">
        <f>IF($D5&gt;'Ausgrid Jul''14'!G7,'Ausgrid Jul''14'!G7*'Ausgrid Jul''14'!G9/100,'Bills Jul''14'!$D5*'Ausgrid Jul''14'!G9/100)</f>
        <v>277.08999999999997</v>
      </c>
      <c r="E17" s="54">
        <f>IF($D5&gt;'Ausgrid Jul''14'!H7,'Ausgrid Jul''14'!H7*'Ausgrid Jul''14'!H9/100,'Bills Jul''14'!$D5*'Ausgrid Jul''14'!H9/100)</f>
        <v>513.01250000000005</v>
      </c>
      <c r="F17" s="54">
        <f>IF($D5&gt;'Ausgrid Jul''14'!I7,'Ausgrid Jul''14'!I7*'Ausgrid Jul''14'!I9/100,'Bills Jul''14'!$D5*'Ausgrid Jul''14'!I9/100)</f>
        <v>247.61</v>
      </c>
      <c r="G17" s="54">
        <f>IF($D5&gt;'Ausgrid Jul''14'!J7,'Ausgrid Jul''14'!J7*'Ausgrid Jul''14'!J9/100,'Bills Jul''14'!$D5*'Ausgrid Jul''14'!J9/100)</f>
        <v>287.59500000000003</v>
      </c>
      <c r="H17" s="54">
        <f>IF($D5&gt;'Ausgrid Jul''14'!K7,'Ausgrid Jul''14'!K7*'Ausgrid Jul''14'!K9/100,'Bills Jul''14'!$D5*'Ausgrid Jul''14'!K9/100)</f>
        <v>273.89999999999998</v>
      </c>
      <c r="I17" s="54">
        <f>IF($D5&gt;'Ausgrid Jul''14'!L7,'Ausgrid Jul''14'!L7*'Ausgrid Jul''14'!L9/100,'Bills Jul''14'!$D5*'Ausgrid Jul''14'!L9/100)</f>
        <v>273.89999999999998</v>
      </c>
      <c r="J17" s="54">
        <f>IF($D5&gt;'Ausgrid Jul''14'!M7,'Ausgrid Jul''14'!M7*'Ausgrid Jul''14'!M9/100,'Bills Jul''14'!$D5*'Ausgrid Jul''14'!M9/100)</f>
        <v>285.54900000000004</v>
      </c>
      <c r="K17" s="54">
        <f>IF($D5&gt;'Ausgrid Jul''14'!N7,'Ausgrid Jul''14'!N7*'Ausgrid Jul''14'!N9/100,'Bills Jul''14'!$D5*'Ausgrid Jul''14'!N9/100)</f>
        <v>273.89999999999998</v>
      </c>
      <c r="L17" s="54">
        <f>IF($D5&gt;'Ausgrid Jul''14'!O7,'Ausgrid Jul''14'!O7*'Ausgrid Jul''14'!O9/100,'Bills Jul''14'!$D5*'Ausgrid Jul''14'!O9/100)</f>
        <v>0</v>
      </c>
      <c r="M17" s="54">
        <f>IF($D5&gt;'Ausgrid Jul''14'!P7,'Ausgrid Jul''14'!P7*'Ausgrid Jul''14'!P9/100,'Bills Jul''14'!$D5*'Ausgrid Jul''14'!P9/100)</f>
        <v>277.08999999999997</v>
      </c>
      <c r="N17" s="36"/>
      <c r="O17" s="36"/>
    </row>
    <row r="18" spans="1:15" x14ac:dyDescent="0.3">
      <c r="A18" s="26" t="s">
        <v>123</v>
      </c>
      <c r="B18" s="104">
        <f>IF($D5&lt;='Ausgrid Jul''14'!E7,0,IF('Bills Jul''14'!$D5&gt;'Ausgrid Jul''14'!E7,('Bills Jul''14'!$D5-'Ausgrid Jul''14'!E7)*'Ausgrid Jul''14'!E10/100))</f>
        <v>215.6</v>
      </c>
      <c r="C18" s="54">
        <f>IF($D5&lt;='Ausgrid Jul''14'!F7,0,IF('Bills Jul''14'!$D5&gt;'Ausgrid Jul''14'!F7,('Bills Jul''14'!$D5-'Ausgrid Jul''14'!F7)*'Ausgrid Jul''14'!F10/100))</f>
        <v>237.864</v>
      </c>
      <c r="D18" s="54">
        <f>IF($D5&lt;='Ausgrid Jul''14'!G7,0,IF('Bills Jul''14'!$D5&gt;'Ausgrid Jul''14'!G7,('Bills Jul''14'!$D5-'Ausgrid Jul''14'!G7)*'Ausgrid Jul''14'!G10/100))</f>
        <v>221.93600000000004</v>
      </c>
      <c r="E18" s="54">
        <v>0</v>
      </c>
      <c r="F18" s="54">
        <f>IF($D5&lt;='Ausgrid Jul''14'!I7,0,IF('Bills Jul''14'!$D5&gt;'Ausgrid Jul''14'!I7,('Bills Jul''14'!$D5-'Ausgrid Jul''14'!I7)*'Ausgrid Jul''14'!I10/100))</f>
        <v>199.14400000000001</v>
      </c>
      <c r="G18" s="54">
        <f>IF($D5&lt;='Ausgrid Jul''14'!J7,0,IF('Bills Jul''14'!$D5&gt;'Ausgrid Jul''14'!J7,('Bills Jul''14'!$D5-'Ausgrid Jul''14'!J7)*'Ausgrid Jul''14'!J10/100))</f>
        <v>243.75120000000004</v>
      </c>
      <c r="H18" s="54">
        <f>IF($D5&lt;='Ausgrid Jul''14'!K7,0,IF('Bills Jul''14'!$D5&gt;'Ausgrid Jul''14'!K7,('Bills Jul''14'!$D5-'Ausgrid Jul''14'!K7)*'Ausgrid Jul''14'!K10/100))</f>
        <v>232.14400000000001</v>
      </c>
      <c r="I18" s="54">
        <f>IF($D5&lt;='Ausgrid Jul''14'!L7,0,IF('Bills Jul''14'!$D5&gt;'Ausgrid Jul''14'!L7,('Bills Jul''14'!$D5-'Ausgrid Jul''14'!L7)*'Ausgrid Jul''14'!L10/100))</f>
        <v>232.14400000000001</v>
      </c>
      <c r="J18" s="54">
        <f>IF($D5&lt;='Ausgrid Jul''14'!M7,0,IF('Bills Jul''14'!$D5&gt;'Ausgrid Jul''14'!M7,('Bills Jul''14'!$D5-'Ausgrid Jul''14'!M7)*'Ausgrid Jul''14'!M10/100))</f>
        <v>229.33680000000001</v>
      </c>
      <c r="K18" s="54">
        <f>IF($D5&lt;='Ausgrid Jul''14'!N7,0,IF('Bills Jul''14'!$D5&gt;'Ausgrid Jul''14'!N7,('Bills Jul''14'!$D5-'Ausgrid Jul''14'!N7)*'Ausgrid Jul''14'!N10/100))</f>
        <v>232.14400000000001</v>
      </c>
      <c r="L18" s="54">
        <f>IF($D5&lt;='Ausgrid Jul''14'!O7,0,IF('Bills Jul''14'!$D5&gt;'Ausgrid Jul''14'!O7,('Bills Jul''14'!$D5-'Ausgrid Jul''14'!O7)*'Ausgrid Jul''14'!O10/100))</f>
        <v>0</v>
      </c>
      <c r="M18" s="54">
        <f>IF($D5&lt;='Ausgrid Jul''14'!P7,0,IF('Bills Jul''14'!$D5&gt;'Ausgrid Jul''14'!P7,('Bills Jul''14'!$D5-'Ausgrid Jul''14'!P7)*'Ausgrid Jul''14'!P10/100))</f>
        <v>221.93600000000004</v>
      </c>
      <c r="N18" s="36"/>
      <c r="O18" s="36"/>
    </row>
    <row r="19" spans="1:15" x14ac:dyDescent="0.3">
      <c r="A19" s="26" t="s">
        <v>86</v>
      </c>
      <c r="B19" s="104">
        <f>IF(($D5&lt;'Ausgrid Jul''14'!E7+'Ausgrid Jul''14'!E8),(0),('Bills Jul''14'!$D5-2000)*'Ausgrid Jul''14'!E11/100)</f>
        <v>0</v>
      </c>
      <c r="C19" s="54">
        <f>IF(($D5&lt;'Ausgrid Jul''14'!F7+'Ausgrid Jul''14'!F8),(0),('Bills Jul''14'!$D5-2000)*'Ausgrid Jul''14'!F11/100)</f>
        <v>0</v>
      </c>
      <c r="D19" s="54">
        <f>IF(($D5&lt;'Ausgrid Jul''14'!G7+'Ausgrid Jul''14'!G8),(0),('Bills Jul''14'!$D5-2000)*'Ausgrid Jul''14'!G11/100)</f>
        <v>0</v>
      </c>
      <c r="E19" s="54">
        <f>IF(($D5&lt;'Ausgrid Jul''14'!H7),(0),('Bills Jul''14'!$D5-1750)*'Ausgrid Jul''14'!H11/100)</f>
        <v>16.346</v>
      </c>
      <c r="F19" s="54">
        <f>IF(($D5&lt;'Ausgrid Jul''14'!I7+'Ausgrid Jul''14'!I8),(0),('Bills Jul''14'!$D5-2000)*'Ausgrid Jul''14'!I11/100)</f>
        <v>0</v>
      </c>
      <c r="G19" s="54">
        <f>IF(($D5&lt;'Ausgrid Jul''14'!J7+'Ausgrid Jul''14'!J8),(0),('Bills Jul''14'!$D5-2000)*'Ausgrid Jul''14'!J11/100)</f>
        <v>0</v>
      </c>
      <c r="H19" s="54">
        <f>IF(($D5&lt;'Ausgrid Jul''14'!K7+'Ausgrid Jul''14'!K8),(0),('Bills Jul''14'!$D5-2000)*'Ausgrid Jul''14'!K11/100)</f>
        <v>0</v>
      </c>
      <c r="I19" s="54">
        <f>IF(($D5&lt;'Ausgrid Jul''14'!L7+'Ausgrid Jul''14'!L8),(0),('Bills Jul''14'!$D5-2000)*'Ausgrid Jul''14'!L11/100)</f>
        <v>0</v>
      </c>
      <c r="J19" s="54">
        <f>IF(($D5&lt;'Ausgrid Jul''14'!M7+'Ausgrid Jul''14'!M8),(0),('Bills Jul''14'!$D5-2000)*'Ausgrid Jul''14'!M11/100)</f>
        <v>0</v>
      </c>
      <c r="K19" s="54">
        <f>IF(($D5&lt;'Ausgrid Jul''14'!N7+'Ausgrid Jul''14'!N8),(0),('Bills Jul''14'!$D5-2000)*'Ausgrid Jul''14'!N11/100)</f>
        <v>0</v>
      </c>
      <c r="L19" s="54">
        <f>IF(($D5&lt;'Ausgrid Jul''14'!O7+'Ausgrid Jul''14'!O8),(0),('Bills Jul''14'!$D5-2000)*'Ausgrid Jul''14'!O11/100)</f>
        <v>0</v>
      </c>
      <c r="M19" s="54">
        <f>IF(($D5&lt;'Ausgrid Jul''14'!P7+'Ausgrid Jul''14'!P8),(0),('Bills Jul''14'!$D5-2000)*'Ausgrid Jul''14'!P11/100)</f>
        <v>0</v>
      </c>
      <c r="N19" s="36"/>
      <c r="O19" s="36"/>
    </row>
    <row r="20" spans="1:15" x14ac:dyDescent="0.3">
      <c r="A20" s="26" t="s">
        <v>124</v>
      </c>
      <c r="B20" s="104">
        <f>'Ausgrid Jul''14'!E12*91/100</f>
        <v>70.069999999999993</v>
      </c>
      <c r="C20" s="54">
        <f>'Ausgrid Jul''14'!F12*91/100</f>
        <v>72.842770000000002</v>
      </c>
      <c r="D20" s="54">
        <f>'Ausgrid Jul''14'!G12*91/100</f>
        <v>72.041970000000006</v>
      </c>
      <c r="E20" s="54">
        <f>'Ausgrid Jul''14'!H12*91/100</f>
        <v>72.842770000000002</v>
      </c>
      <c r="F20" s="54">
        <f>'Ausgrid Jul''14'!I12*91/100</f>
        <v>72.041970000000006</v>
      </c>
      <c r="G20" s="54">
        <f>'Ausgrid Jul''14'!J12*91/100</f>
        <v>74.624549999999999</v>
      </c>
      <c r="H20" s="54">
        <f>'Ausgrid Jul''14'!K12*91/100</f>
        <v>71.060990000000004</v>
      </c>
      <c r="I20" s="54">
        <f>'Ausgrid Jul''14'!L12*91/100</f>
        <v>71.070999999999998</v>
      </c>
      <c r="J20" s="54">
        <f>'Ausgrid Jul''14'!M12*91/100</f>
        <v>76.57650000000001</v>
      </c>
      <c r="K20" s="54">
        <f>'Ausgrid Jul''14'!N12*91/100</f>
        <v>71.070999999999998</v>
      </c>
      <c r="L20" s="54">
        <f>'Ausgrid Jul''14'!O12*91/100</f>
        <v>0</v>
      </c>
      <c r="M20" s="54">
        <f>'Ausgrid Jul''14'!P12*91/100</f>
        <v>72.041970000000006</v>
      </c>
      <c r="N20" s="36">
        <f>(C20+D20+E20+F20+G20+H20+I20+J20+K20+M20)/10</f>
        <v>72.621549000000002</v>
      </c>
      <c r="O20" s="36"/>
    </row>
    <row r="21" spans="1:15" x14ac:dyDescent="0.3">
      <c r="A21" s="26" t="s">
        <v>87</v>
      </c>
      <c r="B21" s="105">
        <f>SUM(B17:B20)</f>
        <v>552.97</v>
      </c>
      <c r="C21" s="54">
        <f>SUM(C17:C20)</f>
        <v>591.42677000000003</v>
      </c>
      <c r="D21" s="54">
        <f>SUM(D17:D20)</f>
        <v>571.06797000000006</v>
      </c>
      <c r="E21" s="54">
        <f>SUM(E17:E20)</f>
        <v>602.20127000000002</v>
      </c>
      <c r="F21" s="54">
        <f t="shared" ref="F21:M21" si="2">SUM(F17:F20)</f>
        <v>518.79597000000001</v>
      </c>
      <c r="G21" s="54">
        <f t="shared" si="2"/>
        <v>605.97075000000007</v>
      </c>
      <c r="H21" s="54">
        <f t="shared" si="2"/>
        <v>577.10499000000004</v>
      </c>
      <c r="I21" s="54">
        <f t="shared" si="2"/>
        <v>577.11500000000001</v>
      </c>
      <c r="J21" s="54">
        <f t="shared" si="2"/>
        <v>591.46230000000003</v>
      </c>
      <c r="K21" s="54">
        <f t="shared" si="2"/>
        <v>577.11500000000001</v>
      </c>
      <c r="L21" s="54">
        <f t="shared" si="2"/>
        <v>0</v>
      </c>
      <c r="M21" s="54">
        <f t="shared" si="2"/>
        <v>571.06797000000006</v>
      </c>
      <c r="N21" s="36">
        <f>(C21+D21+E21+F21+G21+H21+I21+J21+K21+M21)/10</f>
        <v>578.33279900000002</v>
      </c>
      <c r="O21" s="36"/>
    </row>
    <row r="22" spans="1:15" x14ac:dyDescent="0.3">
      <c r="A22" s="37" t="s">
        <v>121</v>
      </c>
      <c r="B22" s="100">
        <f>B21*4</f>
        <v>2211.88</v>
      </c>
      <c r="C22" s="63">
        <f>C21*4</f>
        <v>2365.7070800000001</v>
      </c>
      <c r="D22" s="63">
        <f>D21*4</f>
        <v>2284.2718800000002</v>
      </c>
      <c r="E22" s="63">
        <f>E21*4</f>
        <v>2408.8050800000001</v>
      </c>
      <c r="F22" s="63">
        <f t="shared" ref="F22:M22" si="3">F21*4</f>
        <v>2075.18388</v>
      </c>
      <c r="G22" s="63">
        <f t="shared" si="3"/>
        <v>2423.8830000000003</v>
      </c>
      <c r="H22" s="63">
        <f t="shared" si="3"/>
        <v>2308.4199600000002</v>
      </c>
      <c r="I22" s="63">
        <f t="shared" si="3"/>
        <v>2308.46</v>
      </c>
      <c r="J22" s="63">
        <f t="shared" si="3"/>
        <v>2365.8492000000001</v>
      </c>
      <c r="K22" s="63">
        <f t="shared" si="3"/>
        <v>2308.46</v>
      </c>
      <c r="L22" s="63">
        <f t="shared" si="3"/>
        <v>0</v>
      </c>
      <c r="M22" s="63">
        <f t="shared" si="3"/>
        <v>2284.2718800000002</v>
      </c>
      <c r="N22" s="40"/>
      <c r="O22" s="40">
        <f>(C22+D22+E22+F22+G22+H22+I22+J22+K22+M22)/10</f>
        <v>2313.3311960000001</v>
      </c>
    </row>
    <row r="23" spans="1:15" x14ac:dyDescent="0.3">
      <c r="B23" s="101"/>
      <c r="N23" s="41"/>
      <c r="O23" s="41"/>
    </row>
    <row r="24" spans="1:15" x14ac:dyDescent="0.3">
      <c r="A24" s="31" t="s">
        <v>126</v>
      </c>
      <c r="B24" s="103" t="s">
        <v>105</v>
      </c>
      <c r="C24" s="111" t="s">
        <v>106</v>
      </c>
      <c r="D24" s="111" t="s">
        <v>107</v>
      </c>
      <c r="E24" s="111" t="s">
        <v>108</v>
      </c>
      <c r="F24" s="58" t="s">
        <v>52</v>
      </c>
      <c r="G24" s="58" t="s">
        <v>109</v>
      </c>
      <c r="H24" s="58" t="s">
        <v>110</v>
      </c>
      <c r="I24" s="58" t="s">
        <v>111</v>
      </c>
      <c r="J24" s="58" t="s">
        <v>112</v>
      </c>
      <c r="K24" s="58" t="s">
        <v>113</v>
      </c>
      <c r="L24" s="58" t="s">
        <v>114</v>
      </c>
      <c r="M24" s="58" t="s">
        <v>119</v>
      </c>
      <c r="N24" s="34" t="s">
        <v>120</v>
      </c>
      <c r="O24" s="34" t="s">
        <v>121</v>
      </c>
    </row>
    <row r="25" spans="1:15" x14ac:dyDescent="0.3">
      <c r="A25" s="26" t="s">
        <v>122</v>
      </c>
      <c r="B25" s="104">
        <f>IF($D5&gt;'Endeavour Jul''14'!E7,'Endeavour Jul''14'!E7*'Endeavour Jul''14'!E9/100,'Bills Jul''14'!$D5*'Endeavour Jul''14'!E9/100)</f>
        <v>467.58249999999998</v>
      </c>
      <c r="C25" s="54">
        <f>IF($D5&gt;'Endeavour Jul''14'!F7,'Endeavour Jul''14'!F7*'Endeavour Jul''14'!F9/100,'Bills Jul''14'!$D5*'Endeavour Jul''14'!F9/100)</f>
        <v>486.44749999999999</v>
      </c>
      <c r="D25" s="54">
        <f>IF($D5&gt;'Endeavour Jul''14'!G7,'Endeavour Jul''14'!G7*'Endeavour Jul''14'!G9/100,'Bills Jul''14'!$D5*'Endeavour Jul''14'!G9/100)</f>
        <v>482.40499999999997</v>
      </c>
      <c r="E25" s="54">
        <f>IF($D5&gt;'Endeavour Jul''14'!H7,'Endeavour Jul''14'!H7*'Endeavour Jul''14'!H9/100,'Bills Jul''14'!$D5*'Endeavour Jul''14'!H9/100)</f>
        <v>486.44749999999999</v>
      </c>
      <c r="F25" s="54">
        <f>IF($D5&gt;'Endeavour Jul''14'!I7,'Endeavour Jul''14'!I7*'Endeavour Jul''14'!I9/100,'Bills Jul''14'!$D5*'Endeavour Jul''14'!I9/100)</f>
        <v>432.16250000000002</v>
      </c>
      <c r="G25" s="54">
        <f>IF($D5&gt;'Endeavour Jul''14'!J7,'Endeavour Jul''14'!J7*'Endeavour Jul''14'!J9/100,'Bills Jul''14'!$D5*'Endeavour Jul''14'!J9/100)</f>
        <v>498.44024999999993</v>
      </c>
      <c r="H25" s="54">
        <f>IF($D5&gt;'Endeavour Jul''14'!K7,'Endeavour Jul''14'!K7*'Endeavour Jul''14'!K9/100,'Bills Jul''14'!$D5*'Endeavour Jul''14'!K9/100)</f>
        <v>474.70499999999998</v>
      </c>
      <c r="I25" s="54">
        <f>IF($D5&gt;'Endeavour Jul''14'!L7,'Endeavour Jul''14'!L7*'Endeavour Jul''14'!L9/100,'Bills Jul''14'!$D5*'Endeavour Jul''14'!L9/100)</f>
        <v>474.70499999999998</v>
      </c>
      <c r="J25" s="54">
        <f>IF($D5&gt;'Endeavour Jul''14'!M7,'Endeavour Jul''14'!M7*'Endeavour Jul''14'!M9/100,'Bills Jul''14'!$D5*'Endeavour Jul''14'!M9/100)</f>
        <v>501.680025</v>
      </c>
      <c r="K25" s="54">
        <f>IF($D5&gt;'Endeavour Jul''14'!N7,'Endeavour Jul''14'!N7*'Endeavour Jul''14'!N9/100,'Bills Jul''14'!$D5*'Endeavour Jul''14'!N9/100)</f>
        <v>474.70499999999998</v>
      </c>
      <c r="L25" s="54">
        <f>IF($D5&gt;'Endeavour Jul''14'!O7,'Endeavour Jul''14'!O7*'Endeavour Jul''14'!O9/100,'Bills Jul''14'!$D5*'Endeavour Jul''14'!O9/100)</f>
        <v>474.70499999999998</v>
      </c>
      <c r="M25" s="54">
        <f>IF($D5&gt;'Endeavour Jul''14'!P7,'Endeavour Jul''14'!P7*'Endeavour Jul''14'!P9/100,'Bills Jul''14'!$D5*'Endeavour Jul''14'!P9/100)</f>
        <v>482.40499999999997</v>
      </c>
      <c r="N25" s="36"/>
      <c r="O25" s="36"/>
    </row>
    <row r="26" spans="1:15" x14ac:dyDescent="0.3">
      <c r="A26" s="26" t="s">
        <v>123</v>
      </c>
      <c r="B26" s="104">
        <v>0</v>
      </c>
      <c r="C26" s="54">
        <v>0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36"/>
      <c r="O26" s="36"/>
    </row>
    <row r="27" spans="1:15" x14ac:dyDescent="0.3">
      <c r="A27" s="26" t="s">
        <v>86</v>
      </c>
      <c r="B27" s="104">
        <f>IF($D5&gt;'Endeavour Jul''14'!E7,('Bills Jul''14'!$D5-'Endeavour Jul''14'!E7)*'Endeavour Jul''14'!E11/100,0)</f>
        <v>13.7005</v>
      </c>
      <c r="C27" s="54">
        <f>IF($D5&gt;'Endeavour Jul''14'!F7,('Bills Jul''14'!$D5-'Endeavour Jul''14'!F7)*'Endeavour Jul''14'!F11/100,0)</f>
        <v>15.4495</v>
      </c>
      <c r="D27" s="54">
        <f>IF($D5&gt;'Endeavour Jul''14'!G7,('Bills Jul''14'!$D5-'Endeavour Jul''14'!G7)*'Endeavour Jul''14'!G11/100,0)</f>
        <v>14.146000000000001</v>
      </c>
      <c r="E27" s="54">
        <f>IF($D5&gt;'Endeavour Jul''14'!H7,('Bills Jul''14'!$D5-'Endeavour Jul''14'!H7)*'Endeavour Jul''14'!H11/100,0)</f>
        <v>15.4495</v>
      </c>
      <c r="F27" s="54">
        <f>IF($D5&gt;'Endeavour Jul''14'!I7,('Bills Jul''14'!$D5-'Endeavour Jul''14'!I7)*'Endeavour Jul''14'!I11/100,0)</f>
        <v>12.7105</v>
      </c>
      <c r="G27" s="54">
        <f>IF($D5&gt;'Endeavour Jul''14'!J7,('Bills Jul''14'!$D5-'Endeavour Jul''14'!J7)*'Endeavour Jul''14'!J11/100,0)</f>
        <v>15.829549999999999</v>
      </c>
      <c r="H27" s="54">
        <f>IF($D5&gt;'Endeavour Jul''14'!K7,('Bills Jul''14'!$D5-'Endeavour Jul''14'!K7)*'Endeavour Jul''14'!K11/100,0)</f>
        <v>15.0755</v>
      </c>
      <c r="I27" s="54">
        <f>IF($D5&gt;'Endeavour Jul''14'!L7,('Bills Jul''14'!$D5-'Endeavour Jul''14'!L7)*'Endeavour Jul''14'!L11/100,0)</f>
        <v>15.0755</v>
      </c>
      <c r="J27" s="54">
        <f>IF($D5&gt;'Endeavour Jul''14'!M7,('Bills Jul''14'!$D5-'Endeavour Jul''14'!M7)*'Endeavour Jul''14'!M11/100,0)</f>
        <v>14.914350000000002</v>
      </c>
      <c r="K27" s="54">
        <f>IF($D5&gt;'Endeavour Jul''14'!N7,('Bills Jul''14'!$D5-'Endeavour Jul''14'!N7)*'Endeavour Jul''14'!N11/100,0)</f>
        <v>15.0755</v>
      </c>
      <c r="L27" s="54">
        <f>IF($D5&gt;'Endeavour Jul''14'!O7,('Bills Jul''14'!$D5-'Endeavour Jul''14'!O7)*'Endeavour Jul''14'!O11/100,0)</f>
        <v>15.0755</v>
      </c>
      <c r="M27" s="54">
        <f>IF($D5&gt;'Endeavour Jul''14'!P7,('Bills Jul''14'!$D5-'Endeavour Jul''14'!P7)*'Endeavour Jul''14'!P11/100,0)</f>
        <v>14.146000000000001</v>
      </c>
      <c r="N27" s="36"/>
      <c r="O27" s="36"/>
    </row>
    <row r="28" spans="1:15" x14ac:dyDescent="0.3">
      <c r="A28" s="26" t="s">
        <v>124</v>
      </c>
      <c r="B28" s="104">
        <f>'Endeavour Jul''14'!E12*91/100</f>
        <v>68.898830000000004</v>
      </c>
      <c r="C28" s="54">
        <f>'Endeavour Jul''14'!F12*91/100</f>
        <v>71.69162</v>
      </c>
      <c r="D28" s="54">
        <f>'Endeavour Jul''14'!G12*91/100</f>
        <v>70.800729999999987</v>
      </c>
      <c r="E28" s="54">
        <f>'Endeavour Jul''14'!H12*91/100</f>
        <v>71.69162</v>
      </c>
      <c r="F28" s="54">
        <f>'Endeavour Jul''14'!I12*91/100</f>
        <v>70.800729999999987</v>
      </c>
      <c r="G28" s="54">
        <f>'Endeavour Jul''14'!J12*91/100</f>
        <v>73.447373999999996</v>
      </c>
      <c r="H28" s="54">
        <f>'Endeavour Jul''14'!K12*91/100</f>
        <v>69.919849999999997</v>
      </c>
      <c r="I28" s="54">
        <f>'Endeavour Jul''14'!L12*91/100</f>
        <v>69.949879999999993</v>
      </c>
      <c r="J28" s="54">
        <f>'Endeavour Jul''14'!M12*91/100</f>
        <v>77.707629999999995</v>
      </c>
      <c r="K28" s="54">
        <f>'Endeavour Jul''14'!N12*91/100</f>
        <v>69.949879999999993</v>
      </c>
      <c r="L28" s="54">
        <f>'Endeavour Jul''14'!O12*91/100</f>
        <v>71.851780000000005</v>
      </c>
      <c r="M28" s="54">
        <f>'Endeavour Jul''14'!P12*91/100</f>
        <v>70.800729999999987</v>
      </c>
      <c r="N28" s="36">
        <f>AVERAGE(C28:M28)</f>
        <v>71.691983999999991</v>
      </c>
      <c r="O28" s="36"/>
    </row>
    <row r="29" spans="1:15" x14ac:dyDescent="0.3">
      <c r="A29" s="26" t="s">
        <v>87</v>
      </c>
      <c r="B29" s="102">
        <f>SUM(B25:B28)</f>
        <v>550.18182999999999</v>
      </c>
      <c r="C29" s="54">
        <f>SUM(C25:C28)</f>
        <v>573.58861999999999</v>
      </c>
      <c r="D29" s="54">
        <f>SUM(D25:D28)</f>
        <v>567.35172999999998</v>
      </c>
      <c r="E29" s="54">
        <f>SUM(E25:E28)</f>
        <v>573.58861999999999</v>
      </c>
      <c r="F29" s="54">
        <f t="shared" ref="F29:M29" si="4">SUM(F25:F28)</f>
        <v>515.67372999999998</v>
      </c>
      <c r="G29" s="54">
        <f t="shared" si="4"/>
        <v>587.71717399999989</v>
      </c>
      <c r="H29" s="54">
        <f t="shared" si="4"/>
        <v>559.70034999999996</v>
      </c>
      <c r="I29" s="54">
        <f t="shared" si="4"/>
        <v>559.73037999999997</v>
      </c>
      <c r="J29" s="54">
        <f t="shared" si="4"/>
        <v>594.30200500000001</v>
      </c>
      <c r="K29" s="54">
        <f t="shared" si="4"/>
        <v>559.73037999999997</v>
      </c>
      <c r="L29" s="54">
        <f t="shared" si="4"/>
        <v>561.63227999999992</v>
      </c>
      <c r="M29" s="54">
        <f t="shared" si="4"/>
        <v>567.35172999999998</v>
      </c>
      <c r="N29" s="36">
        <f>AVERAGE(C29:M29)</f>
        <v>565.48790899999995</v>
      </c>
      <c r="O29" s="36"/>
    </row>
    <row r="30" spans="1:15" x14ac:dyDescent="0.3">
      <c r="A30" s="37" t="s">
        <v>121</v>
      </c>
      <c r="B30" s="100">
        <f>B29*4</f>
        <v>2200.72732</v>
      </c>
      <c r="C30" s="63">
        <f>C29*4</f>
        <v>2294.35448</v>
      </c>
      <c r="D30" s="63">
        <f>D29*4</f>
        <v>2269.4069199999999</v>
      </c>
      <c r="E30" s="63">
        <f>E29*4</f>
        <v>2294.35448</v>
      </c>
      <c r="F30" s="63">
        <f t="shared" ref="F30:M30" si="5">F29*4</f>
        <v>2062.6949199999999</v>
      </c>
      <c r="G30" s="63">
        <f t="shared" si="5"/>
        <v>2350.8686959999995</v>
      </c>
      <c r="H30" s="63">
        <f t="shared" si="5"/>
        <v>2238.8013999999998</v>
      </c>
      <c r="I30" s="63">
        <f t="shared" si="5"/>
        <v>2238.9215199999999</v>
      </c>
      <c r="J30" s="63">
        <f t="shared" si="5"/>
        <v>2377.20802</v>
      </c>
      <c r="K30" s="63">
        <f t="shared" si="5"/>
        <v>2238.9215199999999</v>
      </c>
      <c r="L30" s="63">
        <f t="shared" si="5"/>
        <v>2246.5291199999997</v>
      </c>
      <c r="M30" s="63">
        <f t="shared" si="5"/>
        <v>2269.4069199999999</v>
      </c>
      <c r="N30" s="40"/>
      <c r="O30" s="40">
        <f>AVERAGE(C30:M30)</f>
        <v>2261.9516359999998</v>
      </c>
    </row>
    <row r="33" spans="1:15" x14ac:dyDescent="0.3">
      <c r="A33" s="30" t="s">
        <v>127</v>
      </c>
      <c r="B33" s="30" t="s">
        <v>79</v>
      </c>
      <c r="D33" s="46">
        <v>2000</v>
      </c>
    </row>
    <row r="34" spans="1:15" x14ac:dyDescent="0.3">
      <c r="A34" s="42" t="s">
        <v>128</v>
      </c>
      <c r="B34" s="30" t="s">
        <v>91</v>
      </c>
      <c r="D34" s="47">
        <v>0.7</v>
      </c>
    </row>
    <row r="35" spans="1:15" x14ac:dyDescent="0.3">
      <c r="B35" s="30" t="s">
        <v>92</v>
      </c>
      <c r="D35" s="47">
        <v>0.3</v>
      </c>
    </row>
    <row r="36" spans="1:15" x14ac:dyDescent="0.3">
      <c r="C36" s="30"/>
      <c r="D36" s="30"/>
    </row>
    <row r="38" spans="1:15" x14ac:dyDescent="0.3">
      <c r="A38" s="31" t="s">
        <v>104</v>
      </c>
      <c r="B38" s="103" t="s">
        <v>105</v>
      </c>
      <c r="C38" s="111" t="s">
        <v>106</v>
      </c>
      <c r="D38" s="111" t="s">
        <v>107</v>
      </c>
      <c r="E38" s="111" t="s">
        <v>108</v>
      </c>
      <c r="F38" s="58" t="s">
        <v>52</v>
      </c>
      <c r="G38" s="58" t="s">
        <v>109</v>
      </c>
      <c r="H38" s="58" t="s">
        <v>110</v>
      </c>
      <c r="I38" s="58" t="s">
        <v>111</v>
      </c>
      <c r="J38" s="58" t="s">
        <v>112</v>
      </c>
      <c r="K38" s="58" t="s">
        <v>113</v>
      </c>
      <c r="L38" s="58" t="s">
        <v>114</v>
      </c>
      <c r="M38" s="58" t="s">
        <v>119</v>
      </c>
      <c r="N38" s="34" t="s">
        <v>120</v>
      </c>
      <c r="O38" s="34" t="s">
        <v>121</v>
      </c>
    </row>
    <row r="39" spans="1:15" x14ac:dyDescent="0.3">
      <c r="A39" s="26" t="s">
        <v>122</v>
      </c>
      <c r="B39" s="104">
        <f>($D33*$D34)*'Essential Jul''14'!E18/100</f>
        <v>461.23</v>
      </c>
      <c r="C39" s="54">
        <f>($D33*$D34)*'Essential Jul''14'!F18/100</f>
        <v>490.952</v>
      </c>
      <c r="D39" s="54">
        <f>($D33*$D34)*'Essential Jul''14'!G18/100</f>
        <v>474.78199999999998</v>
      </c>
      <c r="E39" s="54">
        <f>($D33*$D34)*'Essential Jul''14'!H18/100</f>
        <v>490.952</v>
      </c>
      <c r="F39" s="54">
        <f>($D33*$D34)*'Essential Jul''14'!I18/100</f>
        <v>432.43200000000002</v>
      </c>
      <c r="G39" s="54">
        <f>($D33*$D34)*'Essential Jul''14'!J18/100</f>
        <v>503.0564</v>
      </c>
      <c r="H39" s="54">
        <f>($D33*$D34)*'Essential Jul''14'!K18/100</f>
        <v>479.09399999999994</v>
      </c>
      <c r="I39" s="54">
        <f>($D33*$D34)*'Essential Jul''14'!L18/100</f>
        <v>479.09399999999994</v>
      </c>
      <c r="J39" s="54">
        <f>($D33*$D34)*'Essential Jul''14'!M18/100</f>
        <v>492.99095999999997</v>
      </c>
      <c r="K39" s="54">
        <f>($D33*$D34)*'Essential Jul''14'!N18/100</f>
        <v>479.09399999999994</v>
      </c>
      <c r="L39" s="54">
        <f>($D33*$D34)*'Essential Jul''14'!O18/100</f>
        <v>479.09399999999994</v>
      </c>
      <c r="M39" s="132" t="s">
        <v>129</v>
      </c>
      <c r="N39" s="36"/>
      <c r="O39" s="36"/>
    </row>
    <row r="40" spans="1:15" x14ac:dyDescent="0.3">
      <c r="A40" s="26" t="s">
        <v>130</v>
      </c>
      <c r="B40" s="104">
        <v>0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132" t="s">
        <v>129</v>
      </c>
      <c r="N40" s="36"/>
      <c r="O40" s="36"/>
    </row>
    <row r="41" spans="1:15" x14ac:dyDescent="0.3">
      <c r="A41" s="26" t="s">
        <v>86</v>
      </c>
      <c r="B41" s="104">
        <v>0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132" t="s">
        <v>129</v>
      </c>
      <c r="N41" s="36"/>
      <c r="O41" s="36"/>
    </row>
    <row r="42" spans="1:15" x14ac:dyDescent="0.3">
      <c r="A42" s="26" t="s">
        <v>131</v>
      </c>
      <c r="B42" s="104">
        <f>($D33*$D35)*'Essential Jul''14'!E21/100</f>
        <v>79.397999999999996</v>
      </c>
      <c r="C42" s="54">
        <f>($D33*$D35)*'Essential Jul''14'!F21/100</f>
        <v>82.632000000000005</v>
      </c>
      <c r="D42" s="54">
        <f>($D33*$D35)*'Essential Jul''14'!G21/100</f>
        <v>83.358000000000004</v>
      </c>
      <c r="E42" s="54">
        <f>($D33*$D35)*'Essential Jul''14'!H21/100</f>
        <v>123.02400000000002</v>
      </c>
      <c r="F42" s="54">
        <f>($D33*$D35)*'Essential Jul''14'!I21/100</f>
        <v>65.207999999999998</v>
      </c>
      <c r="G42" s="54">
        <f>($D33*$D35)*'Essential Jul''14'!J21/100</f>
        <v>84.684600000000003</v>
      </c>
      <c r="H42" s="54">
        <f>($D33*$D35)*'Essential Jul''14'!K21/100</f>
        <v>80.652000000000001</v>
      </c>
      <c r="I42" s="54">
        <f>($D33*$D35)*'Essential Jul''14'!L21/100</f>
        <v>80.652000000000001</v>
      </c>
      <c r="J42" s="54">
        <f>($D33*$D35)*'Essential Jul''14'!M21/100</f>
        <v>84.635400000000004</v>
      </c>
      <c r="K42" s="54">
        <f>($D33*$D35)*'Essential Jul''14'!N21/100</f>
        <v>80.652000000000001</v>
      </c>
      <c r="L42" s="54">
        <f>($D33*$D35)*'Essential Jul''14'!O21/100</f>
        <v>80.652000000000001</v>
      </c>
      <c r="M42" s="132" t="s">
        <v>129</v>
      </c>
      <c r="N42" s="36"/>
      <c r="O42" s="36"/>
    </row>
    <row r="43" spans="1:15" x14ac:dyDescent="0.3">
      <c r="A43" s="26" t="s">
        <v>124</v>
      </c>
      <c r="B43" s="104">
        <f>'Essential Jul''14'!E22*91/100</f>
        <v>134.22408999999999</v>
      </c>
      <c r="C43" s="54">
        <f>'Essential Jul''14'!F22*91/100</f>
        <v>139.65952000000001</v>
      </c>
      <c r="D43" s="54">
        <f>'Essential Jul''14'!G22*91/100</f>
        <v>138.58844999999999</v>
      </c>
      <c r="E43" s="54">
        <f>'Essential Jul''14'!H22*91/100</f>
        <v>128.02789999999999</v>
      </c>
      <c r="F43" s="54">
        <f>'Essential Jul''14'!I22*91/100</f>
        <v>138.58844999999999</v>
      </c>
      <c r="G43" s="54">
        <f>'Essential Jul''14'!J22*91/100</f>
        <v>143.079937</v>
      </c>
      <c r="H43" s="54">
        <f>'Essential Jul''14'!K22*91/100</f>
        <v>136.26613</v>
      </c>
      <c r="I43" s="54">
        <f>'Essential Jul''14'!L22*91/100</f>
        <v>136.26613</v>
      </c>
      <c r="J43" s="54">
        <f>'Essential Jul''14'!M22*91/100</f>
        <v>136.09596000000002</v>
      </c>
      <c r="K43" s="54">
        <f>'Essential Jul''14'!N22*91/100</f>
        <v>136.26613</v>
      </c>
      <c r="L43" s="54">
        <f>'Essential Jul''14'!O22*91/100</f>
        <v>129.63951</v>
      </c>
      <c r="M43" s="132" t="s">
        <v>129</v>
      </c>
      <c r="N43" s="36">
        <f>AVERAGE(C43:L43)</f>
        <v>136.2478117</v>
      </c>
      <c r="O43" s="36"/>
    </row>
    <row r="44" spans="1:15" x14ac:dyDescent="0.3">
      <c r="A44" s="26" t="s">
        <v>87</v>
      </c>
      <c r="B44" s="102">
        <f>SUM(B39:B43)</f>
        <v>674.85209000000009</v>
      </c>
      <c r="C44" s="54">
        <f>SUM(C39:C43)</f>
        <v>713.2435200000001</v>
      </c>
      <c r="D44" s="54">
        <f>SUM(D39:D43)</f>
        <v>696.72844999999995</v>
      </c>
      <c r="E44" s="54">
        <f>SUM(E39:E43)</f>
        <v>742.00389999999993</v>
      </c>
      <c r="F44" s="54">
        <f t="shared" ref="F44:L44" si="6">SUM(F39:F43)</f>
        <v>636.22844999999995</v>
      </c>
      <c r="G44" s="54">
        <f t="shared" si="6"/>
        <v>730.82093699999996</v>
      </c>
      <c r="H44" s="54">
        <f t="shared" si="6"/>
        <v>696.01212999999996</v>
      </c>
      <c r="I44" s="54">
        <f t="shared" si="6"/>
        <v>696.01212999999996</v>
      </c>
      <c r="J44" s="54">
        <f t="shared" si="6"/>
        <v>713.72231999999997</v>
      </c>
      <c r="K44" s="54">
        <f t="shared" si="6"/>
        <v>696.01212999999996</v>
      </c>
      <c r="L44" s="54">
        <f t="shared" si="6"/>
        <v>689.38550999999995</v>
      </c>
      <c r="M44" s="132" t="s">
        <v>129</v>
      </c>
      <c r="N44" s="36">
        <f>AVERAGE(C44:L44)</f>
        <v>701.01694770000006</v>
      </c>
      <c r="O44" s="36"/>
    </row>
    <row r="45" spans="1:15" x14ac:dyDescent="0.3">
      <c r="A45" s="37" t="s">
        <v>121</v>
      </c>
      <c r="B45" s="100">
        <f>B44*4</f>
        <v>2699.4083600000004</v>
      </c>
      <c r="C45" s="63">
        <f>C44*4</f>
        <v>2852.9740800000004</v>
      </c>
      <c r="D45" s="63">
        <f>D44*4</f>
        <v>2786.9137999999998</v>
      </c>
      <c r="E45" s="63">
        <f>E44*4</f>
        <v>2968.0155999999997</v>
      </c>
      <c r="F45" s="63">
        <f t="shared" ref="F45:L45" si="7">F44*4</f>
        <v>2544.9137999999998</v>
      </c>
      <c r="G45" s="63">
        <f t="shared" si="7"/>
        <v>2923.2837479999998</v>
      </c>
      <c r="H45" s="63">
        <f t="shared" si="7"/>
        <v>2784.0485199999998</v>
      </c>
      <c r="I45" s="63">
        <f t="shared" si="7"/>
        <v>2784.0485199999998</v>
      </c>
      <c r="J45" s="63">
        <f t="shared" si="7"/>
        <v>2854.8892799999999</v>
      </c>
      <c r="K45" s="63">
        <f t="shared" si="7"/>
        <v>2784.0485199999998</v>
      </c>
      <c r="L45" s="63">
        <f t="shared" si="7"/>
        <v>2757.5420399999998</v>
      </c>
      <c r="M45" s="131" t="s">
        <v>129</v>
      </c>
      <c r="N45" s="40"/>
      <c r="O45" s="40">
        <f>AVERAGE(C45:L45)</f>
        <v>2804.0677908000002</v>
      </c>
    </row>
    <row r="46" spans="1:15" x14ac:dyDescent="0.3">
      <c r="B46" s="101"/>
      <c r="N46" s="41"/>
      <c r="O46" s="41"/>
    </row>
    <row r="47" spans="1:15" x14ac:dyDescent="0.3">
      <c r="A47" s="31" t="s">
        <v>125</v>
      </c>
      <c r="B47" s="103" t="s">
        <v>105</v>
      </c>
      <c r="C47" s="111" t="s">
        <v>106</v>
      </c>
      <c r="D47" s="111" t="s">
        <v>107</v>
      </c>
      <c r="E47" s="111" t="s">
        <v>108</v>
      </c>
      <c r="F47" s="58" t="s">
        <v>52</v>
      </c>
      <c r="G47" s="58" t="s">
        <v>109</v>
      </c>
      <c r="H47" s="58" t="s">
        <v>110</v>
      </c>
      <c r="I47" s="58" t="s">
        <v>111</v>
      </c>
      <c r="J47" s="58" t="s">
        <v>112</v>
      </c>
      <c r="K47" s="58" t="s">
        <v>113</v>
      </c>
      <c r="L47" s="58" t="s">
        <v>114</v>
      </c>
      <c r="M47" s="58" t="s">
        <v>119</v>
      </c>
      <c r="N47" s="34" t="s">
        <v>120</v>
      </c>
      <c r="O47" s="34" t="s">
        <v>121</v>
      </c>
    </row>
    <row r="48" spans="1:15" x14ac:dyDescent="0.3">
      <c r="A48" s="26" t="s">
        <v>122</v>
      </c>
      <c r="B48" s="104">
        <f>IF($D33*$D34&gt;'Ausgrid Jul''14'!E16,('Ausgrid Jul''14'!E16*'Ausgrid Jul''14'!E18/100),('Bills Jul''14'!$D33*'Bills Jul''14'!$D34)*'Ausgrid Jul''14'!E18/100)</f>
        <v>267.3</v>
      </c>
      <c r="C48" s="54">
        <f>IF($D33*$D34&gt;'Ausgrid Jul''14'!F16,('Ausgrid Jul''14'!F16*'Ausgrid Jul''14'!F18/100),('Bills Jul''14'!$D33*'Bills Jul''14'!$D34)*'Ausgrid Jul''14'!F18/100)</f>
        <v>280.72000000000003</v>
      </c>
      <c r="D48" s="54">
        <f>IF($D33*$D34&gt;'Ausgrid Jul''14'!G16,('Ausgrid Jul''14'!G16*'Ausgrid Jul''14'!G18/100),('Bills Jul''14'!$D33*'Bills Jul''14'!$D34)*'Ausgrid Jul''14'!G18/100)</f>
        <v>277.08999999999997</v>
      </c>
      <c r="E48" s="54">
        <f>IF($D33*$D34&gt;'Ausgrid Jul''14'!H16,('Ausgrid Jul''14'!H16*'Ausgrid Jul''14'!H18/100),('Bills Jul''14'!$D33*'Bills Jul''14'!$D34)*'Ausgrid Jul''14'!H18/100)</f>
        <v>410.41</v>
      </c>
      <c r="F48" s="54">
        <f>IF($D33*$D34&gt;'Ausgrid Jul''14'!I16,('Ausgrid Jul''14'!I16*'Ausgrid Jul''14'!I18/100),('Bills Jul''14'!$D33*'Bills Jul''14'!$D34)*'Ausgrid Jul''14'!I18/100)</f>
        <v>247.61</v>
      </c>
      <c r="G48" s="54">
        <f>IF($D33*$D34&gt;'Ausgrid Jul''14'!J16,('Ausgrid Jul''14'!J16*'Ausgrid Jul''14'!J18/100),('Bills Jul''14'!$D33*'Bills Jul''14'!$D34)*'Ausgrid Jul''14'!J18/100)</f>
        <v>287.59500000000003</v>
      </c>
      <c r="H48" s="54">
        <f>IF($D33*$D34&gt;'Ausgrid Jul''14'!K16,('Ausgrid Jul''14'!K16*'Ausgrid Jul''14'!K18/100),('Bills Jul''14'!$D33*'Bills Jul''14'!$D34)*'Ausgrid Jul''14'!K18/100)</f>
        <v>273.89999999999998</v>
      </c>
      <c r="I48" s="54">
        <f>IF($D33*$D34&gt;'Ausgrid Jul''14'!L16,('Ausgrid Jul''14'!L16*'Ausgrid Jul''14'!L18/100),('Bills Jul''14'!$D33*'Bills Jul''14'!$D34)*'Ausgrid Jul''14'!L18/100)</f>
        <v>273.89999999999998</v>
      </c>
      <c r="J48" s="54">
        <f>IF($D33*$D34&gt;'Ausgrid Jul''14'!M16,('Ausgrid Jul''14'!M16*'Ausgrid Jul''14'!M18/100),('Bills Jul''14'!$D33*'Bills Jul''14'!$D34)*'Ausgrid Jul''14'!M18/100)</f>
        <v>285.54900000000004</v>
      </c>
      <c r="K48" s="54">
        <f>IF($D33*$D34&gt;'Ausgrid Jul''14'!N16,('Ausgrid Jul''14'!N16*'Ausgrid Jul''14'!N18/100),('Bills Jul''14'!$D33*'Bills Jul''14'!$D34)*'Ausgrid Jul''14'!N18/100)</f>
        <v>273.89999999999998</v>
      </c>
      <c r="L48" s="132" t="s">
        <v>129</v>
      </c>
      <c r="M48" s="54">
        <f>IF($D33*$D34&gt;'Ausgrid Jul''14'!P16,('Ausgrid Jul''14'!P16*'Ausgrid Jul''14'!P18/100),('Bills Jul''14'!$D33*'Bills Jul''14'!$D34)*'Ausgrid Jul''14'!P18/100)</f>
        <v>277.08999999999997</v>
      </c>
      <c r="N48" s="36"/>
      <c r="O48" s="36"/>
    </row>
    <row r="49" spans="1:15" x14ac:dyDescent="0.3">
      <c r="A49" s="26" t="s">
        <v>130</v>
      </c>
      <c r="B49" s="104">
        <f>IF($D33*$D34&lt;='Ausgrid Jul''14'!E16,0,IF('Bills Jul''14'!$D33*'Bills Jul''14'!$D34&gt;'Ausgrid Jul''14'!E19,('Bills Jul''14'!$D33*'Bills Jul''14'!$D34-'Ausgrid Jul''14'!E16)*'Ausgrid Jul''14'!E19/100))</f>
        <v>107.8</v>
      </c>
      <c r="C49" s="54">
        <f>IF($D33*$D34&lt;='Ausgrid Jul''14'!F16,0,IF('Bills Jul''14'!$D33*'Bills Jul''14'!$D34&gt;'Ausgrid Jul''14'!F19,('Bills Jul''14'!$D33*'Bills Jul''14'!$D34-'Ausgrid Jul''14'!F16)*'Ausgrid Jul''14'!F19/100))</f>
        <v>118.932</v>
      </c>
      <c r="D49" s="54">
        <f>IF($D33*$D34&lt;='Ausgrid Jul''14'!G16,0,IF('Bills Jul''14'!$D33*'Bills Jul''14'!$D34&gt;'Ausgrid Jul''14'!G19,('Bills Jul''14'!$D33*'Bills Jul''14'!$D34-'Ausgrid Jul''14'!G16)*'Ausgrid Jul''14'!G19/100))</f>
        <v>110.96800000000002</v>
      </c>
      <c r="E49" s="54">
        <f>IF($D33*$D34&lt;='Ausgrid Jul''14'!H16,0,IF('Bills Jul''14'!$D33*'Bills Jul''14'!$D34&gt;'Ausgrid Jul''14'!H19,('Bills Jul''14'!$D33*'Bills Jul''14'!$D34-'Ausgrid Jul''14'!H16)*'Ausgrid Jul''14'!H19/100))</f>
        <v>0</v>
      </c>
      <c r="F49" s="54">
        <f>IF($D33*$D34&lt;='Ausgrid Jul''14'!I16,0,IF('Bills Jul''14'!$D33*'Bills Jul''14'!$D34&gt;'Ausgrid Jul''14'!I19,('Bills Jul''14'!$D33*'Bills Jul''14'!$D34-'Ausgrid Jul''14'!I16)*'Ausgrid Jul''14'!I19/100))</f>
        <v>99.572000000000003</v>
      </c>
      <c r="G49" s="54">
        <f>IF($D33*$D34&lt;='Ausgrid Jul''14'!J16,0,IF('Bills Jul''14'!$D33*'Bills Jul''14'!$D34&gt;'Ausgrid Jul''14'!J19,('Bills Jul''14'!$D33*'Bills Jul''14'!$D34-'Ausgrid Jul''14'!J16)*'Ausgrid Jul''14'!J19/100))</f>
        <v>121.87560000000002</v>
      </c>
      <c r="H49" s="54">
        <f>IF($D33*$D34&lt;='Ausgrid Jul''14'!K16,0,IF('Bills Jul''14'!$D33*'Bills Jul''14'!$D34&gt;'Ausgrid Jul''14'!K19,('Bills Jul''14'!$D33*'Bills Jul''14'!$D34-'Ausgrid Jul''14'!K16)*'Ausgrid Jul''14'!K19/100))</f>
        <v>116.072</v>
      </c>
      <c r="I49" s="54">
        <f>IF($D33*$D34&lt;='Ausgrid Jul''14'!L16,0,IF('Bills Jul''14'!$D33*'Bills Jul''14'!$D34&gt;'Ausgrid Jul''14'!L19,('Bills Jul''14'!$D33*'Bills Jul''14'!$D34-'Ausgrid Jul''14'!L16)*'Ausgrid Jul''14'!L19/100))</f>
        <v>116.072</v>
      </c>
      <c r="J49" s="54">
        <f>IF($D33*$D34&lt;='Ausgrid Jul''14'!M16,0,IF('Bills Jul''14'!$D33*'Bills Jul''14'!$D34&gt;'Ausgrid Jul''14'!M19,('Bills Jul''14'!$D33*'Bills Jul''14'!$D34-'Ausgrid Jul''14'!M16)*'Ausgrid Jul''14'!M19/100))</f>
        <v>114.66840000000001</v>
      </c>
      <c r="K49" s="54">
        <f>IF($D33*$D34&lt;='Ausgrid Jul''14'!N16,0,IF('Bills Jul''14'!$D33*'Bills Jul''14'!$D34&gt;'Ausgrid Jul''14'!N19,('Bills Jul''14'!$D33*'Bills Jul''14'!$D34-'Ausgrid Jul''14'!N16)*'Ausgrid Jul''14'!N19/100))</f>
        <v>116.072</v>
      </c>
      <c r="L49" s="132" t="s">
        <v>129</v>
      </c>
      <c r="M49" s="54">
        <f>IF($D33*$D34&lt;='Ausgrid Jul''14'!P16,0,IF('Bills Jul''14'!$D33*'Bills Jul''14'!$D34&gt;'Ausgrid Jul''14'!P19,('Bills Jul''14'!$D33*'Bills Jul''14'!$D34-'Ausgrid Jul''14'!P16)*'Ausgrid Jul''14'!P19/100))</f>
        <v>110.96800000000002</v>
      </c>
      <c r="N49" s="36"/>
      <c r="O49" s="36"/>
    </row>
    <row r="50" spans="1:15" x14ac:dyDescent="0.3">
      <c r="A50" s="26" t="s">
        <v>86</v>
      </c>
      <c r="B50" s="104">
        <f>IF(($D33*$D34&lt;'Ausgrid Jul''14'!E16+'Ausgrid Jul''14'!E17),(0),('Bills Jul''14'!$D33*'Bills Jul''14'!$D34-2000)*'Ausgrid Jul''14'!E20/100)</f>
        <v>0</v>
      </c>
      <c r="C50" s="54">
        <f>IF(($D33*$D34&lt;'Ausgrid Jul''14'!F16+'Ausgrid Jul''14'!F17),(0),('Bills Jul''14'!$D33*'Bills Jul''14'!$D34-2000)*'Ausgrid Jul''14'!F20/100)</f>
        <v>0</v>
      </c>
      <c r="D50" s="54">
        <f>IF(($D33*$D34&lt;'Ausgrid Jul''14'!G16+'Ausgrid Jul''14'!G17),(0),('Bills Jul''14'!$D33*'Bills Jul''14'!$D34-2000)*'Ausgrid Jul''14'!G20/100)</f>
        <v>0</v>
      </c>
      <c r="E50" s="54">
        <f>IF(($D33*$D34&lt;'Ausgrid Jul''14'!H16),(0),('Bills Jul''14'!$D33*'Bills Jul''14'!$D34-1750)*'Ausgrid Jul''14'!H20/100)</f>
        <v>0</v>
      </c>
      <c r="F50" s="54">
        <f>IF(($D33*$D34&lt;'Ausgrid Jul''14'!I16+'Ausgrid Jul''14'!I17),(0),('Bills Jul''14'!$D33*'Bills Jul''14'!$D34-2000)*'Ausgrid Jul''14'!I20/100)</f>
        <v>0</v>
      </c>
      <c r="G50" s="54">
        <f>IF(($D33*$D34&lt;'Ausgrid Jul''14'!J16+'Ausgrid Jul''14'!J17),(0),('Bills Jul''14'!$D33*'Bills Jul''14'!$D34-2000)*'Ausgrid Jul''14'!J20/100)</f>
        <v>0</v>
      </c>
      <c r="H50" s="54">
        <f>IF(($D33*$D34&lt;'Ausgrid Jul''14'!K16+'Ausgrid Jul''14'!K17),(0),('Bills Jul''14'!$D33*'Bills Jul''14'!$D34-2000)*'Ausgrid Jul''14'!K20/100)</f>
        <v>0</v>
      </c>
      <c r="I50" s="54">
        <f>IF(($D33*$D34&lt;'Ausgrid Jul''14'!L16+'Ausgrid Jul''14'!L17),(0),('Bills Jul''14'!$D33*'Bills Jul''14'!$D34-2000)*'Ausgrid Jul''14'!L20/100)</f>
        <v>0</v>
      </c>
      <c r="J50" s="54">
        <f>IF(($D33*$D34&lt;'Ausgrid Jul''14'!M16+'Ausgrid Jul''14'!M17),(0),('Bills Jul''14'!$D33*'Bills Jul''14'!$D34-2000)*'Ausgrid Jul''14'!M20/100)</f>
        <v>0</v>
      </c>
      <c r="K50" s="54">
        <f>IF(($D33*$D34&lt;'Ausgrid Jul''14'!N16+'Ausgrid Jul''14'!N17),(0),('Bills Jul''14'!$D33*'Bills Jul''14'!$D34-2000)*'Ausgrid Jul''14'!N20/100)</f>
        <v>0</v>
      </c>
      <c r="L50" s="132" t="s">
        <v>129</v>
      </c>
      <c r="M50" s="54">
        <f>IF(($D33*$D34&lt;'Ausgrid Jul''14'!P16+'Ausgrid Jul''14'!P17),(0),('Bills Jul''14'!$D33*'Bills Jul''14'!$D34-2000)*'Ausgrid Jul''14'!P20/100)</f>
        <v>0</v>
      </c>
      <c r="N50" s="36"/>
      <c r="O50" s="36"/>
    </row>
    <row r="51" spans="1:15" x14ac:dyDescent="0.3">
      <c r="A51" s="26" t="s">
        <v>131</v>
      </c>
      <c r="B51" s="104">
        <f>($D33*$D35)*'Ausgrid Jul''14'!E21/100</f>
        <v>66.66</v>
      </c>
      <c r="C51" s="54">
        <f>($D33*$D35)*'Ausgrid Jul''14'!F21/100</f>
        <v>69.3</v>
      </c>
      <c r="D51" s="54">
        <f>($D33*$D35)*'Ausgrid Jul''14'!G21/100</f>
        <v>70.62</v>
      </c>
      <c r="E51" s="54">
        <f>($D33*$D35)*'Ausgrid Jul''14'!H21/100</f>
        <v>91.146000000000001</v>
      </c>
      <c r="F51" s="54">
        <f>($D33*$D35)*'Ausgrid Jul''14'!I21/100</f>
        <v>52.206000000000003</v>
      </c>
      <c r="G51" s="54">
        <f>($D33*$D35)*'Ausgrid Jul''14'!J21/100</f>
        <v>71.035799999999995</v>
      </c>
      <c r="H51" s="54">
        <f>($D33*$D35)*'Ausgrid Jul''14'!K21/100</f>
        <v>67.650000000000006</v>
      </c>
      <c r="I51" s="54">
        <f>($D33*$D35)*'Ausgrid Jul''14'!L21/100</f>
        <v>67.650000000000006</v>
      </c>
      <c r="J51" s="54">
        <f>($D33*$D35)*'Ausgrid Jul''14'!M21/100</f>
        <v>73.378799999999998</v>
      </c>
      <c r="K51" s="54">
        <f>($D33*$D35)*'Ausgrid Jul''14'!N21/100</f>
        <v>67.650000000000006</v>
      </c>
      <c r="L51" s="132" t="s">
        <v>129</v>
      </c>
      <c r="M51" s="54">
        <f>($D33*$D35)*'Ausgrid Jul''14'!P21/100</f>
        <v>70.62</v>
      </c>
      <c r="N51" s="36"/>
      <c r="O51" s="36"/>
    </row>
    <row r="52" spans="1:15" x14ac:dyDescent="0.3">
      <c r="A52" s="26" t="s">
        <v>124</v>
      </c>
      <c r="B52" s="104">
        <f>'Ausgrid Jul''14'!E22*91/100</f>
        <v>70.069999999999993</v>
      </c>
      <c r="C52" s="54">
        <f>'Ausgrid Jul''14'!F22*91/100</f>
        <v>72.842770000000002</v>
      </c>
      <c r="D52" s="54">
        <f>'Ausgrid Jul''14'!G22*91/100</f>
        <v>72.041970000000006</v>
      </c>
      <c r="E52" s="54">
        <f>'Ausgrid Jul''14'!H22*91/100</f>
        <v>72.842770000000002</v>
      </c>
      <c r="F52" s="54">
        <f>'Ausgrid Jul''14'!I22*91/100</f>
        <v>72.041970000000006</v>
      </c>
      <c r="G52" s="54">
        <f>'Ausgrid Jul''14'!J22*91/100</f>
        <v>74.624549999999999</v>
      </c>
      <c r="H52" s="54">
        <f>'Ausgrid Jul''14'!K22*91/100</f>
        <v>71.060990000000004</v>
      </c>
      <c r="I52" s="54">
        <f>'Ausgrid Jul''14'!L22*91/100</f>
        <v>71.070999999999998</v>
      </c>
      <c r="J52" s="54">
        <f>'Ausgrid Jul''14'!M22*91/100</f>
        <v>76.57650000000001</v>
      </c>
      <c r="K52" s="54">
        <f>'Ausgrid Jul''14'!N22*91/100</f>
        <v>71.070999999999998</v>
      </c>
      <c r="L52" s="132" t="s">
        <v>129</v>
      </c>
      <c r="M52" s="54">
        <f>'Ausgrid Jul''14'!P22*91/100</f>
        <v>72.041970000000006</v>
      </c>
      <c r="N52" s="36">
        <f>(C52+D52+E52+F52+G52+H52+I52+J52+K52+M52)/10</f>
        <v>72.621549000000002</v>
      </c>
      <c r="O52" s="36"/>
    </row>
    <row r="53" spans="1:15" x14ac:dyDescent="0.3">
      <c r="A53" s="26" t="s">
        <v>87</v>
      </c>
      <c r="B53" s="105">
        <f>SUM(B48:B52)</f>
        <v>511.83</v>
      </c>
      <c r="C53" s="54">
        <f>SUM(C48:C52)</f>
        <v>541.79477000000009</v>
      </c>
      <c r="D53" s="54">
        <f>SUM(D48:D52)</f>
        <v>530.71996999999999</v>
      </c>
      <c r="E53" s="54">
        <f>SUM(E48:E52)</f>
        <v>574.39877000000001</v>
      </c>
      <c r="F53" s="54">
        <f t="shared" ref="F53:M53" si="8">SUM(F48:F52)</f>
        <v>471.42997000000003</v>
      </c>
      <c r="G53" s="54">
        <f t="shared" si="8"/>
        <v>555.13094999999998</v>
      </c>
      <c r="H53" s="54">
        <f t="shared" si="8"/>
        <v>528.68299000000002</v>
      </c>
      <c r="I53" s="54">
        <f t="shared" si="8"/>
        <v>528.69299999999998</v>
      </c>
      <c r="J53" s="54">
        <f t="shared" si="8"/>
        <v>550.17270000000008</v>
      </c>
      <c r="K53" s="54">
        <f t="shared" si="8"/>
        <v>528.69299999999998</v>
      </c>
      <c r="L53" s="132" t="s">
        <v>129</v>
      </c>
      <c r="M53" s="54">
        <f t="shared" si="8"/>
        <v>530.71996999999999</v>
      </c>
      <c r="N53" s="36">
        <f>(C53+D53+E53+F53+G53+H53+I53+J53+K53+M53)/10</f>
        <v>534.04360900000006</v>
      </c>
      <c r="O53" s="36"/>
    </row>
    <row r="54" spans="1:15" x14ac:dyDescent="0.3">
      <c r="A54" s="37" t="s">
        <v>121</v>
      </c>
      <c r="B54" s="100">
        <f>B53*4</f>
        <v>2047.32</v>
      </c>
      <c r="C54" s="63">
        <f>C53*4</f>
        <v>2167.1790800000003</v>
      </c>
      <c r="D54" s="63">
        <f>D53*4</f>
        <v>2122.87988</v>
      </c>
      <c r="E54" s="63">
        <f>E53*4</f>
        <v>2297.5950800000001</v>
      </c>
      <c r="F54" s="63">
        <f t="shared" ref="F54:M54" si="9">F53*4</f>
        <v>1885.7198800000001</v>
      </c>
      <c r="G54" s="63">
        <f t="shared" si="9"/>
        <v>2220.5237999999999</v>
      </c>
      <c r="H54" s="63">
        <f t="shared" si="9"/>
        <v>2114.7319600000001</v>
      </c>
      <c r="I54" s="63">
        <f t="shared" si="9"/>
        <v>2114.7719999999999</v>
      </c>
      <c r="J54" s="63">
        <f t="shared" si="9"/>
        <v>2200.6908000000003</v>
      </c>
      <c r="K54" s="63">
        <f t="shared" si="9"/>
        <v>2114.7719999999999</v>
      </c>
      <c r="L54" s="131" t="s">
        <v>129</v>
      </c>
      <c r="M54" s="63">
        <f t="shared" si="9"/>
        <v>2122.87988</v>
      </c>
      <c r="N54" s="40"/>
      <c r="O54" s="40">
        <f>(C54+D54+E54+F54+G54+H54+I54+J54+K54+M54)/10</f>
        <v>2136.1744360000002</v>
      </c>
    </row>
    <row r="55" spans="1:15" x14ac:dyDescent="0.3">
      <c r="B55" s="101"/>
      <c r="N55" s="41"/>
      <c r="O55" s="41"/>
    </row>
    <row r="56" spans="1:15" x14ac:dyDescent="0.3">
      <c r="A56" s="31" t="s">
        <v>126</v>
      </c>
      <c r="B56" s="103" t="s">
        <v>105</v>
      </c>
      <c r="C56" s="111" t="s">
        <v>106</v>
      </c>
      <c r="D56" s="111" t="s">
        <v>107</v>
      </c>
      <c r="E56" s="111" t="s">
        <v>108</v>
      </c>
      <c r="F56" s="58" t="s">
        <v>52</v>
      </c>
      <c r="G56" s="58" t="s">
        <v>109</v>
      </c>
      <c r="H56" s="58" t="s">
        <v>110</v>
      </c>
      <c r="I56" s="58" t="s">
        <v>111</v>
      </c>
      <c r="J56" s="58" t="s">
        <v>112</v>
      </c>
      <c r="K56" s="58" t="s">
        <v>113</v>
      </c>
      <c r="L56" s="58" t="s">
        <v>114</v>
      </c>
      <c r="M56" s="58" t="s">
        <v>119</v>
      </c>
      <c r="N56" s="34" t="s">
        <v>120</v>
      </c>
      <c r="O56" s="34" t="s">
        <v>121</v>
      </c>
    </row>
    <row r="57" spans="1:15" x14ac:dyDescent="0.3">
      <c r="A57" s="26" t="s">
        <v>122</v>
      </c>
      <c r="B57" s="104">
        <f>IF($D33*$D34&gt;'Endeavour Jul''14'!E16,('Endeavour Jul''14'!E16*'Endeavour Jul''14'!E18/100),('Bills Jul''14'!$D33*'Bills Jul''14'!$D34)*'Endeavour Jul''14'!E18/100)</f>
        <v>374.06599999999997</v>
      </c>
      <c r="C57" s="54">
        <f>IF($D33*$D34&gt;'Endeavour Jul''14'!F16,('Endeavour Jul''14'!F16*'Endeavour Jul''14'!F18/100),('Bills Jul''14'!$D33*'Bills Jul''14'!$D34)*'Endeavour Jul''14'!F18/100)</f>
        <v>389.15800000000002</v>
      </c>
      <c r="D57" s="54">
        <f>IF($D33*$D34&gt;'Endeavour Jul''14'!G16,('Endeavour Jul''14'!G16*'Endeavour Jul''14'!G18/100),('Bills Jul''14'!$D33*'Bills Jul''14'!$D34)*'Endeavour Jul''14'!G18/100)</f>
        <v>385.92400000000004</v>
      </c>
      <c r="E57" s="54">
        <f>IF($D33*$D34&gt;'Endeavour Jul''14'!H16,('Endeavour Jul''14'!H16*'Endeavour Jul''14'!H18/100),('Bills Jul''14'!$D33*'Bills Jul''14'!$D34)*'Endeavour Jul''14'!H18/100)</f>
        <v>389.15800000000002</v>
      </c>
      <c r="F57" s="54">
        <f>IF($D33*$D34&gt;'Endeavour Jul''14'!I16,('Endeavour Jul''14'!I16*'Endeavour Jul''14'!I18/100),('Bills Jul''14'!$D33*'Bills Jul''14'!$D34)*'Endeavour Jul''14'!I18/100)</f>
        <v>345.73</v>
      </c>
      <c r="G57" s="54">
        <f>IF($D33*$D34&gt;'Endeavour Jul''14'!J16,('Endeavour Jul''14'!J16*'Endeavour Jul''14'!J18/100),('Bills Jul''14'!$D33*'Bills Jul''14'!$D34)*'Endeavour Jul''14'!J18/100)</f>
        <v>398.75220000000002</v>
      </c>
      <c r="H57" s="54">
        <f>IF($D33*$D34&gt;'Endeavour Jul''14'!K16,('Endeavour Jul''14'!K16*'Endeavour Jul''14'!K18/100),('Bills Jul''14'!$D33*'Bills Jul''14'!$D34)*'Endeavour Jul''14'!K18/100)</f>
        <v>379.76400000000001</v>
      </c>
      <c r="I57" s="54">
        <f>IF($D33*$D34&gt;'Endeavour Jul''14'!L16,('Endeavour Jul''14'!L16*'Endeavour Jul''14'!L18/100),('Bills Jul''14'!$D33*'Bills Jul''14'!$D34)*'Endeavour Jul''14'!L18/100)</f>
        <v>379.76400000000001</v>
      </c>
      <c r="J57" s="54">
        <f>IF($D33*$D34&gt;'Endeavour Jul''14'!M16,('Endeavour Jul''14'!M16*'Endeavour Jul''14'!M18/100),('Bills Jul''14'!$D33*'Bills Jul''14'!$D34)*'Endeavour Jul''14'!M18/100)</f>
        <v>401.34402</v>
      </c>
      <c r="K57" s="54">
        <f>IF($D33*$D34&gt;'Endeavour Jul''14'!N16,('Endeavour Jul''14'!N16*'Endeavour Jul''14'!N18/100),('Bills Jul''14'!$D33*'Bills Jul''14'!$D34)*'Endeavour Jul''14'!N18/100)</f>
        <v>379.76400000000001</v>
      </c>
      <c r="L57" s="54">
        <f>IF($D33*$D34&gt;'Endeavour Jul''14'!O16,('Endeavour Jul''14'!O16*'Endeavour Jul''14'!O18/100),('Bills Jul''14'!$D33*'Bills Jul''14'!$D34)*'Endeavour Jul''14'!O18/100)</f>
        <v>379.76400000000001</v>
      </c>
      <c r="M57" s="54">
        <f>IF($D33*$D34&gt;'Endeavour Jul''14'!P16,('Endeavour Jul''14'!P16*'Endeavour Jul''14'!P18/100),('Bills Jul''14'!$D33*'Bills Jul''14'!$D34)*'Endeavour Jul''14'!P18/100)</f>
        <v>385.92400000000004</v>
      </c>
      <c r="N57" s="36"/>
      <c r="O57" s="36"/>
    </row>
    <row r="58" spans="1:15" x14ac:dyDescent="0.3">
      <c r="A58" s="26" t="s">
        <v>130</v>
      </c>
      <c r="B58" s="104">
        <v>0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36"/>
      <c r="O58" s="36"/>
    </row>
    <row r="59" spans="1:15" x14ac:dyDescent="0.3">
      <c r="A59" s="26" t="s">
        <v>86</v>
      </c>
      <c r="B59" s="104">
        <f>IF($D33*$D34&lt;'Endeavour Jul''14'!E16,0,('Bills Jul''14'!$D33*'Bills Jul''14'!$D34-'Endeavour Jul''14'!E16)*'Endeavour Jul''14'!E20/100)</f>
        <v>0</v>
      </c>
      <c r="C59" s="54">
        <f>IF($D33*$D34&lt;'Endeavour Jul''14'!F16,0,('Bills Jul''14'!$D33*'Bills Jul''14'!$D34-'Endeavour Jul''14'!F16)*'Endeavour Jul''14'!F20/100)</f>
        <v>0</v>
      </c>
      <c r="D59" s="54">
        <f>IF($D33*$D34&lt;'Endeavour Jul''14'!G16,0,('Bills Jul''14'!$D33*'Bills Jul''14'!$D34-'Endeavour Jul''14'!G16)*'Endeavour Jul''14'!G20/100)</f>
        <v>0</v>
      </c>
      <c r="E59" s="54">
        <f>IF($D33*$D34&lt;'Endeavour Jul''14'!H16,0,('Bills Jul''14'!$D33*'Bills Jul''14'!$D34-'Endeavour Jul''14'!H16)*'Endeavour Jul''14'!H20/100)</f>
        <v>0</v>
      </c>
      <c r="F59" s="54">
        <f>IF($D33*$D34&lt;'Endeavour Jul''14'!I16,0,('Bills Jul''14'!$D33*'Bills Jul''14'!$D34-'Endeavour Jul''14'!I16)*'Endeavour Jul''14'!I20/100)</f>
        <v>0</v>
      </c>
      <c r="G59" s="54">
        <f>IF($D33*$D34&lt;'Endeavour Jul''14'!J16,0,('Bills Jul''14'!$D33*'Bills Jul''14'!$D34-'Endeavour Jul''14'!J16)*'Endeavour Jul''14'!J20/100)</f>
        <v>0</v>
      </c>
      <c r="H59" s="54">
        <f>IF($D33*$D34&lt;'Endeavour Jul''14'!K16,0,('Bills Jul''14'!$D33*'Bills Jul''14'!$D34-'Endeavour Jul''14'!K16)*'Endeavour Jul''14'!K20/100)</f>
        <v>0</v>
      </c>
      <c r="I59" s="54">
        <f>IF($D33*$D34&lt;'Endeavour Jul''14'!L16,0,('Bills Jul''14'!$D33*'Bills Jul''14'!$D34-'Endeavour Jul''14'!L16)*'Endeavour Jul''14'!L20/100)</f>
        <v>0</v>
      </c>
      <c r="J59" s="54">
        <f>IF($D33*$D34&lt;'Endeavour Jul''14'!M16,0,('Bills Jul''14'!$D33*'Bills Jul''14'!$D34-'Endeavour Jul''14'!M16)*'Endeavour Jul''14'!M20/100)</f>
        <v>0</v>
      </c>
      <c r="K59" s="54">
        <f>IF($D33*$D34&lt;'Endeavour Jul''14'!N16,0,('Bills Jul''14'!$D33*'Bills Jul''14'!$D34-'Endeavour Jul''14'!N16)*'Endeavour Jul''14'!N20/100)</f>
        <v>0</v>
      </c>
      <c r="L59" s="54">
        <f>IF($D33*$D34&lt;'Endeavour Jul''14'!O16,0,('Bills Jul''14'!$D33*'Bills Jul''14'!$D34-'Endeavour Jul''14'!O16)*'Endeavour Jul''14'!O20/100)</f>
        <v>0</v>
      </c>
      <c r="M59" s="54">
        <f>IF($D33*$D34&lt;'Endeavour Jul''14'!P16,0,('Bills Jul''14'!$D33*'Bills Jul''14'!$D34-'Endeavour Jul''14'!P16)*'Endeavour Jul''14'!P20/100)</f>
        <v>0</v>
      </c>
      <c r="N59" s="36"/>
      <c r="O59" s="36"/>
    </row>
    <row r="60" spans="1:15" x14ac:dyDescent="0.3">
      <c r="A60" s="26" t="s">
        <v>131</v>
      </c>
      <c r="B60" s="104">
        <f>($D33*$D35)*'Endeavour Jul''14'!E21/100</f>
        <v>55.902000000000001</v>
      </c>
      <c r="C60" s="54">
        <f>($D33*$D35)*'Endeavour Jul''14'!F21/100</f>
        <v>58.146000000000001</v>
      </c>
      <c r="D60" s="54">
        <f>($D33*$D35)*'Endeavour Jul''14'!G21/100</f>
        <v>59.92799999999999</v>
      </c>
      <c r="E60" s="54">
        <f>($D33*$D35)*'Endeavour Jul''14'!H21/100</f>
        <v>90.353999999999999</v>
      </c>
      <c r="F60" s="54">
        <f>($D33*$D35)*'Endeavour Jul''14'!I21/100</f>
        <v>42.701999999999998</v>
      </c>
      <c r="G60" s="54">
        <f>($D33*$D35)*'Endeavour Jul''14'!J21/100</f>
        <v>59.597999999999999</v>
      </c>
      <c r="H60" s="54">
        <f>($D33*$D35)*'Endeavour Jul''14'!K21/100</f>
        <v>56.760000000000012</v>
      </c>
      <c r="I60" s="54">
        <f>($D33*$D35)*'Endeavour Jul''14'!L21/100</f>
        <v>56.760000000000012</v>
      </c>
      <c r="J60" s="54">
        <f>($D33*$D35)*'Endeavour Jul''14'!M21/100</f>
        <v>63.528300000000009</v>
      </c>
      <c r="K60" s="54">
        <f>($D33*$D35)*'Endeavour Jul''14'!N21/100</f>
        <v>56.760000000000012</v>
      </c>
      <c r="L60" s="54">
        <f>($D33*$D35)*'Endeavour Jul''14'!O21/100</f>
        <v>88.176000000000002</v>
      </c>
      <c r="M60" s="54">
        <f>($D33*$D35)*'Endeavour Jul''14'!P21/100</f>
        <v>59.92799999999999</v>
      </c>
      <c r="N60" s="36"/>
      <c r="O60" s="36"/>
    </row>
    <row r="61" spans="1:15" x14ac:dyDescent="0.3">
      <c r="A61" s="26" t="s">
        <v>124</v>
      </c>
      <c r="B61" s="104">
        <f>'Endeavour Jul''14'!E22*91/100</f>
        <v>73.573499999999996</v>
      </c>
      <c r="C61" s="54">
        <f>'Endeavour Jul''14'!F22*91/100</f>
        <v>76.546470000000014</v>
      </c>
      <c r="D61" s="54">
        <f>'Endeavour Jul''14'!G22*91/100</f>
        <v>75.545469999999995</v>
      </c>
      <c r="E61" s="54">
        <f>'Endeavour Jul''14'!H22*91/100</f>
        <v>76.546470000000014</v>
      </c>
      <c r="F61" s="54">
        <f>'Endeavour Jul''14'!I22*91/100</f>
        <v>80.290210000000002</v>
      </c>
      <c r="G61" s="54">
        <f>'Endeavour Jul''14'!J22*91/100</f>
        <v>78.429350999999997</v>
      </c>
      <c r="H61" s="54">
        <f>'Endeavour Jul''14'!K22*91/100</f>
        <v>74.614539999999991</v>
      </c>
      <c r="I61" s="54">
        <f>'Endeavour Jul''14'!L22*91/100</f>
        <v>74.69462</v>
      </c>
      <c r="J61" s="54">
        <f>'Endeavour Jul''14'!M22*91/100</f>
        <v>82.882800000000003</v>
      </c>
      <c r="K61" s="54">
        <f>'Endeavour Jul''14'!N22*91/100</f>
        <v>74.69462</v>
      </c>
      <c r="L61" s="54">
        <f>'Endeavour Jul''14'!O22*91/100</f>
        <v>71.851780000000005</v>
      </c>
      <c r="M61" s="54">
        <f>'Endeavour Jul''14'!P22*91/100</f>
        <v>75.545469999999995</v>
      </c>
      <c r="N61" s="36">
        <f>AVERAGE(C61:M61)</f>
        <v>76.512890999999996</v>
      </c>
      <c r="O61" s="36"/>
    </row>
    <row r="62" spans="1:15" x14ac:dyDescent="0.3">
      <c r="A62" s="26" t="s">
        <v>87</v>
      </c>
      <c r="B62" s="102">
        <f>SUM(B57:B61)</f>
        <v>503.54149999999993</v>
      </c>
      <c r="C62" s="54">
        <f>SUM(C57:C61)</f>
        <v>523.85047000000009</v>
      </c>
      <c r="D62" s="54">
        <f>SUM(D57:D61)</f>
        <v>521.39747</v>
      </c>
      <c r="E62" s="54">
        <f>SUM(E57:E61)</f>
        <v>556.05847000000006</v>
      </c>
      <c r="F62" s="54">
        <f t="shared" ref="F62:M62" si="10">SUM(F57:F61)</f>
        <v>468.72221000000002</v>
      </c>
      <c r="G62" s="54">
        <f t="shared" si="10"/>
        <v>536.77955100000008</v>
      </c>
      <c r="H62" s="54">
        <f t="shared" si="10"/>
        <v>511.13853999999998</v>
      </c>
      <c r="I62" s="54">
        <f t="shared" si="10"/>
        <v>511.21861999999999</v>
      </c>
      <c r="J62" s="54">
        <f t="shared" si="10"/>
        <v>547.75512000000003</v>
      </c>
      <c r="K62" s="54">
        <f t="shared" si="10"/>
        <v>511.21861999999999</v>
      </c>
      <c r="L62" s="54">
        <f t="shared" si="10"/>
        <v>539.79178000000002</v>
      </c>
      <c r="M62" s="54">
        <f t="shared" si="10"/>
        <v>521.39747</v>
      </c>
      <c r="N62" s="36">
        <f>AVERAGE(C62:M62)</f>
        <v>522.66621099999986</v>
      </c>
      <c r="O62" s="36"/>
    </row>
    <row r="63" spans="1:15" x14ac:dyDescent="0.3">
      <c r="A63" s="37" t="s">
        <v>121</v>
      </c>
      <c r="B63" s="100">
        <f>B62*4</f>
        <v>2014.1659999999997</v>
      </c>
      <c r="C63" s="63">
        <f>C62*4</f>
        <v>2095.4018800000003</v>
      </c>
      <c r="D63" s="63">
        <f>D62*4</f>
        <v>2085.58988</v>
      </c>
      <c r="E63" s="63">
        <f>E62*4</f>
        <v>2224.2338800000002</v>
      </c>
      <c r="F63" s="63">
        <f t="shared" ref="F63:M63" si="11">F62*4</f>
        <v>1874.8888400000001</v>
      </c>
      <c r="G63" s="63">
        <f t="shared" si="11"/>
        <v>2147.1182040000003</v>
      </c>
      <c r="H63" s="63">
        <f t="shared" si="11"/>
        <v>2044.5541599999999</v>
      </c>
      <c r="I63" s="63">
        <f t="shared" si="11"/>
        <v>2044.8744799999999</v>
      </c>
      <c r="J63" s="63">
        <f t="shared" si="11"/>
        <v>2191.0204800000001</v>
      </c>
      <c r="K63" s="63">
        <f t="shared" si="11"/>
        <v>2044.8744799999999</v>
      </c>
      <c r="L63" s="63">
        <f t="shared" si="11"/>
        <v>2159.1671200000001</v>
      </c>
      <c r="M63" s="63">
        <f t="shared" si="11"/>
        <v>2085.58988</v>
      </c>
      <c r="N63" s="40"/>
      <c r="O63" s="40">
        <f>AVERAGE(C63:M63)</f>
        <v>2090.6648439999994</v>
      </c>
    </row>
    <row r="66" spans="1:15" x14ac:dyDescent="0.3">
      <c r="A66" s="42" t="s">
        <v>94</v>
      </c>
      <c r="B66" s="30" t="s">
        <v>79</v>
      </c>
      <c r="D66" s="46">
        <v>1800</v>
      </c>
    </row>
    <row r="67" spans="1:15" x14ac:dyDescent="0.3">
      <c r="B67" s="30" t="s">
        <v>91</v>
      </c>
      <c r="D67" s="47">
        <v>0.2</v>
      </c>
    </row>
    <row r="68" spans="1:15" x14ac:dyDescent="0.3">
      <c r="B68" s="30" t="s">
        <v>95</v>
      </c>
      <c r="D68" s="47">
        <v>0.5</v>
      </c>
    </row>
    <row r="69" spans="1:15" x14ac:dyDescent="0.3">
      <c r="B69" s="30" t="s">
        <v>92</v>
      </c>
      <c r="D69" s="47">
        <v>0.3</v>
      </c>
    </row>
    <row r="70" spans="1:15" x14ac:dyDescent="0.3">
      <c r="C70" s="30"/>
      <c r="D70" s="30"/>
    </row>
    <row r="71" spans="1:15" x14ac:dyDescent="0.3">
      <c r="B71" s="30"/>
      <c r="C71" s="30"/>
    </row>
    <row r="72" spans="1:15" x14ac:dyDescent="0.3">
      <c r="A72" s="31" t="s">
        <v>104</v>
      </c>
      <c r="B72" s="103" t="s">
        <v>105</v>
      </c>
      <c r="C72" s="111" t="s">
        <v>106</v>
      </c>
      <c r="D72" s="111" t="s">
        <v>107</v>
      </c>
      <c r="E72" s="111" t="s">
        <v>108</v>
      </c>
      <c r="F72" s="58" t="s">
        <v>52</v>
      </c>
      <c r="G72" s="58" t="s">
        <v>109</v>
      </c>
      <c r="H72" s="58" t="s">
        <v>110</v>
      </c>
      <c r="I72" s="58" t="s">
        <v>111</v>
      </c>
      <c r="J72" s="58" t="s">
        <v>112</v>
      </c>
      <c r="K72" s="58" t="s">
        <v>113</v>
      </c>
      <c r="L72" s="58" t="s">
        <v>114</v>
      </c>
      <c r="M72" s="58" t="s">
        <v>119</v>
      </c>
      <c r="N72" s="34" t="s">
        <v>120</v>
      </c>
      <c r="O72" s="34" t="s">
        <v>121</v>
      </c>
    </row>
    <row r="73" spans="1:15" x14ac:dyDescent="0.3">
      <c r="A73" s="26" t="s">
        <v>132</v>
      </c>
      <c r="B73" s="104">
        <f>($D66*$D67)*'Essential Jul''14'!E27/100</f>
        <v>132.26400000000001</v>
      </c>
      <c r="C73" s="55">
        <f>($D66*$D67)*'Essential Jul''14'!F27/100</f>
        <v>140.77799999999999</v>
      </c>
      <c r="D73" s="55">
        <f>($D66*$D67)*'Essential Jul''14'!G27/100</f>
        <v>135.9864</v>
      </c>
      <c r="E73" s="55">
        <f>($D66*$D67)*'Essential Jul''14'!H27/100</f>
        <v>140.77799999999999</v>
      </c>
      <c r="F73" s="55">
        <f>($D66*$D67)*'Essential Jul''14'!I27/100</f>
        <v>125.05680000000001</v>
      </c>
      <c r="G73" s="55">
        <f>($D66*$D67)*'Essential Jul''14'!J27/100</f>
        <v>144.24300000000002</v>
      </c>
      <c r="H73" s="55">
        <f>($D66*$D67)*'Essential Jul''14'!K27/100</f>
        <v>137.3724</v>
      </c>
      <c r="I73" s="55">
        <f>($D66*$D67)*'Essential Jul''14'!L27/100</f>
        <v>137.3724</v>
      </c>
      <c r="J73" s="55">
        <f>($D66*$D67)*'Essential Jul''14'!M27/100</f>
        <v>140.51483999999999</v>
      </c>
      <c r="K73" s="55">
        <f>($D66*$D67)*'Essential Jul''14'!N27/100</f>
        <v>137.3724</v>
      </c>
      <c r="L73" s="55">
        <f>($D66*$D67)*'Essential Jul''14'!O27/100</f>
        <v>137.3724</v>
      </c>
      <c r="M73" s="132" t="s">
        <v>129</v>
      </c>
      <c r="N73" s="36"/>
      <c r="O73" s="36"/>
    </row>
    <row r="74" spans="1:15" x14ac:dyDescent="0.3">
      <c r="A74" s="26" t="s">
        <v>133</v>
      </c>
      <c r="B74" s="104">
        <f>($D66*$D68)*'Essential Jul''14'!E28/100</f>
        <v>330.66</v>
      </c>
      <c r="C74" s="55">
        <f>($D66*$D68)*'Essential Jul''14'!F28/100</f>
        <v>351.94499999999999</v>
      </c>
      <c r="D74" s="55">
        <f>($D66*$D68)*'Essential Jul''14'!G28/100</f>
        <v>339.96600000000001</v>
      </c>
      <c r="E74" s="55">
        <f>($D66*$D68)*'Essential Jul''14'!H28/100</f>
        <v>351.94499999999999</v>
      </c>
      <c r="F74" s="55">
        <f>($D66*$D68)*'Essential Jul''14'!I28/100</f>
        <v>312.642</v>
      </c>
      <c r="G74" s="55">
        <f>($D66*$D68)*'Essential Jul''14'!J28/100</f>
        <v>360.60750000000002</v>
      </c>
      <c r="H74" s="55">
        <f>($D66*$D68)*'Essential Jul''14'!K28/100</f>
        <v>343.43099999999998</v>
      </c>
      <c r="I74" s="55">
        <f>($D66*$D68)*'Essential Jul''14'!L28/100</f>
        <v>343.43099999999998</v>
      </c>
      <c r="J74" s="55">
        <f>($D66*$D68)*'Essential Jul''14'!M28/100</f>
        <v>351.28710000000001</v>
      </c>
      <c r="K74" s="55">
        <f>($D66*$D68)*'Essential Jul''14'!N28/100</f>
        <v>343.43099999999998</v>
      </c>
      <c r="L74" s="55">
        <f>($D66*$D68)*'Essential Jul''14'!O28/100</f>
        <v>343.43099999999998</v>
      </c>
      <c r="M74" s="132" t="s">
        <v>129</v>
      </c>
      <c r="N74" s="36"/>
      <c r="O74" s="36"/>
    </row>
    <row r="75" spans="1:15" x14ac:dyDescent="0.3">
      <c r="A75" s="26" t="s">
        <v>134</v>
      </c>
      <c r="B75" s="104">
        <f>($D66*$D69)*'Essential Jul''14'!E29/100</f>
        <v>99.970200000000006</v>
      </c>
      <c r="C75" s="55">
        <f>($D66*$D69)*'Essential Jul''14'!F29/100</f>
        <v>105.13799999999999</v>
      </c>
      <c r="D75" s="55">
        <f>($D66*$D69)*'Essential Jul''14'!G29/100</f>
        <v>103.95</v>
      </c>
      <c r="E75" s="55">
        <f>($D66*$D69)*'Essential Jul''14'!H29/100</f>
        <v>105.13799999999999</v>
      </c>
      <c r="F75" s="55">
        <f>($D66*$D69)*'Essential Jul''14'!I29/100</f>
        <v>87.614999999999995</v>
      </c>
      <c r="G75" s="55">
        <f>($D66*$D69)*'Essential Jul''14'!J29/100</f>
        <v>107.71596</v>
      </c>
      <c r="H75" s="55">
        <f>($D66*$D69)*'Essential Jul''14'!K29/100</f>
        <v>102.5838</v>
      </c>
      <c r="I75" s="55">
        <f>($D66*$D69)*'Essential Jul''14'!L29/100</f>
        <v>102.5838</v>
      </c>
      <c r="J75" s="55">
        <f>($D66*$D69)*'Essential Jul''14'!M29/100</f>
        <v>105.53922</v>
      </c>
      <c r="K75" s="55">
        <f>($D66*$D69)*'Essential Jul''14'!N29/100</f>
        <v>102.5838</v>
      </c>
      <c r="L75" s="55">
        <f>($D66*$D69)*'Essential Jul''14'!O29/100</f>
        <v>102.5838</v>
      </c>
      <c r="M75" s="132" t="s">
        <v>129</v>
      </c>
      <c r="N75" s="36"/>
      <c r="O75" s="36"/>
    </row>
    <row r="76" spans="1:15" x14ac:dyDescent="0.3">
      <c r="A76" s="26" t="s">
        <v>124</v>
      </c>
      <c r="B76" s="104">
        <f>'Essential Jul''14'!E30*91/100</f>
        <v>123.03290999999999</v>
      </c>
      <c r="C76" s="55">
        <f>'Essential Jul''14'!F30*91/100</f>
        <v>128.01788999999999</v>
      </c>
      <c r="D76" s="55">
        <f>'Essential Jul''14'!G30*91/100</f>
        <v>126.95683000000001</v>
      </c>
      <c r="E76" s="55">
        <f>'Essential Jul''14'!H30*91/100</f>
        <v>128.01788999999999</v>
      </c>
      <c r="F76" s="55">
        <f>'Essential Jul''14'!I30*91/100</f>
        <v>126.95683000000001</v>
      </c>
      <c r="G76" s="55">
        <f>'Essential Jul''14'!J30*91/100</f>
        <v>131.15001900000001</v>
      </c>
      <c r="H76" s="55">
        <f>'Essential Jul''14'!K30*91/100</f>
        <v>124.88475999999999</v>
      </c>
      <c r="I76" s="55">
        <f>'Essential Jul''14'!L30*91/100</f>
        <v>124.90478000000002</v>
      </c>
      <c r="J76" s="55">
        <f>'Essential Jul''14'!M30*91/100</f>
        <v>149.49934999999999</v>
      </c>
      <c r="K76" s="55">
        <f>'Essential Jul''14'!N30*91/100</f>
        <v>124.90478000000002</v>
      </c>
      <c r="L76" s="55">
        <f>'Essential Jul''14'!O30*91/100</f>
        <v>124.90478000000002</v>
      </c>
      <c r="M76" s="132" t="s">
        <v>129</v>
      </c>
      <c r="N76" s="36">
        <f>AVERAGE(C76:L76)</f>
        <v>129.01979090000003</v>
      </c>
      <c r="O76" s="36"/>
    </row>
    <row r="77" spans="1:15" x14ac:dyDescent="0.3">
      <c r="A77" s="26" t="s">
        <v>87</v>
      </c>
      <c r="B77" s="105">
        <f>SUM(B73:B76)</f>
        <v>685.92711000000008</v>
      </c>
      <c r="C77" s="55">
        <f>SUM(C73:C76)</f>
        <v>725.87888999999996</v>
      </c>
      <c r="D77" s="55">
        <f>SUM(D73:D76)</f>
        <v>706.85923000000003</v>
      </c>
      <c r="E77" s="55">
        <f>SUM(E73:E76)</f>
        <v>725.87888999999996</v>
      </c>
      <c r="F77" s="55">
        <f>SUM(F73:F76)</f>
        <v>652.27062999999998</v>
      </c>
      <c r="G77" s="55">
        <f t="shared" ref="G77:L77" si="12">SUM(G73:G76)</f>
        <v>743.71647900000005</v>
      </c>
      <c r="H77" s="55">
        <f t="shared" si="12"/>
        <v>708.27196000000004</v>
      </c>
      <c r="I77" s="55">
        <f t="shared" si="12"/>
        <v>708.29197999999997</v>
      </c>
      <c r="J77" s="55">
        <f t="shared" si="12"/>
        <v>746.84050999999999</v>
      </c>
      <c r="K77" s="55">
        <f t="shared" si="12"/>
        <v>708.29197999999997</v>
      </c>
      <c r="L77" s="55">
        <f t="shared" si="12"/>
        <v>708.29197999999997</v>
      </c>
      <c r="M77" s="132" t="s">
        <v>129</v>
      </c>
      <c r="N77" s="36">
        <f>AVERAGE(C77:L77)</f>
        <v>713.45925289999991</v>
      </c>
      <c r="O77" s="36"/>
    </row>
    <row r="78" spans="1:15" x14ac:dyDescent="0.3">
      <c r="A78" s="37" t="s">
        <v>121</v>
      </c>
      <c r="B78" s="100">
        <f>B77*4</f>
        <v>2743.7084400000003</v>
      </c>
      <c r="C78" s="63">
        <f>C77*4</f>
        <v>2903.5155599999998</v>
      </c>
      <c r="D78" s="63">
        <f>D77*4</f>
        <v>2827.4369200000001</v>
      </c>
      <c r="E78" s="63">
        <f>E77*4</f>
        <v>2903.5155599999998</v>
      </c>
      <c r="F78" s="63">
        <f>F77*4</f>
        <v>2609.0825199999999</v>
      </c>
      <c r="G78" s="63">
        <f t="shared" ref="G78:L78" si="13">G77*4</f>
        <v>2974.8659160000002</v>
      </c>
      <c r="H78" s="63">
        <f t="shared" si="13"/>
        <v>2833.0878400000001</v>
      </c>
      <c r="I78" s="63">
        <f t="shared" si="13"/>
        <v>2833.1679199999999</v>
      </c>
      <c r="J78" s="63">
        <f t="shared" si="13"/>
        <v>2987.36204</v>
      </c>
      <c r="K78" s="63">
        <f t="shared" si="13"/>
        <v>2833.1679199999999</v>
      </c>
      <c r="L78" s="63">
        <f t="shared" si="13"/>
        <v>2833.1679199999999</v>
      </c>
      <c r="M78" s="131" t="s">
        <v>129</v>
      </c>
      <c r="N78" s="40"/>
      <c r="O78" s="40">
        <f>AVERAGE(C78:L78)</f>
        <v>2853.8370115999996</v>
      </c>
    </row>
    <row r="79" spans="1:15" x14ac:dyDescent="0.3">
      <c r="B79" s="101"/>
    </row>
    <row r="80" spans="1:15" x14ac:dyDescent="0.3">
      <c r="A80" s="31" t="s">
        <v>125</v>
      </c>
      <c r="B80" s="103" t="s">
        <v>105</v>
      </c>
      <c r="C80" s="111" t="s">
        <v>106</v>
      </c>
      <c r="D80" s="111" t="s">
        <v>107</v>
      </c>
      <c r="E80" s="111" t="s">
        <v>108</v>
      </c>
      <c r="F80" s="58" t="s">
        <v>52</v>
      </c>
      <c r="G80" s="58" t="s">
        <v>109</v>
      </c>
      <c r="H80" s="58" t="s">
        <v>110</v>
      </c>
      <c r="I80" s="58" t="s">
        <v>111</v>
      </c>
      <c r="J80" s="58" t="s">
        <v>112</v>
      </c>
      <c r="K80" s="58" t="s">
        <v>113</v>
      </c>
      <c r="L80" s="58" t="s">
        <v>114</v>
      </c>
      <c r="M80" s="58" t="s">
        <v>119</v>
      </c>
      <c r="N80" s="34" t="s">
        <v>120</v>
      </c>
      <c r="O80" s="34" t="s">
        <v>121</v>
      </c>
    </row>
    <row r="81" spans="1:15" x14ac:dyDescent="0.3">
      <c r="A81" s="26" t="s">
        <v>132</v>
      </c>
      <c r="B81" s="104">
        <f>($D66*$D67)*'Ausgrid Jul''14'!E27/100</f>
        <v>186.51600000000002</v>
      </c>
      <c r="C81" s="55">
        <f>($D66*$D67)*'Ausgrid Jul''14'!F27/100</f>
        <v>193.88159999999999</v>
      </c>
      <c r="D81" s="55">
        <f>($D66*$D67)*'Ausgrid Jul''14'!G27/100</f>
        <v>193.3272</v>
      </c>
      <c r="E81" s="55">
        <f>($D66*$D67)*'Ausgrid Jul''14'!H27/100</f>
        <v>193.88159999999999</v>
      </c>
      <c r="F81" s="55">
        <f>($D66*$D67)*'Ausgrid Jul''14'!I27/100</f>
        <v>175.82400000000001</v>
      </c>
      <c r="G81" s="55">
        <f>($D66*$D67)*'Ausgrid Jul''14'!J27/100</f>
        <v>198.62963999999999</v>
      </c>
      <c r="H81" s="55">
        <f>($D66*$D67)*'Ausgrid Jul''14'!K27/100</f>
        <v>189.16919999999999</v>
      </c>
      <c r="I81" s="55">
        <f>($D66*$D67)*'Ausgrid Jul''14'!L27/100</f>
        <v>189.16919999999999</v>
      </c>
      <c r="J81" s="55">
        <f>($D66*$D67)*'Ausgrid Jul''14'!M27/100</f>
        <v>195.90119999999999</v>
      </c>
      <c r="K81" s="55">
        <f>($D66*$D67)*'Ausgrid Jul''14'!N27/100</f>
        <v>189.16919999999999</v>
      </c>
      <c r="L81" s="132" t="s">
        <v>129</v>
      </c>
      <c r="M81" s="55">
        <f>($D66*$D67)*'Ausgrid Jul''14'!P27/100</f>
        <v>193.3272</v>
      </c>
      <c r="N81" s="36"/>
      <c r="O81" s="36"/>
    </row>
    <row r="82" spans="1:15" x14ac:dyDescent="0.3">
      <c r="A82" s="26" t="s">
        <v>133</v>
      </c>
      <c r="B82" s="104">
        <f>($D66*$D68)*'Ausgrid Jul''14'!E28/100</f>
        <v>194.04</v>
      </c>
      <c r="C82" s="55">
        <f>($D66*$D68)*'Ausgrid Jul''14'!F28/100</f>
        <v>201.465</v>
      </c>
      <c r="D82" s="55">
        <f>($D66*$D68)*'Ausgrid Jul''14'!G28/100</f>
        <v>201.762</v>
      </c>
      <c r="E82" s="55">
        <f>($D66*$D68)*'Ausgrid Jul''14'!H28/100</f>
        <v>201.465</v>
      </c>
      <c r="F82" s="55">
        <f>($D66*$D68)*'Ausgrid Jul''14'!I28/100</f>
        <v>167.70599999999999</v>
      </c>
      <c r="G82" s="55">
        <f>($D66*$D68)*'Ausgrid Jul''14'!J28/100</f>
        <v>206.44470000000001</v>
      </c>
      <c r="H82" s="55">
        <f>($D66*$D68)*'Ausgrid Jul''14'!K28/100</f>
        <v>196.614</v>
      </c>
      <c r="I82" s="55">
        <f>($D66*$D68)*'Ausgrid Jul''14'!L28/100</f>
        <v>196.614</v>
      </c>
      <c r="J82" s="55">
        <f>($D66*$D68)*'Ausgrid Jul''14'!M28/100</f>
        <v>207.61488</v>
      </c>
      <c r="K82" s="55">
        <f>($D66*$D68)*'Ausgrid Jul''14'!N28/100</f>
        <v>196.614</v>
      </c>
      <c r="L82" s="132" t="s">
        <v>129</v>
      </c>
      <c r="M82" s="55">
        <f>($D66*$D68)*'Ausgrid Jul''14'!P28/100</f>
        <v>201.762</v>
      </c>
      <c r="N82" s="36"/>
      <c r="O82" s="36"/>
    </row>
    <row r="83" spans="1:15" x14ac:dyDescent="0.3">
      <c r="A83" s="26" t="s">
        <v>134</v>
      </c>
      <c r="B83" s="104">
        <f>($D66*$D69)*'Ausgrid Jul''14'!E29/100</f>
        <v>70.091999999999999</v>
      </c>
      <c r="C83" s="55">
        <f>($D66*$D69)*'Ausgrid Jul''14'!F29/100</f>
        <v>72.824400000000011</v>
      </c>
      <c r="D83" s="55">
        <f>($D66*$D69)*'Ausgrid Jul''14'!G29/100</f>
        <v>73.834199999999996</v>
      </c>
      <c r="E83" s="55">
        <f>($D66*$D69)*'Ausgrid Jul''14'!H29/100</f>
        <v>72.824400000000011</v>
      </c>
      <c r="F83" s="55">
        <f>($D66*$D69)*'Ausgrid Jul''14'!I29/100</f>
        <v>55.776600000000009</v>
      </c>
      <c r="G83" s="55">
        <f>($D66*$D69)*'Ausgrid Jul''14'!J29/100</f>
        <v>74.659860000000009</v>
      </c>
      <c r="H83" s="55">
        <f>($D66*$D69)*'Ausgrid Jul''14'!K29/100</f>
        <v>71.101799999999997</v>
      </c>
      <c r="I83" s="55">
        <f>($D66*$D69)*'Ausgrid Jul''14'!L29/100</f>
        <v>71.101799999999997</v>
      </c>
      <c r="J83" s="55">
        <f>($D66*$D69)*'Ausgrid Jul''14'!M29/100</f>
        <v>75.06853199999999</v>
      </c>
      <c r="K83" s="55">
        <f>($D66*$D69)*'Ausgrid Jul''14'!N29/100</f>
        <v>71.101799999999997</v>
      </c>
      <c r="L83" s="132" t="s">
        <v>129</v>
      </c>
      <c r="M83" s="55">
        <f>($D66*$D69)*'Ausgrid Jul''14'!P29/100</f>
        <v>73.834199999999996</v>
      </c>
      <c r="N83" s="36"/>
      <c r="O83" s="36"/>
    </row>
    <row r="84" spans="1:15" x14ac:dyDescent="0.3">
      <c r="A84" s="26" t="s">
        <v>124</v>
      </c>
      <c r="B84" s="104">
        <f>'Ausgrid Jul''14'!E30*91/100</f>
        <v>78.078000000000003</v>
      </c>
      <c r="C84" s="55">
        <f>'Ausgrid Jul''14'!F30*91/100</f>
        <v>81.311229999999995</v>
      </c>
      <c r="D84" s="55">
        <f>'Ausgrid Jul''14'!G30*91/100</f>
        <v>80.610529999999997</v>
      </c>
      <c r="E84" s="55">
        <f>'Ausgrid Jul''14'!H30*91/100</f>
        <v>81.311229999999995</v>
      </c>
      <c r="F84" s="55">
        <f>'Ausgrid Jul''14'!I30*91/100</f>
        <v>79.639560000000003</v>
      </c>
      <c r="G84" s="55">
        <f>'Ausgrid Jul''14'!J30*91/100</f>
        <v>83.296213000000009</v>
      </c>
      <c r="H84" s="55">
        <f>'Ausgrid Jul''14'!K30*91/100</f>
        <v>79.329250000000002</v>
      </c>
      <c r="I84" s="55">
        <f>'Ausgrid Jul''14'!L30*91/100</f>
        <v>79.329250000000002</v>
      </c>
      <c r="J84" s="55">
        <f>'Ausgrid Jul''14'!M30*91/100</f>
        <v>84.234149999999985</v>
      </c>
      <c r="K84" s="55">
        <f>'Ausgrid Jul''14'!N30*91/100</f>
        <v>79.329250000000002</v>
      </c>
      <c r="L84" s="132" t="s">
        <v>129</v>
      </c>
      <c r="M84" s="55">
        <f>'Ausgrid Jul''14'!P30*91/100</f>
        <v>80.610529999999997</v>
      </c>
      <c r="N84" s="36">
        <f>(C84+D84+E84+F84+G84+H84+I84+J84+K84+M84)/10</f>
        <v>80.9001193</v>
      </c>
      <c r="O84" s="36"/>
    </row>
    <row r="85" spans="1:15" x14ac:dyDescent="0.3">
      <c r="A85" s="26" t="s">
        <v>87</v>
      </c>
      <c r="B85" s="105">
        <f>SUM(B81:B84)</f>
        <v>528.726</v>
      </c>
      <c r="C85" s="55">
        <f>SUM(C81:C84)</f>
        <v>549.48222999999996</v>
      </c>
      <c r="D85" s="55">
        <f>SUM(D81:D84)</f>
        <v>549.53393000000005</v>
      </c>
      <c r="E85" s="55">
        <f>SUM(E81:E84)</f>
        <v>549.48222999999996</v>
      </c>
      <c r="F85" s="55">
        <f t="shared" ref="F85:M85" si="14">SUM(F81:F84)</f>
        <v>478.94616000000002</v>
      </c>
      <c r="G85" s="55">
        <f t="shared" si="14"/>
        <v>563.03041299999995</v>
      </c>
      <c r="H85" s="55">
        <f t="shared" si="14"/>
        <v>536.21424999999999</v>
      </c>
      <c r="I85" s="55">
        <f t="shared" si="14"/>
        <v>536.21424999999999</v>
      </c>
      <c r="J85" s="55">
        <f t="shared" si="14"/>
        <v>562.81876199999999</v>
      </c>
      <c r="K85" s="55">
        <f t="shared" si="14"/>
        <v>536.21424999999999</v>
      </c>
      <c r="L85" s="132" t="s">
        <v>129</v>
      </c>
      <c r="M85" s="55">
        <f t="shared" si="14"/>
        <v>549.53393000000005</v>
      </c>
      <c r="N85" s="36">
        <f>(C85+D85+E85+F85+G85+H85+I85+J85+K85+M85)/10</f>
        <v>541.1470405</v>
      </c>
      <c r="O85" s="36"/>
    </row>
    <row r="86" spans="1:15" x14ac:dyDescent="0.3">
      <c r="A86" s="37" t="s">
        <v>121</v>
      </c>
      <c r="B86" s="100">
        <f>B85*4</f>
        <v>2114.904</v>
      </c>
      <c r="C86" s="63">
        <f>C85*4</f>
        <v>2197.9289199999998</v>
      </c>
      <c r="D86" s="63">
        <f>D85*4</f>
        <v>2198.1357200000002</v>
      </c>
      <c r="E86" s="63">
        <f>E85*4</f>
        <v>2197.9289199999998</v>
      </c>
      <c r="F86" s="63">
        <f t="shared" ref="F86:M86" si="15">F85*4</f>
        <v>1915.7846400000001</v>
      </c>
      <c r="G86" s="63">
        <f t="shared" si="15"/>
        <v>2252.1216519999998</v>
      </c>
      <c r="H86" s="63">
        <f t="shared" si="15"/>
        <v>2144.857</v>
      </c>
      <c r="I86" s="63">
        <f t="shared" si="15"/>
        <v>2144.857</v>
      </c>
      <c r="J86" s="63">
        <f t="shared" si="15"/>
        <v>2251.275048</v>
      </c>
      <c r="K86" s="63">
        <f t="shared" si="15"/>
        <v>2144.857</v>
      </c>
      <c r="L86" s="131" t="s">
        <v>129</v>
      </c>
      <c r="M86" s="63">
        <f t="shared" si="15"/>
        <v>2198.1357200000002</v>
      </c>
      <c r="N86" s="40"/>
      <c r="O86" s="40">
        <f>(C86+D86+E86+F86+G86+H86+I86+J86+K86+M86)/10</f>
        <v>2164.588162</v>
      </c>
    </row>
    <row r="87" spans="1:15" x14ac:dyDescent="0.3">
      <c r="B87" s="101"/>
    </row>
    <row r="88" spans="1:15" x14ac:dyDescent="0.3">
      <c r="A88" s="31" t="s">
        <v>136</v>
      </c>
      <c r="B88" s="103" t="s">
        <v>105</v>
      </c>
      <c r="C88" s="111" t="s">
        <v>106</v>
      </c>
      <c r="D88" s="111" t="s">
        <v>107</v>
      </c>
      <c r="E88" s="111" t="s">
        <v>108</v>
      </c>
      <c r="F88" s="58" t="s">
        <v>52</v>
      </c>
      <c r="G88" s="58" t="s">
        <v>109</v>
      </c>
      <c r="H88" s="58" t="s">
        <v>110</v>
      </c>
      <c r="I88" s="58" t="s">
        <v>111</v>
      </c>
      <c r="J88" s="58" t="s">
        <v>112</v>
      </c>
      <c r="K88" s="58" t="s">
        <v>113</v>
      </c>
      <c r="L88" s="58" t="s">
        <v>114</v>
      </c>
      <c r="M88" s="58" t="s">
        <v>119</v>
      </c>
      <c r="N88" s="34" t="s">
        <v>120</v>
      </c>
      <c r="O88" s="34" t="s">
        <v>121</v>
      </c>
    </row>
    <row r="89" spans="1:15" x14ac:dyDescent="0.3">
      <c r="A89" s="26" t="s">
        <v>132</v>
      </c>
      <c r="B89" s="104">
        <f>($D66*$D67)*'Endeavour Jul''14'!E27/100</f>
        <v>137.13480000000001</v>
      </c>
      <c r="C89" s="55">
        <f>($D66*$D67)*'Endeavour Jul''14'!F27/100</f>
        <v>145.17359999999999</v>
      </c>
      <c r="D89" s="55">
        <f>($D66*$D67)*'Endeavour Jul''14'!G27/100</f>
        <v>140.8176</v>
      </c>
      <c r="E89" s="55">
        <f>($D66*$D67)*'Endeavour Jul''14'!H27/100</f>
        <v>145.17359999999999</v>
      </c>
      <c r="F89" s="55">
        <f>($D66*$D67)*'Endeavour Jul''14'!I27/100</f>
        <v>130.482</v>
      </c>
      <c r="G89" s="55">
        <f>($D66*$D67)*'Endeavour Jul''14'!J27/100</f>
        <v>148.73364000000001</v>
      </c>
      <c r="H89" s="55">
        <f>($D66*$D67)*'Endeavour Jul''14'!K27/100</f>
        <v>141.64920000000001</v>
      </c>
      <c r="I89" s="55">
        <f>($D66*$D67)*'Endeavour Jul''14'!L27/100</f>
        <v>141.64920000000001</v>
      </c>
      <c r="J89" s="55">
        <f>($D66*$D67)*'Endeavour Jul''14'!M27/100</f>
        <v>147.95946000000001</v>
      </c>
      <c r="K89" s="55">
        <f>($D66*$D67)*'Endeavour Jul''14'!N27/100</f>
        <v>141.64920000000001</v>
      </c>
      <c r="L89" s="55">
        <f>($D66*$D67)*'Endeavour Jul''14'!O27/100</f>
        <v>141.64920000000001</v>
      </c>
      <c r="M89" s="132" t="s">
        <v>129</v>
      </c>
      <c r="N89" s="36"/>
      <c r="O89" s="36"/>
    </row>
    <row r="90" spans="1:15" x14ac:dyDescent="0.3">
      <c r="A90" s="26" t="s">
        <v>133</v>
      </c>
      <c r="B90" s="104">
        <f>($D66*$D68)*'Endeavour Jul''14'!E28/100</f>
        <v>266.31</v>
      </c>
      <c r="C90" s="55">
        <f>($D66*$D68)*'Endeavour Jul''14'!F28/100</f>
        <v>279.08099999999996</v>
      </c>
      <c r="D90" s="55">
        <f>($D66*$D68)*'Endeavour Jul''14'!G28/100</f>
        <v>274.32900000000001</v>
      </c>
      <c r="E90" s="55">
        <f>($D66*$D68)*'Endeavour Jul''14'!H28/100</f>
        <v>279.08099999999996</v>
      </c>
      <c r="F90" s="55">
        <f>($D66*$D68)*'Endeavour Jul''14'!I28/100</f>
        <v>245.79</v>
      </c>
      <c r="G90" s="55">
        <f>($D66*$D68)*'Endeavour Jul''14'!J28/100</f>
        <v>285.97140000000002</v>
      </c>
      <c r="H90" s="55">
        <f>($D66*$D68)*'Endeavour Jul''14'!K28/100</f>
        <v>272.34899999999999</v>
      </c>
      <c r="I90" s="55">
        <f>($D66*$D68)*'Endeavour Jul''14'!L28/100</f>
        <v>272.34899999999999</v>
      </c>
      <c r="J90" s="55">
        <f>($D66*$D68)*'Endeavour Jul''14'!M28/100</f>
        <v>263.33505000000002</v>
      </c>
      <c r="K90" s="55">
        <f>($D66*$D68)*'Endeavour Jul''14'!N28/100</f>
        <v>272.34899999999999</v>
      </c>
      <c r="L90" s="55">
        <f>($D66*$D68)*'Endeavour Jul''14'!O28/100</f>
        <v>272.34899999999999</v>
      </c>
      <c r="M90" s="132" t="s">
        <v>129</v>
      </c>
      <c r="N90" s="36"/>
      <c r="O90" s="36"/>
    </row>
    <row r="91" spans="1:15" x14ac:dyDescent="0.3">
      <c r="A91" s="26" t="s">
        <v>134</v>
      </c>
      <c r="B91" s="104">
        <f>($D66*$D69)*'Endeavour Jul''14'!E29/100</f>
        <v>81.19980000000001</v>
      </c>
      <c r="C91" s="55">
        <f>($D66*$D69)*'Endeavour Jul''14'!F29/100</f>
        <v>84.466800000000006</v>
      </c>
      <c r="D91" s="55">
        <f>($D66*$D69)*'Endeavour Jul''14'!G29/100</f>
        <v>85.536000000000001</v>
      </c>
      <c r="E91" s="55">
        <f>($D66*$D69)*'Endeavour Jul''14'!H29/100</f>
        <v>84.466800000000006</v>
      </c>
      <c r="F91" s="55">
        <f>($D66*$D69)*'Endeavour Jul''14'!I29/100</f>
        <v>70.091999999999999</v>
      </c>
      <c r="G91" s="55">
        <f>($D66*$D69)*'Endeavour Jul''14'!J29/100</f>
        <v>86.569559999999996</v>
      </c>
      <c r="H91" s="55">
        <f>($D66*$D69)*'Endeavour Jul''14'!K29/100</f>
        <v>82.447200000000009</v>
      </c>
      <c r="I91" s="55">
        <f>($D66*$D69)*'Endeavour Jul''14'!L29/100</f>
        <v>82.447200000000009</v>
      </c>
      <c r="J91" s="55">
        <f>($D66*$D69)*'Endeavour Jul''14'!M29/100</f>
        <v>88.222662</v>
      </c>
      <c r="K91" s="55">
        <f>($D66*$D69)*'Endeavour Jul''14'!N29/100</f>
        <v>82.447200000000009</v>
      </c>
      <c r="L91" s="55">
        <f>($D66*$D69)*'Endeavour Jul''14'!O29/100</f>
        <v>82.447200000000009</v>
      </c>
      <c r="M91" s="132" t="s">
        <v>129</v>
      </c>
      <c r="N91" s="36"/>
      <c r="O91" s="36"/>
    </row>
    <row r="92" spans="1:15" x14ac:dyDescent="0.3">
      <c r="A92" s="26" t="s">
        <v>124</v>
      </c>
      <c r="B92" s="104">
        <f>'Endeavour Jul''14'!E30*91/100</f>
        <v>88.618529999999993</v>
      </c>
      <c r="C92" s="55">
        <f>'Endeavour Jul''14'!F30*91/100</f>
        <v>92.212119999999999</v>
      </c>
      <c r="D92" s="55">
        <f>'Endeavour Jul''14'!G30*91/100</f>
        <v>91.32123</v>
      </c>
      <c r="E92" s="55">
        <f>'Endeavour Jul''14'!H30*91/100</f>
        <v>92.212119999999999</v>
      </c>
      <c r="F92" s="55">
        <f>'Endeavour Jul''14'!I30*91/100</f>
        <v>91.32123</v>
      </c>
      <c r="G92" s="55">
        <f>'Endeavour Jul''14'!J30*91/100</f>
        <v>94.468373999999997</v>
      </c>
      <c r="H92" s="55">
        <f>'Endeavour Jul''14'!K30*91/100</f>
        <v>89.939849999999993</v>
      </c>
      <c r="I92" s="55">
        <f>'Endeavour Jul''14'!L30*91/100</f>
        <v>89.969879999999989</v>
      </c>
      <c r="J92" s="55">
        <f>'Endeavour Jul''14'!M30*91/100</f>
        <v>96.356260000000006</v>
      </c>
      <c r="K92" s="55">
        <f>'Endeavour Jul''14'!N30*91/100</f>
        <v>89.969879999999989</v>
      </c>
      <c r="L92" s="55">
        <f>'Endeavour Jul''14'!O30*91/100</f>
        <v>89.969879999999989</v>
      </c>
      <c r="M92" s="132" t="s">
        <v>129</v>
      </c>
      <c r="N92" s="36">
        <f>AVERAGE(C92:L92)</f>
        <v>91.774082399999998</v>
      </c>
      <c r="O92" s="36"/>
    </row>
    <row r="93" spans="1:15" x14ac:dyDescent="0.3">
      <c r="A93" s="26" t="s">
        <v>87</v>
      </c>
      <c r="B93" s="105">
        <f>SUM(B89:B92)</f>
        <v>573.26312999999993</v>
      </c>
      <c r="C93" s="55">
        <f>SUM(C89:C92)</f>
        <v>600.93352000000004</v>
      </c>
      <c r="D93" s="55">
        <f>SUM(D89:D92)</f>
        <v>592.00382999999999</v>
      </c>
      <c r="E93" s="55">
        <f>SUM(E89:E92)</f>
        <v>600.93352000000004</v>
      </c>
      <c r="F93" s="55">
        <f t="shared" ref="F93:L93" si="16">SUM(F89:F92)</f>
        <v>537.68522999999993</v>
      </c>
      <c r="G93" s="55">
        <f t="shared" si="16"/>
        <v>615.74297400000012</v>
      </c>
      <c r="H93" s="55">
        <f t="shared" si="16"/>
        <v>586.38525000000004</v>
      </c>
      <c r="I93" s="55">
        <f t="shared" si="16"/>
        <v>586.41527999999994</v>
      </c>
      <c r="J93" s="55">
        <f t="shared" si="16"/>
        <v>595.87343200000009</v>
      </c>
      <c r="K93" s="55">
        <f t="shared" si="16"/>
        <v>586.41527999999994</v>
      </c>
      <c r="L93" s="55">
        <f t="shared" si="16"/>
        <v>586.41527999999994</v>
      </c>
      <c r="M93" s="132" t="s">
        <v>129</v>
      </c>
      <c r="N93" s="36">
        <f>AVERAGE(C93:L93)</f>
        <v>588.88035960000013</v>
      </c>
      <c r="O93" s="36"/>
    </row>
    <row r="94" spans="1:15" x14ac:dyDescent="0.3">
      <c r="A94" s="37" t="s">
        <v>121</v>
      </c>
      <c r="B94" s="100">
        <f>B93*4</f>
        <v>2293.0525199999997</v>
      </c>
      <c r="C94" s="63">
        <f>C93*4</f>
        <v>2403.7340800000002</v>
      </c>
      <c r="D94" s="63">
        <f>D93*4</f>
        <v>2368.01532</v>
      </c>
      <c r="E94" s="63">
        <f>E93*4</f>
        <v>2403.7340800000002</v>
      </c>
      <c r="F94" s="63">
        <f t="shared" ref="F94:L94" si="17">F93*4</f>
        <v>2150.7409199999997</v>
      </c>
      <c r="G94" s="63">
        <f t="shared" si="17"/>
        <v>2462.9718960000005</v>
      </c>
      <c r="H94" s="63">
        <f t="shared" si="17"/>
        <v>2345.5410000000002</v>
      </c>
      <c r="I94" s="63">
        <f t="shared" si="17"/>
        <v>2345.6611199999998</v>
      </c>
      <c r="J94" s="63">
        <f t="shared" si="17"/>
        <v>2383.4937280000004</v>
      </c>
      <c r="K94" s="63">
        <f t="shared" si="17"/>
        <v>2345.6611199999998</v>
      </c>
      <c r="L94" s="63">
        <f t="shared" si="17"/>
        <v>2345.6611199999998</v>
      </c>
      <c r="M94" s="131" t="s">
        <v>129</v>
      </c>
      <c r="N94" s="40"/>
      <c r="O94" s="40">
        <f>AVERAGE(C94:L94)</f>
        <v>2355.5214384000005</v>
      </c>
    </row>
  </sheetData>
  <sheetProtection algorithmName="SHA-512" hashValue="w6jYEAgVyllGtih329jWWu+WFC9Pqg+Jp3AJr5F5kwWvk9Cf1iyZ9B1biJwA78+U4hrALvnOF5PcuxkSxNwbVQ==" saltValue="Gj2a9rNfmzA7eoQzFMFuBQ==" spinCount="100000" sheet="1" objects="1" scenarios="1"/>
  <phoneticPr fontId="5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9"/>
  <dimension ref="A1:G46"/>
  <sheetViews>
    <sheetView workbookViewId="0">
      <selection activeCell="D43" sqref="D43"/>
    </sheetView>
  </sheetViews>
  <sheetFormatPr defaultColWidth="10.84375" defaultRowHeight="13.5" x14ac:dyDescent="0.3"/>
  <cols>
    <col min="1" max="1" width="14.15234375" style="26" customWidth="1"/>
    <col min="2" max="2" width="5.84375" style="26" customWidth="1"/>
    <col min="3" max="4" width="19.84375" style="26" customWidth="1"/>
    <col min="5" max="5" width="20.15234375" style="26" customWidth="1"/>
    <col min="6" max="7" width="10" style="26" customWidth="1"/>
    <col min="8" max="16384" width="10.84375" style="26"/>
  </cols>
  <sheetData>
    <row r="1" spans="1:7" x14ac:dyDescent="0.3">
      <c r="A1" s="25" t="s">
        <v>138</v>
      </c>
    </row>
    <row r="2" spans="1:7" x14ac:dyDescent="0.3">
      <c r="A2" s="60"/>
      <c r="B2" s="60"/>
      <c r="C2" s="60"/>
      <c r="D2" s="60"/>
      <c r="E2" s="60"/>
      <c r="F2" s="60"/>
      <c r="G2" s="60"/>
    </row>
    <row r="3" spans="1:7" x14ac:dyDescent="0.3">
      <c r="A3" s="28" t="s">
        <v>139</v>
      </c>
    </row>
    <row r="5" spans="1:7" x14ac:dyDescent="0.3">
      <c r="A5" s="29" t="s">
        <v>78</v>
      </c>
      <c r="B5" s="30" t="s">
        <v>79</v>
      </c>
      <c r="D5" s="46">
        <v>1800</v>
      </c>
      <c r="F5" s="64"/>
      <c r="G5" s="64"/>
    </row>
    <row r="6" spans="1:7" x14ac:dyDescent="0.3">
      <c r="A6" s="29"/>
      <c r="C6" s="30"/>
    </row>
    <row r="8" spans="1:7" x14ac:dyDescent="0.3">
      <c r="A8" s="31"/>
      <c r="B8" s="32"/>
      <c r="C8" s="33" t="s">
        <v>104</v>
      </c>
      <c r="D8" s="33" t="s">
        <v>125</v>
      </c>
      <c r="E8" s="33" t="s">
        <v>140</v>
      </c>
      <c r="F8" s="34" t="s">
        <v>120</v>
      </c>
      <c r="G8" s="34" t="s">
        <v>121</v>
      </c>
    </row>
    <row r="9" spans="1:7" x14ac:dyDescent="0.3">
      <c r="A9" s="26" t="s">
        <v>122</v>
      </c>
      <c r="C9" s="54">
        <f>$D5*'Tariffs Jul''13'!E9/100</f>
        <v>615.97799999999995</v>
      </c>
      <c r="D9" s="54">
        <f>IF($D5&gt;'Tariffs Jul''13'!F7,'Tariffs Jul''13'!F7*'Tariffs Jul''13'!F9/100,'Bills Jul''13'!$D5*'Tariffs Jul''13'!F9/100)</f>
        <v>273.89999999999998</v>
      </c>
      <c r="E9" s="54">
        <f>IF($D5&gt;'Tariffs Jul''13'!G7,'Tariffs Jul''13'!G7*'Tariffs Jul''13'!G9/100,'Bills Jul''13'!$D5*'Tariffs Jul''13'!G9/100)</f>
        <v>474.70499999999998</v>
      </c>
      <c r="F9" s="36"/>
      <c r="G9" s="36"/>
    </row>
    <row r="10" spans="1:7" x14ac:dyDescent="0.3">
      <c r="A10" s="26" t="s">
        <v>123</v>
      </c>
      <c r="C10" s="54">
        <v>0</v>
      </c>
      <c r="D10" s="54">
        <f>IF(D5&lt;='Tariffs Jul''13'!F8,0,IF('Bills Jul''13'!D5&gt;'Tariffs Jul''13'!F8,('Bills Jul''13'!D5-'Tariffs Jul''13'!F7)*'Tariffs Jul''13'!F10/100))</f>
        <v>232.14400000000001</v>
      </c>
      <c r="E10" s="54">
        <v>0</v>
      </c>
      <c r="F10" s="36"/>
      <c r="G10" s="36"/>
    </row>
    <row r="11" spans="1:7" x14ac:dyDescent="0.3">
      <c r="A11" s="26" t="s">
        <v>86</v>
      </c>
      <c r="C11" s="54">
        <v>0</v>
      </c>
      <c r="D11" s="54">
        <f>IF((D5&lt;'Tariffs Jul''13'!F7+'Tariffs Jul''13'!F8),(0),('Bills Jul''13'!D5-2000)*'Tariffs Jul''13'!F11/100)</f>
        <v>0</v>
      </c>
      <c r="E11" s="54">
        <f>IF($D5&gt;'Tariffs Jul''13'!G7,('Bills Jul''13'!$D5-'Tariffs Jul''13'!G7)*'Tariffs Jul''13'!G11/100,0)</f>
        <v>15.0755</v>
      </c>
      <c r="F11" s="36"/>
      <c r="G11" s="36"/>
    </row>
    <row r="12" spans="1:7" x14ac:dyDescent="0.3">
      <c r="A12" s="26" t="s">
        <v>124</v>
      </c>
      <c r="C12" s="54">
        <f>'Tariffs Jul''13'!E12*91/100</f>
        <v>124.91479000000001</v>
      </c>
      <c r="D12" s="54">
        <f>'Tariffs Jul''13'!F12*91/100</f>
        <v>71.070999999999998</v>
      </c>
      <c r="E12" s="54">
        <f>'Tariffs Jul''13'!G12*91/100</f>
        <v>69.949879999999993</v>
      </c>
      <c r="F12" s="36">
        <f>AVERAGE(C12:E12)</f>
        <v>88.645223333333334</v>
      </c>
      <c r="G12" s="36"/>
    </row>
    <row r="13" spans="1:7" x14ac:dyDescent="0.3">
      <c r="A13" s="26" t="s">
        <v>87</v>
      </c>
      <c r="C13" s="54">
        <f>SUM(C9:C12)</f>
        <v>740.89278999999999</v>
      </c>
      <c r="D13" s="54">
        <f>SUM(D9:D12)</f>
        <v>577.11500000000001</v>
      </c>
      <c r="E13" s="54">
        <f>SUM(E9:E12)</f>
        <v>559.73037999999997</v>
      </c>
      <c r="F13" s="36">
        <f>AVERAGE(C13:E13)</f>
        <v>625.91272333333336</v>
      </c>
      <c r="G13" s="36"/>
    </row>
    <row r="14" spans="1:7" x14ac:dyDescent="0.3">
      <c r="A14" s="37" t="s">
        <v>121</v>
      </c>
      <c r="B14" s="38"/>
      <c r="C14" s="63">
        <f>C13*4</f>
        <v>2963.57116</v>
      </c>
      <c r="D14" s="63">
        <f>D13*4</f>
        <v>2308.46</v>
      </c>
      <c r="E14" s="63">
        <f>E13*4</f>
        <v>2238.9215199999999</v>
      </c>
      <c r="F14" s="40"/>
      <c r="G14" s="40">
        <f>AVERAGE(C14:E14)</f>
        <v>2503.6508933333334</v>
      </c>
    </row>
    <row r="15" spans="1:7" x14ac:dyDescent="0.3">
      <c r="F15" s="41"/>
      <c r="G15" s="41"/>
    </row>
    <row r="18" spans="1:7" x14ac:dyDescent="0.3">
      <c r="A18" s="30" t="s">
        <v>127</v>
      </c>
      <c r="B18" s="30" t="s">
        <v>79</v>
      </c>
      <c r="D18" s="46">
        <v>2000</v>
      </c>
    </row>
    <row r="19" spans="1:7" x14ac:dyDescent="0.3">
      <c r="A19" s="42" t="s">
        <v>128</v>
      </c>
      <c r="B19" s="30" t="s">
        <v>91</v>
      </c>
      <c r="D19" s="47">
        <v>0.7</v>
      </c>
    </row>
    <row r="20" spans="1:7" x14ac:dyDescent="0.3">
      <c r="B20" s="30" t="s">
        <v>92</v>
      </c>
      <c r="D20" s="47">
        <v>0.3</v>
      </c>
    </row>
    <row r="21" spans="1:7" x14ac:dyDescent="0.3">
      <c r="C21" s="30"/>
      <c r="D21" s="30"/>
    </row>
    <row r="23" spans="1:7" x14ac:dyDescent="0.3">
      <c r="A23" s="31"/>
      <c r="C23" s="33" t="s">
        <v>104</v>
      </c>
      <c r="D23" s="33" t="s">
        <v>125</v>
      </c>
      <c r="E23" s="33" t="s">
        <v>140</v>
      </c>
      <c r="F23" s="34" t="s">
        <v>120</v>
      </c>
      <c r="G23" s="34" t="s">
        <v>121</v>
      </c>
    </row>
    <row r="24" spans="1:7" x14ac:dyDescent="0.3">
      <c r="A24" s="26" t="s">
        <v>122</v>
      </c>
      <c r="C24" s="54">
        <f>(D18*D19)*'Tariffs Jul''13'!E18/100</f>
        <v>479.09399999999994</v>
      </c>
      <c r="D24" s="54">
        <f>IF($D18*$D19&gt;'Tariffs Jul''13'!F16,('Tariffs Jul''13'!F16*'Tariffs Jul''13'!F18/100),('Bills Jul''13'!$D18*'Bills Jul''13'!$D19)*'Tariffs Jul''13'!F18/100)</f>
        <v>273.89999999999998</v>
      </c>
      <c r="E24" s="54">
        <f>IF($D18*$D19&gt;'Tariffs Jul''13'!G16,('Tariffs Jul''13'!G16*'Tariffs Jul''13'!G18/100),('Bills Jul''13'!$D18*'Bills Jul''13'!$D19)*'Tariffs Jul''13'!G18/100)</f>
        <v>379.76400000000001</v>
      </c>
      <c r="F24" s="36"/>
      <c r="G24" s="36"/>
    </row>
    <row r="25" spans="1:7" x14ac:dyDescent="0.3">
      <c r="A25" s="26" t="s">
        <v>130</v>
      </c>
      <c r="C25" s="54">
        <v>0</v>
      </c>
      <c r="D25" s="54">
        <f>IF(D18*D19&lt;='Tariffs Jul''13'!F17,0,IF('Bills Jul''13'!D18*'Bills Jul''13'!D19&gt;'Tariffs Jul''13'!F17,('Bills Jul''13'!D18*'Bills Jul''13'!D19-'Tariffs Jul''13'!F16)*'Tariffs Jul''13'!F19/100))</f>
        <v>116.072</v>
      </c>
      <c r="E25" s="54">
        <v>0</v>
      </c>
      <c r="F25" s="36"/>
      <c r="G25" s="36"/>
    </row>
    <row r="26" spans="1:7" x14ac:dyDescent="0.3">
      <c r="A26" s="26" t="s">
        <v>86</v>
      </c>
      <c r="C26" s="54">
        <v>0</v>
      </c>
      <c r="D26" s="54">
        <f>IF((D18*D19&lt;'Tariffs Jul''13'!F16+'Tariffs Jul''13'!F17),(0),('Bills Jul''13'!D18*'Bills Jul''13'!D19-2000)*'Tariffs Jul''13'!F20/100)</f>
        <v>0</v>
      </c>
      <c r="E26" s="54">
        <f>IF($D18*$D19&lt;'Tariffs Jul''13'!G16,0,('Bills Jul''13'!$D18*'Bills Jul''13'!$D19-'Tariffs Jul''13'!G16)*'Tariffs Jul''13'!G20/100)</f>
        <v>0</v>
      </c>
      <c r="F26" s="36"/>
      <c r="G26" s="36"/>
    </row>
    <row r="27" spans="1:7" x14ac:dyDescent="0.3">
      <c r="A27" s="26" t="s">
        <v>131</v>
      </c>
      <c r="C27" s="54">
        <f>(D18*D20)*'Tariffs Jul''13'!E21/100</f>
        <v>80.652000000000001</v>
      </c>
      <c r="D27" s="54">
        <f>($D18*$D20)*'Tariffs Jul''13'!F21/100</f>
        <v>67.650000000000006</v>
      </c>
      <c r="E27" s="54">
        <f>($D18*$D20)*'Tariffs Jul''13'!G21/100</f>
        <v>56.760000000000012</v>
      </c>
      <c r="F27" s="36"/>
      <c r="G27" s="36"/>
    </row>
    <row r="28" spans="1:7" x14ac:dyDescent="0.3">
      <c r="A28" s="26" t="s">
        <v>124</v>
      </c>
      <c r="C28" s="54">
        <f>'Tariffs Jul''13'!E22*91/100</f>
        <v>136.26613</v>
      </c>
      <c r="D28" s="54">
        <f>'Tariffs Jul''13'!F22*91/100</f>
        <v>71.070999999999998</v>
      </c>
      <c r="E28" s="54">
        <f>'Tariffs Jul''13'!G22*91/100</f>
        <v>74.69462</v>
      </c>
      <c r="F28" s="36">
        <f>AVERAGE(C28:E28)</f>
        <v>94.010583333333329</v>
      </c>
      <c r="G28" s="36"/>
    </row>
    <row r="29" spans="1:7" x14ac:dyDescent="0.3">
      <c r="A29" s="26" t="s">
        <v>87</v>
      </c>
      <c r="C29" s="54">
        <f>SUM(C24:C28)</f>
        <v>696.01212999999996</v>
      </c>
      <c r="D29" s="54">
        <f>SUM(D24:D28)</f>
        <v>528.69299999999998</v>
      </c>
      <c r="E29" s="54">
        <f>SUM(E24:E28)</f>
        <v>511.21861999999999</v>
      </c>
      <c r="F29" s="36">
        <f>AVERAGE(C29:E29)</f>
        <v>578.64125000000001</v>
      </c>
      <c r="G29" s="36"/>
    </row>
    <row r="30" spans="1:7" x14ac:dyDescent="0.3">
      <c r="A30" s="37" t="s">
        <v>121</v>
      </c>
      <c r="B30" s="38"/>
      <c r="C30" s="63">
        <f>C29*4</f>
        <v>2784.0485199999998</v>
      </c>
      <c r="D30" s="63">
        <f>D29*4</f>
        <v>2114.7719999999999</v>
      </c>
      <c r="E30" s="63">
        <f>E29*4</f>
        <v>2044.8744799999999</v>
      </c>
      <c r="F30" s="40"/>
      <c r="G30" s="40">
        <f>AVERAGE(C30:E30)</f>
        <v>2314.5650000000001</v>
      </c>
    </row>
    <row r="31" spans="1:7" x14ac:dyDescent="0.3">
      <c r="F31" s="41"/>
      <c r="G31" s="41"/>
    </row>
    <row r="34" spans="1:7" x14ac:dyDescent="0.3">
      <c r="A34" s="42" t="s">
        <v>94</v>
      </c>
      <c r="B34" s="30" t="s">
        <v>79</v>
      </c>
      <c r="D34" s="46">
        <v>1800</v>
      </c>
    </row>
    <row r="35" spans="1:7" x14ac:dyDescent="0.3">
      <c r="B35" s="30" t="s">
        <v>91</v>
      </c>
      <c r="D35" s="47">
        <v>0.2</v>
      </c>
    </row>
    <row r="36" spans="1:7" x14ac:dyDescent="0.3">
      <c r="B36" s="30" t="s">
        <v>95</v>
      </c>
      <c r="D36" s="47">
        <v>0.5</v>
      </c>
    </row>
    <row r="37" spans="1:7" x14ac:dyDescent="0.3">
      <c r="B37" s="30" t="s">
        <v>92</v>
      </c>
      <c r="D37" s="47">
        <v>0.3</v>
      </c>
    </row>
    <row r="38" spans="1:7" x14ac:dyDescent="0.3">
      <c r="C38" s="30"/>
      <c r="D38" s="30"/>
    </row>
    <row r="39" spans="1:7" x14ac:dyDescent="0.3">
      <c r="B39" s="30"/>
      <c r="C39" s="30"/>
    </row>
    <row r="40" spans="1:7" x14ac:dyDescent="0.3">
      <c r="A40" s="31"/>
      <c r="C40" s="33" t="s">
        <v>104</v>
      </c>
      <c r="D40" s="33" t="s">
        <v>125</v>
      </c>
      <c r="E40" s="33" t="s">
        <v>140</v>
      </c>
      <c r="F40" s="34" t="s">
        <v>120</v>
      </c>
      <c r="G40" s="34" t="s">
        <v>121</v>
      </c>
    </row>
    <row r="41" spans="1:7" x14ac:dyDescent="0.3">
      <c r="A41" s="26" t="s">
        <v>132</v>
      </c>
      <c r="C41" s="55">
        <f>($D34*$D35)*'Tariffs Jul''13'!E27/100</f>
        <v>137.3724</v>
      </c>
      <c r="D41" s="55">
        <f>($D34*$D35)*'Tariffs Jul''13'!F27/100</f>
        <v>189.16919999999999</v>
      </c>
      <c r="E41" s="55">
        <f>($D34*$D35)*'Tariffs Jul''13'!G27/100</f>
        <v>141.64920000000001</v>
      </c>
      <c r="F41" s="36"/>
      <c r="G41" s="36"/>
    </row>
    <row r="42" spans="1:7" x14ac:dyDescent="0.3">
      <c r="A42" s="26" t="s">
        <v>133</v>
      </c>
      <c r="C42" s="55">
        <f>($D34*$D36)*'Tariffs Jul''13'!E28/100</f>
        <v>343.43099999999998</v>
      </c>
      <c r="D42" s="55">
        <f>($D34*$D36)*'Tariffs Jul''13'!F28/100</f>
        <v>196.614</v>
      </c>
      <c r="E42" s="55">
        <f>($D34*$D36)*'Tariffs Jul''13'!G28/100</f>
        <v>272.34899999999999</v>
      </c>
      <c r="F42" s="36"/>
      <c r="G42" s="36"/>
    </row>
    <row r="43" spans="1:7" x14ac:dyDescent="0.3">
      <c r="A43" s="26" t="s">
        <v>134</v>
      </c>
      <c r="C43" s="55">
        <f>($D34*$D37)*'Tariffs Jul''13'!E29/100</f>
        <v>102.5838</v>
      </c>
      <c r="D43" s="55">
        <f>($D34*$D37)*'Tariffs Jul''13'!F29/100</f>
        <v>71.101799999999997</v>
      </c>
      <c r="E43" s="55">
        <f>($D34*$D37)*'Tariffs Jul''13'!G29/100</f>
        <v>82.447200000000009</v>
      </c>
      <c r="F43" s="36"/>
      <c r="G43" s="36"/>
    </row>
    <row r="44" spans="1:7" x14ac:dyDescent="0.3">
      <c r="A44" s="26" t="s">
        <v>124</v>
      </c>
      <c r="C44" s="55">
        <f>'Tariffs Jul''13'!E30*91/100</f>
        <v>124.90478000000002</v>
      </c>
      <c r="D44" s="55">
        <f>'Tariffs Jul''13'!F30*91/100</f>
        <v>79.329250000000002</v>
      </c>
      <c r="E44" s="55">
        <f>'Tariffs Jul''13'!G30*91/100</f>
        <v>89.969879999999989</v>
      </c>
      <c r="F44" s="36">
        <f>AVERAGE(C44:E44)</f>
        <v>98.067970000000003</v>
      </c>
      <c r="G44" s="36"/>
    </row>
    <row r="45" spans="1:7" x14ac:dyDescent="0.3">
      <c r="A45" s="26" t="s">
        <v>87</v>
      </c>
      <c r="C45" s="55">
        <f>SUM(C41:C44)</f>
        <v>708.29197999999997</v>
      </c>
      <c r="D45" s="55">
        <f>SUM(D41:D44)</f>
        <v>536.21424999999999</v>
      </c>
      <c r="E45" s="55">
        <f>SUM(E41:E44)</f>
        <v>586.41527999999994</v>
      </c>
      <c r="F45" s="36">
        <f>AVERAGE(C45:E45)</f>
        <v>610.30716999999993</v>
      </c>
      <c r="G45" s="36"/>
    </row>
    <row r="46" spans="1:7" x14ac:dyDescent="0.3">
      <c r="A46" s="37" t="s">
        <v>121</v>
      </c>
      <c r="B46" s="38"/>
      <c r="C46" s="63">
        <f>C45*4</f>
        <v>2833.1679199999999</v>
      </c>
      <c r="D46" s="63">
        <f>D45*4</f>
        <v>2144.857</v>
      </c>
      <c r="E46" s="63">
        <f>E45*4</f>
        <v>2345.6611199999998</v>
      </c>
      <c r="F46" s="40"/>
      <c r="G46" s="40">
        <f>AVERAGE(C46:E46)</f>
        <v>2441.2286799999997</v>
      </c>
    </row>
  </sheetData>
  <sheetProtection algorithmName="SHA-512" hashValue="Jn81Zyx/knPs8JuFZNBC4H2sGt+YiKHzXGOjR9dFYKTtLg8LEk6Mj8s629Ge1hG/KIXqrgjjCM7xITwmW2W6WQ==" saltValue="TbZaCpgQXTGyAnWZJaCv8g==" spinCount="100000" sheet="1" objects="1" scenarios="1"/>
  <phoneticPr fontId="5" type="noConversion"/>
  <pageMargins left="0.75" right="0.75" top="1" bottom="1" header="0.5" footer="0.5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/>
  <dimension ref="A1:G46"/>
  <sheetViews>
    <sheetView workbookViewId="0">
      <selection activeCell="D5" sqref="D5"/>
    </sheetView>
  </sheetViews>
  <sheetFormatPr defaultColWidth="10.84375" defaultRowHeight="13.5" x14ac:dyDescent="0.3"/>
  <cols>
    <col min="1" max="1" width="14.15234375" style="26" customWidth="1"/>
    <col min="2" max="2" width="5.84375" style="26" customWidth="1"/>
    <col min="3" max="4" width="19.84375" style="26" customWidth="1"/>
    <col min="5" max="5" width="20.15234375" style="26" customWidth="1"/>
    <col min="6" max="7" width="10" style="26" customWidth="1"/>
    <col min="8" max="16384" width="10.84375" style="26"/>
  </cols>
  <sheetData>
    <row r="1" spans="1:7" x14ac:dyDescent="0.3">
      <c r="A1" s="25" t="s">
        <v>138</v>
      </c>
    </row>
    <row r="2" spans="1:7" x14ac:dyDescent="0.3">
      <c r="A2" s="51"/>
      <c r="B2" s="51"/>
      <c r="C2" s="51"/>
      <c r="D2" s="51"/>
      <c r="E2" s="51"/>
      <c r="F2" s="51"/>
      <c r="G2" s="51"/>
    </row>
    <row r="3" spans="1:7" x14ac:dyDescent="0.3">
      <c r="A3" s="28" t="s">
        <v>141</v>
      </c>
    </row>
    <row r="5" spans="1:7" x14ac:dyDescent="0.3">
      <c r="A5" s="29" t="s">
        <v>78</v>
      </c>
      <c r="B5" s="30" t="s">
        <v>79</v>
      </c>
      <c r="D5" s="46">
        <v>1800</v>
      </c>
    </row>
    <row r="6" spans="1:7" x14ac:dyDescent="0.3">
      <c r="A6" s="29"/>
      <c r="C6" s="30"/>
    </row>
    <row r="8" spans="1:7" x14ac:dyDescent="0.3">
      <c r="A8" s="31"/>
      <c r="B8" s="32"/>
      <c r="C8" s="33" t="s">
        <v>104</v>
      </c>
      <c r="D8" s="33" t="s">
        <v>125</v>
      </c>
      <c r="E8" s="33" t="s">
        <v>140</v>
      </c>
      <c r="F8" s="34" t="s">
        <v>120</v>
      </c>
      <c r="G8" s="34" t="s">
        <v>121</v>
      </c>
    </row>
    <row r="9" spans="1:7" x14ac:dyDescent="0.3">
      <c r="A9" s="26" t="s">
        <v>122</v>
      </c>
      <c r="C9" s="54">
        <f>$D5*'Tariffs Jul''12'!E9/100</f>
        <v>619.54199999999992</v>
      </c>
      <c r="D9" s="54">
        <f>IF($D5&gt;'Tariffs Jul''12'!F7,'Tariffs Jul''12'!F7*'Tariffs Jul''12'!F9/100,'Bills Jul''12'!$D5*'Tariffs Jul''12'!F9/100)</f>
        <v>268.39999999999998</v>
      </c>
      <c r="E9" s="54">
        <f>IF($D5&gt;'Tariffs Jul''12'!G7,'Tariffs Jul''12'!G7*'Tariffs Jul''12'!G9/100,'Bills Jul''12'!$D5*'Tariffs Jul''12'!G9/100)</f>
        <v>466.8125</v>
      </c>
      <c r="F9" s="36"/>
      <c r="G9" s="36"/>
    </row>
    <row r="10" spans="1:7" x14ac:dyDescent="0.3">
      <c r="A10" s="26" t="s">
        <v>123</v>
      </c>
      <c r="C10" s="54">
        <v>0</v>
      </c>
      <c r="D10" s="54">
        <f>IF(D5&lt;='Tariffs Jul''12'!F8,0,IF('Bills Jul''12'!D5&gt;'Tariffs Jul''12'!F8,('Bills Jul''12'!D5-'Tariffs Jul''12'!F7)*'Tariffs Jul''12'!F10/100))</f>
        <v>224.4</v>
      </c>
      <c r="E10" s="54">
        <v>0</v>
      </c>
      <c r="F10" s="36"/>
      <c r="G10" s="36"/>
    </row>
    <row r="11" spans="1:7" x14ac:dyDescent="0.3">
      <c r="A11" s="26" t="s">
        <v>86</v>
      </c>
      <c r="C11" s="54">
        <v>0</v>
      </c>
      <c r="D11" s="54">
        <f>IF((D5&lt;'Tariffs Jul''12'!F7+'Tariffs Jul''12'!F8),(0),('Bills Jul''12'!D5-2000)*'Tariffs Jul''12'!F11/100)</f>
        <v>0</v>
      </c>
      <c r="E11" s="54">
        <f>IF($D5&gt;'Tariffs Jul''12'!G7,('Bills Jul''12'!$D5-'Tariffs Jul''12'!G7)*'Tariffs Jul''12'!G11/100,0)</f>
        <v>14.910500000000003</v>
      </c>
      <c r="F11" s="36"/>
      <c r="G11" s="36"/>
    </row>
    <row r="12" spans="1:7" x14ac:dyDescent="0.3">
      <c r="A12" s="26" t="s">
        <v>124</v>
      </c>
      <c r="C12" s="54">
        <f>'Tariffs Jul''12'!E12*91/100</f>
        <v>125.60547999999999</v>
      </c>
      <c r="D12" s="54">
        <f>'Tariffs Jul''12'!F12*91/100</f>
        <v>62.8628</v>
      </c>
      <c r="E12" s="54">
        <f>'Tariffs Jul''12'!G12*91/100</f>
        <v>69.209139999999991</v>
      </c>
      <c r="F12" s="36">
        <f>AVERAGE(C12:E12)</f>
        <v>85.892473333333328</v>
      </c>
      <c r="G12" s="36"/>
    </row>
    <row r="13" spans="1:7" x14ac:dyDescent="0.3">
      <c r="A13" s="26" t="s">
        <v>87</v>
      </c>
      <c r="C13" s="54">
        <f>SUM(C9:C12)</f>
        <v>745.14747999999986</v>
      </c>
      <c r="D13" s="54">
        <f>SUM(D9:D12)</f>
        <v>555.66279999999995</v>
      </c>
      <c r="E13" s="54">
        <f>SUM(E9:E12)</f>
        <v>550.93214</v>
      </c>
      <c r="F13" s="36">
        <f>AVERAGE(C13:E13)</f>
        <v>617.24747333333323</v>
      </c>
      <c r="G13" s="36"/>
    </row>
    <row r="14" spans="1:7" x14ac:dyDescent="0.3">
      <c r="A14" s="37" t="s">
        <v>121</v>
      </c>
      <c r="B14" s="38"/>
      <c r="C14" s="39">
        <f>C13*4</f>
        <v>2980.5899199999994</v>
      </c>
      <c r="D14" s="39">
        <f>D13*4</f>
        <v>2222.6511999999998</v>
      </c>
      <c r="E14" s="39">
        <f>E13*4</f>
        <v>2203.72856</v>
      </c>
      <c r="F14" s="40"/>
      <c r="G14" s="40">
        <f>AVERAGE(C14:E14)</f>
        <v>2468.9898933333329</v>
      </c>
    </row>
    <row r="15" spans="1:7" x14ac:dyDescent="0.3">
      <c r="F15" s="41"/>
      <c r="G15" s="41"/>
    </row>
    <row r="18" spans="1:7" x14ac:dyDescent="0.3">
      <c r="A18" s="30" t="s">
        <v>127</v>
      </c>
      <c r="B18" s="30" t="s">
        <v>79</v>
      </c>
      <c r="D18" s="46">
        <v>2000</v>
      </c>
    </row>
    <row r="19" spans="1:7" x14ac:dyDescent="0.3">
      <c r="A19" s="42" t="s">
        <v>128</v>
      </c>
      <c r="B19" s="30" t="s">
        <v>91</v>
      </c>
      <c r="D19" s="47">
        <v>0.7</v>
      </c>
    </row>
    <row r="20" spans="1:7" x14ac:dyDescent="0.3">
      <c r="B20" s="30" t="s">
        <v>92</v>
      </c>
      <c r="D20" s="47">
        <v>0.3</v>
      </c>
    </row>
    <row r="21" spans="1:7" x14ac:dyDescent="0.3">
      <c r="C21" s="30"/>
      <c r="D21" s="30"/>
    </row>
    <row r="23" spans="1:7" x14ac:dyDescent="0.3">
      <c r="A23" s="31"/>
      <c r="C23" s="33" t="s">
        <v>104</v>
      </c>
      <c r="D23" s="33" t="s">
        <v>125</v>
      </c>
      <c r="E23" s="33" t="s">
        <v>140</v>
      </c>
      <c r="F23" s="34" t="s">
        <v>120</v>
      </c>
      <c r="G23" s="34" t="s">
        <v>121</v>
      </c>
    </row>
    <row r="24" spans="1:7" x14ac:dyDescent="0.3">
      <c r="A24" s="26" t="s">
        <v>122</v>
      </c>
      <c r="C24" s="54">
        <f>(D18*D19)*'Tariffs Jul''12'!E18/100</f>
        <v>481.86599999999999</v>
      </c>
      <c r="D24" s="54">
        <f>IF($D18*$D19&gt;'Tariffs Jul''12'!F16,('Tariffs Jul''12'!F16*'Tariffs Jul''12'!F18/100),('Bills Jul''12'!$D18*'Bills Jul''12'!$D19)*'Tariffs Jul''12'!F18/100)</f>
        <v>268.39999999999998</v>
      </c>
      <c r="E24" s="54">
        <f>IF($D18*$D19&gt;'Tariffs Jul''12'!G16,('Tariffs Jul''12'!G16*'Tariffs Jul''12'!G18/100),('Bills Jul''12'!$D18*'Bills Jul''12'!$D19)*'Tariffs Jul''12'!G18/100)</f>
        <v>373.45</v>
      </c>
      <c r="F24" s="36"/>
      <c r="G24" s="36"/>
    </row>
    <row r="25" spans="1:7" x14ac:dyDescent="0.3">
      <c r="A25" s="26" t="s">
        <v>130</v>
      </c>
      <c r="C25" s="54">
        <v>0</v>
      </c>
      <c r="D25" s="54">
        <f>IF(D18*D19&lt;='Tariffs Jul''12'!F17,0,IF('Bills Jul''12'!D18*'Bills Jul''12'!D19&gt;'Tariffs Jul''12'!F17,('Bills Jul''12'!D18*'Bills Jul''12'!D19-'Tariffs Jul''12'!F16)*'Tariffs Jul''12'!F19/100))</f>
        <v>112.2</v>
      </c>
      <c r="E25" s="54">
        <v>0</v>
      </c>
      <c r="F25" s="36"/>
      <c r="G25" s="36"/>
    </row>
    <row r="26" spans="1:7" x14ac:dyDescent="0.3">
      <c r="A26" s="26" t="s">
        <v>86</v>
      </c>
      <c r="C26" s="54">
        <v>0</v>
      </c>
      <c r="D26" s="54">
        <f>IF((D18*D19&lt;'Tariffs Jul''12'!F16+'Tariffs Jul''12'!F17),(0),('Bills Jul''12'!D18*'Bills Jul''12'!D19-2000)*'Tariffs Jul''12'!F20/100)</f>
        <v>0</v>
      </c>
      <c r="E26" s="54">
        <f>IF($D18*$D19&lt;'Tariffs Jul''12'!G16,0,('Bills Jul''12'!$D18*'Bills Jul''12'!$D19-'Tariffs Jul''12'!G16)*'Tariffs Jul''12'!G20/100)</f>
        <v>0</v>
      </c>
      <c r="F26" s="36"/>
      <c r="G26" s="36"/>
    </row>
    <row r="27" spans="1:7" x14ac:dyDescent="0.3">
      <c r="A27" s="26" t="s">
        <v>131</v>
      </c>
      <c r="C27" s="54">
        <f>(D18*D20)*'Tariffs Jul''12'!E21/100</f>
        <v>81.11399999999999</v>
      </c>
      <c r="D27" s="54">
        <f>($D18*$D20)*'Tariffs Jul''12'!F21/100</f>
        <v>66.66</v>
      </c>
      <c r="E27" s="54">
        <f>($D18*$D20)*'Tariffs Jul''12'!G21/100</f>
        <v>55.902000000000001</v>
      </c>
      <c r="F27" s="36"/>
      <c r="G27" s="36"/>
    </row>
    <row r="28" spans="1:7" x14ac:dyDescent="0.3">
      <c r="A28" s="26" t="s">
        <v>124</v>
      </c>
      <c r="C28" s="54">
        <f>'Tariffs Jul''12'!E22*91/100</f>
        <v>137.01688000000001</v>
      </c>
      <c r="D28" s="54">
        <f>'Tariffs Jul''12'!F22*91/100</f>
        <v>62.8628</v>
      </c>
      <c r="E28" s="54">
        <f>'Tariffs Jul''12'!G22*91/100</f>
        <v>73.933859999999996</v>
      </c>
      <c r="F28" s="36">
        <f>AVERAGE(C28:E28)</f>
        <v>91.271180000000001</v>
      </c>
      <c r="G28" s="36"/>
    </row>
    <row r="29" spans="1:7" x14ac:dyDescent="0.3">
      <c r="A29" s="26" t="s">
        <v>87</v>
      </c>
      <c r="C29" s="54">
        <f>SUM(C24:C28)</f>
        <v>699.99688000000003</v>
      </c>
      <c r="D29" s="54">
        <f>SUM(D24:D28)</f>
        <v>510.12279999999998</v>
      </c>
      <c r="E29" s="54">
        <f>SUM(E24:E28)</f>
        <v>503.28585999999996</v>
      </c>
      <c r="F29" s="36">
        <f>AVERAGE(C29:E29)</f>
        <v>571.13517999999999</v>
      </c>
      <c r="G29" s="36"/>
    </row>
    <row r="30" spans="1:7" x14ac:dyDescent="0.3">
      <c r="A30" s="37" t="s">
        <v>121</v>
      </c>
      <c r="B30" s="38"/>
      <c r="C30" s="39">
        <f>C29*4</f>
        <v>2799.9875200000001</v>
      </c>
      <c r="D30" s="39">
        <f>D29*4</f>
        <v>2040.4911999999999</v>
      </c>
      <c r="E30" s="39">
        <f>E29*4</f>
        <v>2013.1434399999998</v>
      </c>
      <c r="F30" s="40"/>
      <c r="G30" s="40">
        <f>AVERAGE(C30:E30)</f>
        <v>2284.54072</v>
      </c>
    </row>
    <row r="31" spans="1:7" x14ac:dyDescent="0.3">
      <c r="F31" s="41"/>
      <c r="G31" s="41"/>
    </row>
    <row r="34" spans="1:7" x14ac:dyDescent="0.3">
      <c r="A34" s="42" t="s">
        <v>94</v>
      </c>
      <c r="B34" s="30" t="s">
        <v>79</v>
      </c>
      <c r="D34" s="46">
        <v>1800</v>
      </c>
    </row>
    <row r="35" spans="1:7" x14ac:dyDescent="0.3">
      <c r="B35" s="30" t="s">
        <v>91</v>
      </c>
      <c r="D35" s="47">
        <v>0.2</v>
      </c>
    </row>
    <row r="36" spans="1:7" x14ac:dyDescent="0.3">
      <c r="B36" s="30" t="s">
        <v>95</v>
      </c>
      <c r="D36" s="47">
        <v>0.5</v>
      </c>
    </row>
    <row r="37" spans="1:7" x14ac:dyDescent="0.3">
      <c r="B37" s="30" t="s">
        <v>92</v>
      </c>
      <c r="D37" s="47">
        <v>0.3</v>
      </c>
    </row>
    <row r="38" spans="1:7" x14ac:dyDescent="0.3">
      <c r="C38" s="30"/>
      <c r="D38" s="30"/>
    </row>
    <row r="39" spans="1:7" x14ac:dyDescent="0.3">
      <c r="B39" s="30"/>
      <c r="C39" s="30"/>
    </row>
    <row r="40" spans="1:7" x14ac:dyDescent="0.3">
      <c r="A40" s="31"/>
      <c r="C40" s="33" t="s">
        <v>104</v>
      </c>
      <c r="D40" s="33" t="s">
        <v>125</v>
      </c>
      <c r="E40" s="33" t="s">
        <v>140</v>
      </c>
      <c r="F40" s="34" t="s">
        <v>120</v>
      </c>
      <c r="G40" s="34" t="s">
        <v>121</v>
      </c>
    </row>
    <row r="41" spans="1:7" x14ac:dyDescent="0.3">
      <c r="A41" s="26" t="s">
        <v>132</v>
      </c>
      <c r="C41" s="55">
        <f>($D34*$D35)*'Tariffs Jul''12'!E27/100</f>
        <v>138.1644</v>
      </c>
      <c r="D41" s="55">
        <f>($D34*$D35)*'Tariffs Jul''12'!F27/100</f>
        <v>189.16919999999999</v>
      </c>
      <c r="E41" s="55">
        <f>($D34*$D35)*'Tariffs Jul''12'!G27/100</f>
        <v>140.06519999999998</v>
      </c>
      <c r="F41" s="36"/>
      <c r="G41" s="36"/>
    </row>
    <row r="42" spans="1:7" x14ac:dyDescent="0.3">
      <c r="A42" s="26" t="s">
        <v>133</v>
      </c>
      <c r="C42" s="55">
        <f>($D34*$D36)*'Tariffs Jul''12'!E28/100</f>
        <v>345.411</v>
      </c>
      <c r="D42" s="55">
        <f>($D34*$D36)*'Tariffs Jul''12'!F28/100</f>
        <v>192.06</v>
      </c>
      <c r="E42" s="55">
        <f>($D34*$D36)*'Tariffs Jul''12'!G28/100</f>
        <v>268.58699999999999</v>
      </c>
      <c r="F42" s="36"/>
      <c r="G42" s="36"/>
    </row>
    <row r="43" spans="1:7" x14ac:dyDescent="0.3">
      <c r="A43" s="26" t="s">
        <v>134</v>
      </c>
      <c r="C43" s="55">
        <f>($D34*$D37)*'Tariffs Jul''12'!E29/100</f>
        <v>103.17779999999999</v>
      </c>
      <c r="D43" s="55">
        <f>($D34*$D37)*'Tariffs Jul''12'!F29/100</f>
        <v>70.686000000000007</v>
      </c>
      <c r="E43" s="55">
        <f>($D34*$D37)*'Tariffs Jul''12'!G29/100</f>
        <v>81.19980000000001</v>
      </c>
      <c r="F43" s="36"/>
      <c r="G43" s="36"/>
    </row>
    <row r="44" spans="1:7" x14ac:dyDescent="0.3">
      <c r="A44" s="26" t="s">
        <v>124</v>
      </c>
      <c r="C44" s="55">
        <f>'Tariffs Jul''12'!E30*91/100</f>
        <v>125.60547999999999</v>
      </c>
      <c r="D44" s="55">
        <f>'Tariffs Jul''12'!F30*91/100</f>
        <v>74.774699999999996</v>
      </c>
      <c r="E44" s="55">
        <f>'Tariffs Jul''12'!G30*91/100</f>
        <v>89.229140000000001</v>
      </c>
      <c r="F44" s="36">
        <f>AVERAGE(C44:E44)</f>
        <v>96.536440000000013</v>
      </c>
      <c r="G44" s="36"/>
    </row>
    <row r="45" spans="1:7" x14ac:dyDescent="0.3">
      <c r="A45" s="26" t="s">
        <v>87</v>
      </c>
      <c r="C45" s="55">
        <f>SUM(C41:C44)</f>
        <v>712.35867999999994</v>
      </c>
      <c r="D45" s="55">
        <f>SUM(D41:D44)</f>
        <v>526.68990000000008</v>
      </c>
      <c r="E45" s="55">
        <f>SUM(E41:E44)</f>
        <v>579.08114</v>
      </c>
      <c r="F45" s="36">
        <f>AVERAGE(C45:E45)</f>
        <v>606.04324000000008</v>
      </c>
      <c r="G45" s="36"/>
    </row>
    <row r="46" spans="1:7" x14ac:dyDescent="0.3">
      <c r="A46" s="37" t="s">
        <v>121</v>
      </c>
      <c r="B46" s="38"/>
      <c r="C46" s="39">
        <f>C45*4</f>
        <v>2849.4347199999997</v>
      </c>
      <c r="D46" s="39">
        <f>D45*4</f>
        <v>2106.7596000000003</v>
      </c>
      <c r="E46" s="39">
        <f>E45*4</f>
        <v>2316.32456</v>
      </c>
      <c r="F46" s="40"/>
      <c r="G46" s="40">
        <f>AVERAGE(C46:E46)</f>
        <v>2424.1729600000003</v>
      </c>
    </row>
  </sheetData>
  <sheetProtection algorithmName="SHA-512" hashValue="A96wL1wio41rU4qnjyedzWCHjuA8mTlzohzLZ/7QX6H4WeaGtsXGEHUpzQLJNenx/Z5YBxYh+CVGdY6ndsFi3Q==" saltValue="6zLUFrvMvl7Ah8u4p7eCSg==" spinCount="100000" sheet="1" objects="1" scenarios="1"/>
  <phoneticPr fontId="5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1"/>
  <dimension ref="A1:H44"/>
  <sheetViews>
    <sheetView workbookViewId="0">
      <selection activeCell="E5" sqref="E5"/>
    </sheetView>
  </sheetViews>
  <sheetFormatPr defaultColWidth="10.84375" defaultRowHeight="13.5" x14ac:dyDescent="0.3"/>
  <cols>
    <col min="1" max="1" width="14.15234375" style="26" customWidth="1"/>
    <col min="2" max="2" width="2.69140625" style="26" customWidth="1"/>
    <col min="3" max="3" width="19.84375" style="26" customWidth="1"/>
    <col min="4" max="4" width="20.15234375" style="26" customWidth="1"/>
    <col min="5" max="5" width="19.84375" style="26" customWidth="1"/>
    <col min="6" max="6" width="20.15234375" style="26" customWidth="1"/>
    <col min="7" max="8" width="10" style="26" customWidth="1"/>
    <col min="9" max="16384" width="10.84375" style="26"/>
  </cols>
  <sheetData>
    <row r="1" spans="1:8" x14ac:dyDescent="0.3">
      <c r="A1" s="25" t="s">
        <v>138</v>
      </c>
    </row>
    <row r="2" spans="1:8" x14ac:dyDescent="0.3">
      <c r="A2" s="27"/>
      <c r="B2" s="27"/>
      <c r="C2" s="27"/>
      <c r="D2" s="27"/>
      <c r="E2" s="27"/>
      <c r="F2" s="27"/>
      <c r="G2" s="27"/>
      <c r="H2" s="27"/>
    </row>
    <row r="3" spans="1:8" x14ac:dyDescent="0.3">
      <c r="A3" s="28" t="s">
        <v>142</v>
      </c>
    </row>
    <row r="5" spans="1:8" x14ac:dyDescent="0.3">
      <c r="A5" s="29" t="s">
        <v>78</v>
      </c>
      <c r="C5" s="30" t="s">
        <v>79</v>
      </c>
      <c r="E5" s="46">
        <v>1800</v>
      </c>
    </row>
    <row r="6" spans="1:8" x14ac:dyDescent="0.3">
      <c r="A6" s="29"/>
      <c r="C6" s="30"/>
    </row>
    <row r="8" spans="1:8" x14ac:dyDescent="0.3">
      <c r="A8" s="31"/>
      <c r="B8" s="32"/>
      <c r="C8" s="33" t="s">
        <v>104</v>
      </c>
      <c r="D8" s="33" t="s">
        <v>143</v>
      </c>
      <c r="E8" s="33" t="s">
        <v>125</v>
      </c>
      <c r="F8" s="33" t="s">
        <v>140</v>
      </c>
      <c r="G8" s="34" t="s">
        <v>120</v>
      </c>
      <c r="H8" s="34" t="s">
        <v>121</v>
      </c>
    </row>
    <row r="9" spans="1:8" x14ac:dyDescent="0.3">
      <c r="A9" s="26" t="s">
        <v>122</v>
      </c>
      <c r="C9" s="35">
        <f>$E5*'Tariffs Jul''11'!E8/100</f>
        <v>519.31439999999998</v>
      </c>
      <c r="D9" s="35">
        <f>IF($E5&gt;'Tariffs Jul''11'!F7,'Tariffs Jul''11'!F7*'Tariffs Jul''11'!F8/100,'Bills Jul''11'!$E5*'Tariffs Jul''11'!F8/100)</f>
        <v>86.552399999999992</v>
      </c>
      <c r="E9" s="35">
        <f>IF($E5&gt;'Tariffs Jul''11'!G7,'Tariffs Jul''11'!G7*'Tariffs Jul''11'!G8/100,'Bills Jul''11'!$E5*'Tariffs Jul''11'!G8/100)</f>
        <v>396.55</v>
      </c>
      <c r="F9" s="35">
        <f>IF($E5&gt;'Tariffs Jul''11'!H7,'Tariffs Jul''11'!H7*'Tariffs Jul''11'!H8/100,'Bills Jul''11'!$E5*'Tariffs Jul''11'!H8/100)</f>
        <v>420.61250000000001</v>
      </c>
      <c r="G9" s="36"/>
      <c r="H9" s="36"/>
    </row>
    <row r="10" spans="1:8" x14ac:dyDescent="0.3">
      <c r="A10" s="26" t="s">
        <v>86</v>
      </c>
      <c r="C10" s="35">
        <v>0</v>
      </c>
      <c r="D10" s="35">
        <f>IF($E5&gt;'Tariffs Jul''11'!F7,('Bills Jul''11'!$E5-'Tariffs Jul''11'!F7)*'Tariffs Jul''11'!F9/100,0)</f>
        <v>410.916</v>
      </c>
      <c r="E10" s="35">
        <f>IF($E5&gt;'Tariffs Jul''11'!G7,('Bills Jul''11'!$E5-'Tariffs Jul''11'!G7)*'Tariffs Jul''11'!G9/100,0)</f>
        <v>16.004999999999999</v>
      </c>
      <c r="F10" s="35">
        <f>IF($E5&gt;'Tariffs Jul''11'!H7,('Bills Jul''11'!$E5-'Tariffs Jul''11'!H7)*'Tariffs Jul''11'!H9/100,0)</f>
        <v>13.304500000000001</v>
      </c>
      <c r="G10" s="36"/>
      <c r="H10" s="36"/>
    </row>
    <row r="11" spans="1:8" x14ac:dyDescent="0.3">
      <c r="A11" s="26" t="s">
        <v>124</v>
      </c>
      <c r="C11" s="35">
        <f>'Tariffs Jul''11'!E10*91/100</f>
        <v>98.102003999999994</v>
      </c>
      <c r="D11" s="35">
        <f>'Tariffs Jul''11'!F10*91/100</f>
        <v>65.772706999999997</v>
      </c>
      <c r="E11" s="35">
        <f>'Tariffs Jul''11'!G10*91/100</f>
        <v>48.048000000000002</v>
      </c>
      <c r="F11" s="35">
        <f>'Tariffs Jul''11'!H10*91/100</f>
        <v>59.909849999999999</v>
      </c>
      <c r="G11" s="36">
        <f>AVERAGE(C11:F11)</f>
        <v>67.95814025</v>
      </c>
      <c r="H11" s="36"/>
    </row>
    <row r="12" spans="1:8" x14ac:dyDescent="0.3">
      <c r="A12" s="26" t="s">
        <v>87</v>
      </c>
      <c r="C12" s="35">
        <f>SUM(C9:C11)</f>
        <v>617.41640399999994</v>
      </c>
      <c r="D12" s="35">
        <f>SUM(D9:D11)</f>
        <v>563.24110699999994</v>
      </c>
      <c r="E12" s="35">
        <f>SUM(E9:E11)</f>
        <v>460.60300000000001</v>
      </c>
      <c r="F12" s="35">
        <f>SUM(F9:F11)</f>
        <v>493.82685000000004</v>
      </c>
      <c r="G12" s="36">
        <f>AVERAGE(C12:F12)</f>
        <v>533.77184024999997</v>
      </c>
      <c r="H12" s="36"/>
    </row>
    <row r="13" spans="1:8" x14ac:dyDescent="0.3">
      <c r="A13" s="37" t="s">
        <v>121</v>
      </c>
      <c r="B13" s="38"/>
      <c r="C13" s="39">
        <f>C12*4</f>
        <v>2469.6656159999998</v>
      </c>
      <c r="D13" s="39">
        <f>D12*4</f>
        <v>2252.9644279999998</v>
      </c>
      <c r="E13" s="39">
        <f>E12*4</f>
        <v>1842.412</v>
      </c>
      <c r="F13" s="39">
        <f>F12*4</f>
        <v>1975.3074000000001</v>
      </c>
      <c r="G13" s="40"/>
      <c r="H13" s="40">
        <f>AVERAGE(C13:F13)</f>
        <v>2135.0873609999999</v>
      </c>
    </row>
    <row r="14" spans="1:8" x14ac:dyDescent="0.3">
      <c r="G14" s="41"/>
      <c r="H14" s="41"/>
    </row>
    <row r="17" spans="1:8" x14ac:dyDescent="0.3">
      <c r="A17" s="30" t="s">
        <v>127</v>
      </c>
      <c r="C17" s="30" t="s">
        <v>79</v>
      </c>
      <c r="D17" s="30"/>
      <c r="E17" s="46">
        <v>2000</v>
      </c>
    </row>
    <row r="18" spans="1:8" x14ac:dyDescent="0.3">
      <c r="A18" s="42" t="s">
        <v>128</v>
      </c>
      <c r="C18" s="30" t="s">
        <v>91</v>
      </c>
      <c r="D18" s="30"/>
      <c r="E18" s="47">
        <v>0.7</v>
      </c>
    </row>
    <row r="19" spans="1:8" x14ac:dyDescent="0.3">
      <c r="C19" s="30" t="s">
        <v>92</v>
      </c>
      <c r="D19" s="30"/>
      <c r="E19" s="47">
        <v>0.3</v>
      </c>
    </row>
    <row r="20" spans="1:8" x14ac:dyDescent="0.3">
      <c r="C20" s="30"/>
      <c r="D20" s="30"/>
      <c r="E20" s="30"/>
    </row>
    <row r="22" spans="1:8" x14ac:dyDescent="0.3">
      <c r="A22" s="31"/>
      <c r="C22" s="33" t="s">
        <v>104</v>
      </c>
      <c r="D22" s="33" t="s">
        <v>143</v>
      </c>
      <c r="E22" s="33" t="s">
        <v>125</v>
      </c>
      <c r="F22" s="33" t="s">
        <v>140</v>
      </c>
      <c r="G22" s="34" t="s">
        <v>120</v>
      </c>
      <c r="H22" s="34" t="s">
        <v>121</v>
      </c>
    </row>
    <row r="23" spans="1:8" x14ac:dyDescent="0.3">
      <c r="A23" s="26" t="s">
        <v>122</v>
      </c>
      <c r="C23" s="35">
        <f>(E17*E18)*'Tariffs Jul''11'!E15/100</f>
        <v>403.91120000000001</v>
      </c>
      <c r="D23" s="35">
        <f>IF($E17*$E18&gt;'Tariffs Jul''11'!F14,('Tariffs Jul''11'!F14*'Tariffs Jul''11'!F15/100),('Bills Jul''11'!$E17*'Bills Jul''11'!$E18)*'Tariffs Jul''11'!F15/100)</f>
        <v>86.552399999999992</v>
      </c>
      <c r="E23" s="35">
        <f>IF($E17*$E18&gt;'Tariffs Jul''11'!G14,('Tariffs Jul''11'!G14*'Tariffs Jul''11'!G15/100),('Bills Jul''11'!$E17*'Bills Jul''11'!$E18)*'Tariffs Jul''11'!G15/100)</f>
        <v>317.24</v>
      </c>
      <c r="F23" s="35">
        <f>IF($E17*$E18&gt;'Tariffs Jul''11'!H14,('Tariffs Jul''11'!H14*'Tariffs Jul''11'!H15/100),('Bills Jul''11'!$E17*'Bills Jul''11'!$E18)*'Tariffs Jul''11'!H15/100)</f>
        <v>336.49</v>
      </c>
      <c r="G23" s="36"/>
      <c r="H23" s="36"/>
    </row>
    <row r="24" spans="1:8" x14ac:dyDescent="0.3">
      <c r="A24" s="26" t="s">
        <v>86</v>
      </c>
      <c r="C24" s="35">
        <v>0</v>
      </c>
      <c r="D24" s="35">
        <f>IF($E17*$E18&lt;'Tariffs Jul''11'!F14,0,('Bills Jul''11'!$E17*'Bills Jul''11'!$E18-'Tariffs Jul''11'!F14)*'Tariffs Jul''11'!F16/100)</f>
        <v>301.33839999999998</v>
      </c>
      <c r="E24" s="35">
        <f>IF($E17*$E18&lt;'Tariffs Jul''11'!G14,0,('Bills Jul''11'!$E17*'Bills Jul''11'!$E18-'Tariffs Jul''11'!G14)*'Tariffs Jul''11'!G16/100)</f>
        <v>0</v>
      </c>
      <c r="F24" s="35">
        <f>IF($E17*$E18&lt;'Tariffs Jul''11'!H14,0,('Bills Jul''11'!$E17*'Bills Jul''11'!$E18-'Tariffs Jul''11'!H14)*'Tariffs Jul''11'!H16/100)</f>
        <v>0</v>
      </c>
      <c r="G24" s="36"/>
      <c r="H24" s="36"/>
    </row>
    <row r="25" spans="1:8" x14ac:dyDescent="0.3">
      <c r="A25" s="26" t="s">
        <v>131</v>
      </c>
      <c r="C25" s="35">
        <f>(E17*E19)*'Tariffs Jul''11'!E17/100</f>
        <v>66</v>
      </c>
      <c r="D25" s="35">
        <f>($E17*$E19)*'Tariffs Jul''11'!F17/100</f>
        <v>66</v>
      </c>
      <c r="E25" s="35">
        <f>($E17*$E19)*'Tariffs Jul''11'!G17/100</f>
        <v>54.12</v>
      </c>
      <c r="F25" s="35">
        <f>($E17*$E19)*'Tariffs Jul''11'!H17/100</f>
        <v>48.047999999999995</v>
      </c>
      <c r="G25" s="36"/>
      <c r="H25" s="36"/>
    </row>
    <row r="26" spans="1:8" x14ac:dyDescent="0.3">
      <c r="A26" s="26" t="s">
        <v>124</v>
      </c>
      <c r="C26" s="35">
        <f>'Tariffs Jul''11'!E18*91/100</f>
        <v>106.40930299999999</v>
      </c>
      <c r="D26" s="35">
        <f>'Tariffs Jul''11'!F18*91/100</f>
        <v>71.208136999999994</v>
      </c>
      <c r="E26" s="35">
        <f>'Tariffs Jul''11'!G18*91/100</f>
        <v>48.048000000000002</v>
      </c>
      <c r="F26" s="35">
        <f>'Tariffs Jul''11'!H18*91/100</f>
        <v>64.514449999999997</v>
      </c>
      <c r="G26" s="36">
        <f>AVERAGE(C26:F26)</f>
        <v>72.5449725</v>
      </c>
      <c r="H26" s="36"/>
    </row>
    <row r="27" spans="1:8" x14ac:dyDescent="0.3">
      <c r="A27" s="26" t="s">
        <v>87</v>
      </c>
      <c r="C27" s="35">
        <f>SUM(C23:C26)</f>
        <v>576.32050300000003</v>
      </c>
      <c r="D27" s="35">
        <f>SUM(D23:D26)</f>
        <v>525.09893699999998</v>
      </c>
      <c r="E27" s="35">
        <f>SUM(E23:E26)</f>
        <v>419.40800000000002</v>
      </c>
      <c r="F27" s="35">
        <f>SUM(F23:F26)</f>
        <v>449.05245000000002</v>
      </c>
      <c r="G27" s="36">
        <f>AVERAGE(C27:F27)</f>
        <v>492.46997250000004</v>
      </c>
      <c r="H27" s="36"/>
    </row>
    <row r="28" spans="1:8" x14ac:dyDescent="0.3">
      <c r="A28" s="37" t="s">
        <v>121</v>
      </c>
      <c r="B28" s="38"/>
      <c r="C28" s="39">
        <f>C27*4</f>
        <v>2305.2820120000001</v>
      </c>
      <c r="D28" s="39">
        <f>D27*4</f>
        <v>2100.3957479999999</v>
      </c>
      <c r="E28" s="39">
        <f>E27*4</f>
        <v>1677.6320000000001</v>
      </c>
      <c r="F28" s="39">
        <f>F27*4</f>
        <v>1796.2098000000001</v>
      </c>
      <c r="G28" s="40"/>
      <c r="H28" s="40">
        <f>AVERAGE(C28:F28)</f>
        <v>1969.8798900000002</v>
      </c>
    </row>
    <row r="29" spans="1:8" x14ac:dyDescent="0.3">
      <c r="G29" s="41"/>
      <c r="H29" s="41"/>
    </row>
    <row r="32" spans="1:8" x14ac:dyDescent="0.3">
      <c r="A32" s="42" t="s">
        <v>94</v>
      </c>
      <c r="C32" s="30" t="s">
        <v>79</v>
      </c>
      <c r="D32" s="30"/>
      <c r="E32" s="46">
        <v>1800</v>
      </c>
    </row>
    <row r="33" spans="1:8" x14ac:dyDescent="0.3">
      <c r="C33" s="30" t="s">
        <v>91</v>
      </c>
      <c r="D33" s="30"/>
      <c r="E33" s="47">
        <v>0.2</v>
      </c>
    </row>
    <row r="34" spans="1:8" x14ac:dyDescent="0.3">
      <c r="C34" s="30" t="s">
        <v>95</v>
      </c>
      <c r="D34" s="30"/>
      <c r="E34" s="47">
        <v>0.5</v>
      </c>
    </row>
    <row r="35" spans="1:8" x14ac:dyDescent="0.3">
      <c r="C35" s="30" t="s">
        <v>92</v>
      </c>
      <c r="D35" s="30"/>
      <c r="E35" s="47">
        <v>0.3</v>
      </c>
    </row>
    <row r="36" spans="1:8" x14ac:dyDescent="0.3">
      <c r="C36" s="30"/>
      <c r="D36" s="30"/>
      <c r="E36" s="65"/>
    </row>
    <row r="37" spans="1:8" x14ac:dyDescent="0.3">
      <c r="B37" s="30"/>
      <c r="C37" s="30"/>
      <c r="D37" s="30"/>
    </row>
    <row r="38" spans="1:8" x14ac:dyDescent="0.3">
      <c r="A38" s="31"/>
      <c r="C38" s="33" t="s">
        <v>104</v>
      </c>
      <c r="D38" s="33" t="s">
        <v>143</v>
      </c>
      <c r="E38" s="33" t="s">
        <v>125</v>
      </c>
      <c r="F38" s="33" t="s">
        <v>140</v>
      </c>
      <c r="G38" s="34" t="s">
        <v>120</v>
      </c>
      <c r="H38" s="34" t="s">
        <v>121</v>
      </c>
    </row>
    <row r="39" spans="1:8" x14ac:dyDescent="0.3">
      <c r="A39" s="26" t="s">
        <v>132</v>
      </c>
      <c r="C39" s="43">
        <f>($E32*$E33)*'Tariffs Jul''11'!E23/100</f>
        <v>111.85415999999999</v>
      </c>
      <c r="D39" s="44" t="s">
        <v>129</v>
      </c>
      <c r="E39" s="43">
        <f>($E32*$E33)*'Tariffs Jul''11'!G23/100</f>
        <v>160.77599999999998</v>
      </c>
      <c r="F39" s="43">
        <f>($E32*$E33)*'Tariffs Jul''11'!H23/100</f>
        <v>126.00720000000001</v>
      </c>
      <c r="G39" s="36"/>
      <c r="H39" s="36"/>
    </row>
    <row r="40" spans="1:8" x14ac:dyDescent="0.3">
      <c r="A40" s="26" t="s">
        <v>133</v>
      </c>
      <c r="C40" s="43">
        <f>($E32*$E34)*'Tariffs Jul''11'!E24/100</f>
        <v>279.63539999999995</v>
      </c>
      <c r="D40" s="44" t="s">
        <v>129</v>
      </c>
      <c r="E40" s="43">
        <f>($E32*$E34)*'Tariffs Jul''11'!G24/100</f>
        <v>162.36000000000001</v>
      </c>
      <c r="F40" s="43">
        <f>($E32*$E34)*'Tariffs Jul''11'!H24/100</f>
        <v>245.02500000000001</v>
      </c>
      <c r="G40" s="36"/>
      <c r="H40" s="36"/>
    </row>
    <row r="41" spans="1:8" x14ac:dyDescent="0.3">
      <c r="A41" s="26" t="s">
        <v>134</v>
      </c>
      <c r="C41" s="43">
        <f>($E32*$E35)*'Tariffs Jul''11'!E25/100</f>
        <v>84.009419999999992</v>
      </c>
      <c r="D41" s="44" t="s">
        <v>129</v>
      </c>
      <c r="E41" s="43">
        <f>($E32*$E35)*'Tariffs Jul''11'!G25/100</f>
        <v>57.024000000000008</v>
      </c>
      <c r="F41" s="43">
        <f>($E32*$E35)*'Tariffs Jul''11'!H25/100</f>
        <v>70.864199999999997</v>
      </c>
      <c r="G41" s="36"/>
      <c r="H41" s="36"/>
    </row>
    <row r="42" spans="1:8" x14ac:dyDescent="0.3">
      <c r="A42" s="26" t="s">
        <v>124</v>
      </c>
      <c r="C42" s="43">
        <f>'Tariffs Jul''11'!E26*91/100</f>
        <v>126.691565</v>
      </c>
      <c r="D42" s="44" t="s">
        <v>129</v>
      </c>
      <c r="E42" s="43">
        <f>'Tariffs Jul''11'!G26*91/100</f>
        <v>59.059000000000005</v>
      </c>
      <c r="F42" s="43">
        <f>'Tariffs Jul''11'!H26*91/100</f>
        <v>78.348269999999999</v>
      </c>
      <c r="G42" s="36">
        <f>AVERAGE(C42:F42)</f>
        <v>88.032944999999998</v>
      </c>
      <c r="H42" s="36"/>
    </row>
    <row r="43" spans="1:8" x14ac:dyDescent="0.3">
      <c r="A43" s="26" t="s">
        <v>87</v>
      </c>
      <c r="C43" s="43">
        <f>SUM(C39:C42)</f>
        <v>602.19054499999993</v>
      </c>
      <c r="D43" s="44" t="s">
        <v>129</v>
      </c>
      <c r="E43" s="43">
        <f>SUM(E39:E42)</f>
        <v>439.21899999999999</v>
      </c>
      <c r="F43" s="43">
        <f>SUM(F39:F42)</f>
        <v>520.24466999999993</v>
      </c>
      <c r="G43" s="36">
        <f>AVERAGE(C43:F43)</f>
        <v>520.55140500000005</v>
      </c>
      <c r="H43" s="36"/>
    </row>
    <row r="44" spans="1:8" x14ac:dyDescent="0.3">
      <c r="A44" s="37" t="s">
        <v>121</v>
      </c>
      <c r="B44" s="38"/>
      <c r="C44" s="39">
        <f>C43*4</f>
        <v>2408.7621799999997</v>
      </c>
      <c r="D44" s="45" t="s">
        <v>129</v>
      </c>
      <c r="E44" s="39">
        <f>E43*4</f>
        <v>1756.876</v>
      </c>
      <c r="F44" s="39">
        <f>F43*4</f>
        <v>2080.9786799999997</v>
      </c>
      <c r="G44" s="40"/>
      <c r="H44" s="40">
        <f>AVERAGE(C44:F44)</f>
        <v>2082.2056200000002</v>
      </c>
    </row>
  </sheetData>
  <sheetProtection algorithmName="SHA-512" hashValue="v3P5sZVBm9JPMWix//274LWrtEAsCMRTD7L5hzrivlAFKPv62SeFsVHKcvZJgGXBiQNfkxSqxmg+hvBCpDdOcA==" saltValue="GuqEUmpQwHs2rFe4HtDxEA==" spinCount="100000" sheet="1" objects="1" scenarios="1"/>
  <phoneticPr fontId="5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/>
  <dimension ref="A1:I47"/>
  <sheetViews>
    <sheetView workbookViewId="0">
      <selection activeCell="E5" sqref="E5"/>
    </sheetView>
  </sheetViews>
  <sheetFormatPr defaultColWidth="11" defaultRowHeight="13.5" x14ac:dyDescent="0.3"/>
  <cols>
    <col min="1" max="1" width="14.15234375" customWidth="1"/>
    <col min="2" max="2" width="2.69140625" customWidth="1"/>
    <col min="3" max="3" width="19.84375" customWidth="1"/>
    <col min="4" max="4" width="20.15234375" customWidth="1"/>
    <col min="5" max="5" width="19.84375" customWidth="1"/>
    <col min="6" max="6" width="20.15234375" customWidth="1"/>
    <col min="7" max="9" width="10" customWidth="1"/>
  </cols>
  <sheetData>
    <row r="1" spans="1:9" x14ac:dyDescent="0.3">
      <c r="A1" s="25" t="s">
        <v>138</v>
      </c>
      <c r="B1" s="26"/>
      <c r="C1" s="26"/>
      <c r="D1" s="26"/>
      <c r="E1" s="26"/>
      <c r="F1" s="26"/>
      <c r="G1" s="26"/>
      <c r="H1" s="26"/>
      <c r="I1" s="26"/>
    </row>
    <row r="2" spans="1:9" x14ac:dyDescent="0.3">
      <c r="A2" s="48"/>
      <c r="B2" s="48"/>
      <c r="C2" s="48"/>
      <c r="D2" s="48"/>
      <c r="E2" s="48"/>
      <c r="F2" s="48"/>
      <c r="G2" s="48"/>
      <c r="H2" s="48"/>
      <c r="I2" s="26"/>
    </row>
    <row r="3" spans="1:9" x14ac:dyDescent="0.3">
      <c r="A3" s="28" t="s">
        <v>144</v>
      </c>
      <c r="B3" s="26"/>
      <c r="C3" s="26"/>
      <c r="D3" s="26"/>
      <c r="E3" s="26"/>
      <c r="F3" s="26"/>
      <c r="G3" s="26"/>
      <c r="H3" s="26"/>
      <c r="I3" s="26"/>
    </row>
    <row r="4" spans="1:9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9" x14ac:dyDescent="0.3">
      <c r="A5" s="29" t="s">
        <v>78</v>
      </c>
      <c r="B5" s="26"/>
      <c r="C5" s="30" t="s">
        <v>90</v>
      </c>
      <c r="D5" s="26"/>
      <c r="E5" s="46">
        <v>1800</v>
      </c>
      <c r="F5" s="26"/>
      <c r="G5" s="26"/>
      <c r="H5" s="26"/>
      <c r="I5" s="26"/>
    </row>
    <row r="6" spans="1:9" x14ac:dyDescent="0.3">
      <c r="A6" s="29"/>
      <c r="B6" s="26"/>
      <c r="C6" s="30"/>
      <c r="D6" s="26"/>
      <c r="E6" s="26"/>
      <c r="F6" s="26"/>
      <c r="G6" s="26"/>
      <c r="H6" s="26"/>
      <c r="I6" s="26"/>
    </row>
    <row r="7" spans="1:9" x14ac:dyDescent="0.3">
      <c r="A7" s="26"/>
      <c r="B7" s="26"/>
      <c r="C7" s="26"/>
      <c r="D7" s="26"/>
      <c r="E7" s="26"/>
      <c r="F7" s="26"/>
      <c r="G7" s="26"/>
      <c r="H7" s="26"/>
      <c r="I7" s="26"/>
    </row>
    <row r="8" spans="1:9" x14ac:dyDescent="0.3">
      <c r="A8" s="31"/>
      <c r="B8" s="32"/>
      <c r="C8" s="33" t="s">
        <v>145</v>
      </c>
      <c r="D8" s="33" t="s">
        <v>146</v>
      </c>
      <c r="E8" s="33" t="s">
        <v>112</v>
      </c>
      <c r="F8" s="33" t="s">
        <v>147</v>
      </c>
      <c r="G8" s="34" t="s">
        <v>120</v>
      </c>
      <c r="H8" s="34" t="s">
        <v>121</v>
      </c>
      <c r="I8" s="26"/>
    </row>
    <row r="9" spans="1:9" x14ac:dyDescent="0.3">
      <c r="A9" s="26" t="s">
        <v>122</v>
      </c>
      <c r="B9" s="26"/>
      <c r="C9" s="35">
        <f>$E5*'Tariffs Jul''10'!E8/100</f>
        <v>438.01559999999995</v>
      </c>
      <c r="D9" s="35">
        <f>IF($E5&gt;'Tariffs Jul''10'!F7,'Tariffs Jul''10'!F7*'Tariffs Jul''10'!F8/100,'Bills Jul''10'!$E5*'Tariffs Jul''10'!F8/100)</f>
        <v>73.002599999999987</v>
      </c>
      <c r="E9" s="35">
        <f>IF($E5&gt;'Tariffs Jul''10'!G7,'Tariffs Jul''10'!G7*'Tariffs Jul''10'!G8/100,'Bills Jul''10'!$E5*'Tariffs Jul''10'!G8/100)</f>
        <v>333.98750000000001</v>
      </c>
      <c r="F9" s="35">
        <f>IF($E5&gt;'Tariffs Jul''10'!H7,'Tariffs Jul''10'!H7*'Tariffs Jul''10'!H8/100,'Bills Jul''10'!$E5*'Tariffs Jul''10'!H8/100)</f>
        <v>364.40249999999997</v>
      </c>
      <c r="G9" s="36"/>
      <c r="H9" s="36"/>
      <c r="I9" s="26"/>
    </row>
    <row r="10" spans="1:9" x14ac:dyDescent="0.3">
      <c r="A10" s="26" t="s">
        <v>86</v>
      </c>
      <c r="B10" s="26"/>
      <c r="C10" s="35">
        <v>0</v>
      </c>
      <c r="D10" s="35">
        <f>IF($E5&gt;'Tariffs Jul''10'!F7,('Bills Jul''10'!$E5-'Tariffs Jul''10'!F7)*'Tariffs Jul''10'!F9/100,0)</f>
        <v>346.58249999999998</v>
      </c>
      <c r="E10" s="35">
        <f>IF($E5&gt;'Tariffs Jul''10'!G7,('Bills Jul''10'!$E5-'Tariffs Jul''10'!G7)*'Tariffs Jul''10'!G9/100,0)</f>
        <v>14.025</v>
      </c>
      <c r="F10" s="35">
        <f>IF($E5&gt;'Tariffs Jul''10'!H7,('Bills Jul''10'!$E5-'Tariffs Jul''10'!H7)*'Tariffs Jul''10'!H9/100,0)</f>
        <v>11.527999999999999</v>
      </c>
      <c r="G10" s="36"/>
      <c r="H10" s="36"/>
      <c r="I10" s="26"/>
    </row>
    <row r="11" spans="1:9" x14ac:dyDescent="0.3">
      <c r="A11" s="26" t="s">
        <v>124</v>
      </c>
      <c r="B11" s="26"/>
      <c r="C11" s="35">
        <f>'Tariffs Jul''10'!E10*91/100</f>
        <v>82.742660000000001</v>
      </c>
      <c r="D11" s="35">
        <f>'Tariffs Jul''10'!F10*91/100</f>
        <v>55.475420000000007</v>
      </c>
      <c r="E11" s="35">
        <f>'Tariffs Jul''10'!G10*91/100</f>
        <v>43.042999999999999</v>
      </c>
      <c r="F11" s="35">
        <f>'Tariffs Jul''10'!H10*91/100</f>
        <v>52.052</v>
      </c>
      <c r="G11" s="36">
        <f>AVERAGE(C11:F11)</f>
        <v>58.328270000000003</v>
      </c>
      <c r="H11" s="36"/>
      <c r="I11" s="26"/>
    </row>
    <row r="12" spans="1:9" x14ac:dyDescent="0.3">
      <c r="A12" s="26" t="s">
        <v>87</v>
      </c>
      <c r="B12" s="26"/>
      <c r="C12" s="35">
        <f>SUM(C9:C11)</f>
        <v>520.75825999999995</v>
      </c>
      <c r="D12" s="35">
        <f>SUM(D9:D11)</f>
        <v>475.06051999999994</v>
      </c>
      <c r="E12" s="35">
        <f>SUM(E9:E11)</f>
        <v>391.05549999999999</v>
      </c>
      <c r="F12" s="35">
        <f>SUM(F9:F11)</f>
        <v>427.98250000000002</v>
      </c>
      <c r="G12" s="36">
        <f>AVERAGE(C12:F12)</f>
        <v>453.71419499999996</v>
      </c>
      <c r="H12" s="36"/>
      <c r="I12" s="26"/>
    </row>
    <row r="13" spans="1:9" x14ac:dyDescent="0.3">
      <c r="A13" s="37" t="s">
        <v>121</v>
      </c>
      <c r="B13" s="38"/>
      <c r="C13" s="39">
        <f>C12*4</f>
        <v>2083.0330399999998</v>
      </c>
      <c r="D13" s="39">
        <f>D12*4</f>
        <v>1900.2420799999998</v>
      </c>
      <c r="E13" s="39">
        <f>E12*4</f>
        <v>1564.222</v>
      </c>
      <c r="F13" s="39">
        <f>F12*4</f>
        <v>1711.93</v>
      </c>
      <c r="G13" s="40"/>
      <c r="H13" s="40">
        <f>AVERAGE(C13:F13)</f>
        <v>1814.8567799999998</v>
      </c>
      <c r="I13" s="26"/>
    </row>
    <row r="14" spans="1:9" x14ac:dyDescent="0.3">
      <c r="A14" s="26"/>
      <c r="B14" s="26"/>
      <c r="C14" s="26"/>
      <c r="D14" s="26"/>
      <c r="E14" s="26"/>
      <c r="F14" s="26"/>
      <c r="G14" s="41"/>
      <c r="H14" s="41"/>
      <c r="I14" s="26"/>
    </row>
    <row r="15" spans="1:9" x14ac:dyDescent="0.3">
      <c r="A15" s="26"/>
      <c r="B15" s="26"/>
      <c r="C15" s="26"/>
      <c r="D15" s="26"/>
      <c r="E15" s="26"/>
      <c r="F15" s="26"/>
      <c r="G15" s="26"/>
      <c r="H15" s="26"/>
      <c r="I15" s="26"/>
    </row>
    <row r="16" spans="1:9" x14ac:dyDescent="0.3">
      <c r="A16" s="26"/>
      <c r="B16" s="26"/>
      <c r="C16" s="26"/>
      <c r="D16" s="26"/>
      <c r="E16" s="26"/>
      <c r="F16" s="26"/>
      <c r="G16" s="26"/>
      <c r="H16" s="26"/>
      <c r="I16" s="26"/>
    </row>
    <row r="17" spans="1:9" x14ac:dyDescent="0.3">
      <c r="A17" s="30" t="s">
        <v>127</v>
      </c>
      <c r="B17" s="26"/>
      <c r="C17" s="30" t="s">
        <v>90</v>
      </c>
      <c r="D17" s="30"/>
      <c r="E17" s="46">
        <v>2000</v>
      </c>
      <c r="F17" s="26"/>
      <c r="G17" s="26"/>
      <c r="H17" s="26"/>
      <c r="I17" s="26"/>
    </row>
    <row r="18" spans="1:9" x14ac:dyDescent="0.3">
      <c r="A18" s="42" t="s">
        <v>128</v>
      </c>
      <c r="B18" s="26"/>
      <c r="C18" s="30" t="s">
        <v>91</v>
      </c>
      <c r="D18" s="30"/>
      <c r="E18" s="47">
        <v>0.7</v>
      </c>
      <c r="F18" s="26"/>
      <c r="G18" s="26"/>
      <c r="H18" s="26"/>
      <c r="I18" s="26"/>
    </row>
    <row r="19" spans="1:9" x14ac:dyDescent="0.3">
      <c r="A19" s="26"/>
      <c r="B19" s="26"/>
      <c r="C19" s="30" t="s">
        <v>92</v>
      </c>
      <c r="D19" s="30"/>
      <c r="E19" s="47">
        <v>0.3</v>
      </c>
      <c r="F19" s="26"/>
      <c r="G19" s="26"/>
      <c r="H19" s="26"/>
      <c r="I19" s="26"/>
    </row>
    <row r="20" spans="1:9" x14ac:dyDescent="0.3">
      <c r="A20" s="26"/>
      <c r="B20" s="26"/>
      <c r="C20" s="30"/>
      <c r="D20" s="30"/>
      <c r="E20" s="30"/>
      <c r="F20" s="26"/>
      <c r="G20" s="26"/>
      <c r="H20" s="26"/>
      <c r="I20" s="26"/>
    </row>
    <row r="21" spans="1:9" x14ac:dyDescent="0.3">
      <c r="A21" s="26"/>
      <c r="B21" s="26"/>
      <c r="C21" s="26"/>
      <c r="D21" s="26"/>
      <c r="E21" s="26"/>
      <c r="F21" s="26"/>
      <c r="G21" s="26"/>
      <c r="H21" s="26"/>
      <c r="I21" s="26"/>
    </row>
    <row r="22" spans="1:9" x14ac:dyDescent="0.3">
      <c r="A22" s="31"/>
      <c r="B22" s="26"/>
      <c r="C22" s="33" t="s">
        <v>145</v>
      </c>
      <c r="D22" s="33" t="s">
        <v>146</v>
      </c>
      <c r="E22" s="33" t="s">
        <v>112</v>
      </c>
      <c r="F22" s="33" t="s">
        <v>147</v>
      </c>
      <c r="G22" s="34" t="s">
        <v>120</v>
      </c>
      <c r="H22" s="34" t="s">
        <v>121</v>
      </c>
      <c r="I22" s="26"/>
    </row>
    <row r="23" spans="1:9" x14ac:dyDescent="0.3">
      <c r="A23" s="26" t="s">
        <v>122</v>
      </c>
      <c r="B23" s="26"/>
      <c r="C23" s="35">
        <f>(E17*E18)*'Tariffs Jul''10'!E15/100</f>
        <v>340.67879999999997</v>
      </c>
      <c r="D23" s="35">
        <f>IF($E17*$E18&gt;'Tariffs Jul''10'!F14,('Tariffs Jul''10'!F14*'Tariffs Jul''10'!F15/100),('Bills Jul''10'!$E17*'Bills Jul''10'!$E18)*'Tariffs Jul''10'!F15/100)</f>
        <v>73.002599999999987</v>
      </c>
      <c r="E23" s="35">
        <f>IF($E17*$E18&gt;'Tariffs Jul''10'!G14,('Tariffs Jul''10'!G14*'Tariffs Jul''10'!G15/100),('Bills Jul''10'!$E17*'Bills Jul''10'!$E18)*'Tariffs Jul''10'!G15/100)</f>
        <v>267.19</v>
      </c>
      <c r="F23" s="35">
        <f>IF($E17*$E18&gt;'Tariffs Jul''10'!H14,('Tariffs Jul''10'!H14*'Tariffs Jul''10'!H15/100),('Bills Jul''10'!$E17*'Bills Jul''10'!$E18)*'Tariffs Jul''10'!H15/100)</f>
        <v>291.52199999999999</v>
      </c>
      <c r="G23" s="36"/>
      <c r="H23" s="36"/>
      <c r="I23" s="26"/>
    </row>
    <row r="24" spans="1:9" x14ac:dyDescent="0.3">
      <c r="A24" s="26" t="s">
        <v>86</v>
      </c>
      <c r="B24" s="26"/>
      <c r="C24" s="35">
        <v>0</v>
      </c>
      <c r="D24" s="35">
        <f>IF($E17*$E18&lt;'Tariffs Jul''10'!F14,0,('Bills Jul''10'!$E17*'Bills Jul''10'!$E18-'Tariffs Jul''10'!F14)*'Tariffs Jul''10'!F16/100)</f>
        <v>254.16049999999998</v>
      </c>
      <c r="E24" s="35">
        <f>IF($E17*$E18&lt;'Tariffs Jul''10'!G14,0,('Bills Jul''10'!$E17*'Bills Jul''10'!$E18-'Tariffs Jul''10'!G14)*'Tariffs Jul''10'!G16/100)</f>
        <v>0</v>
      </c>
      <c r="F24" s="35">
        <f>IF($E17*$E18&lt;'Tariffs Jul''10'!H14,0,('Bills Jul''10'!$E17*'Bills Jul''10'!$E18-'Tariffs Jul''10'!H14)*'Tariffs Jul''10'!H16/100)</f>
        <v>0</v>
      </c>
      <c r="G24" s="36"/>
      <c r="H24" s="36"/>
      <c r="I24" s="26"/>
    </row>
    <row r="25" spans="1:9" x14ac:dyDescent="0.3">
      <c r="A25" s="26" t="s">
        <v>131</v>
      </c>
      <c r="B25" s="26"/>
      <c r="C25" s="35">
        <f>(E17*E19)*'Tariffs Jul''10'!E17/100</f>
        <v>55.664400000000008</v>
      </c>
      <c r="D25" s="35">
        <f>($E17*$E19)*'Tariffs Jul''10'!F17/100</f>
        <v>55.664400000000008</v>
      </c>
      <c r="E25" s="35">
        <f>($E17*$E19)*'Tariffs Jul''10'!G17/100</f>
        <v>50.16</v>
      </c>
      <c r="F25" s="35">
        <f>($E17*$E19)*'Tariffs Jul''10'!H17/100</f>
        <v>41.645999999999994</v>
      </c>
      <c r="G25" s="36"/>
      <c r="H25" s="36"/>
      <c r="I25" s="26"/>
    </row>
    <row r="26" spans="1:9" x14ac:dyDescent="0.3">
      <c r="A26" s="26" t="s">
        <v>124</v>
      </c>
      <c r="B26" s="26"/>
      <c r="C26" s="35">
        <f>'Tariffs Jul''10'!E18*91/100</f>
        <v>89.749660000000006</v>
      </c>
      <c r="D26" s="35">
        <f>'Tariffs Jul''10'!F18*91/100</f>
        <v>60.06</v>
      </c>
      <c r="E26" s="35">
        <f>'Tariffs Jul''10'!G18*91/100</f>
        <v>43.042999999999999</v>
      </c>
      <c r="F26" s="35">
        <f>'Tariffs Jul''10'!H18*91/100</f>
        <v>56.056000000000004</v>
      </c>
      <c r="G26" s="36">
        <f>AVERAGE(C26:F26)</f>
        <v>62.227165000000007</v>
      </c>
      <c r="H26" s="36"/>
      <c r="I26" s="26"/>
    </row>
    <row r="27" spans="1:9" x14ac:dyDescent="0.3">
      <c r="A27" s="26" t="s">
        <v>87</v>
      </c>
      <c r="B27" s="26"/>
      <c r="C27" s="35">
        <f>SUM(C23:C26)</f>
        <v>486.09285999999997</v>
      </c>
      <c r="D27" s="35">
        <f>SUM(D23:D26)</f>
        <v>442.88749999999999</v>
      </c>
      <c r="E27" s="35">
        <f>SUM(E23:E26)</f>
        <v>360.39300000000003</v>
      </c>
      <c r="F27" s="35">
        <f>SUM(F23:F26)</f>
        <v>389.22399999999999</v>
      </c>
      <c r="G27" s="36">
        <f>AVERAGE(C27:F27)</f>
        <v>419.64934</v>
      </c>
      <c r="H27" s="36"/>
      <c r="I27" s="26"/>
    </row>
    <row r="28" spans="1:9" x14ac:dyDescent="0.3">
      <c r="A28" s="37" t="s">
        <v>121</v>
      </c>
      <c r="B28" s="38"/>
      <c r="C28" s="39">
        <f>C27*4</f>
        <v>1944.3714399999999</v>
      </c>
      <c r="D28" s="39">
        <f>D27*4</f>
        <v>1771.55</v>
      </c>
      <c r="E28" s="39">
        <f>E27*4</f>
        <v>1441.5720000000001</v>
      </c>
      <c r="F28" s="39">
        <f>F27*4</f>
        <v>1556.896</v>
      </c>
      <c r="G28" s="40"/>
      <c r="H28" s="40">
        <f>AVERAGE(C28:F28)</f>
        <v>1678.59736</v>
      </c>
      <c r="I28" s="26"/>
    </row>
    <row r="29" spans="1:9" x14ac:dyDescent="0.3">
      <c r="A29" s="26"/>
      <c r="B29" s="26"/>
      <c r="C29" s="26"/>
      <c r="D29" s="26"/>
      <c r="E29" s="26"/>
      <c r="F29" s="26"/>
      <c r="G29" s="41"/>
      <c r="H29" s="41"/>
      <c r="I29" s="26"/>
    </row>
    <row r="30" spans="1:9" x14ac:dyDescent="0.3">
      <c r="A30" s="26"/>
      <c r="B30" s="26"/>
      <c r="C30" s="26"/>
      <c r="D30" s="26"/>
      <c r="E30" s="26"/>
      <c r="F30" s="26"/>
      <c r="G30" s="26"/>
      <c r="H30" s="26"/>
      <c r="I30" s="26"/>
    </row>
    <row r="31" spans="1:9" x14ac:dyDescent="0.3">
      <c r="A31" s="26"/>
      <c r="B31" s="26"/>
      <c r="C31" s="26"/>
      <c r="D31" s="26"/>
      <c r="E31" s="26"/>
      <c r="F31" s="26"/>
      <c r="G31" s="26"/>
      <c r="H31" s="26"/>
      <c r="I31" s="26"/>
    </row>
    <row r="32" spans="1:9" x14ac:dyDescent="0.3">
      <c r="A32" s="42" t="s">
        <v>94</v>
      </c>
      <c r="B32" s="26"/>
      <c r="C32" s="30" t="s">
        <v>90</v>
      </c>
      <c r="D32" s="30"/>
      <c r="E32" s="46">
        <v>1800</v>
      </c>
      <c r="F32" s="26"/>
      <c r="G32" s="26"/>
      <c r="H32" s="26"/>
      <c r="I32" s="26"/>
    </row>
    <row r="33" spans="1:9" x14ac:dyDescent="0.3">
      <c r="A33" s="26"/>
      <c r="B33" s="26"/>
      <c r="C33" s="30" t="s">
        <v>91</v>
      </c>
      <c r="D33" s="30"/>
      <c r="E33" s="47">
        <v>0.2</v>
      </c>
      <c r="F33" s="26"/>
      <c r="G33" s="26"/>
      <c r="H33" s="26"/>
      <c r="I33" s="26"/>
    </row>
    <row r="34" spans="1:9" x14ac:dyDescent="0.3">
      <c r="A34" s="26"/>
      <c r="B34" s="26"/>
      <c r="C34" s="30" t="s">
        <v>95</v>
      </c>
      <c r="D34" s="30"/>
      <c r="E34" s="47">
        <v>0.5</v>
      </c>
      <c r="F34" s="26"/>
      <c r="G34" s="26"/>
      <c r="H34" s="26"/>
      <c r="I34" s="26"/>
    </row>
    <row r="35" spans="1:9" x14ac:dyDescent="0.3">
      <c r="A35" s="26"/>
      <c r="B35" s="26"/>
      <c r="C35" s="30" t="s">
        <v>92</v>
      </c>
      <c r="D35" s="30"/>
      <c r="E35" s="47">
        <v>0.3</v>
      </c>
      <c r="F35" s="26"/>
      <c r="G35" s="26"/>
      <c r="H35" s="26"/>
      <c r="I35" s="26"/>
    </row>
    <row r="36" spans="1:9" x14ac:dyDescent="0.3">
      <c r="A36" s="26"/>
      <c r="B36" s="26"/>
      <c r="C36" s="30"/>
      <c r="D36" s="30"/>
      <c r="E36" s="30"/>
      <c r="F36" s="26"/>
      <c r="G36" s="26"/>
      <c r="H36" s="26"/>
      <c r="I36" s="26"/>
    </row>
    <row r="37" spans="1:9" x14ac:dyDescent="0.3">
      <c r="A37" s="26"/>
      <c r="B37" s="30"/>
      <c r="C37" s="30"/>
      <c r="D37" s="30"/>
      <c r="E37" s="26"/>
      <c r="F37" s="26"/>
      <c r="G37" s="26"/>
      <c r="H37" s="26"/>
      <c r="I37" s="26"/>
    </row>
    <row r="38" spans="1:9" x14ac:dyDescent="0.3">
      <c r="A38" s="31"/>
      <c r="B38" s="26"/>
      <c r="C38" s="33" t="s">
        <v>145</v>
      </c>
      <c r="D38" s="33" t="s">
        <v>146</v>
      </c>
      <c r="E38" s="33" t="s">
        <v>112</v>
      </c>
      <c r="F38" s="33" t="s">
        <v>147</v>
      </c>
      <c r="G38" s="34" t="s">
        <v>120</v>
      </c>
      <c r="H38" s="34" t="s">
        <v>121</v>
      </c>
      <c r="I38" s="26"/>
    </row>
    <row r="39" spans="1:9" x14ac:dyDescent="0.3">
      <c r="A39" s="26" t="s">
        <v>132</v>
      </c>
      <c r="B39" s="26"/>
      <c r="C39" s="43">
        <f>($E32*$E33)*'Tariffs Jul''10'!E23/100</f>
        <v>94.343040000000002</v>
      </c>
      <c r="D39" s="44" t="s">
        <v>129</v>
      </c>
      <c r="E39" s="43">
        <f>($E32*$E33)*'Tariffs Jul''10'!G23/100</f>
        <v>144.93599999999998</v>
      </c>
      <c r="F39" s="43">
        <f>($E32*$E33)*'Tariffs Jul''10'!H23/100</f>
        <v>109.17720000000001</v>
      </c>
      <c r="G39" s="36"/>
      <c r="H39" s="36"/>
      <c r="I39" s="26"/>
    </row>
    <row r="40" spans="1:9" x14ac:dyDescent="0.3">
      <c r="A40" s="26" t="s">
        <v>133</v>
      </c>
      <c r="B40" s="26"/>
      <c r="C40" s="43">
        <f>($E32*$E34)*'Tariffs Jul''10'!E24/100</f>
        <v>235.85759999999999</v>
      </c>
      <c r="D40" s="44" t="s">
        <v>129</v>
      </c>
      <c r="E40" s="43">
        <f>($E32*$E34)*'Tariffs Jul''10'!G24/100</f>
        <v>134.63999999999999</v>
      </c>
      <c r="F40" s="43">
        <f>($E32*$E34)*'Tariffs Jul''10'!H24/100</f>
        <v>212.25599999999997</v>
      </c>
      <c r="G40" s="36"/>
      <c r="H40" s="36"/>
      <c r="I40" s="26"/>
    </row>
    <row r="41" spans="1:9" x14ac:dyDescent="0.3">
      <c r="A41" s="26" t="s">
        <v>134</v>
      </c>
      <c r="B41" s="26"/>
      <c r="C41" s="43">
        <f>($E32*$E35)*'Tariffs Jul''10'!E25/100</f>
        <v>70.858260000000001</v>
      </c>
      <c r="D41" s="44" t="s">
        <v>129</v>
      </c>
      <c r="E41" s="43">
        <f>($E32*$E35)*'Tariffs Jul''10'!G25/100</f>
        <v>47.52</v>
      </c>
      <c r="F41" s="43">
        <f>($E32*$E35)*'Tariffs Jul''10'!H25/100</f>
        <v>61.419600000000003</v>
      </c>
      <c r="G41" s="36"/>
      <c r="H41" s="36"/>
      <c r="I41" s="26"/>
    </row>
    <row r="42" spans="1:9" x14ac:dyDescent="0.3">
      <c r="A42" s="26" t="s">
        <v>124</v>
      </c>
      <c r="B42" s="26"/>
      <c r="C42" s="43">
        <f>'Tariffs Jul''10'!E26*91/100</f>
        <v>106.85674999999999</v>
      </c>
      <c r="D42" s="44" t="s">
        <v>129</v>
      </c>
      <c r="E42" s="43">
        <f>'Tariffs Jul''10'!G26*91/100</f>
        <v>48.048000000000002</v>
      </c>
      <c r="F42" s="43">
        <f>'Tariffs Jul''10'!H26*91/100</f>
        <v>68.067999999999998</v>
      </c>
      <c r="G42" s="36">
        <f>AVERAGE(C42:F42)</f>
        <v>74.324249999999992</v>
      </c>
      <c r="H42" s="36"/>
      <c r="I42" s="26"/>
    </row>
    <row r="43" spans="1:9" x14ac:dyDescent="0.3">
      <c r="A43" s="26" t="s">
        <v>87</v>
      </c>
      <c r="B43" s="26"/>
      <c r="C43" s="43">
        <f>SUM(C39:C42)</f>
        <v>507.91564999999997</v>
      </c>
      <c r="D43" s="44" t="s">
        <v>129</v>
      </c>
      <c r="E43" s="43">
        <f>SUM(E39:E42)</f>
        <v>375.14399999999995</v>
      </c>
      <c r="F43" s="43">
        <f>SUM(F39:F42)</f>
        <v>450.92079999999999</v>
      </c>
      <c r="G43" s="36">
        <f>AVERAGE(C43:F43)</f>
        <v>444.66014999999999</v>
      </c>
      <c r="H43" s="36"/>
      <c r="I43" s="26"/>
    </row>
    <row r="44" spans="1:9" x14ac:dyDescent="0.3">
      <c r="A44" s="37" t="s">
        <v>121</v>
      </c>
      <c r="B44" s="38"/>
      <c r="C44" s="39">
        <f>C43*4</f>
        <v>2031.6625999999999</v>
      </c>
      <c r="D44" s="45" t="s">
        <v>129</v>
      </c>
      <c r="E44" s="39">
        <f>E43*4</f>
        <v>1500.5759999999998</v>
      </c>
      <c r="F44" s="39">
        <f>F43*4</f>
        <v>1803.6831999999999</v>
      </c>
      <c r="G44" s="40"/>
      <c r="H44" s="40">
        <f>AVERAGE(C44:F44)</f>
        <v>1778.6405999999999</v>
      </c>
      <c r="I44" s="26"/>
    </row>
    <row r="45" spans="1:9" x14ac:dyDescent="0.3">
      <c r="A45" s="26"/>
      <c r="B45" s="26"/>
      <c r="C45" s="26"/>
      <c r="D45" s="26"/>
      <c r="E45" s="26"/>
      <c r="F45" s="26"/>
      <c r="G45" s="41"/>
      <c r="H45" s="41"/>
      <c r="I45" s="26"/>
    </row>
    <row r="46" spans="1:9" x14ac:dyDescent="0.3">
      <c r="A46" s="26"/>
      <c r="B46" s="26"/>
      <c r="C46" s="26"/>
      <c r="D46" s="26"/>
      <c r="E46" s="26"/>
      <c r="F46" s="26"/>
      <c r="G46" s="26"/>
      <c r="H46" s="26"/>
      <c r="I46" s="26"/>
    </row>
    <row r="47" spans="1:9" x14ac:dyDescent="0.3">
      <c r="A47" s="26"/>
      <c r="B47" s="26"/>
      <c r="C47" s="26"/>
      <c r="D47" s="26"/>
      <c r="E47" s="26"/>
      <c r="F47" s="26"/>
      <c r="G47" s="26"/>
      <c r="H47" s="26"/>
      <c r="I47" s="26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3"/>
  <dimension ref="A1:I46"/>
  <sheetViews>
    <sheetView workbookViewId="0">
      <selection activeCell="E5" sqref="E5"/>
    </sheetView>
  </sheetViews>
  <sheetFormatPr defaultColWidth="11" defaultRowHeight="13.5" x14ac:dyDescent="0.3"/>
  <cols>
    <col min="1" max="1" width="14.15234375" customWidth="1"/>
    <col min="2" max="2" width="2.69140625" customWidth="1"/>
    <col min="3" max="3" width="19.84375" customWidth="1"/>
    <col min="4" max="4" width="20.15234375" customWidth="1"/>
    <col min="5" max="5" width="19.84375" customWidth="1"/>
    <col min="6" max="6" width="20.15234375" customWidth="1"/>
    <col min="7" max="8" width="10" customWidth="1"/>
  </cols>
  <sheetData>
    <row r="1" spans="1:9" x14ac:dyDescent="0.3">
      <c r="A1" s="25" t="s">
        <v>138</v>
      </c>
      <c r="B1" s="26"/>
      <c r="C1" s="26"/>
      <c r="D1" s="26"/>
      <c r="E1" s="26"/>
      <c r="F1" s="26"/>
      <c r="G1" s="26"/>
      <c r="H1" s="26"/>
      <c r="I1" s="26"/>
    </row>
    <row r="2" spans="1:9" x14ac:dyDescent="0.3">
      <c r="A2" s="49"/>
      <c r="B2" s="49"/>
      <c r="C2" s="49"/>
      <c r="D2" s="49"/>
      <c r="E2" s="49"/>
      <c r="F2" s="49"/>
      <c r="G2" s="49"/>
      <c r="H2" s="49"/>
      <c r="I2" s="26"/>
    </row>
    <row r="3" spans="1:9" x14ac:dyDescent="0.3">
      <c r="A3" s="28" t="s">
        <v>148</v>
      </c>
      <c r="B3" s="26"/>
      <c r="C3" s="26"/>
      <c r="D3" s="26"/>
      <c r="E3" s="26"/>
      <c r="F3" s="26"/>
      <c r="G3" s="26"/>
      <c r="H3" s="26"/>
      <c r="I3" s="26"/>
    </row>
    <row r="4" spans="1:9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9" x14ac:dyDescent="0.3">
      <c r="A5" s="29" t="s">
        <v>78</v>
      </c>
      <c r="B5" s="26"/>
      <c r="C5" s="30" t="s">
        <v>90</v>
      </c>
      <c r="D5" s="26"/>
      <c r="E5" s="46">
        <v>1800</v>
      </c>
      <c r="F5" s="26"/>
      <c r="G5" s="26"/>
      <c r="H5" s="26"/>
      <c r="I5" s="26"/>
    </row>
    <row r="6" spans="1:9" x14ac:dyDescent="0.3">
      <c r="A6" s="29"/>
      <c r="B6" s="26"/>
      <c r="C6" s="30"/>
      <c r="D6" s="26"/>
      <c r="E6" s="26"/>
      <c r="F6" s="26"/>
      <c r="G6" s="26"/>
      <c r="H6" s="26"/>
      <c r="I6" s="26"/>
    </row>
    <row r="7" spans="1:9" x14ac:dyDescent="0.3">
      <c r="A7" s="26"/>
      <c r="B7" s="26"/>
      <c r="C7" s="26"/>
      <c r="D7" s="26"/>
      <c r="E7" s="26"/>
      <c r="F7" s="26"/>
      <c r="G7" s="26"/>
      <c r="H7" s="26"/>
      <c r="I7" s="26"/>
    </row>
    <row r="8" spans="1:9" x14ac:dyDescent="0.3">
      <c r="A8" s="31"/>
      <c r="B8" s="32"/>
      <c r="C8" s="33" t="s">
        <v>145</v>
      </c>
      <c r="D8" s="33" t="s">
        <v>146</v>
      </c>
      <c r="E8" s="33" t="s">
        <v>112</v>
      </c>
      <c r="F8" s="33" t="s">
        <v>147</v>
      </c>
      <c r="G8" s="34" t="s">
        <v>120</v>
      </c>
      <c r="H8" s="34" t="s">
        <v>121</v>
      </c>
      <c r="I8" s="26"/>
    </row>
    <row r="9" spans="1:9" x14ac:dyDescent="0.3">
      <c r="A9" s="26" t="s">
        <v>122</v>
      </c>
      <c r="B9" s="26"/>
      <c r="C9" s="35">
        <f>$E5*'Tariffs Jul''09'!E8/100</f>
        <v>388.476</v>
      </c>
      <c r="D9" s="35">
        <f>IF($E5&gt;'Tariffs Jul''09'!F7,'Tariffs Jul''09'!F7*'Tariffs Jul''09'!F8/100,'Bills Jul''09'!$E5*'Tariffs Jul''09'!F8/100)</f>
        <v>64.746000000000009</v>
      </c>
      <c r="E9" s="35">
        <f>IF($E5&gt;'Tariffs Jul''09'!G7,'Tariffs Jul''09'!G7*'Tariffs Jul''09'!G8/100,'Bills Jul''09'!$E5*'Tariffs Jul''09'!G8/100)</f>
        <v>300.3</v>
      </c>
      <c r="F9" s="35">
        <f>IF($E5&gt;'Tariffs Jul''09'!H7,'Tariffs Jul''09'!H7*'Tariffs Jul''09'!H8/100,'Bills Jul''09'!$E5*'Tariffs Jul''09'!H8/100)</f>
        <v>341.6875</v>
      </c>
      <c r="G9" s="36"/>
      <c r="H9" s="36"/>
      <c r="I9" s="26"/>
    </row>
    <row r="10" spans="1:9" x14ac:dyDescent="0.3">
      <c r="A10" s="26" t="s">
        <v>86</v>
      </c>
      <c r="B10" s="26"/>
      <c r="C10" s="35">
        <v>0</v>
      </c>
      <c r="D10" s="35">
        <f>IF($E5&gt;'Tariffs Jul''09'!F7,('Bills Jul''09'!$E5-'Tariffs Jul''09'!F7)*'Tariffs Jul''09'!F9/100,0)</f>
        <v>307.39499999999998</v>
      </c>
      <c r="E10" s="35">
        <f>IF($E5&gt;'Tariffs Jul''09'!G7,('Bills Jul''09'!$E5-'Tariffs Jul''09'!G7)*'Tariffs Jul''09'!G9/100,0)</f>
        <v>12.705</v>
      </c>
      <c r="F10" s="35">
        <f>IF($E5&gt;'Tariffs Jul''09'!H7,('Bills Jul''09'!$E5-'Tariffs Jul''09'!H7)*'Tariffs Jul''09'!H9/100,0)</f>
        <v>10.6425</v>
      </c>
      <c r="G10" s="36"/>
      <c r="H10" s="36"/>
      <c r="I10" s="26"/>
    </row>
    <row r="11" spans="1:9" x14ac:dyDescent="0.3">
      <c r="A11" s="26" t="s">
        <v>124</v>
      </c>
      <c r="B11" s="26"/>
      <c r="C11" s="35">
        <f>'Tariffs Jul''09'!E10*91/100</f>
        <v>73.383309999999994</v>
      </c>
      <c r="D11" s="35">
        <f>'Tariffs Jul''09'!F10*91/100</f>
        <v>49.199150000000003</v>
      </c>
      <c r="E11" s="35">
        <f>'Tariffs Jul''09'!G10*91/100</f>
        <v>39.039000000000001</v>
      </c>
      <c r="F11" s="35">
        <f>'Tariffs Jul''09'!H10*91/100</f>
        <v>48.048000000000002</v>
      </c>
      <c r="G11" s="36">
        <f>AVERAGE(C11:F11)</f>
        <v>52.417365000000004</v>
      </c>
      <c r="H11" s="36"/>
      <c r="I11" s="26"/>
    </row>
    <row r="12" spans="1:9" x14ac:dyDescent="0.3">
      <c r="A12" s="26" t="s">
        <v>87</v>
      </c>
      <c r="B12" s="26"/>
      <c r="C12" s="35">
        <f>SUM(C9:C11)</f>
        <v>461.85930999999999</v>
      </c>
      <c r="D12" s="35">
        <f>SUM(D9:D11)</f>
        <v>421.34014999999999</v>
      </c>
      <c r="E12" s="35">
        <f>SUM(E9:E11)</f>
        <v>352.04399999999998</v>
      </c>
      <c r="F12" s="35">
        <f>SUM(F9:F11)</f>
        <v>400.37799999999999</v>
      </c>
      <c r="G12" s="36">
        <f>AVERAGE(C12:F12)</f>
        <v>408.90536500000002</v>
      </c>
      <c r="H12" s="36"/>
      <c r="I12" s="26"/>
    </row>
    <row r="13" spans="1:9" x14ac:dyDescent="0.3">
      <c r="A13" s="37" t="s">
        <v>121</v>
      </c>
      <c r="B13" s="38"/>
      <c r="C13" s="39">
        <f>C12*4</f>
        <v>1847.43724</v>
      </c>
      <c r="D13" s="39">
        <f>D12*4</f>
        <v>1685.3606</v>
      </c>
      <c r="E13" s="39">
        <f>E12*4</f>
        <v>1408.1759999999999</v>
      </c>
      <c r="F13" s="39">
        <f>F12*4</f>
        <v>1601.5119999999999</v>
      </c>
      <c r="G13" s="40"/>
      <c r="H13" s="40">
        <f>AVERAGE(C13:F13)</f>
        <v>1635.6214600000001</v>
      </c>
      <c r="I13" s="26"/>
    </row>
    <row r="14" spans="1:9" x14ac:dyDescent="0.3">
      <c r="A14" s="26"/>
      <c r="B14" s="26"/>
      <c r="C14" s="26"/>
      <c r="D14" s="26"/>
      <c r="E14" s="26"/>
      <c r="F14" s="26"/>
      <c r="G14" s="41"/>
      <c r="H14" s="41"/>
      <c r="I14" s="26"/>
    </row>
    <row r="15" spans="1:9" x14ac:dyDescent="0.3">
      <c r="A15" s="26"/>
      <c r="B15" s="26"/>
      <c r="C15" s="26"/>
      <c r="D15" s="26"/>
      <c r="E15" s="26"/>
      <c r="F15" s="26"/>
      <c r="G15" s="26"/>
      <c r="H15" s="26"/>
      <c r="I15" s="26"/>
    </row>
    <row r="16" spans="1:9" x14ac:dyDescent="0.3">
      <c r="A16" s="26"/>
      <c r="B16" s="26"/>
      <c r="C16" s="26"/>
      <c r="D16" s="26"/>
      <c r="E16" s="26"/>
      <c r="F16" s="26"/>
      <c r="G16" s="26"/>
      <c r="H16" s="26"/>
      <c r="I16" s="26"/>
    </row>
    <row r="17" spans="1:9" x14ac:dyDescent="0.3">
      <c r="A17" s="30" t="s">
        <v>127</v>
      </c>
      <c r="B17" s="26"/>
      <c r="C17" s="30" t="s">
        <v>90</v>
      </c>
      <c r="D17" s="30"/>
      <c r="E17" s="46">
        <v>2000</v>
      </c>
      <c r="F17" s="26"/>
      <c r="G17" s="26"/>
      <c r="H17" s="26"/>
      <c r="I17" s="26"/>
    </row>
    <row r="18" spans="1:9" x14ac:dyDescent="0.3">
      <c r="A18" s="42" t="s">
        <v>128</v>
      </c>
      <c r="B18" s="26"/>
      <c r="C18" s="30" t="s">
        <v>91</v>
      </c>
      <c r="D18" s="30"/>
      <c r="E18" s="47">
        <v>0.7</v>
      </c>
      <c r="F18" s="26"/>
      <c r="G18" s="26"/>
      <c r="H18" s="26"/>
      <c r="I18" s="26"/>
    </row>
    <row r="19" spans="1:9" x14ac:dyDescent="0.3">
      <c r="A19" s="26"/>
      <c r="B19" s="26"/>
      <c r="C19" s="30" t="s">
        <v>92</v>
      </c>
      <c r="D19" s="30"/>
      <c r="E19" s="47">
        <v>0.3</v>
      </c>
      <c r="F19" s="26"/>
      <c r="G19" s="26"/>
      <c r="H19" s="26"/>
      <c r="I19" s="26"/>
    </row>
    <row r="20" spans="1:9" x14ac:dyDescent="0.3">
      <c r="A20" s="26"/>
      <c r="B20" s="26"/>
      <c r="C20" s="30"/>
      <c r="D20" s="30"/>
      <c r="E20" s="30"/>
      <c r="F20" s="26"/>
      <c r="G20" s="26"/>
      <c r="H20" s="26"/>
      <c r="I20" s="26"/>
    </row>
    <row r="21" spans="1:9" x14ac:dyDescent="0.3">
      <c r="A21" s="26"/>
      <c r="B21" s="26"/>
      <c r="C21" s="26"/>
      <c r="D21" s="26"/>
      <c r="E21" s="26"/>
      <c r="F21" s="26"/>
      <c r="G21" s="26"/>
      <c r="H21" s="26"/>
      <c r="I21" s="26"/>
    </row>
    <row r="22" spans="1:9" x14ac:dyDescent="0.3">
      <c r="A22" s="31"/>
      <c r="B22" s="26"/>
      <c r="C22" s="33" t="s">
        <v>145</v>
      </c>
      <c r="D22" s="33" t="s">
        <v>146</v>
      </c>
      <c r="E22" s="33" t="s">
        <v>112</v>
      </c>
      <c r="F22" s="33" t="s">
        <v>147</v>
      </c>
      <c r="G22" s="34" t="s">
        <v>120</v>
      </c>
      <c r="H22" s="34" t="s">
        <v>121</v>
      </c>
      <c r="I22" s="26"/>
    </row>
    <row r="23" spans="1:9" x14ac:dyDescent="0.3">
      <c r="A23" s="26" t="s">
        <v>122</v>
      </c>
      <c r="B23" s="26"/>
      <c r="C23" s="35">
        <f>(E17*E18)*'Tariffs Jul''09'!E15/100</f>
        <v>302.14799999999997</v>
      </c>
      <c r="D23" s="35">
        <f>IF($E17*$E18&gt;'Tariffs Jul''09'!F14,('Tariffs Jul''09'!F14*'Tariffs Jul''09'!F15/100),('Bills Jul''09'!$E17*'Bills Jul''09'!$E18)*'Tariffs Jul''09'!F15/100)</f>
        <v>64.746000000000009</v>
      </c>
      <c r="E23" s="35">
        <f>IF($E17*$E18&gt;'Tariffs Jul''09'!G14,('Tariffs Jul''09'!G14*'Tariffs Jul''09'!G15/100),('Bills Jul''09'!$E17*'Bills Jul''09'!$E18)*'Tariffs Jul''09'!G15/100)</f>
        <v>240.24</v>
      </c>
      <c r="F23" s="35">
        <f>IF($E17*$E18&gt;'Tariffs Jul''09'!H14,('Tariffs Jul''09'!H14*'Tariffs Jul''09'!H15/100),('Bills Jul''09'!$E17*'Bills Jul''09'!$E18)*'Tariffs Jul''09'!H15/100)</f>
        <v>273.34999999999997</v>
      </c>
      <c r="G23" s="36"/>
      <c r="H23" s="36"/>
      <c r="I23" s="26"/>
    </row>
    <row r="24" spans="1:9" x14ac:dyDescent="0.3">
      <c r="A24" s="26" t="s">
        <v>86</v>
      </c>
      <c r="B24" s="26"/>
      <c r="C24" s="35">
        <v>0</v>
      </c>
      <c r="D24" s="35">
        <f>IF($E17*$E18&lt;'Tariffs Jul''09'!F14,0,('Bills Jul''09'!$E17*'Bills Jul''09'!$E18-'Tariffs Jul''09'!F14)*'Tariffs Jul''09'!F16/100)</f>
        <v>225.423</v>
      </c>
      <c r="E24" s="35">
        <f>IF($E17*$E18&lt;'Tariffs Jul''09'!G14,0,('Bills Jul''09'!$E17*'Bills Jul''09'!$E18-'Tariffs Jul''09'!G14)*'Tariffs Jul''09'!G16/100)</f>
        <v>0</v>
      </c>
      <c r="F24" s="35">
        <f>IF($E17*$E18&lt;'Tariffs Jul''09'!H14,0,('Bills Jul''09'!$E17*'Bills Jul''09'!$E18-'Tariffs Jul''09'!H14)*'Tariffs Jul''09'!H16/100)</f>
        <v>0</v>
      </c>
      <c r="G24" s="36"/>
      <c r="H24" s="36"/>
      <c r="I24" s="26"/>
    </row>
    <row r="25" spans="1:9" x14ac:dyDescent="0.3">
      <c r="A25" s="26" t="s">
        <v>131</v>
      </c>
      <c r="B25" s="26"/>
      <c r="C25" s="35">
        <f>(E17*E19)*'Tariffs Jul''09'!E17/100</f>
        <v>49.368000000000002</v>
      </c>
      <c r="D25" s="35">
        <f>($E17*$E19)*'Tariffs Jul''09'!F17/100</f>
        <v>49.368000000000002</v>
      </c>
      <c r="E25" s="35">
        <f>($E17*$E19)*'Tariffs Jul''09'!G17/100</f>
        <v>44.22</v>
      </c>
      <c r="F25" s="35">
        <f>($E17*$E19)*'Tariffs Jul''09'!H17/100</f>
        <v>41.58</v>
      </c>
      <c r="G25" s="36"/>
      <c r="H25" s="36"/>
      <c r="I25" s="26"/>
    </row>
    <row r="26" spans="1:9" x14ac:dyDescent="0.3">
      <c r="A26" s="26" t="s">
        <v>124</v>
      </c>
      <c r="B26" s="26"/>
      <c r="C26" s="35">
        <f>'Tariffs Jul''09'!E18*91/100</f>
        <v>79.599519999999998</v>
      </c>
      <c r="D26" s="35">
        <f>'Tariffs Jul''09'!F18*91/100</f>
        <v>53.263210000000001</v>
      </c>
      <c r="E26" s="35">
        <f>'Tariffs Jul''09'!G18*91/100</f>
        <v>39.039000000000001</v>
      </c>
      <c r="F26" s="35">
        <f>'Tariffs Jul''09'!H18*91/100</f>
        <v>51.051000000000002</v>
      </c>
      <c r="G26" s="36">
        <f>AVERAGE(C26:F26)</f>
        <v>55.738182499999994</v>
      </c>
      <c r="H26" s="36"/>
      <c r="I26" s="26"/>
    </row>
    <row r="27" spans="1:9" x14ac:dyDescent="0.3">
      <c r="A27" s="26" t="s">
        <v>87</v>
      </c>
      <c r="B27" s="26"/>
      <c r="C27" s="35">
        <f>SUM(C23:C26)</f>
        <v>431.11551999999995</v>
      </c>
      <c r="D27" s="35">
        <f>SUM(D23:D26)</f>
        <v>392.80020999999999</v>
      </c>
      <c r="E27" s="35">
        <f>SUM(E23:E26)</f>
        <v>323.49900000000002</v>
      </c>
      <c r="F27" s="35">
        <f>SUM(F23:F26)</f>
        <v>365.98099999999994</v>
      </c>
      <c r="G27" s="36">
        <f>AVERAGE(C27:F27)</f>
        <v>378.34893249999999</v>
      </c>
      <c r="H27" s="36"/>
      <c r="I27" s="26"/>
    </row>
    <row r="28" spans="1:9" x14ac:dyDescent="0.3">
      <c r="A28" s="37" t="s">
        <v>121</v>
      </c>
      <c r="B28" s="38"/>
      <c r="C28" s="39">
        <f>C27*4</f>
        <v>1724.4620799999998</v>
      </c>
      <c r="D28" s="39">
        <f>D27*4</f>
        <v>1571.20084</v>
      </c>
      <c r="E28" s="39">
        <f>E27*4</f>
        <v>1293.9960000000001</v>
      </c>
      <c r="F28" s="39">
        <f>F27*4</f>
        <v>1463.9239999999998</v>
      </c>
      <c r="G28" s="40"/>
      <c r="H28" s="40">
        <f>AVERAGE(C28:F28)</f>
        <v>1513.39573</v>
      </c>
      <c r="I28" s="26"/>
    </row>
    <row r="29" spans="1:9" x14ac:dyDescent="0.3">
      <c r="A29" s="26"/>
      <c r="B29" s="26"/>
      <c r="C29" s="26"/>
      <c r="D29" s="26"/>
      <c r="E29" s="26"/>
      <c r="F29" s="26"/>
      <c r="G29" s="41"/>
      <c r="H29" s="41"/>
      <c r="I29" s="26"/>
    </row>
    <row r="30" spans="1:9" x14ac:dyDescent="0.3">
      <c r="A30" s="26"/>
      <c r="B30" s="26"/>
      <c r="C30" s="26"/>
      <c r="D30" s="26"/>
      <c r="E30" s="26"/>
      <c r="F30" s="26"/>
      <c r="G30" s="26"/>
      <c r="H30" s="26"/>
      <c r="I30" s="26"/>
    </row>
    <row r="31" spans="1:9" x14ac:dyDescent="0.3">
      <c r="A31" s="26"/>
      <c r="B31" s="26"/>
      <c r="C31" s="26"/>
      <c r="D31" s="26"/>
      <c r="E31" s="26"/>
      <c r="F31" s="26"/>
      <c r="G31" s="26"/>
      <c r="H31" s="26"/>
      <c r="I31" s="26"/>
    </row>
    <row r="32" spans="1:9" x14ac:dyDescent="0.3">
      <c r="A32" s="42" t="s">
        <v>94</v>
      </c>
      <c r="B32" s="26"/>
      <c r="C32" s="30" t="s">
        <v>90</v>
      </c>
      <c r="D32" s="30"/>
      <c r="E32" s="46">
        <v>1800</v>
      </c>
      <c r="F32" s="26"/>
      <c r="G32" s="26"/>
      <c r="H32" s="26"/>
      <c r="I32" s="26"/>
    </row>
    <row r="33" spans="1:9" x14ac:dyDescent="0.3">
      <c r="A33" s="26"/>
      <c r="B33" s="26"/>
      <c r="C33" s="30" t="s">
        <v>91</v>
      </c>
      <c r="D33" s="30"/>
      <c r="E33" s="47">
        <v>0.2</v>
      </c>
      <c r="F33" s="26"/>
      <c r="G33" s="26"/>
      <c r="H33" s="26"/>
      <c r="I33" s="26"/>
    </row>
    <row r="34" spans="1:9" x14ac:dyDescent="0.3">
      <c r="A34" s="26"/>
      <c r="B34" s="26"/>
      <c r="C34" s="30" t="s">
        <v>95</v>
      </c>
      <c r="D34" s="30"/>
      <c r="E34" s="47">
        <v>0.5</v>
      </c>
      <c r="F34" s="26"/>
      <c r="G34" s="26"/>
      <c r="H34" s="26"/>
      <c r="I34" s="26"/>
    </row>
    <row r="35" spans="1:9" x14ac:dyDescent="0.3">
      <c r="A35" s="26"/>
      <c r="B35" s="26"/>
      <c r="C35" s="30" t="s">
        <v>92</v>
      </c>
      <c r="D35" s="30"/>
      <c r="E35" s="47">
        <v>0.3</v>
      </c>
      <c r="F35" s="26"/>
      <c r="G35" s="26"/>
      <c r="H35" s="26"/>
      <c r="I35" s="26"/>
    </row>
    <row r="36" spans="1:9" x14ac:dyDescent="0.3">
      <c r="A36" s="26"/>
      <c r="B36" s="26"/>
      <c r="C36" s="30"/>
      <c r="D36" s="30"/>
      <c r="E36" s="30"/>
      <c r="F36" s="26"/>
      <c r="G36" s="26"/>
      <c r="H36" s="26"/>
      <c r="I36" s="26"/>
    </row>
    <row r="37" spans="1:9" x14ac:dyDescent="0.3">
      <c r="A37" s="26"/>
      <c r="B37" s="30"/>
      <c r="C37" s="30"/>
      <c r="D37" s="30"/>
      <c r="E37" s="26"/>
      <c r="F37" s="26"/>
      <c r="G37" s="26"/>
      <c r="H37" s="26"/>
      <c r="I37" s="26"/>
    </row>
    <row r="38" spans="1:9" x14ac:dyDescent="0.3">
      <c r="A38" s="31"/>
      <c r="B38" s="26"/>
      <c r="C38" s="33" t="s">
        <v>145</v>
      </c>
      <c r="D38" s="33" t="s">
        <v>146</v>
      </c>
      <c r="E38" s="33" t="s">
        <v>112</v>
      </c>
      <c r="F38" s="33" t="s">
        <v>147</v>
      </c>
      <c r="G38" s="34" t="s">
        <v>120</v>
      </c>
      <c r="H38" s="34" t="s">
        <v>121</v>
      </c>
      <c r="I38" s="26"/>
    </row>
    <row r="39" spans="1:9" x14ac:dyDescent="0.3">
      <c r="A39" s="26" t="s">
        <v>132</v>
      </c>
      <c r="B39" s="26"/>
      <c r="C39" s="43">
        <f>($E32*$E33)*'Tariffs Jul''09'!E23/100</f>
        <v>83.674799999999991</v>
      </c>
      <c r="D39" s="44" t="s">
        <v>129</v>
      </c>
      <c r="E39" s="43">
        <f>($E32*$E33)*'Tariffs Jul''09'!G23/100</f>
        <v>128.304</v>
      </c>
      <c r="F39" s="43">
        <f>($E32*$E33)*'Tariffs Jul''09'!H23/100</f>
        <v>100.0692</v>
      </c>
      <c r="G39" s="36"/>
      <c r="H39" s="36"/>
      <c r="I39" s="26"/>
    </row>
    <row r="40" spans="1:9" x14ac:dyDescent="0.3">
      <c r="A40" s="26" t="s">
        <v>133</v>
      </c>
      <c r="B40" s="26"/>
      <c r="C40" s="43">
        <f>($E32*$E34)*'Tariffs Jul''09'!E24/100</f>
        <v>209.18699999999998</v>
      </c>
      <c r="D40" s="44" t="s">
        <v>129</v>
      </c>
      <c r="E40" s="43">
        <f>($E32*$E34)*'Tariffs Jul''09'!G24/100</f>
        <v>126.72</v>
      </c>
      <c r="F40" s="43">
        <f>($E32*$E34)*'Tariffs Jul''09'!H24/100</f>
        <v>201.36599999999999</v>
      </c>
      <c r="G40" s="36"/>
      <c r="H40" s="36"/>
      <c r="I40" s="26"/>
    </row>
    <row r="41" spans="1:9" x14ac:dyDescent="0.3">
      <c r="A41" s="26" t="s">
        <v>134</v>
      </c>
      <c r="B41" s="26"/>
      <c r="C41" s="43">
        <f>($E32*$E35)*'Tariffs Jul''09'!E25/100</f>
        <v>62.845199999999998</v>
      </c>
      <c r="D41" s="44" t="s">
        <v>129</v>
      </c>
      <c r="E41" s="43">
        <f>($E32*$E35)*'Tariffs Jul''09'!G25/100</f>
        <v>43.956000000000003</v>
      </c>
      <c r="F41" s="43">
        <f>($E32*$E35)*'Tariffs Jul''09'!H25/100</f>
        <v>57.736800000000002</v>
      </c>
      <c r="G41" s="36"/>
      <c r="H41" s="36"/>
      <c r="I41" s="26"/>
    </row>
    <row r="42" spans="1:9" x14ac:dyDescent="0.3">
      <c r="A42" s="26" t="s">
        <v>124</v>
      </c>
      <c r="B42" s="26"/>
      <c r="C42" s="43">
        <f>'Tariffs Jul''09'!E26*91/100</f>
        <v>94.774679999999989</v>
      </c>
      <c r="D42" s="44" t="s">
        <v>129</v>
      </c>
      <c r="E42" s="43">
        <f>'Tariffs Jul''09'!G26*91/100</f>
        <v>42.042000000000002</v>
      </c>
      <c r="F42" s="43">
        <f>'Tariffs Jul''09'!H26*91/100</f>
        <v>61.060999999999993</v>
      </c>
      <c r="G42" s="36">
        <f>AVERAGE(C42:F42)</f>
        <v>65.959226666666666</v>
      </c>
      <c r="H42" s="36"/>
      <c r="I42" s="26"/>
    </row>
    <row r="43" spans="1:9" x14ac:dyDescent="0.3">
      <c r="A43" s="26" t="s">
        <v>87</v>
      </c>
      <c r="B43" s="26"/>
      <c r="C43" s="43">
        <f>SUM(C39:C42)</f>
        <v>450.48167999999993</v>
      </c>
      <c r="D43" s="44" t="s">
        <v>129</v>
      </c>
      <c r="E43" s="43">
        <f>SUM(E39:E42)</f>
        <v>341.02200000000005</v>
      </c>
      <c r="F43" s="43">
        <f>SUM(F39:F42)</f>
        <v>420.233</v>
      </c>
      <c r="G43" s="36">
        <f>AVERAGE(C43:F43)</f>
        <v>403.91222666666664</v>
      </c>
      <c r="H43" s="36"/>
      <c r="I43" s="26"/>
    </row>
    <row r="44" spans="1:9" x14ac:dyDescent="0.3">
      <c r="A44" s="37" t="s">
        <v>121</v>
      </c>
      <c r="B44" s="38"/>
      <c r="C44" s="39">
        <f>C43*4</f>
        <v>1801.9267199999997</v>
      </c>
      <c r="D44" s="45" t="s">
        <v>129</v>
      </c>
      <c r="E44" s="39">
        <f>E43*4</f>
        <v>1364.0880000000002</v>
      </c>
      <c r="F44" s="39">
        <f>F43*4</f>
        <v>1680.932</v>
      </c>
      <c r="G44" s="40"/>
      <c r="H44" s="40">
        <f>AVERAGE(C44:F44)</f>
        <v>1615.6489066666666</v>
      </c>
      <c r="I44" s="26"/>
    </row>
    <row r="45" spans="1:9" x14ac:dyDescent="0.3">
      <c r="A45" s="26"/>
      <c r="B45" s="26"/>
      <c r="C45" s="26"/>
      <c r="D45" s="26"/>
      <c r="E45" s="26"/>
      <c r="F45" s="26"/>
      <c r="G45" s="26"/>
      <c r="H45" s="26"/>
      <c r="I45" s="26"/>
    </row>
    <row r="46" spans="1:9" x14ac:dyDescent="0.3">
      <c r="A46" s="26"/>
      <c r="B46" s="26"/>
      <c r="C46" s="26"/>
      <c r="D46" s="26"/>
      <c r="E46" s="26"/>
      <c r="F46" s="26"/>
      <c r="G46" s="26"/>
      <c r="H46" s="26"/>
      <c r="I46" s="26"/>
    </row>
  </sheetData>
  <sheetProtection password="CC31" sheet="1" objects="1" scenarios="1"/>
  <sortState xmlns:xlrd2="http://schemas.microsoft.com/office/spreadsheetml/2017/richdata2" ref="C23:H28">
    <sortCondition ref="D24:D28"/>
  </sortState>
  <phoneticPr fontId="5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22980-7A2B-5840-AE0E-5B60D4CAD829}">
  <sheetPr codeName="Sheet62"/>
  <dimension ref="A1:FU7620"/>
  <sheetViews>
    <sheetView zoomScaleNormal="100" workbookViewId="0">
      <selection activeCell="A8" sqref="A8:A26"/>
    </sheetView>
  </sheetViews>
  <sheetFormatPr defaultColWidth="10.84375" defaultRowHeight="13.5" x14ac:dyDescent="0.3"/>
  <cols>
    <col min="1" max="1" width="20.3046875" style="263" customWidth="1"/>
    <col min="2" max="2" width="12" style="263" customWidth="1"/>
    <col min="3" max="9" width="12.15234375" style="263" customWidth="1"/>
    <col min="178" max="16384" width="10.84375" style="263"/>
  </cols>
  <sheetData>
    <row r="1" spans="1:177" customFormat="1" x14ac:dyDescent="0.3">
      <c r="A1" s="331" t="s">
        <v>76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</row>
    <row r="2" spans="1:177" customFormat="1" x14ac:dyDescent="0.3">
      <c r="A2" s="332" t="s">
        <v>99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</row>
    <row r="3" spans="1:177" customFormat="1" ht="14" thickBot="1" x14ac:dyDescent="0.3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</row>
    <row r="4" spans="1:177" s="262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77" s="262" customFormat="1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77" s="262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77" s="262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77" x14ac:dyDescent="0.3">
      <c r="A8" s="179" t="str">
        <f>'AG Jul 2022'!K2</f>
        <v>AGL</v>
      </c>
      <c r="B8" s="180">
        <f>'AG Jul 2022'!G2</f>
        <v>43284</v>
      </c>
      <c r="C8" s="181">
        <f>91*'AG Jul 2022'!M2/100</f>
        <v>77.085272727272724</v>
      </c>
      <c r="D8" s="181">
        <f>$C$5*'AG Jul 2022'!N2/100</f>
        <v>491.56363636363631</v>
      </c>
      <c r="E8" s="181">
        <v>0</v>
      </c>
      <c r="F8" s="181">
        <v>0</v>
      </c>
      <c r="G8" s="181">
        <v>0</v>
      </c>
      <c r="H8" s="183">
        <f t="shared" ref="H8:H25" si="0">SUM(C8:G8)</f>
        <v>568.648909090909</v>
      </c>
      <c r="I8" s="202">
        <f t="shared" ref="I8:I26" si="1">(H8*4)*1.1</f>
        <v>2502.0551999999998</v>
      </c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</row>
    <row r="9" spans="1:177" x14ac:dyDescent="0.3">
      <c r="A9" s="179" t="str">
        <f>'AG Jul 2022'!K3</f>
        <v>Alinta Energy</v>
      </c>
      <c r="B9" s="180">
        <f>'AG Jul 2022'!G3</f>
        <v>43281</v>
      </c>
      <c r="C9" s="181">
        <f>91*'AG Jul 2022'!M3/100</f>
        <v>76.44</v>
      </c>
      <c r="D9" s="181">
        <f>$C$5*'AG Jul 2022'!N3/100</f>
        <v>492.38181818181818</v>
      </c>
      <c r="E9" s="181">
        <v>0</v>
      </c>
      <c r="F9" s="181">
        <v>0</v>
      </c>
      <c r="G9" s="181">
        <v>0</v>
      </c>
      <c r="H9" s="183">
        <f t="shared" si="0"/>
        <v>568.82181818181812</v>
      </c>
      <c r="I9" s="202">
        <f t="shared" si="1"/>
        <v>2502.8159999999998</v>
      </c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</row>
    <row r="10" spans="1:177" x14ac:dyDescent="0.3">
      <c r="A10" s="179" t="str">
        <f>'AG Jul 2022'!K4</f>
        <v>CovaU</v>
      </c>
      <c r="B10" s="180">
        <f>'AG Jul 2022'!G4</f>
        <v>43281</v>
      </c>
      <c r="C10" s="181">
        <f>91*'AG Jul 2022'!M4/100</f>
        <v>59.15</v>
      </c>
      <c r="D10" s="181">
        <f>$C$5*'AG Jul 2022'!N4/100</f>
        <v>523.79999999999995</v>
      </c>
      <c r="E10" s="181">
        <v>0</v>
      </c>
      <c r="F10" s="181">
        <v>0</v>
      </c>
      <c r="G10" s="181">
        <v>0</v>
      </c>
      <c r="H10" s="183">
        <f t="shared" si="0"/>
        <v>582.94999999999993</v>
      </c>
      <c r="I10" s="202">
        <f t="shared" si="1"/>
        <v>2564.98</v>
      </c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</row>
    <row r="11" spans="1:177" x14ac:dyDescent="0.3">
      <c r="A11" s="179" t="str">
        <f>'AG Jul 2022'!K5</f>
        <v>Diamond Energy</v>
      </c>
      <c r="B11" s="180">
        <f>'AG Jul 2022'!G5</f>
        <v>43281</v>
      </c>
      <c r="C11" s="181">
        <f>91*'AG Jul 2022'!M5/100</f>
        <v>63.7</v>
      </c>
      <c r="D11" s="181">
        <f>IF($C$5&gt;='AG Jul 2022'!P5,('AG Jul 2022'!P5*'AG Jul 2022'!N5/100),($C$5*'AG Jul 2022'!N5/100))</f>
        <v>77.263636363636351</v>
      </c>
      <c r="E11" s="181">
        <v>0</v>
      </c>
      <c r="F11" s="181">
        <v>0</v>
      </c>
      <c r="G11" s="181">
        <f>IF(($C$5&lt;'AG Jul 2022'!R5),(0),($C$5-'AG Jul 2022'!R5)*'AG Jul 2022'!S5/100)</f>
        <v>449.99999999999994</v>
      </c>
      <c r="H11" s="183">
        <f t="shared" si="0"/>
        <v>590.96363636363628</v>
      </c>
      <c r="I11" s="202">
        <f t="shared" si="1"/>
        <v>2600.2399999999998</v>
      </c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</row>
    <row r="12" spans="1:177" x14ac:dyDescent="0.3">
      <c r="A12" s="179" t="str">
        <f>'AG Jul 2022'!K6</f>
        <v>Dodo Power &amp; Gas</v>
      </c>
      <c r="B12" s="180">
        <f>'AG Jul 2022'!G6</f>
        <v>43281</v>
      </c>
      <c r="C12" s="181">
        <f>91*'AG Jul 2022'!M6/100</f>
        <v>98.329636363636368</v>
      </c>
      <c r="D12" s="181">
        <f>$C$5*'AG Jul 2022'!N6/100</f>
        <v>450.4909090909091</v>
      </c>
      <c r="E12" s="181">
        <v>0</v>
      </c>
      <c r="F12" s="181">
        <v>0</v>
      </c>
      <c r="G12" s="181">
        <v>0</v>
      </c>
      <c r="H12" s="183">
        <f t="shared" si="0"/>
        <v>548.82054545454548</v>
      </c>
      <c r="I12" s="202">
        <f t="shared" si="1"/>
        <v>2414.8104000000003</v>
      </c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</row>
    <row r="13" spans="1:177" x14ac:dyDescent="0.3">
      <c r="A13" s="179" t="str">
        <f>'AG Jul 2022'!K7</f>
        <v>EnergyAustralia</v>
      </c>
      <c r="B13" s="180">
        <f>'AG Jul 2022'!G7</f>
        <v>43281</v>
      </c>
      <c r="C13" s="181">
        <f>91*'AG Jul 2022'!M7/100</f>
        <v>77.349999999999994</v>
      </c>
      <c r="D13" s="181">
        <f>$C$5*'AG Jul 2022'!N7/100</f>
        <v>491.23636363636359</v>
      </c>
      <c r="E13" s="181">
        <v>0</v>
      </c>
      <c r="F13" s="181">
        <v>0</v>
      </c>
      <c r="G13" s="181">
        <v>0</v>
      </c>
      <c r="H13" s="183">
        <f t="shared" si="0"/>
        <v>568.58636363636356</v>
      </c>
      <c r="I13" s="202">
        <f t="shared" si="1"/>
        <v>2501.7799999999997</v>
      </c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</row>
    <row r="14" spans="1:177" x14ac:dyDescent="0.3">
      <c r="A14" s="179" t="str">
        <f>'AG Jul 2022'!K8</f>
        <v>Momentum Energy</v>
      </c>
      <c r="B14" s="180">
        <f>'AG Jul 2022'!G8</f>
        <v>43281</v>
      </c>
      <c r="C14" s="181">
        <f>91*'AG Jul 2022'!M8/100</f>
        <v>90.172727272727258</v>
      </c>
      <c r="D14" s="181">
        <f>$C$5*'AG Jul 2022'!N8/100</f>
        <v>466.5272727272727</v>
      </c>
      <c r="E14" s="181">
        <v>0</v>
      </c>
      <c r="F14" s="181">
        <v>0</v>
      </c>
      <c r="G14" s="181">
        <v>0</v>
      </c>
      <c r="H14" s="183">
        <f t="shared" si="0"/>
        <v>556.69999999999993</v>
      </c>
      <c r="I14" s="202">
        <f t="shared" si="1"/>
        <v>2449.48</v>
      </c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</row>
    <row r="15" spans="1:177" x14ac:dyDescent="0.3">
      <c r="A15" s="179" t="str">
        <f>'AG Jul 2022'!K9</f>
        <v>Origin Energy</v>
      </c>
      <c r="B15" s="180">
        <f>'AG Jul 2022'!G9</f>
        <v>43281</v>
      </c>
      <c r="C15" s="181">
        <f>91*'AG Jul 2022'!M9/100</f>
        <v>73.23845454545453</v>
      </c>
      <c r="D15" s="181">
        <f>$C$5*'AG Jul 2022'!N9/100</f>
        <v>498.76363636363635</v>
      </c>
      <c r="E15" s="181">
        <v>0</v>
      </c>
      <c r="F15" s="181">
        <v>0</v>
      </c>
      <c r="G15" s="181">
        <v>0</v>
      </c>
      <c r="H15" s="183">
        <f t="shared" si="0"/>
        <v>572.00209090909084</v>
      </c>
      <c r="I15" s="202">
        <f t="shared" si="1"/>
        <v>2516.8091999999997</v>
      </c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</row>
    <row r="16" spans="1:177" x14ac:dyDescent="0.3">
      <c r="A16" s="179" t="str">
        <f>'AG Jul 2022'!K10</f>
        <v>Powerdirect</v>
      </c>
      <c r="B16" s="180">
        <f>'AG Jul 2022'!G10</f>
        <v>43284</v>
      </c>
      <c r="C16" s="181">
        <f>91*'AG Jul 2022'!M10/100</f>
        <v>77.085272727272724</v>
      </c>
      <c r="D16" s="181">
        <f>$C$5*'AG Jul 2022'!N10/100</f>
        <v>491.56363636363631</v>
      </c>
      <c r="E16" s="181">
        <v>0</v>
      </c>
      <c r="F16" s="181">
        <v>0</v>
      </c>
      <c r="G16" s="181">
        <v>0</v>
      </c>
      <c r="H16" s="183">
        <f t="shared" si="0"/>
        <v>568.648909090909</v>
      </c>
      <c r="I16" s="202">
        <f t="shared" si="1"/>
        <v>2502.0551999999998</v>
      </c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</row>
    <row r="17" spans="1:177" x14ac:dyDescent="0.3">
      <c r="A17" s="179" t="str">
        <f>'AG Jul 2022'!K11</f>
        <v>Powershop</v>
      </c>
      <c r="B17" s="180">
        <f>'AG Jul 2022'!G11</f>
        <v>43281</v>
      </c>
      <c r="C17" s="181">
        <f>91*'AG Jul 2022'!M11/100</f>
        <v>99.719454545454539</v>
      </c>
      <c r="D17" s="181">
        <f>$C$5*'AG Jul 2022'!N11/100</f>
        <v>449.18181818181819</v>
      </c>
      <c r="E17" s="181">
        <v>0</v>
      </c>
      <c r="F17" s="181">
        <v>0</v>
      </c>
      <c r="G17" s="181">
        <v>0</v>
      </c>
      <c r="H17" s="183">
        <f t="shared" si="0"/>
        <v>548.90127272727273</v>
      </c>
      <c r="I17" s="202">
        <f t="shared" si="1"/>
        <v>2415.1656000000003</v>
      </c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</row>
    <row r="18" spans="1:177" x14ac:dyDescent="0.3">
      <c r="A18" s="179" t="str">
        <f>'AG Jul 2022'!K12</f>
        <v>Red Energy</v>
      </c>
      <c r="B18" s="180">
        <f>'AG Jul 2022'!G12</f>
        <v>43281</v>
      </c>
      <c r="C18" s="181">
        <f>91*'AG Jul 2022'!M12/100</f>
        <v>91.909999999999982</v>
      </c>
      <c r="D18" s="181">
        <f>$C$5*'AG Jul 2022'!N12/100</f>
        <v>459</v>
      </c>
      <c r="E18" s="181">
        <v>0</v>
      </c>
      <c r="F18" s="181">
        <v>0</v>
      </c>
      <c r="G18" s="181">
        <v>0</v>
      </c>
      <c r="H18" s="183">
        <f t="shared" si="0"/>
        <v>550.91</v>
      </c>
      <c r="I18" s="202">
        <f t="shared" si="1"/>
        <v>2424.0039999999999</v>
      </c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</row>
    <row r="19" spans="1:177" x14ac:dyDescent="0.3">
      <c r="A19" s="179" t="str">
        <f>'AG Jul 2022'!K13</f>
        <v>Simply Energy</v>
      </c>
      <c r="B19" s="180">
        <f>'AG Jul 2022'!G13</f>
        <v>43281</v>
      </c>
      <c r="C19" s="181">
        <f>91*'AG Jul 2022'!M13/100</f>
        <v>72.584909090909079</v>
      </c>
      <c r="D19" s="181">
        <f>IF($C$5&gt;='AG Jul 2022'!P13,('AG Jul 2022'!P13*'AG Jul 2022'!N13/100),($C$5*'AG Jul 2022'!N13/100))</f>
        <v>277.81818181818176</v>
      </c>
      <c r="E19" s="181">
        <v>0</v>
      </c>
      <c r="F19" s="181">
        <v>0</v>
      </c>
      <c r="G19" s="181">
        <f>IF(($C$5&lt;'AG Jul 2022'!R13),(0),($C$5-'AG Jul 2022'!R13)*'AG Jul 2022'!S13/100)</f>
        <v>234.25454545454545</v>
      </c>
      <c r="H19" s="183">
        <f t="shared" si="0"/>
        <v>584.65763636363636</v>
      </c>
      <c r="I19" s="202">
        <f t="shared" si="1"/>
        <v>2572.4936000000002</v>
      </c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</row>
    <row r="20" spans="1:177" x14ac:dyDescent="0.3">
      <c r="A20" s="179" t="str">
        <f>'AG Jul 2022'!K14</f>
        <v>1st Energy</v>
      </c>
      <c r="B20" s="180">
        <f>'AG Jul 2022'!G14</f>
        <v>43281</v>
      </c>
      <c r="C20" s="181">
        <f>91*'AG Jul 2022'!M14/100</f>
        <v>90.999999999999986</v>
      </c>
      <c r="D20" s="181">
        <f>IF($C$5&gt;='AG Jul 2022'!P14,('AG Jul 2022'!P14*'AG Jul 2022'!N14/100),($C$5*'AG Jul 2022'!N14/100))</f>
        <v>348.29999999999995</v>
      </c>
      <c r="E20" s="181">
        <v>0</v>
      </c>
      <c r="F20" s="181">
        <v>0</v>
      </c>
      <c r="G20" s="181">
        <f>IF(($C$5&lt;'AG Jul 2022'!R14),(0),($C$5-'AG Jul 2022'!R14)*'AG Jul 2022'!S14/100)</f>
        <v>133.65</v>
      </c>
      <c r="H20" s="183">
        <f t="shared" si="0"/>
        <v>572.94999999999993</v>
      </c>
      <c r="I20" s="202">
        <f t="shared" si="1"/>
        <v>2520.98</v>
      </c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</row>
    <row r="21" spans="1:177" x14ac:dyDescent="0.3">
      <c r="A21" s="179" t="str">
        <f>'AG Jul 2022'!K15</f>
        <v>ReAmped Energy</v>
      </c>
      <c r="B21" s="180">
        <f>'AG Jul 2022'!G15</f>
        <v>43281</v>
      </c>
      <c r="C21" s="181">
        <f>91*'AG Jul 2022'!M15/100</f>
        <v>68.25</v>
      </c>
      <c r="D21" s="181">
        <f>$C$5*'AG Jul 2022'!N15/100</f>
        <v>507.10909090909081</v>
      </c>
      <c r="E21" s="181">
        <v>0</v>
      </c>
      <c r="F21" s="181">
        <v>0</v>
      </c>
      <c r="G21" s="181">
        <v>0</v>
      </c>
      <c r="H21" s="183">
        <f t="shared" si="0"/>
        <v>575.35909090909081</v>
      </c>
      <c r="I21" s="202">
        <f t="shared" si="1"/>
        <v>2531.58</v>
      </c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</row>
    <row r="22" spans="1:177" x14ac:dyDescent="0.3">
      <c r="A22" s="179" t="str">
        <f>'AG Jul 2022'!K16</f>
        <v>Nectr</v>
      </c>
      <c r="B22" s="180">
        <f>'AG Jul 2022'!G16</f>
        <v>43281</v>
      </c>
      <c r="C22" s="181">
        <f>91*'AG Jul 2022'!M16/100</f>
        <v>78.259999999999991</v>
      </c>
      <c r="D22" s="181">
        <f>$C$5*'AG Jul 2022'!N16/100</f>
        <v>489.4199999999999</v>
      </c>
      <c r="E22" s="181">
        <v>0</v>
      </c>
      <c r="F22" s="181">
        <v>0</v>
      </c>
      <c r="G22" s="181">
        <v>0</v>
      </c>
      <c r="H22" s="183">
        <f t="shared" si="0"/>
        <v>567.67999999999984</v>
      </c>
      <c r="I22" s="202">
        <f t="shared" si="1"/>
        <v>2497.7919999999995</v>
      </c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</row>
    <row r="23" spans="1:177" x14ac:dyDescent="0.3">
      <c r="A23" s="179" t="str">
        <f>'AG Jul 2022'!K17</f>
        <v>OVO Energy</v>
      </c>
      <c r="B23" s="180">
        <f>'AG Jul 2022'!G17</f>
        <v>43281</v>
      </c>
      <c r="C23" s="181">
        <f>91*'AG Jul 2022'!M17/100</f>
        <v>68.481636363636369</v>
      </c>
      <c r="D23" s="181">
        <f>$C$5*'AG Jul 2022'!N17/100</f>
        <v>507.59999999999991</v>
      </c>
      <c r="E23" s="181">
        <v>0</v>
      </c>
      <c r="F23" s="181">
        <v>0</v>
      </c>
      <c r="G23" s="181">
        <v>0</v>
      </c>
      <c r="H23" s="183">
        <f t="shared" si="0"/>
        <v>576.08163636363633</v>
      </c>
      <c r="I23" s="202">
        <f t="shared" si="1"/>
        <v>2534.7592</v>
      </c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</row>
    <row r="24" spans="1:177" x14ac:dyDescent="0.3">
      <c r="A24" s="179" t="str">
        <f>'AG Jul 2022'!K18</f>
        <v>Sumo Power</v>
      </c>
      <c r="B24" s="180">
        <f>'AG Jul 2022'!G18</f>
        <v>43281</v>
      </c>
      <c r="C24" s="181">
        <f>91*'AG Jul 2022'!M18/100</f>
        <v>100.09999999999998</v>
      </c>
      <c r="D24" s="181">
        <f>$C$5*'AG Jul 2022'!N18/100</f>
        <v>448.85454545454542</v>
      </c>
      <c r="E24" s="181">
        <v>0</v>
      </c>
      <c r="F24" s="181">
        <v>0</v>
      </c>
      <c r="G24" s="181">
        <v>0</v>
      </c>
      <c r="H24" s="183">
        <f t="shared" si="0"/>
        <v>548.95454545454538</v>
      </c>
      <c r="I24" s="202">
        <f t="shared" si="1"/>
        <v>2415.4</v>
      </c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</row>
    <row r="25" spans="1:177" x14ac:dyDescent="0.3">
      <c r="A25" s="179" t="str">
        <f>'AG Jul 2022'!K19</f>
        <v>Tango Energy</v>
      </c>
      <c r="B25" s="180">
        <f>'AG Jul 2022'!G19</f>
        <v>43281</v>
      </c>
      <c r="C25" s="181">
        <f>91*'AG Jul 2022'!M19/100</f>
        <v>72.8</v>
      </c>
      <c r="D25" s="181">
        <f>$C$5*'AG Jul 2022'!N19/100</f>
        <v>499.58181818181816</v>
      </c>
      <c r="E25" s="181">
        <v>0</v>
      </c>
      <c r="F25" s="181">
        <v>0</v>
      </c>
      <c r="G25" s="181">
        <v>0</v>
      </c>
      <c r="H25" s="183">
        <f t="shared" si="0"/>
        <v>572.38181818181818</v>
      </c>
      <c r="I25" s="202">
        <f t="shared" si="1"/>
        <v>2518.48</v>
      </c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</row>
    <row r="26" spans="1:177" x14ac:dyDescent="0.3">
      <c r="A26" s="179" t="str">
        <f>'AG Jul 2022'!K20</f>
        <v>GloBird</v>
      </c>
      <c r="B26" s="180">
        <f>'AG Jul 2022'!G20</f>
        <v>43280</v>
      </c>
      <c r="C26" s="181">
        <f>91*'AG Jul 2022'!M20/100</f>
        <v>77.349999999999994</v>
      </c>
      <c r="D26" s="181">
        <f>IF($C$5&gt;='AG Jul 2022'!P20,('AG Jul 2022'!P20*'AG Jul 2022'!N20/100),($C$5*'AG Jul 2022'!N20/100))</f>
        <v>372.096</v>
      </c>
      <c r="E26" s="181">
        <v>0</v>
      </c>
      <c r="F26" s="181">
        <v>0</v>
      </c>
      <c r="G26" s="181">
        <f>IF(($C$5&lt;'AG Jul 2022'!R20),(0),($C$5-'AG Jul 2022'!R20)*'AG Jul 2022'!S20/100)</f>
        <v>375.84</v>
      </c>
      <c r="H26" s="183">
        <f t="shared" ref="H26" si="2">SUM(C26:G26)</f>
        <v>825.28600000000006</v>
      </c>
      <c r="I26" s="202">
        <f t="shared" si="1"/>
        <v>3631.2584000000006</v>
      </c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</row>
    <row r="27" spans="1:177" customFormat="1" x14ac:dyDescent="0.3">
      <c r="A27" s="330"/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</row>
    <row r="28" spans="1:177" customFormat="1" ht="14" thickBot="1" x14ac:dyDescent="0.35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</row>
    <row r="29" spans="1:177" s="262" customFormat="1" ht="14" x14ac:dyDescent="0.3">
      <c r="A29" s="176" t="s">
        <v>89</v>
      </c>
      <c r="B29" s="91"/>
      <c r="C29" s="91"/>
      <c r="D29" s="91"/>
      <c r="E29" s="91"/>
      <c r="F29" s="91"/>
      <c r="G29" s="91"/>
      <c r="H29" s="91"/>
      <c r="I29" s="177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</row>
    <row r="30" spans="1:177" s="262" customFormat="1" ht="14" x14ac:dyDescent="0.3">
      <c r="A30" s="92" t="s">
        <v>79</v>
      </c>
      <c r="B30" s="93"/>
      <c r="C30" s="168">
        <v>2000</v>
      </c>
      <c r="D30" s="93"/>
      <c r="E30" s="93"/>
      <c r="F30" s="93"/>
      <c r="G30" s="93"/>
      <c r="H30" s="93"/>
      <c r="I30" s="178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</row>
    <row r="31" spans="1:177" s="262" customFormat="1" ht="14" x14ac:dyDescent="0.3">
      <c r="A31" s="92" t="s">
        <v>91</v>
      </c>
      <c r="B31" s="93"/>
      <c r="C31" s="257">
        <v>0.7</v>
      </c>
      <c r="D31" s="93"/>
      <c r="E31" s="93"/>
      <c r="F31" s="93"/>
      <c r="G31" s="93"/>
      <c r="H31" s="93"/>
      <c r="I31" s="178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</row>
    <row r="32" spans="1:177" s="262" customFormat="1" ht="14" x14ac:dyDescent="0.3">
      <c r="A32" s="92" t="s">
        <v>92</v>
      </c>
      <c r="B32" s="93"/>
      <c r="C32" s="257">
        <v>0.3</v>
      </c>
      <c r="D32" s="93"/>
      <c r="E32" s="93"/>
      <c r="F32" s="93"/>
      <c r="G32" s="93"/>
      <c r="H32" s="93"/>
      <c r="I32" s="178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</row>
    <row r="33" spans="1:177" s="262" customFormat="1" ht="14" x14ac:dyDescent="0.3">
      <c r="A33" s="92"/>
      <c r="B33" s="93"/>
      <c r="C33" s="93"/>
      <c r="D33" s="93"/>
      <c r="E33" s="93"/>
      <c r="F33" s="93"/>
      <c r="G33" s="93"/>
      <c r="H33" s="93"/>
      <c r="I33" s="178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</row>
    <row r="34" spans="1:177" s="262" customFormat="1" ht="28" x14ac:dyDescent="0.3">
      <c r="A34" s="301" t="s">
        <v>80</v>
      </c>
      <c r="B34" s="298" t="s">
        <v>81</v>
      </c>
      <c r="C34" s="298" t="s">
        <v>82</v>
      </c>
      <c r="D34" s="298" t="s">
        <v>83</v>
      </c>
      <c r="E34" s="298" t="s">
        <v>84</v>
      </c>
      <c r="F34" s="298" t="s">
        <v>86</v>
      </c>
      <c r="G34" s="298" t="s">
        <v>93</v>
      </c>
      <c r="H34" s="298" t="s">
        <v>87</v>
      </c>
      <c r="I34" s="300" t="s">
        <v>88</v>
      </c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</row>
    <row r="35" spans="1:177" x14ac:dyDescent="0.3">
      <c r="A35" s="179" t="str">
        <f>'AG Jul 2022'!K21</f>
        <v>Social Energy</v>
      </c>
      <c r="B35" s="180">
        <f>'AG Jul 2022'!G21</f>
        <v>42720</v>
      </c>
      <c r="C35" s="181">
        <f>91*'AG Jul 2022'!M21/100</f>
        <v>70.318181818181813</v>
      </c>
      <c r="D35" s="181">
        <f>($C$30*$C$31)*'AG Jul 2022'!N21/100</f>
        <v>274.44628099173553</v>
      </c>
      <c r="E35" s="181">
        <v>0</v>
      </c>
      <c r="F35" s="181">
        <v>0</v>
      </c>
      <c r="G35" s="181">
        <f>($C$30*$C$32)*'AG Jul 2022'!AE21/100</f>
        <v>0</v>
      </c>
      <c r="H35" s="183">
        <f t="shared" ref="H35:H51" si="3">SUM(C35:G35)</f>
        <v>344.76446280991735</v>
      </c>
      <c r="I35" s="202">
        <f t="shared" ref="I35:I51" si="4">(H35*4)*1.1</f>
        <v>1516.9636363636364</v>
      </c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</row>
    <row r="36" spans="1:177" x14ac:dyDescent="0.3">
      <c r="A36" s="179" t="str">
        <f>'AG Jul 2022'!K22</f>
        <v>AGL</v>
      </c>
      <c r="B36" s="180">
        <f>'AG Jul 2022'!G22</f>
        <v>43284</v>
      </c>
      <c r="C36" s="181">
        <f>91*'AG Jul 2022'!M22/100</f>
        <v>77.085272727272724</v>
      </c>
      <c r="D36" s="181">
        <f>($C$30*$C$31)*'AG Jul 2022'!N22/100</f>
        <v>382.32727272727266</v>
      </c>
      <c r="E36" s="181">
        <v>0</v>
      </c>
      <c r="F36" s="181">
        <v>0</v>
      </c>
      <c r="G36" s="181">
        <f>($C$30*$C$32)*'AG Jul 2022'!AE22/100</f>
        <v>92.72727272727272</v>
      </c>
      <c r="H36" s="183">
        <f t="shared" si="3"/>
        <v>552.1398181818181</v>
      </c>
      <c r="I36" s="202">
        <f t="shared" si="4"/>
        <v>2429.4151999999999</v>
      </c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</row>
    <row r="37" spans="1:177" x14ac:dyDescent="0.3">
      <c r="A37" s="179" t="str">
        <f>'AG Jul 2022'!K23</f>
        <v>Alinta Energy</v>
      </c>
      <c r="B37" s="180">
        <f>'AG Jul 2022'!G23</f>
        <v>43281</v>
      </c>
      <c r="C37" s="181">
        <f>91*'AG Jul 2022'!M23/100</f>
        <v>80.079999999999984</v>
      </c>
      <c r="D37" s="181">
        <f>($C$30*$C$31)*'AG Jul 2022'!N23/100</f>
        <v>382.96363636363634</v>
      </c>
      <c r="E37" s="181">
        <v>0</v>
      </c>
      <c r="F37" s="181">
        <v>0</v>
      </c>
      <c r="G37" s="181">
        <f>($C$30*$C$32)*'AG Jul 2022'!AE23/100</f>
        <v>82.2</v>
      </c>
      <c r="H37" s="183">
        <f t="shared" si="3"/>
        <v>545.24363636363637</v>
      </c>
      <c r="I37" s="202">
        <f t="shared" si="4"/>
        <v>2399.0720000000001</v>
      </c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</row>
    <row r="38" spans="1:177" x14ac:dyDescent="0.3">
      <c r="A38" s="179" t="str">
        <f>'AG Jul 2022'!K24</f>
        <v>CovaU</v>
      </c>
      <c r="B38" s="180">
        <f>'AG Jul 2022'!G24</f>
        <v>43281</v>
      </c>
      <c r="C38" s="181">
        <f>91*'AG Jul 2022'!M24/100</f>
        <v>65.884</v>
      </c>
      <c r="D38" s="181">
        <f>($C$30*$C$31)*'AG Jul 2022'!N24/100</f>
        <v>407.39999999999992</v>
      </c>
      <c r="E38" s="181">
        <v>0</v>
      </c>
      <c r="F38" s="181">
        <v>0</v>
      </c>
      <c r="G38" s="181">
        <f>($C$30*$C$32)*'AG Jul 2022'!AE24/100</f>
        <v>80.399999999999991</v>
      </c>
      <c r="H38" s="183">
        <f t="shared" si="3"/>
        <v>553.68399999999997</v>
      </c>
      <c r="I38" s="202">
        <f t="shared" si="4"/>
        <v>2436.2096000000001</v>
      </c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</row>
    <row r="39" spans="1:177" x14ac:dyDescent="0.3">
      <c r="A39" s="179" t="str">
        <f>'AG Jul 2022'!K25</f>
        <v>Diamond Energy</v>
      </c>
      <c r="B39" s="180">
        <f>'AG Jul 2022'!G25</f>
        <v>43281</v>
      </c>
      <c r="C39" s="181">
        <f>91*'AG Jul 2022'!M25/100</f>
        <v>63.7</v>
      </c>
      <c r="D39" s="181">
        <f>IF($C$30*$C$31&gt;='AG Jul 2022'!P25,('AG Jul 2022'!P25*'AG Jul 2022'!N25/100),(($C$30*$C$31)*'AG Jul 2022'!N25/100))</f>
        <v>77.263636363636351</v>
      </c>
      <c r="E39" s="181">
        <f>IF($C$30*$C$31&lt;'AG Jul 2022'!P25,0,IF(($C$30*$C$31)&lt;='AG Jul 2022'!R25,(($C$30*$C$31-'AG Jul 2022'!P25)*'AG Jul 2022'!Q25/100),(('AG Jul 2022'!R25-'AG Jul 2022'!P25)*'AG Jul 2022'!Q25/100)))</f>
        <v>0</v>
      </c>
      <c r="F39" s="181">
        <f>IF(($C$30*$C$31&lt;'AG Jul 2022'!R25),(0),($C$30*$C$31-'AG Jul 2022'!R25)*'AG Jul 2022'!S25/100)</f>
        <v>329.99999999999994</v>
      </c>
      <c r="G39" s="181">
        <f>($C$30*$C$32)*'AG Jul 2022'!AE25/100</f>
        <v>85.309090909090898</v>
      </c>
      <c r="H39" s="183">
        <f t="shared" si="3"/>
        <v>556.27272727272714</v>
      </c>
      <c r="I39" s="202">
        <f t="shared" si="4"/>
        <v>2447.5999999999995</v>
      </c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</row>
    <row r="40" spans="1:177" x14ac:dyDescent="0.3">
      <c r="A40" s="179" t="str">
        <f>'AG Jul 2022'!K26</f>
        <v>Dodo Power &amp; Gas</v>
      </c>
      <c r="B40" s="180">
        <f>'AG Jul 2022'!G26</f>
        <v>43281</v>
      </c>
      <c r="C40" s="181">
        <f>91*'AG Jul 2022'!M26/100</f>
        <v>98.329636363636368</v>
      </c>
      <c r="D40" s="181">
        <f>($C$30*$C$31)*'AG Jul 2022'!N26/100</f>
        <v>350.38181818181818</v>
      </c>
      <c r="E40" s="181">
        <v>0</v>
      </c>
      <c r="F40" s="181">
        <v>0</v>
      </c>
      <c r="G40" s="181">
        <f>($C$30*$C$32)*'AG Jul 2022'!AE26/100</f>
        <v>98.672727272727286</v>
      </c>
      <c r="H40" s="183">
        <f t="shared" si="3"/>
        <v>547.38418181818179</v>
      </c>
      <c r="I40" s="202">
        <f t="shared" si="4"/>
        <v>2408.4904000000001</v>
      </c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</row>
    <row r="41" spans="1:177" x14ac:dyDescent="0.3">
      <c r="A41" s="179" t="str">
        <f>'AG Jul 2022'!K27</f>
        <v>EnergyAustralia</v>
      </c>
      <c r="B41" s="180">
        <f>'AG Jul 2022'!G27</f>
        <v>43281</v>
      </c>
      <c r="C41" s="181">
        <f>91*'AG Jul 2022'!M27/100</f>
        <v>81.899999999999991</v>
      </c>
      <c r="D41" s="181">
        <f>($C$30*$C$31)*'AG Jul 2022'!N27/100</f>
        <v>382.07272727272726</v>
      </c>
      <c r="E41" s="181">
        <v>0</v>
      </c>
      <c r="F41" s="181">
        <v>0</v>
      </c>
      <c r="G41" s="181">
        <f>($C$30*$C$32)*'AG Jul 2022'!AE27/100</f>
        <v>78.818181818181813</v>
      </c>
      <c r="H41" s="183">
        <f t="shared" si="3"/>
        <v>542.79090909090905</v>
      </c>
      <c r="I41" s="202">
        <f t="shared" si="4"/>
        <v>2388.2800000000002</v>
      </c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</row>
    <row r="42" spans="1:177" x14ac:dyDescent="0.3">
      <c r="A42" s="179" t="str">
        <f>'AG Jul 2022'!K28</f>
        <v>Momentum Energy</v>
      </c>
      <c r="B42" s="180">
        <f>'AG Jul 2022'!G28</f>
        <v>43281</v>
      </c>
      <c r="C42" s="181">
        <f>91*'AG Jul 2022'!M28/100</f>
        <v>100.27372727272727</v>
      </c>
      <c r="D42" s="181">
        <f>($C$30*$C$31)*'AG Jul 2022'!N28/100</f>
        <v>369.72727272727275</v>
      </c>
      <c r="E42" s="181">
        <v>0</v>
      </c>
      <c r="F42" s="181">
        <v>0</v>
      </c>
      <c r="G42" s="181">
        <f>($C$30*$C$32)*'AG Jul 2022'!AE28/100</f>
        <v>77.236363636363635</v>
      </c>
      <c r="H42" s="183">
        <f t="shared" si="3"/>
        <v>547.23736363636363</v>
      </c>
      <c r="I42" s="202">
        <f t="shared" si="4"/>
        <v>2407.8444</v>
      </c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</row>
    <row r="43" spans="1:177" x14ac:dyDescent="0.3">
      <c r="A43" s="179" t="str">
        <f>'AG Jul 2022'!K29</f>
        <v>Origin Energy</v>
      </c>
      <c r="B43" s="180">
        <f>'AG Jul 2022'!G29</f>
        <v>43281</v>
      </c>
      <c r="C43" s="181">
        <f>91*'AG Jul 2022'!M29/100</f>
        <v>73.23845454545453</v>
      </c>
      <c r="D43" s="181">
        <f>($C$30*$C$31)*'AG Jul 2022'!N29/100</f>
        <v>387.92727272727274</v>
      </c>
      <c r="E43" s="181">
        <v>0</v>
      </c>
      <c r="F43" s="181">
        <v>0</v>
      </c>
      <c r="G43" s="181">
        <f>($C$30*$C$32)*'AG Jul 2022'!AE29/100</f>
        <v>76.963636363636354</v>
      </c>
      <c r="H43" s="183">
        <f t="shared" si="3"/>
        <v>538.12936363636368</v>
      </c>
      <c r="I43" s="202">
        <f t="shared" si="4"/>
        <v>2367.7692000000002</v>
      </c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</row>
    <row r="44" spans="1:177" x14ac:dyDescent="0.3">
      <c r="A44" s="179" t="str">
        <f>'AG Jul 2022'!K30</f>
        <v>Powerdirect</v>
      </c>
      <c r="B44" s="180">
        <f>'AG Jul 2022'!G30</f>
        <v>43284</v>
      </c>
      <c r="C44" s="181">
        <f>91*'AG Jul 2022'!M30/100</f>
        <v>77.085272727272724</v>
      </c>
      <c r="D44" s="181">
        <f>($C$30*$C$31)*'AG Jul 2022'!N30/100</f>
        <v>382.32727272727266</v>
      </c>
      <c r="E44" s="181">
        <v>0</v>
      </c>
      <c r="F44" s="181">
        <v>0</v>
      </c>
      <c r="G44" s="181">
        <f>($C$30*$C$32)*'AG Jul 2022'!AE30/100</f>
        <v>92.72727272727272</v>
      </c>
      <c r="H44" s="183">
        <f t="shared" si="3"/>
        <v>552.1398181818181</v>
      </c>
      <c r="I44" s="202">
        <f t="shared" si="4"/>
        <v>2429.4151999999999</v>
      </c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</row>
    <row r="45" spans="1:177" x14ac:dyDescent="0.3">
      <c r="A45" s="179" t="str">
        <f>'AG Jul 2022'!K31</f>
        <v>Powershop</v>
      </c>
      <c r="B45" s="180">
        <f>'AG Jul 2022'!G31</f>
        <v>43284</v>
      </c>
      <c r="C45" s="181">
        <f>91*'AG Jul 2022'!M31/100</f>
        <v>108.69536363636362</v>
      </c>
      <c r="D45" s="181">
        <f>($C$30*$C$31)*'AG Jul 2022'!N31/100</f>
        <v>349.36363636363632</v>
      </c>
      <c r="E45" s="181">
        <v>0</v>
      </c>
      <c r="F45" s="181">
        <v>0</v>
      </c>
      <c r="G45" s="181">
        <f>($C$30*$C$32)*'AG Jul 2022'!AE31/100</f>
        <v>88.090909090909079</v>
      </c>
      <c r="H45" s="183">
        <f t="shared" si="3"/>
        <v>546.14990909090909</v>
      </c>
      <c r="I45" s="202">
        <f t="shared" si="4"/>
        <v>2403.0596</v>
      </c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</row>
    <row r="46" spans="1:177" x14ac:dyDescent="0.3">
      <c r="A46" s="179" t="str">
        <f>'AG Jul 2022'!K32</f>
        <v>Red Energy</v>
      </c>
      <c r="B46" s="180">
        <f>'AG Jul 2022'!G32</f>
        <v>43281</v>
      </c>
      <c r="C46" s="181">
        <f>91*'AG Jul 2022'!M32/100</f>
        <v>91.909999999999982</v>
      </c>
      <c r="D46" s="181">
        <f>($C$30*$C$31)*'AG Jul 2022'!N32/100</f>
        <v>357</v>
      </c>
      <c r="E46" s="181">
        <f>IF($C$30*$C$31&lt;'AG Jul 2022'!P32,0,IF(($C$30*$C$31)&lt;='AG Jul 2022'!R32,(($C$30*$C$31-'AG Jul 2022'!P32)*'AG Jul 2022'!Q32/100),(('AG Jul 2022'!R32-'AG Jul 2022'!P32)*'AG Jul 2022'!Q32/100)))</f>
        <v>0</v>
      </c>
      <c r="F46" s="181">
        <v>0</v>
      </c>
      <c r="G46" s="181">
        <f>($C$30*$C$32)*'AG Jul 2022'!AE32/100</f>
        <v>97.2</v>
      </c>
      <c r="H46" s="183">
        <f t="shared" si="3"/>
        <v>546.11</v>
      </c>
      <c r="I46" s="202">
        <f t="shared" si="4"/>
        <v>2402.8840000000005</v>
      </c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</row>
    <row r="47" spans="1:177" x14ac:dyDescent="0.3">
      <c r="A47" s="179" t="str">
        <f>'AG Jul 2022'!K33</f>
        <v>Simply Energy</v>
      </c>
      <c r="B47" s="180">
        <f>'AG Jul 2022'!G33</f>
        <v>43281</v>
      </c>
      <c r="C47" s="181">
        <f>91*'AG Jul 2022'!M33/100</f>
        <v>76.406909090909082</v>
      </c>
      <c r="D47" s="181">
        <f>IF($C$30*$C$31&gt;='AG Jul 2022'!P33,('AG Jul 2022'!P33*'AG Jul 2022'!N33/100),(($C$30*$C$31)*'AG Jul 2022'!N33/100))</f>
        <v>277.81818181818176</v>
      </c>
      <c r="E47" s="181">
        <f>IF($C$30*$C$31&lt;'AG Jul 2022'!P33,0,IF(($C$30*$C$31)&lt;='AG Jul 2022'!R33,(($C$30*$C$31-'AG Jul 2022'!P33)*'AG Jul 2022'!Q33/100),(('AG Jul 2022'!R33-'AG Jul 2022'!P33)*'AG Jul 2022'!Q33/100)))</f>
        <v>0</v>
      </c>
      <c r="F47" s="181">
        <f>IF(($C$30*$C$31&lt;'AG Jul 2022'!R33),(0),($C$30*$C$31-'AG Jul 2022'!R33)*'AG Jul 2022'!S33/100)</f>
        <v>117.12727272727273</v>
      </c>
      <c r="G47" s="181">
        <f>($C$30*$C$32)*'AG Jul 2022'!AE33/100</f>
        <v>83.23636363636362</v>
      </c>
      <c r="H47" s="183">
        <f t="shared" si="3"/>
        <v>554.58872727272717</v>
      </c>
      <c r="I47" s="202">
        <f t="shared" si="4"/>
        <v>2440.1904</v>
      </c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</row>
    <row r="48" spans="1:177" x14ac:dyDescent="0.3">
      <c r="A48" s="179" t="str">
        <f>'AG Jul 2022'!K34</f>
        <v>1st Energy</v>
      </c>
      <c r="B48" s="180">
        <f>'AG Jul 2022'!G34</f>
        <v>43281</v>
      </c>
      <c r="C48" s="181">
        <f>91*'AG Jul 2022'!M34/100</f>
        <v>95.549999999999983</v>
      </c>
      <c r="D48" s="181">
        <f>IF($C$30*$C$31&gt;='AG Jul 2022'!P34,('AG Jul 2022'!P34*'AG Jul 2022'!N34/100),(($C$30*$C$31)*'AG Jul 2022'!N34/100))</f>
        <v>348.29999999999995</v>
      </c>
      <c r="E48" s="181">
        <f>IF($C$30*$C$31&lt;'AG Jul 2022'!P34,0,IF(($C$30*$C$31)&lt;='AG Jul 2022'!R34,(($C$30*$C$31-'AG Jul 2022'!P34)*'AG Jul 2022'!Q34/100),(('AG Jul 2022'!R34-'AG Jul 2022'!P34)*'AG Jul 2022'!Q34/100)))</f>
        <v>0</v>
      </c>
      <c r="F48" s="181">
        <f>IF(($C$30*$C$31&lt;'AG Jul 2022'!R34),(0),($C$30*$C$31-'AG Jul 2022'!R34)*'AG Jul 2022'!S34/100)</f>
        <v>14.85</v>
      </c>
      <c r="G48" s="181">
        <f>($C$30*$C$32)*'AG Jul 2022'!AE34/100</f>
        <v>81.599999999999994</v>
      </c>
      <c r="H48" s="183">
        <f t="shared" si="3"/>
        <v>540.29999999999995</v>
      </c>
      <c r="I48" s="202">
        <f t="shared" si="4"/>
        <v>2377.3200000000002</v>
      </c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</row>
    <row r="49" spans="1:177" x14ac:dyDescent="0.3">
      <c r="A49" s="179" t="str">
        <f>'AG Jul 2022'!K35</f>
        <v>ReAmped Energy</v>
      </c>
      <c r="B49" s="180">
        <f>'AG Jul 2022'!G35</f>
        <v>43281</v>
      </c>
      <c r="C49" s="181">
        <f>91*'AG Jul 2022'!M35/100</f>
        <v>68.25</v>
      </c>
      <c r="D49" s="181">
        <f>($C$30*$C$31)*'AG Jul 2022'!N35/100</f>
        <v>394.41818181818178</v>
      </c>
      <c r="E49" s="181">
        <v>0</v>
      </c>
      <c r="F49" s="181">
        <v>0</v>
      </c>
      <c r="G49" s="181">
        <f>($C$30*$C$32)*'AG Jul 2022'!AE35/100</f>
        <v>89.999999999999986</v>
      </c>
      <c r="H49" s="183">
        <f t="shared" si="3"/>
        <v>552.66818181818178</v>
      </c>
      <c r="I49" s="202">
        <f t="shared" si="4"/>
        <v>2431.7400000000002</v>
      </c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</row>
    <row r="50" spans="1:177" x14ac:dyDescent="0.3">
      <c r="A50" s="179" t="str">
        <f>'AG Jul 2022'!K36</f>
        <v>Nectr</v>
      </c>
      <c r="B50" s="180">
        <f>'AG Jul 2022'!G36</f>
        <v>43281</v>
      </c>
      <c r="C50" s="181">
        <f>91*'AG Jul 2022'!M36/100</f>
        <v>78.259999999999991</v>
      </c>
      <c r="D50" s="181">
        <f>($C$30*$C$31)*'AG Jul 2022'!N36/100</f>
        <v>380.66</v>
      </c>
      <c r="E50" s="181">
        <v>0</v>
      </c>
      <c r="F50" s="181">
        <v>0</v>
      </c>
      <c r="G50" s="181">
        <f>($C$30*$C$32)*'AG Jul 2022'!AE36/100</f>
        <v>92.94</v>
      </c>
      <c r="H50" s="183">
        <f t="shared" si="3"/>
        <v>551.86</v>
      </c>
      <c r="I50" s="202">
        <f t="shared" si="4"/>
        <v>2428.1840000000002</v>
      </c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</row>
    <row r="51" spans="1:177" s="266" customFormat="1" x14ac:dyDescent="0.3">
      <c r="A51" s="179" t="str">
        <f>'AG Jul 2022'!K37</f>
        <v>Sumo Power</v>
      </c>
      <c r="B51" s="180">
        <f>'AG Jul 2022'!G37</f>
        <v>43281</v>
      </c>
      <c r="C51" s="181">
        <f>91*'AG Jul 2022'!M37/100</f>
        <v>100.09999999999998</v>
      </c>
      <c r="D51" s="181">
        <f>($C$30*$C$31)*'AG Jul 2022'!N37/100</f>
        <v>349.10909090909087</v>
      </c>
      <c r="E51" s="181">
        <v>0</v>
      </c>
      <c r="F51" s="181">
        <v>0</v>
      </c>
      <c r="G51" s="181">
        <f>($C$30*$C$32)*'AG Jul 2022'!AE37/100</f>
        <v>99.109090909090924</v>
      </c>
      <c r="H51" s="183">
        <f t="shared" si="3"/>
        <v>548.31818181818176</v>
      </c>
      <c r="I51" s="202">
        <f t="shared" si="4"/>
        <v>2412.6</v>
      </c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</row>
    <row r="52" spans="1:177" customFormat="1" x14ac:dyDescent="0.3">
      <c r="A52" s="330"/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</row>
    <row r="53" spans="1:177" customFormat="1" ht="14" thickBot="1" x14ac:dyDescent="0.35">
      <c r="A53" s="330"/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</row>
    <row r="54" spans="1:177" s="262" customFormat="1" ht="14" x14ac:dyDescent="0.3">
      <c r="A54" s="176" t="s">
        <v>94</v>
      </c>
      <c r="B54" s="91"/>
      <c r="C54" s="91"/>
      <c r="D54" s="91"/>
      <c r="E54" s="91"/>
      <c r="F54" s="91"/>
      <c r="G54" s="91"/>
      <c r="H54" s="91"/>
      <c r="I54" s="177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</row>
    <row r="55" spans="1:177" s="262" customFormat="1" ht="14" x14ac:dyDescent="0.3">
      <c r="A55" s="92" t="s">
        <v>79</v>
      </c>
      <c r="B55" s="93"/>
      <c r="C55" s="168">
        <v>1800</v>
      </c>
      <c r="D55" s="93"/>
      <c r="E55" s="93"/>
      <c r="F55" s="93"/>
      <c r="G55" s="93"/>
      <c r="H55" s="93"/>
      <c r="I55" s="178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</row>
    <row r="56" spans="1:177" s="262" customFormat="1" ht="14" x14ac:dyDescent="0.3">
      <c r="A56" s="92" t="s">
        <v>91</v>
      </c>
      <c r="B56" s="93"/>
      <c r="C56" s="257">
        <v>0.2</v>
      </c>
      <c r="D56" s="93"/>
      <c r="E56" s="93"/>
      <c r="F56" s="93"/>
      <c r="G56" s="93"/>
      <c r="H56" s="93"/>
      <c r="I56" s="178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</row>
    <row r="57" spans="1:177" s="262" customFormat="1" ht="14" x14ac:dyDescent="0.3">
      <c r="A57" s="92" t="s">
        <v>95</v>
      </c>
      <c r="B57" s="93"/>
      <c r="C57" s="257">
        <v>0.5</v>
      </c>
      <c r="D57" s="93"/>
      <c r="E57" s="93"/>
      <c r="F57" s="93"/>
      <c r="G57" s="93"/>
      <c r="H57" s="93"/>
      <c r="I57" s="178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</row>
    <row r="58" spans="1:177" s="262" customFormat="1" ht="14" x14ac:dyDescent="0.3">
      <c r="A58" s="92" t="s">
        <v>92</v>
      </c>
      <c r="B58" s="93"/>
      <c r="C58" s="257">
        <v>0.3</v>
      </c>
      <c r="D58" s="93"/>
      <c r="E58" s="93"/>
      <c r="F58" s="93"/>
      <c r="G58" s="93"/>
      <c r="H58" s="93"/>
      <c r="I58" s="178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</row>
    <row r="59" spans="1:177" s="262" customFormat="1" ht="14" x14ac:dyDescent="0.3">
      <c r="A59" s="166"/>
      <c r="B59" s="93"/>
      <c r="C59" s="167"/>
      <c r="D59" s="93"/>
      <c r="E59" s="93"/>
      <c r="F59" s="93"/>
      <c r="G59" s="93"/>
      <c r="H59" s="93"/>
      <c r="I59" s="178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</row>
    <row r="60" spans="1:177" s="262" customFormat="1" ht="28" x14ac:dyDescent="0.3">
      <c r="A60" s="301" t="s">
        <v>80</v>
      </c>
      <c r="B60" s="298" t="s">
        <v>81</v>
      </c>
      <c r="C60" s="298" t="s">
        <v>82</v>
      </c>
      <c r="D60" s="298" t="s">
        <v>96</v>
      </c>
      <c r="E60" s="298" t="s">
        <v>86</v>
      </c>
      <c r="F60" s="298" t="s">
        <v>97</v>
      </c>
      <c r="G60" s="298" t="s">
        <v>98</v>
      </c>
      <c r="H60" s="298" t="s">
        <v>87</v>
      </c>
      <c r="I60" s="300" t="s">
        <v>88</v>
      </c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</row>
    <row r="61" spans="1:177" x14ac:dyDescent="0.3">
      <c r="A61" s="179" t="str">
        <f>'AG Jul 2022'!K38</f>
        <v>Tango Energy</v>
      </c>
      <c r="B61" s="180">
        <f>'AG Jul 2022'!G38</f>
        <v>43281</v>
      </c>
      <c r="C61" s="181">
        <f>91*'AG Jul 2022'!M38/100</f>
        <v>75.529999999999987</v>
      </c>
      <c r="D61" s="181">
        <f>($C$55*$C$56)*'AG Jul 2022'!N38/100</f>
        <v>99.916363636363641</v>
      </c>
      <c r="E61" s="181">
        <v>0</v>
      </c>
      <c r="F61" s="181">
        <f>($C$55*$C$57)*'AG Jul 2022'!AH38/100</f>
        <v>0</v>
      </c>
      <c r="G61" s="181">
        <f>($C$55*$C$58)*'AG Jul 2022'!W38/100</f>
        <v>0</v>
      </c>
      <c r="H61" s="183">
        <f t="shared" ref="H61:H76" si="5">SUM(C61:G61)</f>
        <v>175.44636363636363</v>
      </c>
      <c r="I61" s="202">
        <f t="shared" ref="I61:I76" si="6">(H61*4)*1.1</f>
        <v>771.96400000000006</v>
      </c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</row>
    <row r="62" spans="1:177" x14ac:dyDescent="0.3">
      <c r="A62" s="179" t="str">
        <f>'AG Jul 2022'!K39</f>
        <v>AGL</v>
      </c>
      <c r="B62" s="180">
        <f>'AG Jul 2022'!G39</f>
        <v>42928</v>
      </c>
      <c r="C62" s="181">
        <f>91*'AG Jul 2022'!M39/100</f>
        <v>90.660818181818172</v>
      </c>
      <c r="D62" s="181">
        <f>($C$55*$C$56)*'AG Jul 2022'!N39/100</f>
        <v>182.91272727272724</v>
      </c>
      <c r="E62" s="181">
        <v>0</v>
      </c>
      <c r="F62" s="181">
        <f>($C$55*$C$57)*'AG Jul 2022'!AH39/100</f>
        <v>201.84545454545452</v>
      </c>
      <c r="G62" s="181">
        <f>($C$55*$C$58)*'AG Jul 2022'!W39/100</f>
        <v>81.539999999999992</v>
      </c>
      <c r="H62" s="183">
        <f t="shared" si="5"/>
        <v>556.95899999999995</v>
      </c>
      <c r="I62" s="202">
        <f t="shared" si="6"/>
        <v>2450.6196</v>
      </c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</row>
    <row r="63" spans="1:177" x14ac:dyDescent="0.3">
      <c r="A63" s="179" t="str">
        <f>'AG Jul 2022'!K40</f>
        <v>Alinta Energy</v>
      </c>
      <c r="B63" s="180">
        <f>'AG Jul 2022'!G40</f>
        <v>43281</v>
      </c>
      <c r="C63" s="181">
        <f>91*'AG Jul 2022'!M40/100</f>
        <v>88.030090909090887</v>
      </c>
      <c r="D63" s="181">
        <f>($C$55*$C$56)*'AG Jul 2022'!N40/100</f>
        <v>185.62909090909088</v>
      </c>
      <c r="E63" s="181">
        <v>0</v>
      </c>
      <c r="F63" s="181">
        <f>($C$55*$C$57)*'AG Jul 2022'!AH40/100</f>
        <v>196.77272727272728</v>
      </c>
      <c r="G63" s="181">
        <f>($C$55*$C$58)*'AG Jul 2022'!W40/100</f>
        <v>83.552727272727267</v>
      </c>
      <c r="H63" s="183">
        <f t="shared" si="5"/>
        <v>553.98463636363624</v>
      </c>
      <c r="I63" s="202">
        <f t="shared" si="6"/>
        <v>2437.5323999999996</v>
      </c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</row>
    <row r="64" spans="1:177" x14ac:dyDescent="0.3">
      <c r="A64" s="179" t="str">
        <f>'AG Jul 2022'!K41</f>
        <v>CovaU</v>
      </c>
      <c r="B64" s="180">
        <f>'AG Jul 2022'!G41</f>
        <v>43281</v>
      </c>
      <c r="C64" s="181">
        <f>91*'AG Jul 2022'!M41/100</f>
        <v>65.52</v>
      </c>
      <c r="D64" s="181">
        <f>($C$55*$C$56)*'AG Jul 2022'!N41/100</f>
        <v>172.79999999999995</v>
      </c>
      <c r="E64" s="181">
        <f>IF(($C$55*$C$56&lt;'AG Jul 2022'!P41),(0),($C$55*$C$56-'AG Jul 2022'!P41)*'AG Jul 2022'!Q41/100)</f>
        <v>0</v>
      </c>
      <c r="F64" s="181">
        <f>($C$55*$C$57)*'AG Jul 2022'!AH41/100</f>
        <v>220.49999999999997</v>
      </c>
      <c r="G64" s="181">
        <f>($C$55*$C$58)*'AG Jul 2022'!W41/100</f>
        <v>92.88</v>
      </c>
      <c r="H64" s="183">
        <f t="shared" si="5"/>
        <v>551.69999999999993</v>
      </c>
      <c r="I64" s="202">
        <f t="shared" si="6"/>
        <v>2427.48</v>
      </c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</row>
    <row r="65" spans="1:177" x14ac:dyDescent="0.3">
      <c r="A65" s="179" t="str">
        <f>'AG Jul 2022'!K42</f>
        <v>Diamond Energy</v>
      </c>
      <c r="B65" s="180">
        <f>'AG Jul 2022'!G42</f>
        <v>43281</v>
      </c>
      <c r="C65" s="181">
        <f>91*'AG Jul 2022'!M42/100</f>
        <v>102.82999999999998</v>
      </c>
      <c r="D65" s="181">
        <f>($C$55*$C$56)*'AG Jul 2022'!N42/100</f>
        <v>160.56</v>
      </c>
      <c r="E65" s="181">
        <v>0</v>
      </c>
      <c r="F65" s="181">
        <f>($C$55*$C$57)*'AG Jul 2022'!AH42/100</f>
        <v>197.99999999999997</v>
      </c>
      <c r="G65" s="181">
        <f>($C$55*$C$58)*'AG Jul 2022'!W42/100</f>
        <v>118.79999999999998</v>
      </c>
      <c r="H65" s="183">
        <f t="shared" si="5"/>
        <v>580.18999999999994</v>
      </c>
      <c r="I65" s="202">
        <f t="shared" si="6"/>
        <v>2552.8359999999998</v>
      </c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</row>
    <row r="66" spans="1:177" x14ac:dyDescent="0.3">
      <c r="A66" s="179" t="str">
        <f>'AG Jul 2022'!K43</f>
        <v>Dodo Power &amp; Gas</v>
      </c>
      <c r="B66" s="180">
        <f>'AG Jul 2022'!G43</f>
        <v>43281</v>
      </c>
      <c r="C66" s="181">
        <f>91*'AG Jul 2022'!M43/100</f>
        <v>106.67681818181816</v>
      </c>
      <c r="D66" s="181">
        <f>($C$55*$C$56)*'AG Jul 2022'!N43/100</f>
        <v>156.33818181818182</v>
      </c>
      <c r="E66" s="181">
        <v>0</v>
      </c>
      <c r="F66" s="181">
        <f>($C$55*$C$57)*'AG Jul 2022'!AH43/100</f>
        <v>175.90909090909088</v>
      </c>
      <c r="G66" s="181">
        <f>($C$55*$C$58)*'AG Jul 2022'!W43/100</f>
        <v>96.414545454545461</v>
      </c>
      <c r="H66" s="183">
        <f t="shared" si="5"/>
        <v>535.33863636363628</v>
      </c>
      <c r="I66" s="202">
        <f t="shared" si="6"/>
        <v>2355.4899999999998</v>
      </c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</row>
    <row r="67" spans="1:177" x14ac:dyDescent="0.3">
      <c r="A67" s="179" t="str">
        <f>'AG Jul 2022'!K44</f>
        <v>EnergyAustralia</v>
      </c>
      <c r="B67" s="180">
        <f>'AG Jul 2022'!G44</f>
        <v>43281</v>
      </c>
      <c r="C67" s="181">
        <f>91*'AG Jul 2022'!M44/100</f>
        <v>86.358999999999995</v>
      </c>
      <c r="D67" s="181">
        <f>($C$55*$C$56)*'AG Jul 2022'!N44/100</f>
        <v>189.19636363636363</v>
      </c>
      <c r="E67" s="181">
        <v>0</v>
      </c>
      <c r="F67" s="181">
        <f>($C$55*$C$57)*'AG Jul 2022'!AH44/100</f>
        <v>226.6363636363636</v>
      </c>
      <c r="G67" s="181">
        <f>($C$55*$C$58)*'AG Jul 2022'!W44/100</f>
        <v>97.150909090909082</v>
      </c>
      <c r="H67" s="183">
        <f t="shared" si="5"/>
        <v>599.3426363636363</v>
      </c>
      <c r="I67" s="202">
        <f t="shared" si="6"/>
        <v>2637.1075999999998</v>
      </c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</row>
    <row r="68" spans="1:177" x14ac:dyDescent="0.3">
      <c r="A68" s="179" t="str">
        <f>'AG Jul 2022'!K45</f>
        <v>Momentum Energy</v>
      </c>
      <c r="B68" s="180">
        <f>'AG Jul 2022'!G45</f>
        <v>43281</v>
      </c>
      <c r="C68" s="181">
        <f>91*'AG Jul 2022'!M45/100</f>
        <v>90.172727272727258</v>
      </c>
      <c r="D68" s="181">
        <f>($C$55*$C$56)*'AG Jul 2022'!N45/100</f>
        <v>180.09818181818181</v>
      </c>
      <c r="E68" s="181">
        <v>0</v>
      </c>
      <c r="F68" s="181">
        <f>($C$55*$C$57)*'AG Jul 2022'!AH45/100</f>
        <v>181.88181818181818</v>
      </c>
      <c r="G68" s="181">
        <f>($C$55*$C$58)*'AG Jul 2022'!W45/100</f>
        <v>98.329090909090894</v>
      </c>
      <c r="H68" s="183">
        <f t="shared" si="5"/>
        <v>550.4818181818182</v>
      </c>
      <c r="I68" s="202">
        <f t="shared" si="6"/>
        <v>2422.1200000000003</v>
      </c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</row>
    <row r="69" spans="1:177" x14ac:dyDescent="0.3">
      <c r="A69" s="179" t="str">
        <f>'AG Jul 2022'!K46</f>
        <v>Origin Energy</v>
      </c>
      <c r="B69" s="180">
        <f>'AG Jul 2022'!G46</f>
        <v>43281</v>
      </c>
      <c r="C69" s="181">
        <f>91*'AG Jul 2022'!M46/100</f>
        <v>82.9465</v>
      </c>
      <c r="D69" s="181">
        <f>($C$55*$C$56)*'AG Jul 2022'!N46/100</f>
        <v>185.50799999999998</v>
      </c>
      <c r="E69" s="181">
        <v>0</v>
      </c>
      <c r="F69" s="181">
        <f>($C$55*$C$57)*'AG Jul 2022'!AH46/100</f>
        <v>210.78</v>
      </c>
      <c r="G69" s="181">
        <f>($C$55*$C$58)*'AG Jul 2022'!W46/100</f>
        <v>80.567999999999998</v>
      </c>
      <c r="H69" s="183">
        <f t="shared" si="5"/>
        <v>559.80250000000001</v>
      </c>
      <c r="I69" s="202">
        <f t="shared" si="6"/>
        <v>2463.1310000000003</v>
      </c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</row>
    <row r="70" spans="1:177" x14ac:dyDescent="0.3">
      <c r="A70" s="179" t="str">
        <f>'AG Jul 2022'!K47</f>
        <v>Powerdirect</v>
      </c>
      <c r="B70" s="180">
        <f>'AG Jul 2022'!G47</f>
        <v>43193</v>
      </c>
      <c r="C70" s="181">
        <f>91*'AG Jul 2022'!M47/100</f>
        <v>90.660818181818172</v>
      </c>
      <c r="D70" s="181">
        <f>($C$55*$C$56)*'AG Jul 2022'!N47/100</f>
        <v>182.91272727272724</v>
      </c>
      <c r="E70" s="181">
        <v>0</v>
      </c>
      <c r="F70" s="181">
        <f>($C$55*$C$57)*'AG Jul 2022'!AH47/100</f>
        <v>201.84545454545452</v>
      </c>
      <c r="G70" s="181">
        <f>($C$55*$C$58)*'AG Jul 2022'!W47/100</f>
        <v>81.539999999999992</v>
      </c>
      <c r="H70" s="183">
        <f t="shared" si="5"/>
        <v>556.95899999999995</v>
      </c>
      <c r="I70" s="202">
        <f t="shared" si="6"/>
        <v>2450.6196</v>
      </c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</row>
    <row r="71" spans="1:177" x14ac:dyDescent="0.3">
      <c r="A71" s="179" t="str">
        <f>'AG Jul 2022'!K48</f>
        <v>Powershop</v>
      </c>
      <c r="B71" s="180">
        <f>'AG Jul 2022'!G48</f>
        <v>43284</v>
      </c>
      <c r="C71" s="181">
        <f>91*'AG Jul 2022'!M48/100</f>
        <v>99.719454545454539</v>
      </c>
      <c r="D71" s="181">
        <f>($C$55*$C$56)*'AG Jul 2022'!N48/100</f>
        <v>128.1272727272727</v>
      </c>
      <c r="E71" s="181">
        <v>0</v>
      </c>
      <c r="F71" s="181">
        <f>($C$55*$C$57)*'AG Jul 2022'!AH48/100</f>
        <v>243.73636363636359</v>
      </c>
      <c r="G71" s="181">
        <f>($C$55*$C$58)*'AG Jul 2022'!W48/100</f>
        <v>91.407272727272726</v>
      </c>
      <c r="H71" s="183">
        <f t="shared" si="5"/>
        <v>562.99036363636355</v>
      </c>
      <c r="I71" s="202">
        <f t="shared" si="6"/>
        <v>2477.1576</v>
      </c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</row>
    <row r="72" spans="1:177" x14ac:dyDescent="0.3">
      <c r="A72" s="179" t="str">
        <f>'AG Jul 2022'!K49</f>
        <v>Red Energy</v>
      </c>
      <c r="B72" s="180">
        <f>'AG Jul 2022'!G49</f>
        <v>43281</v>
      </c>
      <c r="C72" s="181">
        <f>91*'AG Jul 2022'!M49/100</f>
        <v>91.909999999999982</v>
      </c>
      <c r="D72" s="181">
        <f>($C$55*$C$56)*'AG Jul 2022'!N49/100</f>
        <v>147.6</v>
      </c>
      <c r="E72" s="181">
        <v>0</v>
      </c>
      <c r="F72" s="181">
        <f>($C$55*$C$57)*'AG Jul 2022'!AH49/100</f>
        <v>229.5</v>
      </c>
      <c r="G72" s="181">
        <f>($C$55*$C$58)*'AG Jul 2022'!W49/100</f>
        <v>85.319999999999979</v>
      </c>
      <c r="H72" s="183">
        <f t="shared" si="5"/>
        <v>554.32999999999993</v>
      </c>
      <c r="I72" s="202">
        <f t="shared" si="6"/>
        <v>2439.0519999999997</v>
      </c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</row>
    <row r="73" spans="1:177" x14ac:dyDescent="0.3">
      <c r="A73" s="179" t="str">
        <f>'AG Jul 2022'!K50</f>
        <v>Simply Energy</v>
      </c>
      <c r="B73" s="180">
        <f>'AG Jul 2022'!G50</f>
        <v>43281</v>
      </c>
      <c r="C73" s="181">
        <f>91*'AG Jul 2022'!M50/100</f>
        <v>87.426181818181831</v>
      </c>
      <c r="D73" s="181">
        <f>($C$55*$C$56)*'AG Jul 2022'!N50/100</f>
        <v>179.90181818181816</v>
      </c>
      <c r="E73" s="181">
        <v>0</v>
      </c>
      <c r="F73" s="181">
        <f>($C$55*$C$57)*'AG Jul 2022'!AH50/100</f>
        <v>224.26363636363635</v>
      </c>
      <c r="G73" s="181">
        <f>($C$55*$C$58)*'AG Jul 2022'!W50/100</f>
        <v>102.06</v>
      </c>
      <c r="H73" s="183">
        <f t="shared" si="5"/>
        <v>593.65163636363627</v>
      </c>
      <c r="I73" s="202">
        <f t="shared" si="6"/>
        <v>2612.0672</v>
      </c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</row>
    <row r="74" spans="1:177" x14ac:dyDescent="0.3">
      <c r="A74" s="179" t="str">
        <f>'AG Jul 2022'!K51</f>
        <v>1st Energy</v>
      </c>
      <c r="B74" s="180">
        <f>'AG Jul 2022'!G51</f>
        <v>43281</v>
      </c>
      <c r="C74" s="181">
        <f>91*'AG Jul 2022'!M51/100</f>
        <v>90.999999999999986</v>
      </c>
      <c r="D74" s="181">
        <f>($C$55*$C$56)*'AG Jul 2022'!N51/100</f>
        <v>163.43999999999997</v>
      </c>
      <c r="E74" s="181">
        <v>0</v>
      </c>
      <c r="F74" s="181">
        <f>($C$55*$C$57)*'AG Jul 2022'!AH51/100</f>
        <v>199.8</v>
      </c>
      <c r="G74" s="181">
        <f>($C$55*$C$58)*'AG Jul 2022'!W51/100</f>
        <v>96.119999999999976</v>
      </c>
      <c r="H74" s="183">
        <f t="shared" si="5"/>
        <v>550.3599999999999</v>
      </c>
      <c r="I74" s="202">
        <f t="shared" si="6"/>
        <v>2421.5839999999998</v>
      </c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</row>
    <row r="75" spans="1:177" x14ac:dyDescent="0.3">
      <c r="A75" s="179" t="str">
        <f>'AG Jul 2022'!K52</f>
        <v>Nectr</v>
      </c>
      <c r="B75" s="180">
        <f>'AG Jul 2022'!G52</f>
        <v>43281</v>
      </c>
      <c r="C75" s="181">
        <f>91*'AG Jul 2022'!M52/100</f>
        <v>85.54</v>
      </c>
      <c r="D75" s="181">
        <f>($C$55*$C$56)*'AG Jul 2022'!N52/100</f>
        <v>190.79999999999995</v>
      </c>
      <c r="E75" s="181">
        <v>0</v>
      </c>
      <c r="F75" s="181">
        <f>($C$55*$C$57)*'AG Jul 2022'!AH52/100</f>
        <v>224.99999999999997</v>
      </c>
      <c r="G75" s="181">
        <f>($C$55*$C$58)*'AG Jul 2022'!W52/100</f>
        <v>80.999999999999986</v>
      </c>
      <c r="H75" s="183">
        <f t="shared" si="5"/>
        <v>582.33999999999992</v>
      </c>
      <c r="I75" s="202">
        <f t="shared" si="6"/>
        <v>2562.2959999999998</v>
      </c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</row>
    <row r="76" spans="1:177" s="266" customFormat="1" ht="14" thickBot="1" x14ac:dyDescent="0.35">
      <c r="A76" s="184" t="str">
        <f>'AG Jul 2022'!K53</f>
        <v>Sumo Power</v>
      </c>
      <c r="B76" s="185">
        <f>'AG Jul 2022'!G53</f>
        <v>43281</v>
      </c>
      <c r="C76" s="186">
        <f>91*'AG Jul 2022'!M53/100</f>
        <v>100.09999999999998</v>
      </c>
      <c r="D76" s="186">
        <f>($C$55*$C$56)*'AG Jul 2022'!N53/100</f>
        <v>161.99999999999997</v>
      </c>
      <c r="E76" s="186">
        <v>0</v>
      </c>
      <c r="F76" s="186">
        <f>($C$55*$C$57)*'AG Jul 2022'!AH53/100</f>
        <v>184.5</v>
      </c>
      <c r="G76" s="186">
        <f>($C$55*$C$58)*'AG Jul 2022'!W53/100</f>
        <v>97.739999999999981</v>
      </c>
      <c r="H76" s="188">
        <f t="shared" si="5"/>
        <v>544.33999999999992</v>
      </c>
      <c r="I76" s="203">
        <f t="shared" si="6"/>
        <v>2395.096</v>
      </c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</row>
    <row r="77" spans="1:177" customFormat="1" x14ac:dyDescent="0.3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</row>
    <row r="78" spans="1:177" customFormat="1" x14ac:dyDescent="0.3">
      <c r="A78" s="330"/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</row>
    <row r="79" spans="1:177" customFormat="1" x14ac:dyDescent="0.3">
      <c r="A79" s="330"/>
      <c r="B79" s="330"/>
      <c r="C79" s="330"/>
      <c r="D79" s="330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</row>
    <row r="80" spans="1:177" customFormat="1" x14ac:dyDescent="0.3">
      <c r="A80" s="330"/>
      <c r="B80" s="330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</row>
    <row r="81" spans="1:33" customFormat="1" x14ac:dyDescent="0.3">
      <c r="A81" s="330"/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</row>
    <row r="82" spans="1:33" customFormat="1" x14ac:dyDescent="0.3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</row>
    <row r="83" spans="1:33" customFormat="1" x14ac:dyDescent="0.3">
      <c r="A83" s="330"/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</row>
    <row r="84" spans="1:33" customFormat="1" x14ac:dyDescent="0.3">
      <c r="A84" s="330"/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</row>
    <row r="85" spans="1:33" customFormat="1" x14ac:dyDescent="0.3">
      <c r="A85" s="330"/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</row>
    <row r="86" spans="1:33" customFormat="1" x14ac:dyDescent="0.3">
      <c r="A86" s="330"/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</row>
    <row r="87" spans="1:33" customFormat="1" x14ac:dyDescent="0.3">
      <c r="A87" s="330"/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</row>
    <row r="88" spans="1:33" customFormat="1" x14ac:dyDescent="0.3">
      <c r="A88" s="330"/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</row>
    <row r="89" spans="1:33" customFormat="1" x14ac:dyDescent="0.3">
      <c r="A89" s="330"/>
      <c r="B89" s="330"/>
      <c r="C89" s="330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</row>
    <row r="90" spans="1:33" customFormat="1" x14ac:dyDescent="0.3">
      <c r="A90" s="330"/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</row>
    <row r="91" spans="1:33" customFormat="1" x14ac:dyDescent="0.3">
      <c r="A91" s="330"/>
      <c r="B91" s="330"/>
      <c r="C91" s="330"/>
      <c r="D91" s="330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</row>
    <row r="92" spans="1:33" customFormat="1" x14ac:dyDescent="0.3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</row>
    <row r="93" spans="1:33" customFormat="1" x14ac:dyDescent="0.3">
      <c r="A93" s="330"/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</row>
    <row r="94" spans="1:33" customFormat="1" x14ac:dyDescent="0.3">
      <c r="A94" s="330"/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</row>
    <row r="95" spans="1:33" customFormat="1" x14ac:dyDescent="0.3">
      <c r="A95" s="330"/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</row>
    <row r="96" spans="1:33" customFormat="1" x14ac:dyDescent="0.3">
      <c r="A96" s="330"/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</row>
    <row r="97" spans="1:33" customFormat="1" x14ac:dyDescent="0.3">
      <c r="A97" s="330"/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</row>
    <row r="98" spans="1:33" customFormat="1" x14ac:dyDescent="0.3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</row>
    <row r="99" spans="1:33" customFormat="1" x14ac:dyDescent="0.3">
      <c r="A99" s="330"/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</row>
    <row r="100" spans="1:33" customFormat="1" x14ac:dyDescent="0.3">
      <c r="A100" s="330"/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</row>
    <row r="101" spans="1:33" customFormat="1" x14ac:dyDescent="0.3">
      <c r="A101" s="330"/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</row>
    <row r="102" spans="1:33" customFormat="1" x14ac:dyDescent="0.3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</row>
    <row r="103" spans="1:33" customFormat="1" x14ac:dyDescent="0.3">
      <c r="A103" s="330"/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</row>
    <row r="104" spans="1:33" customFormat="1" x14ac:dyDescent="0.3">
      <c r="A104" s="330"/>
      <c r="B104" s="330"/>
      <c r="C104" s="330"/>
      <c r="D104" s="330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</row>
    <row r="105" spans="1:33" customFormat="1" x14ac:dyDescent="0.3">
      <c r="A105" s="330"/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</row>
    <row r="106" spans="1:33" customFormat="1" x14ac:dyDescent="0.3">
      <c r="A106" s="330"/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</row>
    <row r="107" spans="1:33" customFormat="1" x14ac:dyDescent="0.3">
      <c r="A107" s="330"/>
      <c r="B107" s="330"/>
      <c r="C107" s="330"/>
      <c r="D107" s="330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</row>
    <row r="108" spans="1:33" customFormat="1" x14ac:dyDescent="0.3">
      <c r="A108" s="330"/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</row>
    <row r="109" spans="1:33" customFormat="1" x14ac:dyDescent="0.3">
      <c r="A109" s="330"/>
      <c r="B109" s="330"/>
      <c r="C109" s="330"/>
      <c r="D109" s="330"/>
      <c r="E109" s="330"/>
      <c r="F109" s="33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</row>
    <row r="110" spans="1:33" customFormat="1" x14ac:dyDescent="0.3">
      <c r="A110" s="330"/>
      <c r="B110" s="330"/>
      <c r="C110" s="330"/>
      <c r="D110" s="330"/>
      <c r="E110" s="330"/>
      <c r="F110" s="33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</row>
    <row r="111" spans="1:33" customFormat="1" x14ac:dyDescent="0.3">
      <c r="A111" s="330"/>
      <c r="B111" s="330"/>
      <c r="C111" s="330"/>
      <c r="D111" s="330"/>
      <c r="E111" s="330"/>
      <c r="F111" s="33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</row>
    <row r="112" spans="1:33" customFormat="1" x14ac:dyDescent="0.3">
      <c r="A112" s="330"/>
      <c r="B112" s="330"/>
      <c r="C112" s="330"/>
      <c r="D112" s="330"/>
      <c r="E112" s="330"/>
      <c r="F112" s="33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</row>
    <row r="113" spans="1:33" customFormat="1" x14ac:dyDescent="0.3">
      <c r="A113" s="330"/>
      <c r="B113" s="330"/>
      <c r="C113" s="330"/>
      <c r="D113" s="330"/>
      <c r="E113" s="330"/>
      <c r="F113" s="330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</row>
    <row r="114" spans="1:33" customFormat="1" x14ac:dyDescent="0.3">
      <c r="A114" s="330"/>
      <c r="B114" s="330"/>
      <c r="C114" s="330"/>
      <c r="D114" s="330"/>
      <c r="E114" s="330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</row>
    <row r="115" spans="1:33" customFormat="1" x14ac:dyDescent="0.3">
      <c r="A115" s="330"/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</row>
    <row r="116" spans="1:33" customFormat="1" x14ac:dyDescent="0.3"/>
    <row r="117" spans="1:33" customFormat="1" x14ac:dyDescent="0.3"/>
    <row r="118" spans="1:33" customFormat="1" x14ac:dyDescent="0.3"/>
    <row r="119" spans="1:33" customFormat="1" x14ac:dyDescent="0.3"/>
    <row r="120" spans="1:33" customFormat="1" x14ac:dyDescent="0.3"/>
    <row r="121" spans="1:33" customFormat="1" x14ac:dyDescent="0.3"/>
    <row r="122" spans="1:33" customFormat="1" x14ac:dyDescent="0.3"/>
    <row r="123" spans="1:33" customFormat="1" x14ac:dyDescent="0.3"/>
    <row r="124" spans="1:33" customFormat="1" x14ac:dyDescent="0.3"/>
    <row r="125" spans="1:33" customFormat="1" x14ac:dyDescent="0.3"/>
    <row r="126" spans="1:33" customFormat="1" x14ac:dyDescent="0.3"/>
    <row r="127" spans="1:33" customFormat="1" x14ac:dyDescent="0.3"/>
    <row r="128" spans="1:33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</sheetData>
  <sheetProtection algorithmName="SHA-512" hashValue="bbJINHJvqsseJSSlQ3J0fdxCY0S6q507ZWYaXiLsU55bOiFTOCHpBsmx9FP5aUv+pQQaB199wrudJ+effWqY5g==" saltValue="ivPz/Ose05Ii1S+dtFI2iA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4"/>
  <dimension ref="A1:I46"/>
  <sheetViews>
    <sheetView workbookViewId="0">
      <selection activeCell="D40" sqref="D40"/>
    </sheetView>
  </sheetViews>
  <sheetFormatPr defaultColWidth="11" defaultRowHeight="13.5" x14ac:dyDescent="0.3"/>
  <cols>
    <col min="1" max="1" width="14.15234375" customWidth="1"/>
    <col min="2" max="2" width="2.69140625" customWidth="1"/>
    <col min="3" max="3" width="19.84375" customWidth="1"/>
    <col min="4" max="4" width="20.15234375" customWidth="1"/>
    <col min="5" max="5" width="19.84375" customWidth="1"/>
    <col min="6" max="6" width="20.15234375" customWidth="1"/>
    <col min="7" max="8" width="10" customWidth="1"/>
  </cols>
  <sheetData>
    <row r="1" spans="1:9" x14ac:dyDescent="0.3">
      <c r="A1" s="25" t="s">
        <v>138</v>
      </c>
      <c r="B1" s="26"/>
      <c r="C1" s="26"/>
      <c r="D1" s="26"/>
      <c r="E1" s="26"/>
      <c r="F1" s="26"/>
      <c r="G1" s="26"/>
      <c r="H1" s="26"/>
      <c r="I1" s="26"/>
    </row>
    <row r="2" spans="1:9" x14ac:dyDescent="0.3">
      <c r="A2" s="50"/>
      <c r="B2" s="50"/>
      <c r="C2" s="50"/>
      <c r="D2" s="50"/>
      <c r="E2" s="50"/>
      <c r="F2" s="50"/>
      <c r="G2" s="50"/>
      <c r="H2" s="50"/>
      <c r="I2" s="26"/>
    </row>
    <row r="3" spans="1:9" x14ac:dyDescent="0.3">
      <c r="A3" s="28" t="s">
        <v>149</v>
      </c>
      <c r="B3" s="26"/>
      <c r="C3" s="26"/>
      <c r="D3" s="26"/>
      <c r="E3" s="26"/>
      <c r="F3" s="26"/>
      <c r="G3" s="26"/>
      <c r="H3" s="26"/>
      <c r="I3" s="26"/>
    </row>
    <row r="4" spans="1:9" x14ac:dyDescent="0.3">
      <c r="A4" s="26"/>
      <c r="B4" s="26"/>
      <c r="C4" s="26"/>
      <c r="D4" s="26"/>
      <c r="E4" s="26"/>
      <c r="F4" s="26"/>
      <c r="G4" s="26"/>
      <c r="H4" s="26"/>
      <c r="I4" s="26"/>
    </row>
    <row r="5" spans="1:9" x14ac:dyDescent="0.3">
      <c r="A5" s="29" t="s">
        <v>78</v>
      </c>
      <c r="B5" s="26"/>
      <c r="C5" s="30" t="s">
        <v>90</v>
      </c>
      <c r="D5" s="26"/>
      <c r="E5" s="46">
        <v>1800</v>
      </c>
      <c r="F5" s="26"/>
      <c r="G5" s="26"/>
      <c r="H5" s="26"/>
      <c r="I5" s="26"/>
    </row>
    <row r="6" spans="1:9" x14ac:dyDescent="0.3">
      <c r="A6" s="29"/>
      <c r="B6" s="26"/>
      <c r="C6" s="30"/>
      <c r="D6" s="26"/>
      <c r="E6" s="26"/>
      <c r="F6" s="26"/>
      <c r="G6" s="26"/>
      <c r="H6" s="26"/>
      <c r="I6" s="26"/>
    </row>
    <row r="7" spans="1:9" x14ac:dyDescent="0.3">
      <c r="A7" s="26"/>
      <c r="B7" s="26"/>
      <c r="C7" s="26"/>
      <c r="D7" s="26"/>
      <c r="E7" s="26"/>
      <c r="F7" s="26"/>
      <c r="G7" s="26"/>
      <c r="H7" s="26"/>
      <c r="I7" s="26"/>
    </row>
    <row r="8" spans="1:9" x14ac:dyDescent="0.3">
      <c r="A8" s="31"/>
      <c r="B8" s="32"/>
      <c r="C8" s="33" t="s">
        <v>145</v>
      </c>
      <c r="D8" s="33" t="s">
        <v>146</v>
      </c>
      <c r="E8" s="33" t="s">
        <v>112</v>
      </c>
      <c r="F8" s="33" t="s">
        <v>147</v>
      </c>
      <c r="G8" s="34" t="s">
        <v>120</v>
      </c>
      <c r="H8" s="34" t="s">
        <v>121</v>
      </c>
      <c r="I8" s="26"/>
    </row>
    <row r="9" spans="1:9" x14ac:dyDescent="0.3">
      <c r="A9" s="26" t="s">
        <v>122</v>
      </c>
      <c r="B9" s="26"/>
      <c r="C9" s="35">
        <f>$E5*'Tariffs Jul''08'!E8/100</f>
        <v>323.334</v>
      </c>
      <c r="D9" s="35">
        <f>IF($E5&lt;'Tariffs Jul''08'!F7,('Bills Jul''08'!$E5*'Tariffs Jul''08'!F8/100),('Tariffs Jul''08'!F7*'Tariffs Jul''08'!F8/100))</f>
        <v>53.889000000000003</v>
      </c>
      <c r="E9" s="35">
        <f>IF($E5&lt;'Tariffs Jul''08'!G7,('Bills Jul''08'!$E5*'Tariffs Jul''08'!G8/100),('Tariffs Jul''08'!G7*'Tariffs Jul''08'!G8/100))</f>
        <v>244.47499999999999</v>
      </c>
      <c r="F9" s="35">
        <f>IF($E5&lt;'Tariffs Jul''08'!H7,('Bills Jul''08'!$E5*'Tariffs Jul''08'!H8/100),('Tariffs Jul''08'!H7*'Tariffs Jul''08'!H8/100))</f>
        <v>281.435</v>
      </c>
      <c r="G9" s="36"/>
      <c r="H9" s="36"/>
      <c r="I9" s="26"/>
    </row>
    <row r="10" spans="1:9" x14ac:dyDescent="0.3">
      <c r="A10" s="26" t="s">
        <v>86</v>
      </c>
      <c r="B10" s="26"/>
      <c r="C10" s="35">
        <v>0</v>
      </c>
      <c r="D10" s="35">
        <f>IF($E5&gt;'Tariffs Jul''08'!F7,('Bills Jul''08'!$E5-'Tariffs Jul''08'!F7)*'Tariffs Jul''08'!F9/100,0)</f>
        <v>255.75</v>
      </c>
      <c r="E10" s="35">
        <f>IF($E5&gt;'Tariffs Jul''08'!G7,('Bills Jul''08'!$E5-'Tariffs Jul''08'!G7)*'Tariffs Jul''08'!G9/100,0)</f>
        <v>10.422499999999999</v>
      </c>
      <c r="F10" s="35">
        <f>IF($E5&gt;'Tariffs Jul''08'!H7,('Bills Jul''08'!$E5-'Tariffs Jul''08'!H7)*'Tariffs Jul''08'!H9/100,0)</f>
        <v>8.6624999999999996</v>
      </c>
      <c r="G10" s="36"/>
      <c r="H10" s="36"/>
      <c r="I10" s="26"/>
    </row>
    <row r="11" spans="1:9" x14ac:dyDescent="0.3">
      <c r="A11" s="26" t="s">
        <v>124</v>
      </c>
      <c r="B11" s="26"/>
      <c r="C11" s="35">
        <f>'Tariffs Jul''08'!E10*91/100</f>
        <v>61.060999999999993</v>
      </c>
      <c r="D11" s="35">
        <f>'Tariffs Jul''08'!F10*91/100</f>
        <v>40.940899999999999</v>
      </c>
      <c r="E11" s="35">
        <f>'Tariffs Jul''08'!G10*91/100</f>
        <v>34.033999999999999</v>
      </c>
      <c r="F11" s="35">
        <f>'Tariffs Jul''08'!H10*91/100</f>
        <v>40.023483500000005</v>
      </c>
      <c r="G11" s="36">
        <f>AVERAGE(AVERAGE(C11:F11))</f>
        <v>44.014845874999999</v>
      </c>
      <c r="H11" s="36"/>
      <c r="I11" s="26"/>
    </row>
    <row r="12" spans="1:9" x14ac:dyDescent="0.3">
      <c r="A12" s="26" t="s">
        <v>87</v>
      </c>
      <c r="B12" s="26"/>
      <c r="C12" s="35">
        <f>SUM(C9:C11)</f>
        <v>384.39499999999998</v>
      </c>
      <c r="D12" s="35">
        <f>SUM(D9:D11)</f>
        <v>350.57990000000001</v>
      </c>
      <c r="E12" s="35">
        <f>SUM(E9:E11)</f>
        <v>288.93149999999997</v>
      </c>
      <c r="F12" s="35">
        <f>SUM(F9:F11)</f>
        <v>330.12098350000002</v>
      </c>
      <c r="G12" s="36">
        <f>AVERAGE(AVERAGE(C12:F12))</f>
        <v>338.50684587499995</v>
      </c>
      <c r="H12" s="36"/>
      <c r="I12" s="26"/>
    </row>
    <row r="13" spans="1:9" x14ac:dyDescent="0.3">
      <c r="A13" s="37" t="s">
        <v>121</v>
      </c>
      <c r="B13" s="38"/>
      <c r="C13" s="39">
        <f>C12*4</f>
        <v>1537.58</v>
      </c>
      <c r="D13" s="39">
        <f>D12*4</f>
        <v>1402.3196</v>
      </c>
      <c r="E13" s="39">
        <f>E12*4</f>
        <v>1155.7259999999999</v>
      </c>
      <c r="F13" s="39">
        <f>F12*4</f>
        <v>1320.4839340000001</v>
      </c>
      <c r="G13" s="40"/>
      <c r="H13" s="40">
        <f>AVERAGE(C13:F13)</f>
        <v>1354.0273834999998</v>
      </c>
      <c r="I13" s="26"/>
    </row>
    <row r="14" spans="1:9" x14ac:dyDescent="0.3">
      <c r="A14" s="26"/>
      <c r="B14" s="26"/>
      <c r="C14" s="26"/>
      <c r="D14" s="26"/>
      <c r="E14" s="26"/>
      <c r="F14" s="26"/>
      <c r="G14" s="41"/>
      <c r="H14" s="41"/>
      <c r="I14" s="26"/>
    </row>
    <row r="15" spans="1:9" x14ac:dyDescent="0.3">
      <c r="A15" s="26"/>
      <c r="B15" s="26"/>
      <c r="C15" s="26"/>
      <c r="D15" s="26"/>
      <c r="E15" s="26"/>
      <c r="F15" s="26"/>
      <c r="G15" s="26"/>
      <c r="H15" s="26"/>
      <c r="I15" s="26"/>
    </row>
    <row r="16" spans="1:9" x14ac:dyDescent="0.3">
      <c r="A16" s="26"/>
      <c r="B16" s="26"/>
      <c r="C16" s="26"/>
      <c r="D16" s="26"/>
      <c r="E16" s="26"/>
      <c r="F16" s="26"/>
      <c r="G16" s="26"/>
      <c r="H16" s="26"/>
      <c r="I16" s="26"/>
    </row>
    <row r="17" spans="1:9" x14ac:dyDescent="0.3">
      <c r="A17" s="30" t="s">
        <v>127</v>
      </c>
      <c r="B17" s="26"/>
      <c r="C17" s="30" t="s">
        <v>90</v>
      </c>
      <c r="D17" s="30"/>
      <c r="E17" s="46">
        <v>2000</v>
      </c>
      <c r="F17" s="26"/>
      <c r="G17" s="26"/>
      <c r="H17" s="26"/>
      <c r="I17" s="26"/>
    </row>
    <row r="18" spans="1:9" x14ac:dyDescent="0.3">
      <c r="A18" s="42" t="s">
        <v>128</v>
      </c>
      <c r="B18" s="26"/>
      <c r="C18" s="30" t="s">
        <v>91</v>
      </c>
      <c r="D18" s="30"/>
      <c r="E18" s="47">
        <v>0.7</v>
      </c>
      <c r="F18" s="26"/>
      <c r="G18" s="26"/>
      <c r="H18" s="26"/>
      <c r="I18" s="26"/>
    </row>
    <row r="19" spans="1:9" x14ac:dyDescent="0.3">
      <c r="A19" s="26"/>
      <c r="B19" s="26"/>
      <c r="C19" s="30" t="s">
        <v>92</v>
      </c>
      <c r="D19" s="30"/>
      <c r="E19" s="47">
        <v>0.3</v>
      </c>
      <c r="F19" s="26"/>
      <c r="G19" s="26"/>
      <c r="H19" s="26"/>
      <c r="I19" s="26"/>
    </row>
    <row r="20" spans="1:9" x14ac:dyDescent="0.3">
      <c r="A20" s="26"/>
      <c r="B20" s="26"/>
      <c r="C20" s="30"/>
      <c r="D20" s="30"/>
      <c r="E20" s="30"/>
      <c r="F20" s="26"/>
      <c r="G20" s="26"/>
      <c r="H20" s="26"/>
      <c r="I20" s="26"/>
    </row>
    <row r="21" spans="1:9" x14ac:dyDescent="0.3">
      <c r="A21" s="26"/>
      <c r="B21" s="26"/>
      <c r="C21" s="26"/>
      <c r="D21" s="26"/>
      <c r="E21" s="26"/>
      <c r="F21" s="26"/>
      <c r="G21" s="26"/>
      <c r="H21" s="26"/>
      <c r="I21" s="26"/>
    </row>
    <row r="22" spans="1:9" x14ac:dyDescent="0.3">
      <c r="A22" s="31"/>
      <c r="B22" s="26"/>
      <c r="C22" s="33" t="s">
        <v>145</v>
      </c>
      <c r="D22" s="33" t="s">
        <v>146</v>
      </c>
      <c r="E22" s="33" t="s">
        <v>112</v>
      </c>
      <c r="F22" s="33" t="s">
        <v>147</v>
      </c>
      <c r="G22" s="34" t="s">
        <v>120</v>
      </c>
      <c r="H22" s="34" t="s">
        <v>121</v>
      </c>
      <c r="I22" s="26"/>
    </row>
    <row r="23" spans="1:9" x14ac:dyDescent="0.3">
      <c r="A23" s="26" t="s">
        <v>122</v>
      </c>
      <c r="B23" s="26"/>
      <c r="C23" s="35">
        <f>(E17*E18)*'Tariffs Jul''08'!E15/100</f>
        <v>251.482</v>
      </c>
      <c r="D23" s="35">
        <f>IF($E17*$E18&gt;'Tariffs Jul''08'!F14,('Tariffs Jul''08'!F14*'Tariffs Jul''08'!F15/100),('Bills Jul''08'!$E17*'Bills Jul''08'!$E18)*'Tariffs Jul''08'!F15/100)</f>
        <v>53.889000000000003</v>
      </c>
      <c r="E23" s="35">
        <f>IF($E17*$E18&gt;'Tariffs Jul''08'!G14,('Tariffs Jul''08'!G14*'Tariffs Jul''08'!G15/100),('Bills Jul''08'!$E17*'Bills Jul''08'!$E18)*'Tariffs Jul''08'!G15/100)</f>
        <v>195.58</v>
      </c>
      <c r="F23" s="35">
        <f>IF($E17*$E18&gt;'Tariffs Jul''08'!H14,('Tariffs Jul''08'!H14*'Tariffs Jul''08'!H15/100),('Bills Jul''08'!$E17*'Bills Jul''08'!$E18)*'Tariffs Jul''08'!H15/100)</f>
        <v>225.148</v>
      </c>
      <c r="G23" s="36"/>
      <c r="H23" s="36"/>
      <c r="I23" s="26"/>
    </row>
    <row r="24" spans="1:9" x14ac:dyDescent="0.3">
      <c r="A24" s="26" t="s">
        <v>86</v>
      </c>
      <c r="B24" s="26"/>
      <c r="C24" s="35">
        <v>0</v>
      </c>
      <c r="D24" s="35">
        <f>IF($E17*$E18&lt;'Tariffs Jul''08'!F14,0,('Bills Jul''08'!$E17*'Bills Jul''08'!$E18-'Tariffs Jul''08'!F14)*'Tariffs Jul''08'!F16/100)</f>
        <v>187.55</v>
      </c>
      <c r="E24" s="35">
        <f>IF($E17*$E18&lt;'Tariffs Jul''08'!G14,0,('Bills Jul''08'!$E17*'Bills Jul''08'!$E18-'Tariffs Jul''08'!G14)*'Tariffs Jul''08'!G16/100)</f>
        <v>0</v>
      </c>
      <c r="F24" s="35">
        <f>IF($E17*$E18&lt;'Tariffs Jul''08'!H14,0,('Bills Jul''08'!$E17*'Bills Jul''08'!$E18-'Tariffs Jul''08'!H14)*'Tariffs Jul''08'!H16/100)</f>
        <v>0</v>
      </c>
      <c r="G24" s="36"/>
      <c r="H24" s="36"/>
      <c r="I24" s="26"/>
    </row>
    <row r="25" spans="1:9" x14ac:dyDescent="0.3">
      <c r="A25" s="26" t="s">
        <v>131</v>
      </c>
      <c r="B25" s="26"/>
      <c r="C25" s="35">
        <f>(E17*E19)*'Tariffs Jul''08'!E17/100</f>
        <v>41.052</v>
      </c>
      <c r="D25" s="35">
        <f>($E17*$E19)*'Tariffs Jul''08'!F17/100</f>
        <v>41.052</v>
      </c>
      <c r="E25" s="35">
        <f>($E17*$E19)*'Tariffs Jul''08'!G17/100</f>
        <v>34.979999999999997</v>
      </c>
      <c r="F25" s="35">
        <f>($E17*$E19)*'Tariffs Jul''08'!H17/100</f>
        <v>36.564</v>
      </c>
      <c r="G25" s="36"/>
      <c r="H25" s="36"/>
      <c r="I25" s="26"/>
    </row>
    <row r="26" spans="1:9" x14ac:dyDescent="0.3">
      <c r="A26" s="26" t="s">
        <v>124</v>
      </c>
      <c r="B26" s="26"/>
      <c r="C26" s="35">
        <f>'Tariffs Jul''08'!E18*91/100</f>
        <v>66.236170000000001</v>
      </c>
      <c r="D26" s="35">
        <f>'Tariffs Jul''08'!F18*91/100</f>
        <v>44.324280000000002</v>
      </c>
      <c r="E26" s="35">
        <f>'Tariffs Jul''08'!G18*91/100</f>
        <v>34.033999999999999</v>
      </c>
      <c r="F26" s="35">
        <f>'Tariffs Jul''08'!H18*91/100</f>
        <v>42.0254835</v>
      </c>
      <c r="G26" s="36">
        <f>AVERAGE(AVERAGE(C26:F26))</f>
        <v>46.654983375</v>
      </c>
      <c r="H26" s="36"/>
      <c r="I26" s="26"/>
    </row>
    <row r="27" spans="1:9" x14ac:dyDescent="0.3">
      <c r="A27" s="26" t="s">
        <v>87</v>
      </c>
      <c r="B27" s="26"/>
      <c r="C27" s="35">
        <f>SUM(C23:C26)</f>
        <v>358.77017000000001</v>
      </c>
      <c r="D27" s="35">
        <f>SUM(D23:D26)</f>
        <v>326.81528000000003</v>
      </c>
      <c r="E27" s="35">
        <f>SUM(E23:E26)</f>
        <v>264.59399999999999</v>
      </c>
      <c r="F27" s="35">
        <f>SUM(F23:F26)</f>
        <v>303.7374835</v>
      </c>
      <c r="G27" s="36">
        <f>AVERAGE(AVERAGE(C27:F27))</f>
        <v>313.47923337500004</v>
      </c>
      <c r="H27" s="36"/>
      <c r="I27" s="26"/>
    </row>
    <row r="28" spans="1:9" x14ac:dyDescent="0.3">
      <c r="A28" s="37" t="s">
        <v>121</v>
      </c>
      <c r="B28" s="38"/>
      <c r="C28" s="39">
        <f>C27*4</f>
        <v>1435.08068</v>
      </c>
      <c r="D28" s="39">
        <f>D27*4</f>
        <v>1307.2611200000001</v>
      </c>
      <c r="E28" s="39">
        <f>E27*4</f>
        <v>1058.376</v>
      </c>
      <c r="F28" s="39">
        <f>F27*4</f>
        <v>1214.949934</v>
      </c>
      <c r="G28" s="40"/>
      <c r="H28" s="40">
        <f>AVERAGE(C28:F28)</f>
        <v>1253.9169335000001</v>
      </c>
      <c r="I28" s="26"/>
    </row>
    <row r="29" spans="1:9" x14ac:dyDescent="0.3">
      <c r="A29" s="26"/>
      <c r="B29" s="26"/>
      <c r="C29" s="26"/>
      <c r="D29" s="26"/>
      <c r="E29" s="26"/>
      <c r="F29" s="26"/>
      <c r="G29" s="41"/>
      <c r="H29" s="41"/>
      <c r="I29" s="26"/>
    </row>
    <row r="30" spans="1:9" x14ac:dyDescent="0.3">
      <c r="A30" s="26"/>
      <c r="B30" s="26"/>
      <c r="C30" s="26"/>
      <c r="D30" s="26"/>
      <c r="E30" s="26"/>
      <c r="F30" s="26"/>
      <c r="G30" s="26"/>
      <c r="H30" s="26"/>
      <c r="I30" s="26"/>
    </row>
    <row r="31" spans="1:9" x14ac:dyDescent="0.3">
      <c r="A31" s="26"/>
      <c r="B31" s="26"/>
      <c r="C31" s="26"/>
      <c r="D31" s="26"/>
      <c r="E31" s="26"/>
      <c r="F31" s="26"/>
      <c r="G31" s="26"/>
      <c r="H31" s="26"/>
      <c r="I31" s="26"/>
    </row>
    <row r="32" spans="1:9" x14ac:dyDescent="0.3">
      <c r="A32" s="42" t="s">
        <v>94</v>
      </c>
      <c r="B32" s="26"/>
      <c r="C32" s="30" t="s">
        <v>90</v>
      </c>
      <c r="D32" s="30"/>
      <c r="E32" s="46">
        <v>1800</v>
      </c>
      <c r="F32" s="26"/>
      <c r="G32" s="26"/>
      <c r="H32" s="26"/>
      <c r="I32" s="26"/>
    </row>
    <row r="33" spans="1:9" x14ac:dyDescent="0.3">
      <c r="A33" s="26"/>
      <c r="B33" s="26"/>
      <c r="C33" s="30" t="s">
        <v>91</v>
      </c>
      <c r="D33" s="30"/>
      <c r="E33" s="47">
        <v>0.2</v>
      </c>
      <c r="F33" s="26"/>
      <c r="G33" s="26"/>
      <c r="H33" s="26"/>
      <c r="I33" s="26"/>
    </row>
    <row r="34" spans="1:9" x14ac:dyDescent="0.3">
      <c r="A34" s="26"/>
      <c r="B34" s="26"/>
      <c r="C34" s="30" t="s">
        <v>95</v>
      </c>
      <c r="D34" s="30"/>
      <c r="E34" s="47">
        <v>0.5</v>
      </c>
      <c r="F34" s="26"/>
      <c r="G34" s="26"/>
      <c r="H34" s="26"/>
      <c r="I34" s="26"/>
    </row>
    <row r="35" spans="1:9" x14ac:dyDescent="0.3">
      <c r="A35" s="26"/>
      <c r="B35" s="26"/>
      <c r="C35" s="30" t="s">
        <v>92</v>
      </c>
      <c r="D35" s="30"/>
      <c r="E35" s="47">
        <v>0.3</v>
      </c>
      <c r="F35" s="26"/>
      <c r="G35" s="26"/>
      <c r="H35" s="26"/>
      <c r="I35" s="26"/>
    </row>
    <row r="36" spans="1:9" x14ac:dyDescent="0.3">
      <c r="A36" s="26"/>
      <c r="B36" s="26"/>
      <c r="C36" s="30"/>
      <c r="D36" s="30"/>
      <c r="E36" s="30"/>
      <c r="F36" s="26"/>
      <c r="G36" s="26"/>
      <c r="H36" s="26"/>
      <c r="I36" s="26"/>
    </row>
    <row r="37" spans="1:9" x14ac:dyDescent="0.3">
      <c r="A37" s="26"/>
      <c r="B37" s="30"/>
      <c r="C37" s="30"/>
      <c r="D37" s="30"/>
      <c r="E37" s="26"/>
      <c r="F37" s="26"/>
      <c r="G37" s="26"/>
      <c r="H37" s="26"/>
      <c r="I37" s="26"/>
    </row>
    <row r="38" spans="1:9" x14ac:dyDescent="0.3">
      <c r="A38" s="31"/>
      <c r="B38" s="26"/>
      <c r="C38" s="33" t="s">
        <v>145</v>
      </c>
      <c r="D38" s="33" t="s">
        <v>146</v>
      </c>
      <c r="E38" s="33" t="s">
        <v>112</v>
      </c>
      <c r="F38" s="33" t="s">
        <v>147</v>
      </c>
      <c r="G38" s="34" t="s">
        <v>120</v>
      </c>
      <c r="H38" s="34" t="s">
        <v>121</v>
      </c>
      <c r="I38" s="26"/>
    </row>
    <row r="39" spans="1:9" x14ac:dyDescent="0.3">
      <c r="A39" s="26" t="s">
        <v>132</v>
      </c>
      <c r="B39" s="26"/>
      <c r="C39" s="43">
        <f>($E32*$E33)*'Tariffs Jul''08'!E23/100</f>
        <v>69.616799999999998</v>
      </c>
      <c r="D39" s="44" t="s">
        <v>129</v>
      </c>
      <c r="E39" s="43">
        <f>($E32*$E33)*'Tariffs Jul''08'!G23/100</f>
        <v>108.9</v>
      </c>
      <c r="F39" s="43">
        <f>($E32*$E33)*'Tariffs Jul''08'!H23/100</f>
        <v>79.397999999999996</v>
      </c>
      <c r="G39" s="36"/>
      <c r="H39" s="36"/>
      <c r="I39" s="26"/>
    </row>
    <row r="40" spans="1:9" x14ac:dyDescent="0.3">
      <c r="A40" s="26" t="s">
        <v>133</v>
      </c>
      <c r="B40" s="26"/>
      <c r="C40" s="43">
        <f>($E32*$E34)*'Tariffs Jul''08'!E24/100</f>
        <v>174.042</v>
      </c>
      <c r="D40" s="44" t="s">
        <v>129</v>
      </c>
      <c r="E40" s="43">
        <f>($E32*$E34)*'Tariffs Jul''08'!G24/100</f>
        <v>98.01</v>
      </c>
      <c r="F40" s="43">
        <f>($E32*$E34)*'Tariffs Jul''08'!H24/100</f>
        <v>160.578</v>
      </c>
      <c r="G40" s="36"/>
      <c r="H40" s="36"/>
      <c r="I40" s="26"/>
    </row>
    <row r="41" spans="1:9" x14ac:dyDescent="0.3">
      <c r="A41" s="26" t="s">
        <v>134</v>
      </c>
      <c r="B41" s="26"/>
      <c r="C41" s="43">
        <f>($E32*$E35)*'Tariffs Jul''08'!E25/100</f>
        <v>52.271999999999998</v>
      </c>
      <c r="D41" s="44" t="s">
        <v>129</v>
      </c>
      <c r="E41" s="43">
        <f>($E32*$E35)*'Tariffs Jul''08'!G25/100</f>
        <v>32.67</v>
      </c>
      <c r="F41" s="43">
        <f>($E32*$E35)*'Tariffs Jul''08'!H25/100</f>
        <v>46.866599999999998</v>
      </c>
      <c r="G41" s="36"/>
      <c r="H41" s="36"/>
      <c r="I41" s="26"/>
    </row>
    <row r="42" spans="1:9" x14ac:dyDescent="0.3">
      <c r="A42" s="26" t="s">
        <v>124</v>
      </c>
      <c r="B42" s="26"/>
      <c r="C42" s="43">
        <f>'Tariffs Jul''08'!E26*91/100</f>
        <v>78.858779999999996</v>
      </c>
      <c r="D42" s="44" t="s">
        <v>129</v>
      </c>
      <c r="E42" s="43">
        <f>'Tariffs Jul''08'!G26*91/100</f>
        <v>34.033999999999999</v>
      </c>
      <c r="F42" s="43">
        <f>'Tariffs Jul''08'!H26*91/100</f>
        <v>50.017067100000006</v>
      </c>
      <c r="G42" s="36">
        <f>AVERAGE(AVERAGE(C42:F42))</f>
        <v>54.303282366666657</v>
      </c>
      <c r="H42" s="36"/>
      <c r="I42" s="26"/>
    </row>
    <row r="43" spans="1:9" x14ac:dyDescent="0.3">
      <c r="A43" s="26" t="s">
        <v>87</v>
      </c>
      <c r="B43" s="26"/>
      <c r="C43" s="43">
        <f>SUM(C39:C42)</f>
        <v>374.78958</v>
      </c>
      <c r="D43" s="44" t="s">
        <v>129</v>
      </c>
      <c r="E43" s="43">
        <f>SUM(E39:E42)</f>
        <v>273.61400000000003</v>
      </c>
      <c r="F43" s="43">
        <f>SUM(F39:F42)</f>
        <v>336.85966710000002</v>
      </c>
      <c r="G43" s="36">
        <f>AVERAGE(AVERAGE(C43:F43))</f>
        <v>328.42108236666667</v>
      </c>
      <c r="H43" s="36"/>
      <c r="I43" s="26"/>
    </row>
    <row r="44" spans="1:9" x14ac:dyDescent="0.3">
      <c r="A44" s="37" t="s">
        <v>121</v>
      </c>
      <c r="B44" s="38"/>
      <c r="C44" s="39">
        <f>C43*4</f>
        <v>1499.15832</v>
      </c>
      <c r="D44" s="45" t="s">
        <v>129</v>
      </c>
      <c r="E44" s="39">
        <f>E43*4</f>
        <v>1094.4560000000001</v>
      </c>
      <c r="F44" s="39">
        <f>F43*4</f>
        <v>1347.4386684000001</v>
      </c>
      <c r="G44" s="40"/>
      <c r="H44" s="40">
        <f>AVERAGE(C44:F44)</f>
        <v>1313.6843294666667</v>
      </c>
      <c r="I44" s="26"/>
    </row>
    <row r="45" spans="1:9" x14ac:dyDescent="0.3">
      <c r="A45" s="26"/>
      <c r="B45" s="26"/>
      <c r="C45" s="26"/>
      <c r="D45" s="26"/>
      <c r="E45" s="26"/>
      <c r="F45" s="26"/>
      <c r="G45" s="26"/>
      <c r="H45" s="26"/>
      <c r="I45" s="26"/>
    </row>
    <row r="46" spans="1:9" x14ac:dyDescent="0.3">
      <c r="A46" s="26"/>
      <c r="B46" s="26"/>
      <c r="C46" s="26"/>
      <c r="D46" s="26"/>
      <c r="E46" s="26"/>
      <c r="F46" s="26"/>
      <c r="G46" s="26"/>
      <c r="H46" s="26"/>
      <c r="I46" s="26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55A58-6322-6F45-AB82-4F6BCEF377A0}">
  <sheetPr codeName="Sheet58"/>
  <dimension ref="A1:AY55"/>
  <sheetViews>
    <sheetView zoomScale="150" zoomScaleNormal="150" workbookViewId="0">
      <selection activeCell="A20" sqref="A20:XFD20"/>
    </sheetView>
  </sheetViews>
  <sheetFormatPr defaultColWidth="11" defaultRowHeight="13.5" x14ac:dyDescent="0.3"/>
  <cols>
    <col min="3" max="3" width="7.15234375" customWidth="1"/>
    <col min="10" max="10" width="3.84375" customWidth="1"/>
    <col min="11" max="11" width="18" bestFit="1" customWidth="1"/>
    <col min="12" max="12" width="18.15234375" customWidth="1"/>
    <col min="13" max="13" width="7.69140625" bestFit="1" customWidth="1"/>
    <col min="23" max="23" width="12.69140625" bestFit="1" customWidth="1"/>
    <col min="41" max="41" width="13.69140625" customWidth="1"/>
  </cols>
  <sheetData>
    <row r="1" spans="1:45" ht="108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  <c r="AS1" s="277" t="s">
        <v>474</v>
      </c>
    </row>
    <row r="2" spans="1:45" ht="13" customHeight="1" x14ac:dyDescent="0.35">
      <c r="A2" s="241">
        <v>10426</v>
      </c>
      <c r="B2" s="306">
        <v>43306</v>
      </c>
      <c r="C2" s="243" t="s">
        <v>322</v>
      </c>
      <c r="D2" s="244" t="s">
        <v>190</v>
      </c>
      <c r="E2" s="241"/>
      <c r="F2" s="241" t="s">
        <v>323</v>
      </c>
      <c r="G2" s="247">
        <v>43284</v>
      </c>
      <c r="H2" s="245" t="s">
        <v>324</v>
      </c>
      <c r="I2" s="245" t="s">
        <v>325</v>
      </c>
      <c r="J2" s="245"/>
      <c r="K2" s="241" t="s">
        <v>326</v>
      </c>
      <c r="L2" s="224" t="s">
        <v>387</v>
      </c>
      <c r="M2" s="246">
        <v>160.07272727272726</v>
      </c>
      <c r="N2" s="246">
        <v>28.636363636363633</v>
      </c>
      <c r="O2" s="241"/>
      <c r="P2" s="241"/>
      <c r="Q2" s="269"/>
      <c r="R2" s="241"/>
      <c r="S2" s="270"/>
      <c r="T2" s="241"/>
      <c r="U2" s="246"/>
      <c r="V2" s="246"/>
      <c r="W2" s="271"/>
      <c r="X2" s="270"/>
      <c r="Y2" s="270"/>
      <c r="Z2" s="270"/>
      <c r="AA2" s="270"/>
      <c r="AB2" s="270"/>
      <c r="AC2" s="270"/>
      <c r="AD2" s="271"/>
      <c r="AE2" s="271"/>
      <c r="AF2" s="270"/>
      <c r="AG2" s="270"/>
      <c r="AH2" s="271"/>
      <c r="AI2" s="270"/>
      <c r="AJ2" s="270"/>
      <c r="AK2" s="271"/>
      <c r="AL2" s="246"/>
      <c r="AM2" s="246"/>
      <c r="AN2" s="246"/>
      <c r="AO2" s="241" t="s">
        <v>327</v>
      </c>
      <c r="AP2" s="272" t="s">
        <v>309</v>
      </c>
      <c r="AQ2" s="246"/>
      <c r="AR2" s="246"/>
      <c r="AS2" s="246" t="s">
        <v>741</v>
      </c>
    </row>
    <row r="3" spans="1:45" ht="13" customHeight="1" x14ac:dyDescent="0.35">
      <c r="A3" s="241">
        <v>10505</v>
      </c>
      <c r="B3" s="306">
        <v>43306</v>
      </c>
      <c r="C3" s="243" t="s">
        <v>322</v>
      </c>
      <c r="D3" s="244" t="s">
        <v>190</v>
      </c>
      <c r="E3" s="241"/>
      <c r="F3" s="241" t="s">
        <v>323</v>
      </c>
      <c r="G3" s="247">
        <v>43281</v>
      </c>
      <c r="H3" s="245" t="s">
        <v>324</v>
      </c>
      <c r="I3" s="245" t="s">
        <v>325</v>
      </c>
      <c r="J3" s="245"/>
      <c r="K3" s="241" t="s">
        <v>328</v>
      </c>
      <c r="L3" s="224" t="s">
        <v>387</v>
      </c>
      <c r="M3" s="246">
        <v>149.36363636363637</v>
      </c>
      <c r="N3" s="246">
        <v>29.45454545454545</v>
      </c>
      <c r="O3" s="241"/>
      <c r="P3" s="241"/>
      <c r="Q3" s="269"/>
      <c r="R3" s="241"/>
      <c r="S3" s="270"/>
      <c r="T3" s="241"/>
      <c r="U3" s="246"/>
      <c r="V3" s="246"/>
      <c r="W3" s="271"/>
      <c r="X3" s="270"/>
      <c r="Y3" s="270"/>
      <c r="Z3" s="270"/>
      <c r="AA3" s="270"/>
      <c r="AB3" s="270"/>
      <c r="AC3" s="270"/>
      <c r="AD3" s="271"/>
      <c r="AE3" s="271"/>
      <c r="AF3" s="270"/>
      <c r="AG3" s="270"/>
      <c r="AH3" s="271"/>
      <c r="AI3" s="270"/>
      <c r="AJ3" s="270"/>
      <c r="AK3" s="271"/>
      <c r="AL3" s="246"/>
      <c r="AM3" s="246"/>
      <c r="AN3" s="246"/>
      <c r="AO3" s="241" t="s">
        <v>327</v>
      </c>
      <c r="AP3" s="272" t="s">
        <v>309</v>
      </c>
      <c r="AQ3" s="246"/>
      <c r="AR3" s="246"/>
      <c r="AS3" s="246" t="s">
        <v>742</v>
      </c>
    </row>
    <row r="4" spans="1:45" ht="13" customHeight="1" x14ac:dyDescent="0.3">
      <c r="A4" s="241">
        <v>4658</v>
      </c>
      <c r="B4" s="306">
        <v>43306</v>
      </c>
      <c r="C4" s="243" t="s">
        <v>322</v>
      </c>
      <c r="D4" s="244" t="s">
        <v>190</v>
      </c>
      <c r="E4" s="241"/>
      <c r="F4" s="241" t="s">
        <v>323</v>
      </c>
      <c r="G4" s="248">
        <v>43281</v>
      </c>
      <c r="H4" s="245" t="s">
        <v>324</v>
      </c>
      <c r="I4" s="245" t="s">
        <v>325</v>
      </c>
      <c r="J4" s="245"/>
      <c r="K4" s="241" t="s">
        <v>331</v>
      </c>
      <c r="L4" s="224" t="s">
        <v>387</v>
      </c>
      <c r="M4" s="246">
        <v>119.99999999999999</v>
      </c>
      <c r="N4" s="246">
        <v>31.809090909090909</v>
      </c>
      <c r="O4" s="241"/>
      <c r="P4" s="241"/>
      <c r="Q4" s="271"/>
      <c r="R4" s="241"/>
      <c r="S4" s="270"/>
      <c r="T4" s="241"/>
      <c r="U4" s="246"/>
      <c r="V4" s="246"/>
      <c r="W4" s="271"/>
      <c r="X4" s="270"/>
      <c r="Y4" s="270"/>
      <c r="Z4" s="270"/>
      <c r="AA4" s="270"/>
      <c r="AB4" s="270"/>
      <c r="AC4" s="270"/>
      <c r="AD4" s="271"/>
      <c r="AE4" s="271"/>
      <c r="AF4" s="270"/>
      <c r="AG4" s="270"/>
      <c r="AH4" s="271"/>
      <c r="AI4" s="270"/>
      <c r="AJ4" s="270"/>
      <c r="AK4" s="271"/>
      <c r="AL4" s="246"/>
      <c r="AM4" s="246"/>
      <c r="AN4" s="246"/>
      <c r="AO4" s="241" t="s">
        <v>327</v>
      </c>
      <c r="AP4" s="272" t="s">
        <v>309</v>
      </c>
      <c r="AQ4" s="246"/>
      <c r="AR4" s="246"/>
      <c r="AS4" s="246" t="s">
        <v>743</v>
      </c>
    </row>
    <row r="5" spans="1:45" x14ac:dyDescent="0.3">
      <c r="A5" s="241"/>
      <c r="B5" s="306">
        <v>43306</v>
      </c>
      <c r="C5" s="243" t="s">
        <v>322</v>
      </c>
      <c r="D5" s="244" t="s">
        <v>190</v>
      </c>
      <c r="E5" s="241"/>
      <c r="F5" s="241" t="s">
        <v>323</v>
      </c>
      <c r="G5" s="247">
        <v>43281</v>
      </c>
      <c r="H5" s="245" t="s">
        <v>310</v>
      </c>
      <c r="I5" s="245" t="s">
        <v>309</v>
      </c>
      <c r="J5" s="245"/>
      <c r="K5" s="244" t="s">
        <v>704</v>
      </c>
      <c r="L5" s="224" t="s">
        <v>387</v>
      </c>
      <c r="M5" s="246">
        <v>135</v>
      </c>
      <c r="N5" s="246">
        <v>24.499999999999996</v>
      </c>
      <c r="O5" s="336" t="s">
        <v>351</v>
      </c>
      <c r="P5" s="335">
        <v>300</v>
      </c>
      <c r="Q5" s="246">
        <v>32.781818181818181</v>
      </c>
      <c r="R5" s="335">
        <v>300</v>
      </c>
      <c r="S5" s="246">
        <v>32.781818181818181</v>
      </c>
      <c r="T5" s="241"/>
      <c r="U5" s="246"/>
      <c r="V5" s="246"/>
      <c r="W5" s="271"/>
      <c r="X5" s="270"/>
      <c r="Y5" s="270"/>
      <c r="Z5" s="270"/>
      <c r="AA5" s="270"/>
      <c r="AB5" s="270"/>
      <c r="AC5" s="270"/>
      <c r="AD5" s="271"/>
      <c r="AE5" s="271"/>
      <c r="AF5" s="270"/>
      <c r="AG5" s="270"/>
      <c r="AH5" s="271"/>
      <c r="AI5" s="270"/>
      <c r="AJ5" s="270"/>
      <c r="AK5" s="271"/>
      <c r="AL5" s="246"/>
      <c r="AM5" s="246"/>
      <c r="AN5" s="246"/>
      <c r="AO5" s="241" t="s">
        <v>327</v>
      </c>
      <c r="AP5" s="272" t="s">
        <v>309</v>
      </c>
      <c r="AQ5" s="246"/>
      <c r="AR5" s="246"/>
      <c r="AS5" s="241" t="s">
        <v>761</v>
      </c>
    </row>
    <row r="6" spans="1:45" ht="13" customHeight="1" x14ac:dyDescent="0.3">
      <c r="A6" s="241">
        <v>1489</v>
      </c>
      <c r="B6" s="306">
        <v>43306</v>
      </c>
      <c r="C6" s="243" t="s">
        <v>322</v>
      </c>
      <c r="D6" s="244" t="s">
        <v>190</v>
      </c>
      <c r="E6" s="241"/>
      <c r="F6" s="241" t="s">
        <v>323</v>
      </c>
      <c r="G6" s="248">
        <v>43281</v>
      </c>
      <c r="H6" s="245" t="s">
        <v>324</v>
      </c>
      <c r="I6" s="245" t="s">
        <v>325</v>
      </c>
      <c r="J6" s="245"/>
      <c r="K6" s="241" t="s">
        <v>397</v>
      </c>
      <c r="L6" s="224" t="s">
        <v>387</v>
      </c>
      <c r="M6" s="246">
        <v>190.56363636363636</v>
      </c>
      <c r="N6" s="246">
        <v>26.081818181818182</v>
      </c>
      <c r="O6" s="241"/>
      <c r="P6" s="241"/>
      <c r="Q6" s="271"/>
      <c r="R6" s="241"/>
      <c r="S6" s="270"/>
      <c r="T6" s="241"/>
      <c r="U6" s="246"/>
      <c r="V6" s="246"/>
      <c r="W6" s="271"/>
      <c r="X6" s="270"/>
      <c r="Y6" s="270"/>
      <c r="Z6" s="270"/>
      <c r="AA6" s="270"/>
      <c r="AB6" s="270"/>
      <c r="AC6" s="270"/>
      <c r="AD6" s="271"/>
      <c r="AE6" s="271"/>
      <c r="AF6" s="270"/>
      <c r="AG6" s="270"/>
      <c r="AH6" s="271"/>
      <c r="AI6" s="270"/>
      <c r="AJ6" s="270"/>
      <c r="AK6" s="271"/>
      <c r="AL6" s="246"/>
      <c r="AM6" s="246"/>
      <c r="AN6" s="246"/>
      <c r="AO6" s="241" t="s">
        <v>327</v>
      </c>
      <c r="AP6" s="272" t="s">
        <v>309</v>
      </c>
      <c r="AQ6" s="246"/>
      <c r="AR6" s="246"/>
      <c r="AS6" s="246" t="s">
        <v>744</v>
      </c>
    </row>
    <row r="7" spans="1:45" ht="13" customHeight="1" x14ac:dyDescent="0.3">
      <c r="A7" s="241">
        <v>10274</v>
      </c>
      <c r="B7" s="306">
        <v>43306</v>
      </c>
      <c r="C7" s="243" t="s">
        <v>322</v>
      </c>
      <c r="D7" s="244" t="s">
        <v>190</v>
      </c>
      <c r="E7" s="241"/>
      <c r="F7" s="241" t="s">
        <v>323</v>
      </c>
      <c r="G7" s="248">
        <v>43281</v>
      </c>
      <c r="H7" s="245" t="s">
        <v>324</v>
      </c>
      <c r="I7" s="245" t="s">
        <v>325</v>
      </c>
      <c r="J7" s="245"/>
      <c r="K7" s="241" t="s">
        <v>340</v>
      </c>
      <c r="L7" s="224" t="s">
        <v>387</v>
      </c>
      <c r="M7" s="246">
        <v>142.5</v>
      </c>
      <c r="N7" s="246">
        <v>30.036363636363632</v>
      </c>
      <c r="O7" s="241"/>
      <c r="P7" s="241"/>
      <c r="Q7" s="271"/>
      <c r="R7" s="241"/>
      <c r="S7" s="270"/>
      <c r="T7" s="241"/>
      <c r="U7" s="246"/>
      <c r="V7" s="246"/>
      <c r="W7" s="271"/>
      <c r="X7" s="270"/>
      <c r="Y7" s="270"/>
      <c r="Z7" s="270"/>
      <c r="AA7" s="270"/>
      <c r="AB7" s="270"/>
      <c r="AC7" s="270"/>
      <c r="AD7" s="271"/>
      <c r="AE7" s="271"/>
      <c r="AF7" s="270"/>
      <c r="AG7" s="270"/>
      <c r="AH7" s="271"/>
      <c r="AI7" s="270"/>
      <c r="AJ7" s="270"/>
      <c r="AK7" s="271"/>
      <c r="AL7" s="246"/>
      <c r="AM7" s="246"/>
      <c r="AN7" s="246"/>
      <c r="AO7" s="241" t="s">
        <v>327</v>
      </c>
      <c r="AP7" s="272" t="s">
        <v>309</v>
      </c>
      <c r="AQ7" s="246"/>
      <c r="AR7" s="246"/>
      <c r="AS7" s="246" t="s">
        <v>745</v>
      </c>
    </row>
    <row r="8" spans="1:45" ht="13" customHeight="1" x14ac:dyDescent="0.3">
      <c r="A8" s="241">
        <v>4379</v>
      </c>
      <c r="B8" s="306">
        <v>43306</v>
      </c>
      <c r="C8" s="243" t="s">
        <v>322</v>
      </c>
      <c r="D8" s="244" t="s">
        <v>190</v>
      </c>
      <c r="E8" s="241"/>
      <c r="F8" s="241" t="s">
        <v>323</v>
      </c>
      <c r="G8" s="248">
        <v>43281</v>
      </c>
      <c r="H8" s="245" t="s">
        <v>324</v>
      </c>
      <c r="I8" s="245" t="s">
        <v>325</v>
      </c>
      <c r="J8" s="245"/>
      <c r="K8" s="241" t="s">
        <v>403</v>
      </c>
      <c r="L8" s="224" t="s">
        <v>387</v>
      </c>
      <c r="M8" s="246">
        <v>118.18181818181817</v>
      </c>
      <c r="N8" s="246">
        <v>31.927272727272722</v>
      </c>
      <c r="O8" s="241"/>
      <c r="P8" s="241"/>
      <c r="Q8" s="271"/>
      <c r="R8" s="241"/>
      <c r="S8" s="270"/>
      <c r="T8" s="241"/>
      <c r="U8" s="246"/>
      <c r="V8" s="246"/>
      <c r="W8" s="271"/>
      <c r="X8" s="270"/>
      <c r="Y8" s="270"/>
      <c r="Z8" s="270"/>
      <c r="AA8" s="270"/>
      <c r="AB8" s="270"/>
      <c r="AC8" s="270"/>
      <c r="AD8" s="271"/>
      <c r="AE8" s="271"/>
      <c r="AF8" s="270"/>
      <c r="AG8" s="270"/>
      <c r="AH8" s="271"/>
      <c r="AI8" s="270"/>
      <c r="AJ8" s="270"/>
      <c r="AK8" s="271"/>
      <c r="AL8" s="246"/>
      <c r="AM8" s="246"/>
      <c r="AN8" s="246"/>
      <c r="AO8" s="241" t="s">
        <v>327</v>
      </c>
      <c r="AP8" s="272" t="s">
        <v>309</v>
      </c>
      <c r="AQ8" s="246"/>
      <c r="AR8" s="246"/>
      <c r="AS8" s="246" t="s">
        <v>746</v>
      </c>
    </row>
    <row r="9" spans="1:45" ht="13" customHeight="1" x14ac:dyDescent="0.3">
      <c r="A9" s="241">
        <v>10529</v>
      </c>
      <c r="B9" s="306">
        <v>43306</v>
      </c>
      <c r="C9" s="243" t="s">
        <v>322</v>
      </c>
      <c r="D9" s="244" t="s">
        <v>190</v>
      </c>
      <c r="E9" s="241"/>
      <c r="F9" s="241" t="s">
        <v>323</v>
      </c>
      <c r="G9" s="248">
        <v>43281</v>
      </c>
      <c r="H9" s="245" t="s">
        <v>324</v>
      </c>
      <c r="I9" s="245" t="s">
        <v>325</v>
      </c>
      <c r="J9" s="245"/>
      <c r="K9" s="241" t="s">
        <v>348</v>
      </c>
      <c r="L9" s="224" t="s">
        <v>387</v>
      </c>
      <c r="M9" s="246">
        <v>149.0181818181818</v>
      </c>
      <c r="N9" s="246">
        <v>29.5</v>
      </c>
      <c r="O9" s="241"/>
      <c r="P9" s="241"/>
      <c r="Q9" s="271"/>
      <c r="R9" s="241"/>
      <c r="S9" s="270"/>
      <c r="T9" s="241"/>
      <c r="U9" s="246"/>
      <c r="V9" s="246"/>
      <c r="W9" s="271"/>
      <c r="X9" s="270"/>
      <c r="Y9" s="270"/>
      <c r="Z9" s="270"/>
      <c r="AA9" s="270"/>
      <c r="AB9" s="270"/>
      <c r="AC9" s="270"/>
      <c r="AD9" s="271"/>
      <c r="AE9" s="271"/>
      <c r="AF9" s="270"/>
      <c r="AG9" s="270"/>
      <c r="AH9" s="271"/>
      <c r="AI9" s="270"/>
      <c r="AJ9" s="270"/>
      <c r="AK9" s="271"/>
      <c r="AL9" s="246"/>
      <c r="AM9" s="246"/>
      <c r="AN9" s="246"/>
      <c r="AO9" s="241" t="s">
        <v>327</v>
      </c>
      <c r="AP9" s="272" t="s">
        <v>309</v>
      </c>
      <c r="AQ9" s="246"/>
      <c r="AR9" s="246"/>
      <c r="AS9" s="246" t="s">
        <v>747</v>
      </c>
    </row>
    <row r="10" spans="1:45" ht="13" customHeight="1" x14ac:dyDescent="0.3">
      <c r="A10" s="241">
        <v>10345</v>
      </c>
      <c r="B10" s="306">
        <v>43306</v>
      </c>
      <c r="C10" s="243" t="s">
        <v>322</v>
      </c>
      <c r="D10" s="244" t="s">
        <v>190</v>
      </c>
      <c r="E10" s="241"/>
      <c r="F10" s="241" t="s">
        <v>323</v>
      </c>
      <c r="G10" s="248">
        <v>43284</v>
      </c>
      <c r="H10" s="245" t="s">
        <v>324</v>
      </c>
      <c r="I10" s="245" t="s">
        <v>325</v>
      </c>
      <c r="J10" s="245"/>
      <c r="K10" s="241" t="s">
        <v>406</v>
      </c>
      <c r="L10" s="224" t="s">
        <v>387</v>
      </c>
      <c r="M10" s="246">
        <v>160.07272727272726</v>
      </c>
      <c r="N10" s="246">
        <v>28.636363636363633</v>
      </c>
      <c r="O10" s="241"/>
      <c r="P10" s="241"/>
      <c r="Q10" s="271"/>
      <c r="R10" s="241"/>
      <c r="S10" s="270"/>
      <c r="T10" s="241"/>
      <c r="U10" s="246"/>
      <c r="V10" s="246"/>
      <c r="W10" s="271"/>
      <c r="X10" s="270"/>
      <c r="Y10" s="270"/>
      <c r="Z10" s="270"/>
      <c r="AA10" s="270"/>
      <c r="AB10" s="270"/>
      <c r="AC10" s="270"/>
      <c r="AD10" s="271"/>
      <c r="AE10" s="271"/>
      <c r="AF10" s="270"/>
      <c r="AG10" s="270"/>
      <c r="AH10" s="271"/>
      <c r="AI10" s="270"/>
      <c r="AJ10" s="270"/>
      <c r="AK10" s="271"/>
      <c r="AL10" s="246"/>
      <c r="AM10" s="246"/>
      <c r="AN10" s="246"/>
      <c r="AO10" s="241" t="s">
        <v>327</v>
      </c>
      <c r="AP10" s="272" t="s">
        <v>309</v>
      </c>
      <c r="AQ10" s="246"/>
      <c r="AR10" s="246"/>
      <c r="AS10" s="246" t="s">
        <v>748</v>
      </c>
    </row>
    <row r="11" spans="1:45" ht="13" customHeight="1" x14ac:dyDescent="0.3">
      <c r="A11" s="241">
        <v>10687</v>
      </c>
      <c r="B11" s="306">
        <v>43306</v>
      </c>
      <c r="C11" s="243" t="s">
        <v>322</v>
      </c>
      <c r="D11" s="244" t="s">
        <v>190</v>
      </c>
      <c r="E11" s="241"/>
      <c r="F11" s="241" t="s">
        <v>323</v>
      </c>
      <c r="G11" s="248">
        <v>43281</v>
      </c>
      <c r="H11" s="245" t="s">
        <v>324</v>
      </c>
      <c r="I11" s="245" t="s">
        <v>325</v>
      </c>
      <c r="J11" s="245"/>
      <c r="K11" s="241" t="s">
        <v>408</v>
      </c>
      <c r="L11" s="224" t="s">
        <v>387</v>
      </c>
      <c r="M11" s="246">
        <v>168.33636363636361</v>
      </c>
      <c r="N11" s="246">
        <v>27.972727272727269</v>
      </c>
      <c r="O11" s="241"/>
      <c r="P11" s="241"/>
      <c r="Q11" s="271"/>
      <c r="R11" s="241"/>
      <c r="S11" s="270"/>
      <c r="T11" s="241"/>
      <c r="U11" s="246"/>
      <c r="V11" s="246"/>
      <c r="W11" s="271"/>
      <c r="X11" s="270"/>
      <c r="Y11" s="270"/>
      <c r="Z11" s="270"/>
      <c r="AA11" s="270"/>
      <c r="AB11" s="270"/>
      <c r="AC11" s="270"/>
      <c r="AD11" s="271"/>
      <c r="AE11" s="271"/>
      <c r="AF11" s="270"/>
      <c r="AG11" s="270"/>
      <c r="AH11" s="271"/>
      <c r="AI11" s="270"/>
      <c r="AJ11" s="270"/>
      <c r="AK11" s="271"/>
      <c r="AL11" s="246"/>
      <c r="AM11" s="246"/>
      <c r="AN11" s="246"/>
      <c r="AO11" s="241" t="s">
        <v>327</v>
      </c>
      <c r="AP11" s="272" t="s">
        <v>309</v>
      </c>
      <c r="AQ11" s="246"/>
      <c r="AR11" s="246"/>
      <c r="AS11" s="246" t="s">
        <v>749</v>
      </c>
    </row>
    <row r="12" spans="1:45" ht="13" customHeight="1" x14ac:dyDescent="0.3">
      <c r="A12" s="241">
        <v>1409</v>
      </c>
      <c r="B12" s="306">
        <v>43306</v>
      </c>
      <c r="C12" s="243" t="s">
        <v>322</v>
      </c>
      <c r="D12" s="244" t="s">
        <v>190</v>
      </c>
      <c r="E12" s="241"/>
      <c r="F12" s="241" t="s">
        <v>323</v>
      </c>
      <c r="G12" s="248">
        <v>43281</v>
      </c>
      <c r="H12" s="245" t="s">
        <v>324</v>
      </c>
      <c r="I12" s="245" t="s">
        <v>325</v>
      </c>
      <c r="J12" s="245"/>
      <c r="K12" s="241" t="s">
        <v>410</v>
      </c>
      <c r="L12" s="224" t="s">
        <v>387</v>
      </c>
      <c r="M12" s="246">
        <v>160.99999999999997</v>
      </c>
      <c r="N12" s="246">
        <v>28.299999999999997</v>
      </c>
      <c r="O12" s="244"/>
      <c r="P12" s="241"/>
      <c r="Q12" s="271"/>
      <c r="R12" s="241"/>
      <c r="S12" s="270"/>
      <c r="T12" s="241"/>
      <c r="U12" s="246"/>
      <c r="V12" s="246"/>
      <c r="W12" s="271"/>
      <c r="X12" s="270"/>
      <c r="Y12" s="270"/>
      <c r="Z12" s="270"/>
      <c r="AA12" s="270"/>
      <c r="AB12" s="270"/>
      <c r="AC12" s="270"/>
      <c r="AD12" s="271"/>
      <c r="AE12" s="271"/>
      <c r="AF12" s="270"/>
      <c r="AG12" s="270"/>
      <c r="AH12" s="271"/>
      <c r="AI12" s="270"/>
      <c r="AJ12" s="270"/>
      <c r="AK12" s="271"/>
      <c r="AL12" s="246"/>
      <c r="AM12" s="246"/>
      <c r="AN12" s="246"/>
      <c r="AO12" s="241" t="s">
        <v>327</v>
      </c>
      <c r="AP12" s="272" t="s">
        <v>309</v>
      </c>
      <c r="AQ12" s="246"/>
      <c r="AR12" s="246"/>
      <c r="AS12" s="246" t="s">
        <v>750</v>
      </c>
    </row>
    <row r="13" spans="1:45" ht="13" customHeight="1" x14ac:dyDescent="0.3">
      <c r="A13" s="241">
        <v>3609</v>
      </c>
      <c r="B13" s="306">
        <v>43306</v>
      </c>
      <c r="C13" s="243" t="s">
        <v>322</v>
      </c>
      <c r="D13" s="244" t="s">
        <v>190</v>
      </c>
      <c r="E13" s="241"/>
      <c r="F13" s="241" t="s">
        <v>323</v>
      </c>
      <c r="G13" s="248">
        <v>43281</v>
      </c>
      <c r="H13" s="245" t="s">
        <v>324</v>
      </c>
      <c r="I13" s="245" t="s">
        <v>325</v>
      </c>
      <c r="J13" s="245"/>
      <c r="K13" s="241" t="s">
        <v>412</v>
      </c>
      <c r="L13" s="224" t="s">
        <v>387</v>
      </c>
      <c r="M13" s="246">
        <v>140.43636363636361</v>
      </c>
      <c r="N13" s="246">
        <v>30.199999999999996</v>
      </c>
      <c r="O13" s="244" t="s">
        <v>351</v>
      </c>
      <c r="P13" s="256">
        <v>1183</v>
      </c>
      <c r="Q13" s="246">
        <v>31.699999999999996</v>
      </c>
      <c r="R13" s="256">
        <v>1183</v>
      </c>
      <c r="S13" s="246">
        <v>31.699999999999996</v>
      </c>
      <c r="T13" s="241"/>
      <c r="U13" s="246"/>
      <c r="V13" s="246"/>
      <c r="W13" s="271"/>
      <c r="X13" s="270"/>
      <c r="Y13" s="270"/>
      <c r="Z13" s="270"/>
      <c r="AA13" s="270"/>
      <c r="AB13" s="270"/>
      <c r="AC13" s="270"/>
      <c r="AD13" s="271"/>
      <c r="AE13" s="271"/>
      <c r="AF13" s="270"/>
      <c r="AG13" s="270"/>
      <c r="AH13" s="271"/>
      <c r="AI13" s="270"/>
      <c r="AJ13" s="270"/>
      <c r="AK13" s="271"/>
      <c r="AL13" s="246"/>
      <c r="AM13" s="246"/>
      <c r="AN13" s="246"/>
      <c r="AO13" s="241" t="s">
        <v>327</v>
      </c>
      <c r="AP13" s="272" t="s">
        <v>309</v>
      </c>
      <c r="AQ13" s="246"/>
      <c r="AR13" s="246"/>
      <c r="AS13" s="246" t="s">
        <v>751</v>
      </c>
    </row>
    <row r="14" spans="1:45" ht="13" customHeight="1" x14ac:dyDescent="0.3">
      <c r="A14" s="241">
        <v>10380</v>
      </c>
      <c r="B14" s="306">
        <v>43306</v>
      </c>
      <c r="C14" s="243" t="s">
        <v>322</v>
      </c>
      <c r="D14" s="244" t="s">
        <v>190</v>
      </c>
      <c r="E14" s="241"/>
      <c r="F14" s="241" t="s">
        <v>323</v>
      </c>
      <c r="G14" s="248">
        <v>43281</v>
      </c>
      <c r="H14" s="245" t="s">
        <v>310</v>
      </c>
      <c r="I14" s="245" t="s">
        <v>309</v>
      </c>
      <c r="J14" s="245"/>
      <c r="K14" s="241" t="s">
        <v>239</v>
      </c>
      <c r="L14" s="224" t="s">
        <v>387</v>
      </c>
      <c r="M14" s="246">
        <v>170</v>
      </c>
      <c r="N14" s="246">
        <v>27.799999999999997</v>
      </c>
      <c r="O14" s="241" t="s">
        <v>351</v>
      </c>
      <c r="P14" s="241">
        <v>1350</v>
      </c>
      <c r="Q14" s="246">
        <v>32.299999999999997</v>
      </c>
      <c r="R14" s="241">
        <v>1350</v>
      </c>
      <c r="S14" s="246">
        <v>32.299999999999997</v>
      </c>
      <c r="T14" s="241"/>
      <c r="U14" s="246"/>
      <c r="V14" s="246"/>
      <c r="W14" s="271"/>
      <c r="X14" s="270"/>
      <c r="Y14" s="270"/>
      <c r="Z14" s="270"/>
      <c r="AA14" s="270"/>
      <c r="AB14" s="270"/>
      <c r="AC14" s="270"/>
      <c r="AD14" s="271"/>
      <c r="AE14" s="271"/>
      <c r="AF14" s="270"/>
      <c r="AG14" s="270"/>
      <c r="AH14" s="271"/>
      <c r="AI14" s="270"/>
      <c r="AJ14" s="270"/>
      <c r="AK14" s="271" t="s">
        <v>320</v>
      </c>
      <c r="AL14" s="246"/>
      <c r="AM14" s="246"/>
      <c r="AN14" s="246"/>
      <c r="AO14" s="241" t="s">
        <v>327</v>
      </c>
      <c r="AP14" s="272" t="s">
        <v>309</v>
      </c>
      <c r="AQ14" s="246"/>
      <c r="AR14" s="246"/>
      <c r="AS14" s="246" t="s">
        <v>752</v>
      </c>
    </row>
    <row r="15" spans="1:45" ht="13" customHeight="1" x14ac:dyDescent="0.3">
      <c r="A15" s="241">
        <v>9908</v>
      </c>
      <c r="B15" s="306">
        <v>43306</v>
      </c>
      <c r="C15" s="243" t="s">
        <v>322</v>
      </c>
      <c r="D15" s="244" t="s">
        <v>190</v>
      </c>
      <c r="E15" s="241"/>
      <c r="F15" s="241" t="s">
        <v>323</v>
      </c>
      <c r="G15" s="248">
        <v>43281</v>
      </c>
      <c r="H15" s="245" t="s">
        <v>324</v>
      </c>
      <c r="I15" s="245" t="s">
        <v>325</v>
      </c>
      <c r="J15" s="245"/>
      <c r="K15" s="244" t="s">
        <v>354</v>
      </c>
      <c r="L15" s="224" t="s">
        <v>387</v>
      </c>
      <c r="M15" s="246">
        <v>135</v>
      </c>
      <c r="N15" s="246">
        <v>30.590909090909086</v>
      </c>
      <c r="O15" s="241"/>
      <c r="P15" s="241"/>
      <c r="Q15" s="271"/>
      <c r="R15" s="241"/>
      <c r="S15" s="270"/>
      <c r="T15" s="241"/>
      <c r="U15" s="246"/>
      <c r="V15" s="246"/>
      <c r="W15" s="271"/>
      <c r="X15" s="270"/>
      <c r="Y15" s="270"/>
      <c r="Z15" s="270"/>
      <c r="AA15" s="270"/>
      <c r="AB15" s="270"/>
      <c r="AC15" s="270"/>
      <c r="AD15" s="271"/>
      <c r="AE15" s="271"/>
      <c r="AF15" s="270"/>
      <c r="AG15" s="270"/>
      <c r="AH15" s="271"/>
      <c r="AI15" s="270"/>
      <c r="AJ15" s="270"/>
      <c r="AK15" s="271" t="s">
        <v>320</v>
      </c>
      <c r="AL15" s="246"/>
      <c r="AM15" s="246"/>
      <c r="AN15" s="246"/>
      <c r="AO15" s="241" t="s">
        <v>327</v>
      </c>
      <c r="AP15" s="272" t="s">
        <v>309</v>
      </c>
      <c r="AQ15" s="246"/>
      <c r="AR15" s="246"/>
      <c r="AS15" s="246" t="s">
        <v>753</v>
      </c>
    </row>
    <row r="16" spans="1:45" x14ac:dyDescent="0.3">
      <c r="A16" s="241"/>
      <c r="B16" s="306">
        <v>43306</v>
      </c>
      <c r="C16" s="243" t="s">
        <v>322</v>
      </c>
      <c r="D16" s="244" t="s">
        <v>190</v>
      </c>
      <c r="E16" s="241"/>
      <c r="F16" s="241" t="s">
        <v>323</v>
      </c>
      <c r="G16" s="248">
        <v>43281</v>
      </c>
      <c r="H16" s="245" t="s">
        <v>309</v>
      </c>
      <c r="I16" s="245" t="s">
        <v>355</v>
      </c>
      <c r="J16" s="245"/>
      <c r="K16" s="241" t="s">
        <v>424</v>
      </c>
      <c r="L16" s="224" t="s">
        <v>387</v>
      </c>
      <c r="M16" s="246">
        <v>150.99999999999997</v>
      </c>
      <c r="N16" s="246">
        <v>29.349999999999994</v>
      </c>
      <c r="O16" s="241"/>
      <c r="P16" s="241"/>
      <c r="Q16" s="271"/>
      <c r="R16" s="241"/>
      <c r="S16" s="270"/>
      <c r="T16" s="241"/>
      <c r="U16" s="246"/>
      <c r="V16" s="246"/>
      <c r="W16" s="271"/>
      <c r="X16" s="270"/>
      <c r="Y16" s="270"/>
      <c r="Z16" s="270"/>
      <c r="AA16" s="270"/>
      <c r="AB16" s="270"/>
      <c r="AC16" s="270"/>
      <c r="AD16" s="271"/>
      <c r="AE16" s="271"/>
      <c r="AF16" s="270"/>
      <c r="AG16" s="270"/>
      <c r="AH16" s="271"/>
      <c r="AI16" s="270"/>
      <c r="AJ16" s="270"/>
      <c r="AK16" s="271"/>
      <c r="AL16" s="246"/>
      <c r="AM16" s="246"/>
      <c r="AN16" s="246"/>
      <c r="AO16" s="241" t="s">
        <v>327</v>
      </c>
      <c r="AP16" s="272" t="s">
        <v>309</v>
      </c>
      <c r="AQ16" s="246"/>
      <c r="AR16" s="246"/>
      <c r="AS16" s="246" t="s">
        <v>755</v>
      </c>
    </row>
    <row r="17" spans="1:45" x14ac:dyDescent="0.3">
      <c r="A17" s="241"/>
      <c r="B17" s="306">
        <v>43306</v>
      </c>
      <c r="C17" s="243" t="s">
        <v>322</v>
      </c>
      <c r="D17" s="244" t="s">
        <v>190</v>
      </c>
      <c r="E17" s="241"/>
      <c r="F17" s="241" t="s">
        <v>323</v>
      </c>
      <c r="G17" s="247">
        <v>43281</v>
      </c>
      <c r="H17" s="245" t="s">
        <v>309</v>
      </c>
      <c r="I17" s="245" t="s">
        <v>355</v>
      </c>
      <c r="J17" s="245"/>
      <c r="K17" s="241" t="s">
        <v>430</v>
      </c>
      <c r="L17" s="224" t="s">
        <v>387</v>
      </c>
      <c r="M17" s="246">
        <v>130.30000000000001</v>
      </c>
      <c r="N17" s="246">
        <v>31</v>
      </c>
      <c r="O17" s="241"/>
      <c r="P17" s="241"/>
      <c r="Q17" s="271"/>
      <c r="R17" s="241"/>
      <c r="S17" s="270"/>
      <c r="T17" s="241"/>
      <c r="U17" s="246"/>
      <c r="V17" s="246"/>
      <c r="W17" s="271"/>
      <c r="X17" s="270"/>
      <c r="Y17" s="270"/>
      <c r="Z17" s="270"/>
      <c r="AA17" s="270"/>
      <c r="AB17" s="270"/>
      <c r="AC17" s="270"/>
      <c r="AD17" s="271"/>
      <c r="AE17" s="271"/>
      <c r="AF17" s="270"/>
      <c r="AG17" s="270"/>
      <c r="AH17" s="271"/>
      <c r="AI17" s="270"/>
      <c r="AJ17" s="270"/>
      <c r="AK17" s="271"/>
      <c r="AL17" s="246"/>
      <c r="AM17" s="246"/>
      <c r="AN17" s="246"/>
      <c r="AO17" s="241" t="s">
        <v>327</v>
      </c>
      <c r="AP17" s="272" t="s">
        <v>309</v>
      </c>
      <c r="AQ17" s="246"/>
      <c r="AR17" s="246"/>
      <c r="AS17" s="246" t="s">
        <v>756</v>
      </c>
    </row>
    <row r="18" spans="1:45" ht="15.5" x14ac:dyDescent="0.35">
      <c r="A18" s="241"/>
      <c r="B18" s="306">
        <v>43306</v>
      </c>
      <c r="C18" s="243" t="s">
        <v>322</v>
      </c>
      <c r="D18" s="244" t="s">
        <v>190</v>
      </c>
      <c r="E18" s="241"/>
      <c r="F18" s="241" t="s">
        <v>323</v>
      </c>
      <c r="G18" s="247">
        <v>43281</v>
      </c>
      <c r="H18" s="245" t="s">
        <v>324</v>
      </c>
      <c r="I18" s="245" t="s">
        <v>325</v>
      </c>
      <c r="J18" s="245"/>
      <c r="K18" s="281" t="s">
        <v>501</v>
      </c>
      <c r="L18" s="284" t="s">
        <v>387</v>
      </c>
      <c r="M18" s="246">
        <v>150</v>
      </c>
      <c r="N18" s="246">
        <v>29.44</v>
      </c>
      <c r="O18" s="241"/>
      <c r="P18" s="241"/>
      <c r="Q18" s="271"/>
      <c r="R18" s="241"/>
      <c r="S18" s="270"/>
      <c r="T18" s="241"/>
      <c r="U18" s="246"/>
      <c r="V18" s="246"/>
      <c r="W18" s="271"/>
      <c r="X18" s="270"/>
      <c r="Y18" s="270"/>
      <c r="Z18" s="270"/>
      <c r="AA18" s="270"/>
      <c r="AB18" s="270"/>
      <c r="AC18" s="270"/>
      <c r="AD18" s="271"/>
      <c r="AE18" s="271"/>
      <c r="AF18" s="270"/>
      <c r="AG18" s="270"/>
      <c r="AH18" s="271"/>
      <c r="AI18" s="270"/>
      <c r="AJ18" s="270"/>
      <c r="AK18" s="271"/>
      <c r="AL18" s="246"/>
      <c r="AM18" s="246"/>
      <c r="AN18" s="246"/>
      <c r="AO18" s="241" t="s">
        <v>327</v>
      </c>
      <c r="AP18" s="272" t="s">
        <v>309</v>
      </c>
      <c r="AQ18" s="246"/>
      <c r="AR18" s="246"/>
      <c r="AS18" s="246" t="s">
        <v>883</v>
      </c>
    </row>
    <row r="19" spans="1:45" x14ac:dyDescent="0.3">
      <c r="A19" s="241"/>
      <c r="B19" s="306">
        <v>43306</v>
      </c>
      <c r="C19" s="243" t="s">
        <v>322</v>
      </c>
      <c r="D19" s="244" t="s">
        <v>190</v>
      </c>
      <c r="E19" s="241"/>
      <c r="F19" s="241" t="s">
        <v>323</v>
      </c>
      <c r="G19" s="247">
        <v>43281</v>
      </c>
      <c r="H19" s="245" t="s">
        <v>310</v>
      </c>
      <c r="I19" s="245" t="s">
        <v>309</v>
      </c>
      <c r="J19" s="245"/>
      <c r="K19" s="244" t="s">
        <v>503</v>
      </c>
      <c r="L19" s="224" t="s">
        <v>387</v>
      </c>
      <c r="M19" s="246">
        <v>164.29999999999998</v>
      </c>
      <c r="N19" s="246">
        <v>28.299999999999997</v>
      </c>
      <c r="O19" s="244"/>
      <c r="P19" s="241"/>
      <c r="Q19" s="271"/>
      <c r="R19" s="241"/>
      <c r="S19" s="270"/>
      <c r="T19" s="241"/>
      <c r="U19" s="246"/>
      <c r="V19" s="246"/>
      <c r="W19" s="271"/>
      <c r="X19" s="270"/>
      <c r="Y19" s="270"/>
      <c r="Z19" s="270"/>
      <c r="AA19" s="270"/>
      <c r="AB19" s="270"/>
      <c r="AC19" s="270"/>
      <c r="AD19" s="271"/>
      <c r="AE19" s="271"/>
      <c r="AF19" s="270"/>
      <c r="AG19" s="270"/>
      <c r="AH19" s="271"/>
      <c r="AI19" s="270"/>
      <c r="AJ19" s="270"/>
      <c r="AK19" s="271"/>
      <c r="AL19" s="246"/>
      <c r="AM19" s="246"/>
      <c r="AN19" s="246"/>
      <c r="AO19" s="241" t="s">
        <v>327</v>
      </c>
      <c r="AP19" s="272" t="s">
        <v>309</v>
      </c>
      <c r="AQ19" s="246"/>
      <c r="AR19" s="246"/>
      <c r="AS19" s="241" t="s">
        <v>758</v>
      </c>
    </row>
    <row r="20" spans="1:45" x14ac:dyDescent="0.3">
      <c r="A20" s="241"/>
      <c r="B20" s="306">
        <v>43306</v>
      </c>
      <c r="C20" s="243" t="s">
        <v>322</v>
      </c>
      <c r="D20" s="244" t="s">
        <v>190</v>
      </c>
      <c r="E20" s="241"/>
      <c r="F20" s="241" t="s">
        <v>323</v>
      </c>
      <c r="G20" s="247">
        <v>43280</v>
      </c>
      <c r="H20" s="245" t="s">
        <v>310</v>
      </c>
      <c r="I20" s="245" t="s">
        <v>309</v>
      </c>
      <c r="J20" s="245"/>
      <c r="K20" s="244" t="s">
        <v>695</v>
      </c>
      <c r="L20" s="224" t="s">
        <v>387</v>
      </c>
      <c r="M20" s="246">
        <v>140</v>
      </c>
      <c r="N20" s="246">
        <v>30.199999999999996</v>
      </c>
      <c r="O20" s="336" t="s">
        <v>351</v>
      </c>
      <c r="P20" s="335">
        <v>1368</v>
      </c>
      <c r="Q20" s="246">
        <v>89.999999999999986</v>
      </c>
      <c r="R20" s="335">
        <v>1368</v>
      </c>
      <c r="S20" s="246">
        <v>89.999999999999986</v>
      </c>
      <c r="T20" s="241"/>
      <c r="U20" s="246"/>
      <c r="V20" s="246"/>
      <c r="W20" s="271"/>
      <c r="X20" s="270"/>
      <c r="Y20" s="270"/>
      <c r="Z20" s="270"/>
      <c r="AA20" s="270"/>
      <c r="AB20" s="270"/>
      <c r="AC20" s="270"/>
      <c r="AD20" s="271"/>
      <c r="AE20" s="271"/>
      <c r="AF20" s="270"/>
      <c r="AG20" s="270"/>
      <c r="AH20" s="271"/>
      <c r="AI20" s="270"/>
      <c r="AJ20" s="270"/>
      <c r="AK20" s="271"/>
      <c r="AL20" s="246"/>
      <c r="AM20" s="246"/>
      <c r="AN20" s="246"/>
      <c r="AO20" s="241" t="s">
        <v>327</v>
      </c>
      <c r="AP20" s="272" t="s">
        <v>309</v>
      </c>
      <c r="AQ20" s="246"/>
      <c r="AR20" s="246"/>
      <c r="AS20" s="246" t="s">
        <v>757</v>
      </c>
    </row>
    <row r="21" spans="1:45" x14ac:dyDescent="0.3">
      <c r="A21" s="241">
        <v>10427</v>
      </c>
      <c r="B21" s="306">
        <v>43306</v>
      </c>
      <c r="C21" s="243" t="s">
        <v>322</v>
      </c>
      <c r="D21" s="244" t="s">
        <v>190</v>
      </c>
      <c r="E21" s="241"/>
      <c r="F21" s="241" t="s">
        <v>360</v>
      </c>
      <c r="G21" s="247">
        <v>43284</v>
      </c>
      <c r="H21" s="245" t="s">
        <v>324</v>
      </c>
      <c r="I21" s="245" t="s">
        <v>325</v>
      </c>
      <c r="J21" s="245"/>
      <c r="K21" s="241" t="s">
        <v>326</v>
      </c>
      <c r="L21" s="224" t="s">
        <v>387</v>
      </c>
      <c r="M21" s="246">
        <v>172.33636363636361</v>
      </c>
      <c r="N21" s="246">
        <v>28.636363636363633</v>
      </c>
      <c r="O21" s="241"/>
      <c r="P21" s="241"/>
      <c r="Q21" s="271"/>
      <c r="R21" s="241"/>
      <c r="S21" s="270"/>
      <c r="T21" s="241"/>
      <c r="U21" s="246"/>
      <c r="V21" s="246"/>
      <c r="W21" s="271"/>
      <c r="X21" s="270"/>
      <c r="Y21" s="270"/>
      <c r="Z21" s="270"/>
      <c r="AA21" s="270"/>
      <c r="AB21" s="270"/>
      <c r="AC21" s="270"/>
      <c r="AD21" s="271"/>
      <c r="AE21" s="246">
        <v>15.854545454545454</v>
      </c>
      <c r="AF21" s="270"/>
      <c r="AG21" s="270"/>
      <c r="AH21" s="271"/>
      <c r="AI21" s="270"/>
      <c r="AJ21" s="270"/>
      <c r="AK21" s="271" t="s">
        <v>320</v>
      </c>
      <c r="AL21" s="246"/>
      <c r="AM21" s="246"/>
      <c r="AN21" s="246"/>
      <c r="AO21" s="241" t="s">
        <v>361</v>
      </c>
      <c r="AP21" s="272" t="s">
        <v>309</v>
      </c>
      <c r="AQ21" s="246"/>
      <c r="AR21" s="246"/>
      <c r="AS21" s="246" t="s">
        <v>763</v>
      </c>
    </row>
    <row r="22" spans="1:45" x14ac:dyDescent="0.3">
      <c r="A22" s="241">
        <v>10506</v>
      </c>
      <c r="B22" s="306">
        <v>43306</v>
      </c>
      <c r="C22" s="243" t="s">
        <v>322</v>
      </c>
      <c r="D22" s="244" t="s">
        <v>190</v>
      </c>
      <c r="E22" s="241"/>
      <c r="F22" s="241" t="s">
        <v>360</v>
      </c>
      <c r="G22" s="247">
        <v>43281</v>
      </c>
      <c r="H22" s="245" t="s">
        <v>324</v>
      </c>
      <c r="I22" s="245" t="s">
        <v>325</v>
      </c>
      <c r="J22" s="245"/>
      <c r="K22" s="241" t="s">
        <v>328</v>
      </c>
      <c r="L22" s="224" t="s">
        <v>387</v>
      </c>
      <c r="M22" s="246">
        <v>161.36363636363635</v>
      </c>
      <c r="N22" s="246">
        <v>29.45454545454545</v>
      </c>
      <c r="O22" s="241"/>
      <c r="P22" s="241"/>
      <c r="Q22" s="271"/>
      <c r="R22" s="241"/>
      <c r="S22" s="270"/>
      <c r="T22" s="241"/>
      <c r="U22" s="246"/>
      <c r="V22" s="246"/>
      <c r="W22" s="271"/>
      <c r="X22" s="270"/>
      <c r="Y22" s="270"/>
      <c r="Z22" s="270"/>
      <c r="AA22" s="270"/>
      <c r="AB22" s="270"/>
      <c r="AC22" s="270"/>
      <c r="AD22" s="271"/>
      <c r="AE22" s="246">
        <v>13.736363636363635</v>
      </c>
      <c r="AF22" s="270"/>
      <c r="AG22" s="270"/>
      <c r="AH22" s="271"/>
      <c r="AI22" s="270"/>
      <c r="AJ22" s="270"/>
      <c r="AK22" s="271" t="s">
        <v>320</v>
      </c>
      <c r="AL22" s="246"/>
      <c r="AM22" s="246"/>
      <c r="AN22" s="246"/>
      <c r="AO22" s="241" t="s">
        <v>361</v>
      </c>
      <c r="AP22" s="272" t="s">
        <v>309</v>
      </c>
      <c r="AQ22" s="246"/>
      <c r="AR22" s="246"/>
      <c r="AS22" s="246" t="s">
        <v>764</v>
      </c>
    </row>
    <row r="23" spans="1:45" x14ac:dyDescent="0.3">
      <c r="A23" s="241">
        <v>4659</v>
      </c>
      <c r="B23" s="306">
        <v>43306</v>
      </c>
      <c r="C23" s="243" t="s">
        <v>322</v>
      </c>
      <c r="D23" s="244" t="s">
        <v>190</v>
      </c>
      <c r="E23" s="241"/>
      <c r="F23" s="241" t="s">
        <v>360</v>
      </c>
      <c r="G23" s="248">
        <v>43281</v>
      </c>
      <c r="H23" s="245" t="s">
        <v>324</v>
      </c>
      <c r="I23" s="245" t="s">
        <v>325</v>
      </c>
      <c r="J23" s="245"/>
      <c r="K23" s="241" t="s">
        <v>331</v>
      </c>
      <c r="L23" s="224" t="s">
        <v>387</v>
      </c>
      <c r="M23" s="246">
        <v>130</v>
      </c>
      <c r="N23" s="246">
        <v>31.809090909090909</v>
      </c>
      <c r="O23" s="241"/>
      <c r="P23" s="241"/>
      <c r="Q23" s="271"/>
      <c r="R23" s="241"/>
      <c r="S23" s="270"/>
      <c r="T23" s="241"/>
      <c r="U23" s="246"/>
      <c r="V23" s="246"/>
      <c r="W23" s="271"/>
      <c r="X23" s="270"/>
      <c r="Y23" s="270"/>
      <c r="Z23" s="270"/>
      <c r="AA23" s="270"/>
      <c r="AB23" s="270"/>
      <c r="AC23" s="270"/>
      <c r="AD23" s="271"/>
      <c r="AE23" s="246">
        <v>16.254545454545454</v>
      </c>
      <c r="AF23" s="270"/>
      <c r="AG23" s="270"/>
      <c r="AH23" s="271"/>
      <c r="AI23" s="270"/>
      <c r="AJ23" s="270"/>
      <c r="AK23" s="271" t="s">
        <v>320</v>
      </c>
      <c r="AL23" s="246"/>
      <c r="AM23" s="246"/>
      <c r="AN23" s="246"/>
      <c r="AO23" s="241" t="s">
        <v>361</v>
      </c>
      <c r="AP23" s="272" t="s">
        <v>309</v>
      </c>
      <c r="AQ23" s="246"/>
      <c r="AR23" s="246"/>
      <c r="AS23" s="246" t="s">
        <v>765</v>
      </c>
    </row>
    <row r="24" spans="1:45" x14ac:dyDescent="0.3">
      <c r="A24" s="241"/>
      <c r="B24" s="306">
        <v>43306</v>
      </c>
      <c r="C24" s="243" t="s">
        <v>322</v>
      </c>
      <c r="D24" s="244" t="s">
        <v>190</v>
      </c>
      <c r="E24" s="241"/>
      <c r="F24" s="241" t="s">
        <v>360</v>
      </c>
      <c r="G24" s="247">
        <v>43281</v>
      </c>
      <c r="H24" s="245" t="s">
        <v>310</v>
      </c>
      <c r="I24" s="245" t="s">
        <v>309</v>
      </c>
      <c r="J24" s="245"/>
      <c r="K24" s="244" t="s">
        <v>704</v>
      </c>
      <c r="L24" s="224" t="s">
        <v>387</v>
      </c>
      <c r="M24" s="246">
        <v>140.99999999999997</v>
      </c>
      <c r="N24" s="246">
        <v>24.499999999999996</v>
      </c>
      <c r="O24" s="336" t="s">
        <v>351</v>
      </c>
      <c r="P24" s="335">
        <v>300</v>
      </c>
      <c r="Q24" s="246">
        <v>32.781818181818181</v>
      </c>
      <c r="R24" s="335">
        <v>300</v>
      </c>
      <c r="S24" s="246">
        <v>32.781818181818181</v>
      </c>
      <c r="T24" s="241"/>
      <c r="U24" s="246"/>
      <c r="V24" s="246"/>
      <c r="W24" s="271"/>
      <c r="X24" s="270"/>
      <c r="Y24" s="270"/>
      <c r="Z24" s="270"/>
      <c r="AA24" s="270"/>
      <c r="AB24" s="270"/>
      <c r="AC24" s="270"/>
      <c r="AD24" s="271"/>
      <c r="AE24" s="246">
        <v>15.799999999999997</v>
      </c>
      <c r="AF24" s="270"/>
      <c r="AG24" s="270"/>
      <c r="AH24" s="271"/>
      <c r="AI24" s="270"/>
      <c r="AJ24" s="270"/>
      <c r="AK24" s="271"/>
      <c r="AL24" s="246"/>
      <c r="AM24" s="246"/>
      <c r="AN24" s="246"/>
      <c r="AO24" s="241" t="s">
        <v>312</v>
      </c>
      <c r="AP24" s="272" t="s">
        <v>309</v>
      </c>
      <c r="AQ24" s="246"/>
      <c r="AR24" s="246"/>
      <c r="AS24" s="241" t="s">
        <v>762</v>
      </c>
    </row>
    <row r="25" spans="1:45" x14ac:dyDescent="0.3">
      <c r="A25" s="241">
        <v>1490</v>
      </c>
      <c r="B25" s="306">
        <v>43306</v>
      </c>
      <c r="C25" s="243" t="s">
        <v>322</v>
      </c>
      <c r="D25" s="244" t="s">
        <v>190</v>
      </c>
      <c r="E25" s="241"/>
      <c r="F25" s="241" t="s">
        <v>360</v>
      </c>
      <c r="G25" s="248">
        <v>43281</v>
      </c>
      <c r="H25" s="245" t="s">
        <v>324</v>
      </c>
      <c r="I25" s="245" t="s">
        <v>325</v>
      </c>
      <c r="J25" s="245"/>
      <c r="K25" s="241" t="s">
        <v>397</v>
      </c>
      <c r="L25" s="224" t="s">
        <v>387</v>
      </c>
      <c r="M25" s="246">
        <v>190.56363636363636</v>
      </c>
      <c r="N25" s="246">
        <v>26.081818181818182</v>
      </c>
      <c r="O25" s="241"/>
      <c r="P25" s="241"/>
      <c r="Q25" s="271"/>
      <c r="R25" s="241"/>
      <c r="S25" s="270"/>
      <c r="T25" s="241"/>
      <c r="U25" s="246"/>
      <c r="V25" s="246"/>
      <c r="W25" s="271"/>
      <c r="X25" s="270"/>
      <c r="Y25" s="270"/>
      <c r="Z25" s="270"/>
      <c r="AA25" s="270"/>
      <c r="AB25" s="270"/>
      <c r="AC25" s="270"/>
      <c r="AD25" s="271"/>
      <c r="AE25" s="246">
        <v>18.36363636363636</v>
      </c>
      <c r="AF25" s="270"/>
      <c r="AG25" s="270"/>
      <c r="AH25" s="271"/>
      <c r="AI25" s="270"/>
      <c r="AJ25" s="270"/>
      <c r="AK25" s="271" t="s">
        <v>320</v>
      </c>
      <c r="AL25" s="246"/>
      <c r="AM25" s="246"/>
      <c r="AN25" s="246"/>
      <c r="AO25" s="241" t="s">
        <v>361</v>
      </c>
      <c r="AP25" s="272" t="s">
        <v>309</v>
      </c>
      <c r="AQ25" s="246"/>
      <c r="AR25" s="246"/>
      <c r="AS25" s="246" t="s">
        <v>766</v>
      </c>
    </row>
    <row r="26" spans="1:45" x14ac:dyDescent="0.3">
      <c r="A26" s="241">
        <v>10275</v>
      </c>
      <c r="B26" s="306">
        <v>43306</v>
      </c>
      <c r="C26" s="243" t="s">
        <v>322</v>
      </c>
      <c r="D26" s="244" t="s">
        <v>190</v>
      </c>
      <c r="E26" s="241"/>
      <c r="F26" s="241" t="s">
        <v>360</v>
      </c>
      <c r="G26" s="248">
        <v>43281</v>
      </c>
      <c r="H26" s="245" t="s">
        <v>324</v>
      </c>
      <c r="I26" s="245" t="s">
        <v>325</v>
      </c>
      <c r="J26" s="245"/>
      <c r="K26" s="241" t="s">
        <v>340</v>
      </c>
      <c r="L26" s="224" t="s">
        <v>387</v>
      </c>
      <c r="M26" s="246">
        <v>149.49999999999997</v>
      </c>
      <c r="N26" s="246">
        <v>30.036363636363632</v>
      </c>
      <c r="O26" s="241"/>
      <c r="P26" s="241"/>
      <c r="Q26" s="271"/>
      <c r="R26" s="241"/>
      <c r="S26" s="270"/>
      <c r="T26" s="241"/>
      <c r="U26" s="246"/>
      <c r="V26" s="246"/>
      <c r="W26" s="271"/>
      <c r="X26" s="270"/>
      <c r="Y26" s="270"/>
      <c r="Z26" s="270"/>
      <c r="AA26" s="270"/>
      <c r="AB26" s="270"/>
      <c r="AC26" s="270"/>
      <c r="AD26" s="271"/>
      <c r="AE26" s="246">
        <v>16.818181818181817</v>
      </c>
      <c r="AF26" s="270"/>
      <c r="AG26" s="270"/>
      <c r="AH26" s="271"/>
      <c r="AI26" s="270"/>
      <c r="AJ26" s="270"/>
      <c r="AK26" s="271" t="s">
        <v>320</v>
      </c>
      <c r="AL26" s="246"/>
      <c r="AM26" s="246"/>
      <c r="AN26" s="246"/>
      <c r="AO26" s="241" t="s">
        <v>361</v>
      </c>
      <c r="AP26" s="272" t="s">
        <v>309</v>
      </c>
      <c r="AQ26" s="246"/>
      <c r="AR26" s="246"/>
      <c r="AS26" s="246" t="s">
        <v>767</v>
      </c>
    </row>
    <row r="27" spans="1:45" x14ac:dyDescent="0.3">
      <c r="A27" s="241">
        <v>4380</v>
      </c>
      <c r="B27" s="306">
        <v>43306</v>
      </c>
      <c r="C27" s="243" t="s">
        <v>322</v>
      </c>
      <c r="D27" s="244" t="s">
        <v>190</v>
      </c>
      <c r="E27" s="241"/>
      <c r="F27" s="241" t="s">
        <v>360</v>
      </c>
      <c r="G27" s="248">
        <v>43281</v>
      </c>
      <c r="H27" s="245" t="s">
        <v>324</v>
      </c>
      <c r="I27" s="245" t="s">
        <v>325</v>
      </c>
      <c r="J27" s="245"/>
      <c r="K27" s="241" t="s">
        <v>403</v>
      </c>
      <c r="L27" s="224" t="s">
        <v>387</v>
      </c>
      <c r="M27" s="246">
        <v>132.72727272727272</v>
      </c>
      <c r="N27" s="246">
        <v>31.527272727272724</v>
      </c>
      <c r="O27" s="241"/>
      <c r="P27" s="241"/>
      <c r="Q27" s="271"/>
      <c r="R27" s="241"/>
      <c r="S27" s="270"/>
      <c r="T27" s="241"/>
      <c r="U27" s="246"/>
      <c r="V27" s="246"/>
      <c r="W27" s="271"/>
      <c r="X27" s="270"/>
      <c r="Y27" s="270"/>
      <c r="Z27" s="270"/>
      <c r="AA27" s="270"/>
      <c r="AB27" s="270"/>
      <c r="AC27" s="270"/>
      <c r="AD27" s="271"/>
      <c r="AE27" s="246">
        <v>16.354545454545452</v>
      </c>
      <c r="AF27" s="270"/>
      <c r="AG27" s="270"/>
      <c r="AH27" s="271"/>
      <c r="AI27" s="270"/>
      <c r="AJ27" s="270"/>
      <c r="AK27" s="271" t="s">
        <v>320</v>
      </c>
      <c r="AL27" s="246"/>
      <c r="AM27" s="246"/>
      <c r="AN27" s="246"/>
      <c r="AO27" s="241" t="s">
        <v>361</v>
      </c>
      <c r="AP27" s="272" t="s">
        <v>309</v>
      </c>
      <c r="AQ27" s="246"/>
      <c r="AR27" s="246"/>
      <c r="AS27" s="246" t="s">
        <v>768</v>
      </c>
    </row>
    <row r="28" spans="1:45" x14ac:dyDescent="0.3">
      <c r="A28" s="241">
        <v>10530</v>
      </c>
      <c r="B28" s="306">
        <v>43306</v>
      </c>
      <c r="C28" s="243" t="s">
        <v>322</v>
      </c>
      <c r="D28" s="244" t="s">
        <v>190</v>
      </c>
      <c r="E28" s="241"/>
      <c r="F28" s="241" t="s">
        <v>360</v>
      </c>
      <c r="G28" s="248">
        <v>43281</v>
      </c>
      <c r="H28" s="245" t="s">
        <v>324</v>
      </c>
      <c r="I28" s="245" t="s">
        <v>325</v>
      </c>
      <c r="J28" s="245"/>
      <c r="K28" s="241" t="s">
        <v>348</v>
      </c>
      <c r="L28" s="224" t="s">
        <v>387</v>
      </c>
      <c r="M28" s="246">
        <v>163.32727272727271</v>
      </c>
      <c r="N28" s="246">
        <v>29.5</v>
      </c>
      <c r="O28" s="241"/>
      <c r="P28" s="241"/>
      <c r="Q28" s="271"/>
      <c r="R28" s="241"/>
      <c r="S28" s="270"/>
      <c r="T28" s="241"/>
      <c r="U28" s="246"/>
      <c r="V28" s="246"/>
      <c r="W28" s="271"/>
      <c r="X28" s="270"/>
      <c r="Y28" s="270"/>
      <c r="Z28" s="270"/>
      <c r="AA28" s="270"/>
      <c r="AB28" s="270"/>
      <c r="AC28" s="270"/>
      <c r="AD28" s="271"/>
      <c r="AE28" s="246">
        <v>15.490909090909089</v>
      </c>
      <c r="AF28" s="270"/>
      <c r="AG28" s="270"/>
      <c r="AH28" s="271"/>
      <c r="AI28" s="270"/>
      <c r="AJ28" s="270"/>
      <c r="AK28" s="271" t="s">
        <v>320</v>
      </c>
      <c r="AL28" s="246"/>
      <c r="AM28" s="246"/>
      <c r="AN28" s="246"/>
      <c r="AO28" s="241" t="s">
        <v>361</v>
      </c>
      <c r="AP28" s="272" t="s">
        <v>309</v>
      </c>
      <c r="AQ28" s="246"/>
      <c r="AR28" s="246"/>
      <c r="AS28" s="246" t="s">
        <v>769</v>
      </c>
    </row>
    <row r="29" spans="1:45" x14ac:dyDescent="0.3">
      <c r="A29" s="241">
        <v>10346</v>
      </c>
      <c r="B29" s="306">
        <v>43306</v>
      </c>
      <c r="C29" s="243" t="s">
        <v>322</v>
      </c>
      <c r="D29" s="244" t="s">
        <v>190</v>
      </c>
      <c r="E29" s="241"/>
      <c r="F29" s="241" t="s">
        <v>360</v>
      </c>
      <c r="G29" s="248">
        <v>43284</v>
      </c>
      <c r="H29" s="245" t="s">
        <v>324</v>
      </c>
      <c r="I29" s="245" t="s">
        <v>325</v>
      </c>
      <c r="J29" s="245"/>
      <c r="K29" s="241" t="s">
        <v>406</v>
      </c>
      <c r="L29" s="224" t="s">
        <v>387</v>
      </c>
      <c r="M29" s="246">
        <v>172.33636363636361</v>
      </c>
      <c r="N29" s="246">
        <v>28.636363636363633</v>
      </c>
      <c r="O29" s="241"/>
      <c r="P29" s="241"/>
      <c r="Q29" s="271"/>
      <c r="R29" s="241"/>
      <c r="S29" s="270"/>
      <c r="T29" s="241"/>
      <c r="U29" s="246"/>
      <c r="V29" s="246"/>
      <c r="W29" s="271"/>
      <c r="X29" s="270"/>
      <c r="Y29" s="270"/>
      <c r="Z29" s="270"/>
      <c r="AA29" s="270"/>
      <c r="AB29" s="270"/>
      <c r="AC29" s="270"/>
      <c r="AD29" s="271"/>
      <c r="AE29" s="246">
        <v>15.854545454545454</v>
      </c>
      <c r="AF29" s="270"/>
      <c r="AG29" s="270"/>
      <c r="AH29" s="271"/>
      <c r="AI29" s="270"/>
      <c r="AJ29" s="270"/>
      <c r="AK29" s="271" t="s">
        <v>320</v>
      </c>
      <c r="AL29" s="246"/>
      <c r="AM29" s="246"/>
      <c r="AN29" s="246"/>
      <c r="AO29" s="241" t="s">
        <v>361</v>
      </c>
      <c r="AP29" s="272" t="s">
        <v>309</v>
      </c>
      <c r="AQ29" s="246"/>
      <c r="AR29" s="246"/>
      <c r="AS29" s="246" t="s">
        <v>770</v>
      </c>
    </row>
    <row r="30" spans="1:45" x14ac:dyDescent="0.3">
      <c r="A30" s="241">
        <v>10688</v>
      </c>
      <c r="B30" s="306">
        <v>43306</v>
      </c>
      <c r="C30" s="243" t="s">
        <v>322</v>
      </c>
      <c r="D30" s="244" t="s">
        <v>190</v>
      </c>
      <c r="E30" s="241"/>
      <c r="F30" s="241" t="s">
        <v>360</v>
      </c>
      <c r="G30" s="248">
        <v>43281</v>
      </c>
      <c r="H30" s="245" t="s">
        <v>324</v>
      </c>
      <c r="I30" s="245" t="s">
        <v>325</v>
      </c>
      <c r="J30" s="245"/>
      <c r="K30" s="241" t="s">
        <v>408</v>
      </c>
      <c r="L30" s="224" t="s">
        <v>387</v>
      </c>
      <c r="M30" s="246">
        <v>185.16363636363636</v>
      </c>
      <c r="N30" s="246">
        <v>27.972727272727269</v>
      </c>
      <c r="O30" s="241"/>
      <c r="P30" s="250"/>
      <c r="Q30" s="271"/>
      <c r="R30" s="241"/>
      <c r="S30" s="270"/>
      <c r="T30" s="241"/>
      <c r="U30" s="246"/>
      <c r="V30" s="246"/>
      <c r="W30" s="271"/>
      <c r="X30" s="270"/>
      <c r="Y30" s="270"/>
      <c r="Z30" s="270"/>
      <c r="AA30" s="270"/>
      <c r="AB30" s="270"/>
      <c r="AC30" s="270"/>
      <c r="AD30" s="271"/>
      <c r="AE30" s="246">
        <v>15.027272727272727</v>
      </c>
      <c r="AF30" s="270"/>
      <c r="AG30" s="270"/>
      <c r="AH30" s="271"/>
      <c r="AI30" s="270"/>
      <c r="AJ30" s="270"/>
      <c r="AK30" s="271" t="s">
        <v>320</v>
      </c>
      <c r="AL30" s="246"/>
      <c r="AM30" s="246"/>
      <c r="AN30" s="246"/>
      <c r="AO30" s="241" t="s">
        <v>361</v>
      </c>
      <c r="AP30" s="272" t="s">
        <v>309</v>
      </c>
      <c r="AQ30" s="246"/>
      <c r="AR30" s="246"/>
      <c r="AS30" s="246" t="s">
        <v>771</v>
      </c>
    </row>
    <row r="31" spans="1:45" x14ac:dyDescent="0.3">
      <c r="A31" s="241">
        <v>1410</v>
      </c>
      <c r="B31" s="306">
        <v>43306</v>
      </c>
      <c r="C31" s="243" t="s">
        <v>322</v>
      </c>
      <c r="D31" s="244" t="s">
        <v>190</v>
      </c>
      <c r="E31" s="241"/>
      <c r="F31" s="241" t="s">
        <v>360</v>
      </c>
      <c r="G31" s="248">
        <v>43281</v>
      </c>
      <c r="H31" s="245" t="s">
        <v>324</v>
      </c>
      <c r="I31" s="245" t="s">
        <v>325</v>
      </c>
      <c r="J31" s="245"/>
      <c r="K31" s="241" t="s">
        <v>410</v>
      </c>
      <c r="L31" s="224" t="s">
        <v>387</v>
      </c>
      <c r="M31" s="246">
        <v>160.99999999999997</v>
      </c>
      <c r="N31" s="246">
        <v>28.299999999999997</v>
      </c>
      <c r="O31" s="244"/>
      <c r="P31" s="241"/>
      <c r="Q31" s="271"/>
      <c r="R31" s="241"/>
      <c r="S31" s="270"/>
      <c r="T31" s="241"/>
      <c r="U31" s="246"/>
      <c r="V31" s="246"/>
      <c r="W31" s="271"/>
      <c r="X31" s="270"/>
      <c r="Y31" s="270"/>
      <c r="Z31" s="270"/>
      <c r="AA31" s="270"/>
      <c r="AB31" s="270"/>
      <c r="AC31" s="270"/>
      <c r="AD31" s="271"/>
      <c r="AE31" s="246">
        <v>17.899999999999999</v>
      </c>
      <c r="AF31" s="270"/>
      <c r="AG31" s="270"/>
      <c r="AH31" s="271"/>
      <c r="AI31" s="270"/>
      <c r="AJ31" s="270"/>
      <c r="AK31" s="271" t="s">
        <v>320</v>
      </c>
      <c r="AL31" s="246"/>
      <c r="AM31" s="246"/>
      <c r="AN31" s="246"/>
      <c r="AO31" s="241" t="s">
        <v>361</v>
      </c>
      <c r="AP31" s="272" t="s">
        <v>309</v>
      </c>
      <c r="AQ31" s="246"/>
      <c r="AR31" s="246"/>
      <c r="AS31" s="246" t="s">
        <v>772</v>
      </c>
    </row>
    <row r="32" spans="1:45" x14ac:dyDescent="0.3">
      <c r="A32" s="241">
        <v>3610</v>
      </c>
      <c r="B32" s="306">
        <v>43306</v>
      </c>
      <c r="C32" s="243" t="s">
        <v>322</v>
      </c>
      <c r="D32" s="244" t="s">
        <v>190</v>
      </c>
      <c r="E32" s="241"/>
      <c r="F32" s="241" t="s">
        <v>360</v>
      </c>
      <c r="G32" s="248">
        <v>43281</v>
      </c>
      <c r="H32" s="245" t="s">
        <v>324</v>
      </c>
      <c r="I32" s="245" t="s">
        <v>325</v>
      </c>
      <c r="J32" s="245"/>
      <c r="K32" s="241" t="s">
        <v>412</v>
      </c>
      <c r="L32" s="224" t="s">
        <v>387</v>
      </c>
      <c r="M32" s="246">
        <v>150.69090909090906</v>
      </c>
      <c r="N32" s="246">
        <v>30.199999999999996</v>
      </c>
      <c r="O32" s="244" t="s">
        <v>351</v>
      </c>
      <c r="P32" s="256">
        <v>1183</v>
      </c>
      <c r="Q32" s="246">
        <v>31.699999999999996</v>
      </c>
      <c r="R32" s="256">
        <v>1183</v>
      </c>
      <c r="S32" s="246">
        <v>31.699999999999996</v>
      </c>
      <c r="T32" s="241"/>
      <c r="U32" s="246"/>
      <c r="V32" s="246"/>
      <c r="W32" s="271"/>
      <c r="X32" s="270"/>
      <c r="Y32" s="270"/>
      <c r="Z32" s="270"/>
      <c r="AA32" s="270"/>
      <c r="AB32" s="270"/>
      <c r="AC32" s="270"/>
      <c r="AD32" s="271"/>
      <c r="AE32" s="246">
        <v>16.218181818181815</v>
      </c>
      <c r="AF32" s="270"/>
      <c r="AG32" s="270"/>
      <c r="AH32" s="271"/>
      <c r="AI32" s="270"/>
      <c r="AJ32" s="270"/>
      <c r="AK32" s="271" t="s">
        <v>320</v>
      </c>
      <c r="AL32" s="246"/>
      <c r="AM32" s="246"/>
      <c r="AN32" s="246"/>
      <c r="AO32" s="241" t="s">
        <v>361</v>
      </c>
      <c r="AP32" s="272" t="s">
        <v>309</v>
      </c>
      <c r="AQ32" s="246"/>
      <c r="AR32" s="246"/>
      <c r="AS32" s="246" t="s">
        <v>773</v>
      </c>
    </row>
    <row r="33" spans="1:51" x14ac:dyDescent="0.3">
      <c r="A33" s="241">
        <v>10381</v>
      </c>
      <c r="B33" s="306">
        <v>43306</v>
      </c>
      <c r="C33" s="243" t="s">
        <v>322</v>
      </c>
      <c r="D33" s="244" t="s">
        <v>190</v>
      </c>
      <c r="E33" s="241"/>
      <c r="F33" s="241" t="s">
        <v>360</v>
      </c>
      <c r="G33" s="248">
        <v>43281</v>
      </c>
      <c r="H33" s="245" t="s">
        <v>310</v>
      </c>
      <c r="I33" s="245" t="s">
        <v>309</v>
      </c>
      <c r="J33" s="245"/>
      <c r="K33" s="241" t="s">
        <v>239</v>
      </c>
      <c r="L33" s="224" t="s">
        <v>387</v>
      </c>
      <c r="M33" s="246">
        <v>183</v>
      </c>
      <c r="N33" s="246">
        <v>27.799999999999997</v>
      </c>
      <c r="O33" s="241" t="s">
        <v>351</v>
      </c>
      <c r="P33" s="241">
        <v>1350</v>
      </c>
      <c r="Q33" s="246">
        <v>32.299999999999997</v>
      </c>
      <c r="R33" s="155">
        <v>1350</v>
      </c>
      <c r="S33" s="246">
        <v>32.299999999999997</v>
      </c>
      <c r="T33" s="241"/>
      <c r="U33" s="246"/>
      <c r="V33" s="246"/>
      <c r="W33" s="271"/>
      <c r="X33" s="270"/>
      <c r="Y33" s="270"/>
      <c r="Z33" s="270"/>
      <c r="AA33" s="270"/>
      <c r="AB33" s="270"/>
      <c r="AC33" s="270"/>
      <c r="AD33" s="271"/>
      <c r="AE33" s="246">
        <v>12.7</v>
      </c>
      <c r="AF33" s="270"/>
      <c r="AG33" s="270"/>
      <c r="AH33" s="271"/>
      <c r="AI33" s="270"/>
      <c r="AJ33" s="270"/>
      <c r="AK33" s="271" t="s">
        <v>320</v>
      </c>
      <c r="AL33" s="246"/>
      <c r="AM33" s="246"/>
      <c r="AN33" s="246"/>
      <c r="AO33" s="241" t="s">
        <v>361</v>
      </c>
      <c r="AP33" s="272" t="s">
        <v>309</v>
      </c>
      <c r="AQ33" s="246"/>
      <c r="AR33" s="246"/>
      <c r="AS33" s="246" t="s">
        <v>774</v>
      </c>
    </row>
    <row r="34" spans="1:51" x14ac:dyDescent="0.3">
      <c r="A34" s="241">
        <v>9909</v>
      </c>
      <c r="B34" s="306">
        <v>43306</v>
      </c>
      <c r="C34" s="243" t="s">
        <v>322</v>
      </c>
      <c r="D34" s="244" t="s">
        <v>190</v>
      </c>
      <c r="E34" s="241"/>
      <c r="F34" s="241" t="s">
        <v>360</v>
      </c>
      <c r="G34" s="248">
        <v>43281</v>
      </c>
      <c r="H34" s="245" t="s">
        <v>324</v>
      </c>
      <c r="I34" s="245" t="s">
        <v>325</v>
      </c>
      <c r="J34" s="245"/>
      <c r="K34" s="244" t="s">
        <v>354</v>
      </c>
      <c r="L34" s="224" t="s">
        <v>387</v>
      </c>
      <c r="M34" s="246">
        <v>135</v>
      </c>
      <c r="N34" s="246">
        <v>30.590909090909086</v>
      </c>
      <c r="O34" s="241"/>
      <c r="P34" s="241"/>
      <c r="Q34" s="271"/>
      <c r="R34" s="241"/>
      <c r="S34" s="270"/>
      <c r="T34" s="241"/>
      <c r="U34" s="246"/>
      <c r="V34" s="246"/>
      <c r="W34" s="271"/>
      <c r="X34" s="270"/>
      <c r="Y34" s="270"/>
      <c r="Z34" s="270"/>
      <c r="AA34" s="270"/>
      <c r="AB34" s="270"/>
      <c r="AC34" s="270"/>
      <c r="AD34" s="271" t="s">
        <v>320</v>
      </c>
      <c r="AE34" s="246">
        <v>18.099999999999998</v>
      </c>
      <c r="AF34" s="270"/>
      <c r="AG34" s="270"/>
      <c r="AH34" s="271"/>
      <c r="AI34" s="270"/>
      <c r="AJ34" s="270"/>
      <c r="AK34" s="271" t="s">
        <v>320</v>
      </c>
      <c r="AL34" s="246"/>
      <c r="AM34" s="246"/>
      <c r="AN34" s="246"/>
      <c r="AO34" s="241" t="s">
        <v>361</v>
      </c>
      <c r="AP34" s="272" t="s">
        <v>309</v>
      </c>
      <c r="AQ34" s="246"/>
      <c r="AR34" s="246"/>
      <c r="AS34" s="246" t="s">
        <v>775</v>
      </c>
    </row>
    <row r="35" spans="1:51" x14ac:dyDescent="0.3">
      <c r="A35" s="241"/>
      <c r="B35" s="306">
        <v>43306</v>
      </c>
      <c r="C35" s="243" t="s">
        <v>322</v>
      </c>
      <c r="D35" s="244" t="s">
        <v>190</v>
      </c>
      <c r="E35" s="241"/>
      <c r="F35" s="241" t="s">
        <v>360</v>
      </c>
      <c r="G35" s="248">
        <v>43281</v>
      </c>
      <c r="H35" s="245" t="s">
        <v>309</v>
      </c>
      <c r="I35" s="245" t="s">
        <v>355</v>
      </c>
      <c r="J35" s="245"/>
      <c r="K35" s="241" t="s">
        <v>424</v>
      </c>
      <c r="L35" s="224" t="s">
        <v>387</v>
      </c>
      <c r="M35" s="246">
        <v>150.99999999999997</v>
      </c>
      <c r="N35" s="246">
        <v>29.349999999999994</v>
      </c>
      <c r="O35" s="241"/>
      <c r="P35" s="241"/>
      <c r="Q35" s="271"/>
      <c r="R35" s="241"/>
      <c r="S35" s="270"/>
      <c r="T35" s="241"/>
      <c r="U35" s="246"/>
      <c r="V35" s="246"/>
      <c r="W35" s="271"/>
      <c r="X35" s="270"/>
      <c r="Y35" s="270"/>
      <c r="Z35" s="270"/>
      <c r="AA35" s="270"/>
      <c r="AB35" s="270"/>
      <c r="AC35" s="270"/>
      <c r="AD35" s="271"/>
      <c r="AE35" s="246">
        <v>18.099999999999998</v>
      </c>
      <c r="AF35" s="270"/>
      <c r="AG35" s="270"/>
      <c r="AH35" s="271"/>
      <c r="AI35" s="270"/>
      <c r="AJ35" s="270"/>
      <c r="AK35" s="271"/>
      <c r="AL35" s="246"/>
      <c r="AM35" s="246"/>
      <c r="AN35" s="246"/>
      <c r="AO35" s="241" t="s">
        <v>361</v>
      </c>
      <c r="AP35" s="272" t="s">
        <v>309</v>
      </c>
      <c r="AQ35" s="246"/>
      <c r="AR35" s="246"/>
      <c r="AS35" s="246" t="s">
        <v>755</v>
      </c>
    </row>
    <row r="36" spans="1:51" x14ac:dyDescent="0.3">
      <c r="A36" s="241"/>
      <c r="B36" s="306">
        <v>43306</v>
      </c>
      <c r="C36" s="243" t="s">
        <v>322</v>
      </c>
      <c r="D36" s="244" t="s">
        <v>190</v>
      </c>
      <c r="E36" s="241"/>
      <c r="F36" s="241" t="s">
        <v>360</v>
      </c>
      <c r="G36" s="247">
        <v>43281</v>
      </c>
      <c r="H36" s="245" t="s">
        <v>310</v>
      </c>
      <c r="I36" s="245" t="s">
        <v>309</v>
      </c>
      <c r="J36" s="245"/>
      <c r="K36" s="244" t="s">
        <v>503</v>
      </c>
      <c r="L36" s="224" t="s">
        <v>387</v>
      </c>
      <c r="M36" s="246">
        <v>173</v>
      </c>
      <c r="N36" s="246">
        <v>28.299999999999997</v>
      </c>
      <c r="O36" s="244"/>
      <c r="P36" s="241"/>
      <c r="Q36" s="271"/>
      <c r="R36" s="241"/>
      <c r="S36" s="270"/>
      <c r="T36" s="241"/>
      <c r="U36" s="246"/>
      <c r="V36" s="246"/>
      <c r="W36" s="271"/>
      <c r="X36" s="270"/>
      <c r="Y36" s="270"/>
      <c r="Z36" s="270"/>
      <c r="AA36" s="270"/>
      <c r="AB36" s="270"/>
      <c r="AC36" s="270"/>
      <c r="AD36" s="271"/>
      <c r="AE36" s="246">
        <v>16.499999999999996</v>
      </c>
      <c r="AF36" s="270"/>
      <c r="AG36" s="270"/>
      <c r="AH36" s="271"/>
      <c r="AI36" s="270"/>
      <c r="AJ36" s="270"/>
      <c r="AK36" s="271"/>
      <c r="AL36" s="246"/>
      <c r="AM36" s="246"/>
      <c r="AN36" s="246"/>
      <c r="AO36" s="241" t="s">
        <v>311</v>
      </c>
      <c r="AP36" s="272" t="s">
        <v>309</v>
      </c>
      <c r="AQ36" s="246"/>
      <c r="AR36" s="246"/>
      <c r="AS36" s="241" t="s">
        <v>759</v>
      </c>
    </row>
    <row r="37" spans="1:51" x14ac:dyDescent="0.3">
      <c r="A37" s="241">
        <v>10429</v>
      </c>
      <c r="B37" s="306">
        <v>43306</v>
      </c>
      <c r="C37" s="243" t="s">
        <v>322</v>
      </c>
      <c r="D37" s="244" t="s">
        <v>190</v>
      </c>
      <c r="E37" s="241"/>
      <c r="F37" s="241" t="s">
        <v>367</v>
      </c>
      <c r="G37" s="247">
        <v>43284</v>
      </c>
      <c r="H37" s="245" t="s">
        <v>324</v>
      </c>
      <c r="I37" s="245" t="s">
        <v>325</v>
      </c>
      <c r="J37" s="245"/>
      <c r="K37" s="241" t="s">
        <v>326</v>
      </c>
      <c r="L37" s="224" t="s">
        <v>387</v>
      </c>
      <c r="M37" s="246">
        <v>160.5090909090909</v>
      </c>
      <c r="N37" s="246">
        <v>37.599999999999994</v>
      </c>
      <c r="O37" s="241"/>
      <c r="P37" s="241"/>
      <c r="Q37" s="271"/>
      <c r="R37" s="241"/>
      <c r="S37" s="270"/>
      <c r="T37" s="241"/>
      <c r="U37" s="246"/>
      <c r="V37" s="246"/>
      <c r="W37" s="246">
        <v>21.418181818181814</v>
      </c>
      <c r="X37" s="270"/>
      <c r="Y37" s="270"/>
      <c r="Z37" s="270"/>
      <c r="AA37" s="270"/>
      <c r="AB37" s="270"/>
      <c r="AC37" s="270"/>
      <c r="AD37" s="271"/>
      <c r="AE37" s="271"/>
      <c r="AF37" s="270"/>
      <c r="AG37" s="270"/>
      <c r="AH37" s="246">
        <v>36.654545454545449</v>
      </c>
      <c r="AI37" s="270"/>
      <c r="AJ37" s="270"/>
      <c r="AK37" s="271" t="s">
        <v>320</v>
      </c>
      <c r="AL37" s="246"/>
      <c r="AM37" s="246"/>
      <c r="AN37" s="246"/>
      <c r="AO37" s="241" t="s">
        <v>368</v>
      </c>
      <c r="AP37" s="272" t="s">
        <v>309</v>
      </c>
      <c r="AQ37" s="246"/>
      <c r="AR37" s="246"/>
      <c r="AS37" s="246" t="s">
        <v>776</v>
      </c>
    </row>
    <row r="38" spans="1:51" x14ac:dyDescent="0.3">
      <c r="A38" s="241">
        <v>10508</v>
      </c>
      <c r="B38" s="306">
        <v>43306</v>
      </c>
      <c r="C38" s="243" t="s">
        <v>322</v>
      </c>
      <c r="D38" s="244" t="s">
        <v>190</v>
      </c>
      <c r="E38" s="241"/>
      <c r="F38" s="241" t="s">
        <v>367</v>
      </c>
      <c r="G38" s="247">
        <v>43281</v>
      </c>
      <c r="H38" s="245" t="s">
        <v>324</v>
      </c>
      <c r="I38" s="245" t="s">
        <v>325</v>
      </c>
      <c r="J38" s="245"/>
      <c r="K38" s="241" t="s">
        <v>328</v>
      </c>
      <c r="L38" s="224" t="s">
        <v>387</v>
      </c>
      <c r="M38" s="246">
        <v>146.93636363636361</v>
      </c>
      <c r="N38" s="246">
        <v>39.454545454545453</v>
      </c>
      <c r="O38" s="241"/>
      <c r="P38" s="241"/>
      <c r="Q38" s="271"/>
      <c r="R38" s="241"/>
      <c r="S38" s="270"/>
      <c r="T38" s="241"/>
      <c r="U38" s="246"/>
      <c r="V38" s="246"/>
      <c r="W38" s="246">
        <v>21.890909090909087</v>
      </c>
      <c r="X38" s="270"/>
      <c r="Y38" s="270"/>
      <c r="Z38" s="270"/>
      <c r="AA38" s="270"/>
      <c r="AB38" s="270"/>
      <c r="AC38" s="270"/>
      <c r="AD38" s="271"/>
      <c r="AE38" s="271"/>
      <c r="AF38" s="270"/>
      <c r="AG38" s="270"/>
      <c r="AH38" s="246">
        <v>37.263636363636365</v>
      </c>
      <c r="AI38" s="270"/>
      <c r="AJ38" s="270"/>
      <c r="AK38" s="271" t="s">
        <v>320</v>
      </c>
      <c r="AL38" s="246"/>
      <c r="AM38" s="246"/>
      <c r="AN38" s="246"/>
      <c r="AO38" s="241" t="s">
        <v>368</v>
      </c>
      <c r="AP38" s="272" t="s">
        <v>309</v>
      </c>
      <c r="AQ38" s="246"/>
      <c r="AR38" s="246"/>
      <c r="AS38" s="246" t="s">
        <v>777</v>
      </c>
    </row>
    <row r="39" spans="1:51" x14ac:dyDescent="0.3">
      <c r="A39" s="241">
        <v>4661</v>
      </c>
      <c r="B39" s="306">
        <v>43306</v>
      </c>
      <c r="C39" s="243" t="s">
        <v>322</v>
      </c>
      <c r="D39" s="244" t="s">
        <v>190</v>
      </c>
      <c r="E39" s="241"/>
      <c r="F39" s="241" t="s">
        <v>367</v>
      </c>
      <c r="G39" s="248">
        <v>43281</v>
      </c>
      <c r="H39" s="245" t="s">
        <v>324</v>
      </c>
      <c r="I39" s="245" t="s">
        <v>325</v>
      </c>
      <c r="J39" s="245"/>
      <c r="K39" s="241" t="s">
        <v>331</v>
      </c>
      <c r="L39" s="224" t="s">
        <v>387</v>
      </c>
      <c r="M39" s="246">
        <v>119.99999999999999</v>
      </c>
      <c r="N39" s="246">
        <v>45.199999999999996</v>
      </c>
      <c r="O39" s="241"/>
      <c r="P39" s="241"/>
      <c r="Q39" s="271"/>
      <c r="R39" s="241"/>
      <c r="S39" s="270"/>
      <c r="T39" s="241"/>
      <c r="U39" s="246"/>
      <c r="V39" s="246"/>
      <c r="W39" s="246">
        <v>24.099999999999998</v>
      </c>
      <c r="X39" s="270"/>
      <c r="Y39" s="270"/>
      <c r="Z39" s="270"/>
      <c r="AA39" s="270"/>
      <c r="AB39" s="270"/>
      <c r="AC39" s="270"/>
      <c r="AD39" s="271"/>
      <c r="AE39" s="271"/>
      <c r="AF39" s="270"/>
      <c r="AG39" s="270"/>
      <c r="AH39" s="246">
        <v>38.200000000000003</v>
      </c>
      <c r="AI39" s="270"/>
      <c r="AJ39" s="270"/>
      <c r="AK39" s="271" t="s">
        <v>320</v>
      </c>
      <c r="AL39" s="246"/>
      <c r="AM39" s="246"/>
      <c r="AN39" s="246"/>
      <c r="AO39" s="241" t="s">
        <v>368</v>
      </c>
      <c r="AP39" s="272" t="s">
        <v>309</v>
      </c>
      <c r="AQ39" s="246"/>
      <c r="AR39" s="246"/>
      <c r="AS39" s="246" t="s">
        <v>778</v>
      </c>
    </row>
    <row r="40" spans="1:51" x14ac:dyDescent="0.3">
      <c r="A40" s="241">
        <v>1492</v>
      </c>
      <c r="B40" s="306">
        <v>43306</v>
      </c>
      <c r="C40" s="243" t="s">
        <v>322</v>
      </c>
      <c r="D40" s="244" t="s">
        <v>190</v>
      </c>
      <c r="E40" s="241"/>
      <c r="F40" s="241" t="s">
        <v>367</v>
      </c>
      <c r="G40" s="248">
        <v>43281</v>
      </c>
      <c r="H40" s="245" t="s">
        <v>324</v>
      </c>
      <c r="I40" s="245" t="s">
        <v>325</v>
      </c>
      <c r="J40" s="245"/>
      <c r="K40" s="241" t="s">
        <v>397</v>
      </c>
      <c r="L40" s="224" t="s">
        <v>387</v>
      </c>
      <c r="M40" s="246">
        <v>218.0090909090909</v>
      </c>
      <c r="N40" s="246">
        <v>30.345454545454544</v>
      </c>
      <c r="O40" s="241"/>
      <c r="P40" s="241"/>
      <c r="Q40" s="271"/>
      <c r="R40" s="241"/>
      <c r="S40" s="271"/>
      <c r="T40" s="241"/>
      <c r="U40" s="246" t="s">
        <v>320</v>
      </c>
      <c r="V40" s="246" t="s">
        <v>320</v>
      </c>
      <c r="W40" s="246">
        <v>19.427272727272726</v>
      </c>
      <c r="X40" s="270"/>
      <c r="Y40" s="270"/>
      <c r="Z40" s="270"/>
      <c r="AA40" s="270"/>
      <c r="AB40" s="270"/>
      <c r="AC40" s="270"/>
      <c r="AD40" s="271"/>
      <c r="AE40" s="271"/>
      <c r="AF40" s="270"/>
      <c r="AG40" s="270"/>
      <c r="AH40" s="246">
        <v>27.299999999999997</v>
      </c>
      <c r="AI40" s="270"/>
      <c r="AJ40" s="270"/>
      <c r="AK40" s="271" t="s">
        <v>320</v>
      </c>
      <c r="AL40" s="246"/>
      <c r="AM40" s="246"/>
      <c r="AN40" s="246"/>
      <c r="AO40" s="241" t="s">
        <v>368</v>
      </c>
      <c r="AP40" s="272" t="s">
        <v>309</v>
      </c>
      <c r="AQ40" s="246"/>
      <c r="AR40" s="246"/>
      <c r="AS40" s="246" t="s">
        <v>779</v>
      </c>
    </row>
    <row r="41" spans="1:51" x14ac:dyDescent="0.3">
      <c r="A41" s="241">
        <v>10277</v>
      </c>
      <c r="B41" s="306">
        <v>43306</v>
      </c>
      <c r="C41" s="243" t="s">
        <v>322</v>
      </c>
      <c r="D41" s="244" t="s">
        <v>190</v>
      </c>
      <c r="E41" s="241"/>
      <c r="F41" s="241" t="s">
        <v>367</v>
      </c>
      <c r="G41" s="248">
        <v>43281</v>
      </c>
      <c r="H41" s="245" t="s">
        <v>324</v>
      </c>
      <c r="I41" s="245" t="s">
        <v>325</v>
      </c>
      <c r="J41" s="245"/>
      <c r="K41" s="241" t="s">
        <v>340</v>
      </c>
      <c r="L41" s="224" t="s">
        <v>387</v>
      </c>
      <c r="M41" s="246">
        <v>152.5</v>
      </c>
      <c r="N41" s="246">
        <v>40.581818181818178</v>
      </c>
      <c r="O41" s="241"/>
      <c r="P41" s="241"/>
      <c r="Q41" s="271"/>
      <c r="R41" s="241"/>
      <c r="S41" s="270"/>
      <c r="T41" s="241"/>
      <c r="U41" s="246" t="s">
        <v>320</v>
      </c>
      <c r="V41" s="246" t="s">
        <v>320</v>
      </c>
      <c r="W41" s="246">
        <v>22.890909090909087</v>
      </c>
      <c r="X41" s="270"/>
      <c r="Y41" s="270"/>
      <c r="Z41" s="270"/>
      <c r="AA41" s="270"/>
      <c r="AB41" s="270"/>
      <c r="AC41" s="270"/>
      <c r="AD41" s="271"/>
      <c r="AE41" s="271"/>
      <c r="AF41" s="270"/>
      <c r="AG41" s="270"/>
      <c r="AH41" s="246">
        <v>33.472727272727269</v>
      </c>
      <c r="AI41" s="270"/>
      <c r="AJ41" s="270"/>
      <c r="AK41" s="271" t="s">
        <v>320</v>
      </c>
      <c r="AL41" s="246"/>
      <c r="AM41" s="246"/>
      <c r="AN41" s="246"/>
      <c r="AO41" s="241" t="s">
        <v>368</v>
      </c>
      <c r="AP41" s="272" t="s">
        <v>309</v>
      </c>
      <c r="AQ41" s="246"/>
      <c r="AR41" s="246"/>
      <c r="AS41" s="246" t="s">
        <v>780</v>
      </c>
    </row>
    <row r="42" spans="1:51" x14ac:dyDescent="0.3">
      <c r="A42" s="241">
        <v>4382</v>
      </c>
      <c r="B42" s="306">
        <v>43306</v>
      </c>
      <c r="C42" s="243" t="s">
        <v>322</v>
      </c>
      <c r="D42" s="244" t="s">
        <v>190</v>
      </c>
      <c r="E42" s="241"/>
      <c r="F42" s="241" t="s">
        <v>367</v>
      </c>
      <c r="G42" s="248">
        <v>43281</v>
      </c>
      <c r="H42" s="245" t="s">
        <v>324</v>
      </c>
      <c r="I42" s="245" t="s">
        <v>325</v>
      </c>
      <c r="J42" s="245"/>
      <c r="K42" s="241" t="s">
        <v>403</v>
      </c>
      <c r="L42" s="224" t="s">
        <v>387</v>
      </c>
      <c r="M42" s="246">
        <v>150</v>
      </c>
      <c r="N42" s="246">
        <v>37.772727272727266</v>
      </c>
      <c r="O42" s="241"/>
      <c r="P42" s="241"/>
      <c r="Q42" s="271"/>
      <c r="R42" s="271"/>
      <c r="S42" s="271"/>
      <c r="T42" s="241"/>
      <c r="U42" s="246" t="s">
        <v>320</v>
      </c>
      <c r="V42" s="246" t="s">
        <v>320</v>
      </c>
      <c r="W42" s="246">
        <v>23.954545454545453</v>
      </c>
      <c r="X42" s="270"/>
      <c r="Y42" s="270"/>
      <c r="Z42" s="270"/>
      <c r="AA42" s="270"/>
      <c r="AB42" s="270"/>
      <c r="AC42" s="270"/>
      <c r="AD42" s="271"/>
      <c r="AE42" s="271"/>
      <c r="AF42" s="270"/>
      <c r="AG42" s="270"/>
      <c r="AH42" s="246">
        <v>33.86363636363636</v>
      </c>
      <c r="AI42" s="270"/>
      <c r="AJ42" s="270"/>
      <c r="AK42" s="271" t="s">
        <v>320</v>
      </c>
      <c r="AL42" s="246"/>
      <c r="AM42" s="246"/>
      <c r="AN42" s="246"/>
      <c r="AO42" s="241" t="s">
        <v>368</v>
      </c>
      <c r="AP42" s="272" t="s">
        <v>309</v>
      </c>
      <c r="AQ42" s="246"/>
      <c r="AR42" s="246"/>
      <c r="AS42" s="246" t="s">
        <v>781</v>
      </c>
    </row>
    <row r="43" spans="1:51" x14ac:dyDescent="0.3">
      <c r="A43" s="241">
        <v>10532</v>
      </c>
      <c r="B43" s="306">
        <v>43306</v>
      </c>
      <c r="C43" s="243" t="s">
        <v>322</v>
      </c>
      <c r="D43" s="244" t="s">
        <v>190</v>
      </c>
      <c r="E43" s="241"/>
      <c r="F43" s="241" t="s">
        <v>367</v>
      </c>
      <c r="G43" s="248">
        <v>43281</v>
      </c>
      <c r="H43" s="245" t="s">
        <v>324</v>
      </c>
      <c r="I43" s="245" t="s">
        <v>325</v>
      </c>
      <c r="J43" s="245"/>
      <c r="K43" s="241" t="s">
        <v>348</v>
      </c>
      <c r="L43" s="224" t="s">
        <v>387</v>
      </c>
      <c r="M43" s="246">
        <v>145.19090909090909</v>
      </c>
      <c r="N43" s="246">
        <v>38.699999999999996</v>
      </c>
      <c r="O43" s="241"/>
      <c r="P43" s="241"/>
      <c r="Q43" s="271"/>
      <c r="R43" s="241"/>
      <c r="S43" s="270"/>
      <c r="T43" s="241"/>
      <c r="U43" s="246" t="s">
        <v>320</v>
      </c>
      <c r="V43" s="246" t="s">
        <v>320</v>
      </c>
      <c r="W43" s="246">
        <v>22.599999999999998</v>
      </c>
      <c r="X43" s="270"/>
      <c r="Y43" s="270"/>
      <c r="Z43" s="270"/>
      <c r="AA43" s="270"/>
      <c r="AB43" s="270"/>
      <c r="AC43" s="270"/>
      <c r="AD43" s="271" t="s">
        <v>320</v>
      </c>
      <c r="AE43" s="271"/>
      <c r="AF43" s="270"/>
      <c r="AG43" s="270"/>
      <c r="AH43" s="246">
        <v>37.036363636363632</v>
      </c>
      <c r="AI43" s="270"/>
      <c r="AJ43" s="270"/>
      <c r="AK43" s="271" t="s">
        <v>320</v>
      </c>
      <c r="AL43" s="246"/>
      <c r="AM43" s="246"/>
      <c r="AN43" s="246"/>
      <c r="AO43" s="241" t="s">
        <v>368</v>
      </c>
      <c r="AP43" s="272" t="s">
        <v>309</v>
      </c>
      <c r="AQ43" s="246"/>
      <c r="AR43" s="246"/>
      <c r="AS43" s="246" t="s">
        <v>782</v>
      </c>
      <c r="AT43" s="276"/>
      <c r="AU43" s="246"/>
      <c r="AV43" s="241"/>
      <c r="AW43" s="245"/>
      <c r="AX43" s="245"/>
      <c r="AY43" s="245"/>
    </row>
    <row r="44" spans="1:51" x14ac:dyDescent="0.3">
      <c r="A44" s="241">
        <v>10348</v>
      </c>
      <c r="B44" s="306">
        <v>43306</v>
      </c>
      <c r="C44" s="243" t="s">
        <v>322</v>
      </c>
      <c r="D44" s="244" t="s">
        <v>190</v>
      </c>
      <c r="E44" s="241"/>
      <c r="F44" s="241" t="s">
        <v>367</v>
      </c>
      <c r="G44" s="248">
        <v>43284</v>
      </c>
      <c r="H44" s="245" t="s">
        <v>324</v>
      </c>
      <c r="I44" s="245" t="s">
        <v>325</v>
      </c>
      <c r="J44" s="245"/>
      <c r="K44" s="241" t="s">
        <v>406</v>
      </c>
      <c r="L44" s="224" t="s">
        <v>387</v>
      </c>
      <c r="M44" s="246">
        <v>160.5090909090909</v>
      </c>
      <c r="N44" s="246">
        <v>37.599999999999994</v>
      </c>
      <c r="O44" s="241"/>
      <c r="P44" s="241"/>
      <c r="Q44" s="271"/>
      <c r="R44" s="241"/>
      <c r="S44" s="270"/>
      <c r="T44" s="241"/>
      <c r="U44" s="246"/>
      <c r="V44" s="246"/>
      <c r="W44" s="246">
        <v>21.418181818181814</v>
      </c>
      <c r="X44" s="270"/>
      <c r="Y44" s="270"/>
      <c r="Z44" s="270"/>
      <c r="AA44" s="270"/>
      <c r="AB44" s="270"/>
      <c r="AC44" s="270"/>
      <c r="AD44" s="271"/>
      <c r="AE44" s="271"/>
      <c r="AF44" s="270"/>
      <c r="AG44" s="270"/>
      <c r="AH44" s="246">
        <v>36.654545454545449</v>
      </c>
      <c r="AI44" s="270"/>
      <c r="AJ44" s="270"/>
      <c r="AK44" s="271" t="s">
        <v>320</v>
      </c>
      <c r="AL44" s="246"/>
      <c r="AM44" s="246"/>
      <c r="AN44" s="246"/>
      <c r="AO44" s="241" t="s">
        <v>368</v>
      </c>
      <c r="AP44" s="272" t="s">
        <v>309</v>
      </c>
      <c r="AQ44" s="246"/>
      <c r="AR44" s="246"/>
      <c r="AS44" s="246" t="s">
        <v>783</v>
      </c>
    </row>
    <row r="45" spans="1:51" x14ac:dyDescent="0.3">
      <c r="A45" s="241">
        <v>10690</v>
      </c>
      <c r="B45" s="306">
        <v>43306</v>
      </c>
      <c r="C45" s="243" t="s">
        <v>322</v>
      </c>
      <c r="D45" s="244" t="s">
        <v>190</v>
      </c>
      <c r="E45" s="241"/>
      <c r="F45" s="241" t="s">
        <v>367</v>
      </c>
      <c r="G45" s="248">
        <v>43281</v>
      </c>
      <c r="H45" s="245" t="s">
        <v>324</v>
      </c>
      <c r="I45" s="245" t="s">
        <v>325</v>
      </c>
      <c r="J45" s="245"/>
      <c r="K45" s="241" t="s">
        <v>408</v>
      </c>
      <c r="L45" s="224" t="s">
        <v>387</v>
      </c>
      <c r="M45" s="246">
        <v>168.33636363636361</v>
      </c>
      <c r="N45" s="246">
        <v>35.409090909090907</v>
      </c>
      <c r="O45" s="241"/>
      <c r="P45" s="241"/>
      <c r="Q45" s="271"/>
      <c r="R45" s="241"/>
      <c r="S45" s="270"/>
      <c r="T45" s="241"/>
      <c r="U45" s="246" t="s">
        <v>320</v>
      </c>
      <c r="V45" s="246" t="s">
        <v>320</v>
      </c>
      <c r="W45" s="246">
        <v>22.427272727272726</v>
      </c>
      <c r="X45" s="270"/>
      <c r="Y45" s="270"/>
      <c r="Z45" s="270"/>
      <c r="AA45" s="270"/>
      <c r="AB45" s="270"/>
      <c r="AC45" s="270"/>
      <c r="AD45" s="271"/>
      <c r="AE45" s="271"/>
      <c r="AF45" s="270"/>
      <c r="AG45" s="270"/>
      <c r="AH45" s="246">
        <v>33.054545454545455</v>
      </c>
      <c r="AI45" s="270"/>
      <c r="AJ45" s="270"/>
      <c r="AK45" s="271" t="s">
        <v>320</v>
      </c>
      <c r="AL45" s="246"/>
      <c r="AM45" s="246"/>
      <c r="AN45" s="246"/>
      <c r="AO45" s="241" t="s">
        <v>368</v>
      </c>
      <c r="AP45" s="272" t="s">
        <v>309</v>
      </c>
      <c r="AQ45" s="246"/>
      <c r="AR45" s="246"/>
      <c r="AS45" s="246" t="s">
        <v>784</v>
      </c>
    </row>
    <row r="46" spans="1:51" x14ac:dyDescent="0.3">
      <c r="A46" s="241">
        <v>1412</v>
      </c>
      <c r="B46" s="306">
        <v>43306</v>
      </c>
      <c r="C46" s="243" t="s">
        <v>322</v>
      </c>
      <c r="D46" s="244" t="s">
        <v>190</v>
      </c>
      <c r="E46" s="241"/>
      <c r="F46" s="241" t="s">
        <v>367</v>
      </c>
      <c r="G46" s="248">
        <v>43281</v>
      </c>
      <c r="H46" s="245" t="s">
        <v>324</v>
      </c>
      <c r="I46" s="245" t="s">
        <v>325</v>
      </c>
      <c r="J46" s="245"/>
      <c r="K46" s="241" t="s">
        <v>410</v>
      </c>
      <c r="L46" s="224" t="s">
        <v>387</v>
      </c>
      <c r="M46" s="246">
        <v>160.99999999999997</v>
      </c>
      <c r="N46" s="246">
        <v>40.499999999999993</v>
      </c>
      <c r="O46" s="244"/>
      <c r="P46" s="241"/>
      <c r="Q46" s="271"/>
      <c r="R46" s="241"/>
      <c r="S46" s="270"/>
      <c r="T46" s="241"/>
      <c r="U46" s="246" t="s">
        <v>320</v>
      </c>
      <c r="V46" s="246" t="s">
        <v>320</v>
      </c>
      <c r="W46" s="246">
        <v>23.399999999999995</v>
      </c>
      <c r="X46" s="270"/>
      <c r="Y46" s="270"/>
      <c r="Z46" s="270"/>
      <c r="AA46" s="270"/>
      <c r="AB46" s="270"/>
      <c r="AC46" s="270"/>
      <c r="AD46" s="271"/>
      <c r="AE46" s="271"/>
      <c r="AF46" s="270"/>
      <c r="AG46" s="270"/>
      <c r="AH46" s="246">
        <v>29.5</v>
      </c>
      <c r="AI46" s="270"/>
      <c r="AJ46" s="270"/>
      <c r="AK46" s="271" t="s">
        <v>320</v>
      </c>
      <c r="AL46" s="246"/>
      <c r="AM46" s="246"/>
      <c r="AN46" s="246"/>
      <c r="AO46" s="241" t="s">
        <v>368</v>
      </c>
      <c r="AP46" s="272" t="s">
        <v>309</v>
      </c>
      <c r="AQ46" s="246"/>
      <c r="AR46" s="246"/>
      <c r="AS46" s="246" t="s">
        <v>785</v>
      </c>
    </row>
    <row r="47" spans="1:51" x14ac:dyDescent="0.3">
      <c r="A47" s="241">
        <v>3612</v>
      </c>
      <c r="B47" s="306">
        <v>43306</v>
      </c>
      <c r="C47" s="243" t="s">
        <v>322</v>
      </c>
      <c r="D47" s="244" t="s">
        <v>190</v>
      </c>
      <c r="E47" s="241"/>
      <c r="F47" s="241" t="s">
        <v>367</v>
      </c>
      <c r="G47" s="248">
        <v>43281</v>
      </c>
      <c r="H47" s="245" t="s">
        <v>324</v>
      </c>
      <c r="I47" s="245" t="s">
        <v>325</v>
      </c>
      <c r="J47" s="245"/>
      <c r="K47" s="241" t="s">
        <v>412</v>
      </c>
      <c r="L47" s="224" t="s">
        <v>387</v>
      </c>
      <c r="M47" s="246">
        <v>143.69999999999999</v>
      </c>
      <c r="N47" s="246">
        <v>44.999999999999993</v>
      </c>
      <c r="O47" s="241"/>
      <c r="P47" s="241"/>
      <c r="Q47" s="271"/>
      <c r="R47" s="241"/>
      <c r="S47" s="270"/>
      <c r="T47" s="241"/>
      <c r="U47" s="246" t="s">
        <v>320</v>
      </c>
      <c r="V47" s="246" t="s">
        <v>320</v>
      </c>
      <c r="W47" s="246">
        <v>24.27272727272727</v>
      </c>
      <c r="X47" s="270"/>
      <c r="Y47" s="270"/>
      <c r="Z47" s="270"/>
      <c r="AA47" s="270"/>
      <c r="AB47" s="270"/>
      <c r="AC47" s="270"/>
      <c r="AD47" s="271"/>
      <c r="AE47" s="271"/>
      <c r="AF47" s="270"/>
      <c r="AG47" s="270"/>
      <c r="AH47" s="246">
        <v>30.763636363636365</v>
      </c>
      <c r="AI47" s="270"/>
      <c r="AJ47" s="270"/>
      <c r="AK47" s="271" t="s">
        <v>320</v>
      </c>
      <c r="AL47" s="246"/>
      <c r="AM47" s="246"/>
      <c r="AN47" s="246"/>
      <c r="AO47" s="241" t="s">
        <v>368</v>
      </c>
      <c r="AP47" s="272" t="s">
        <v>309</v>
      </c>
      <c r="AQ47" s="246"/>
      <c r="AR47" s="246"/>
      <c r="AS47" s="246" t="s">
        <v>786</v>
      </c>
    </row>
    <row r="48" spans="1:51" x14ac:dyDescent="0.3">
      <c r="A48" s="241">
        <v>10383</v>
      </c>
      <c r="B48" s="306">
        <v>43306</v>
      </c>
      <c r="C48" s="243" t="s">
        <v>322</v>
      </c>
      <c r="D48" s="244" t="s">
        <v>190</v>
      </c>
      <c r="E48" s="241"/>
      <c r="F48" s="241" t="s">
        <v>367</v>
      </c>
      <c r="G48" s="248">
        <v>43281</v>
      </c>
      <c r="H48" s="245" t="s">
        <v>310</v>
      </c>
      <c r="I48" s="245" t="s">
        <v>309</v>
      </c>
      <c r="J48" s="245"/>
      <c r="K48" s="241" t="s">
        <v>239</v>
      </c>
      <c r="L48" s="224" t="s">
        <v>387</v>
      </c>
      <c r="M48" s="246">
        <v>170</v>
      </c>
      <c r="N48" s="246">
        <v>34.9</v>
      </c>
      <c r="O48" s="241"/>
      <c r="P48" s="241"/>
      <c r="Q48" s="271"/>
      <c r="R48" s="241"/>
      <c r="S48" s="270"/>
      <c r="T48" s="241"/>
      <c r="U48" s="246" t="s">
        <v>320</v>
      </c>
      <c r="V48" s="246" t="s">
        <v>320</v>
      </c>
      <c r="W48" s="246">
        <v>22.3</v>
      </c>
      <c r="X48" s="270"/>
      <c r="Y48" s="270"/>
      <c r="Z48" s="270"/>
      <c r="AA48" s="270"/>
      <c r="AB48" s="270"/>
      <c r="AC48" s="270"/>
      <c r="AD48" s="271"/>
      <c r="AE48" s="271"/>
      <c r="AF48" s="270"/>
      <c r="AG48" s="270"/>
      <c r="AH48" s="246">
        <v>32.9</v>
      </c>
      <c r="AI48" s="270"/>
      <c r="AJ48" s="270"/>
      <c r="AK48" s="271" t="s">
        <v>320</v>
      </c>
      <c r="AL48" s="246"/>
      <c r="AM48" s="246"/>
      <c r="AN48" s="246"/>
      <c r="AO48" s="241" t="s">
        <v>368</v>
      </c>
      <c r="AP48" s="272" t="s">
        <v>309</v>
      </c>
      <c r="AQ48" s="246"/>
      <c r="AR48" s="246"/>
      <c r="AS48" s="246" t="s">
        <v>787</v>
      </c>
    </row>
    <row r="49" spans="1:45" x14ac:dyDescent="0.3">
      <c r="A49" s="241"/>
      <c r="B49" s="306">
        <v>43306</v>
      </c>
      <c r="C49" s="243" t="s">
        <v>322</v>
      </c>
      <c r="D49" s="244" t="s">
        <v>190</v>
      </c>
      <c r="E49" s="241"/>
      <c r="F49" s="241" t="s">
        <v>367</v>
      </c>
      <c r="G49" s="248">
        <v>43281</v>
      </c>
      <c r="H49" s="245" t="s">
        <v>309</v>
      </c>
      <c r="I49" s="245" t="s">
        <v>355</v>
      </c>
      <c r="J49" s="245"/>
      <c r="K49" s="241" t="s">
        <v>424</v>
      </c>
      <c r="L49" s="224" t="s">
        <v>387</v>
      </c>
      <c r="M49" s="246">
        <v>155</v>
      </c>
      <c r="N49" s="246">
        <v>39.199999999999996</v>
      </c>
      <c r="O49" s="241"/>
      <c r="P49" s="241"/>
      <c r="Q49" s="271"/>
      <c r="R49" s="241"/>
      <c r="S49" s="270"/>
      <c r="T49" s="241"/>
      <c r="U49" s="246"/>
      <c r="V49" s="246"/>
      <c r="W49" s="246">
        <v>22.099999999999998</v>
      </c>
      <c r="X49" s="270"/>
      <c r="Y49" s="270"/>
      <c r="Z49" s="270"/>
      <c r="AA49" s="270"/>
      <c r="AB49" s="270"/>
      <c r="AC49" s="270"/>
      <c r="AD49" s="271"/>
      <c r="AE49" s="271"/>
      <c r="AF49" s="270"/>
      <c r="AG49" s="270"/>
      <c r="AH49" s="246">
        <v>35</v>
      </c>
      <c r="AI49" s="270"/>
      <c r="AJ49" s="270"/>
      <c r="AK49" s="271"/>
      <c r="AL49" s="246"/>
      <c r="AM49" s="246"/>
      <c r="AN49" s="246"/>
      <c r="AO49" s="241" t="s">
        <v>368</v>
      </c>
      <c r="AP49" s="272" t="s">
        <v>309</v>
      </c>
      <c r="AQ49" s="246"/>
      <c r="AR49" s="246"/>
      <c r="AS49" s="342" t="s">
        <v>755</v>
      </c>
    </row>
    <row r="50" spans="1:45" x14ac:dyDescent="0.3">
      <c r="A50" s="241"/>
      <c r="B50" s="306">
        <v>43306</v>
      </c>
      <c r="C50" s="243" t="s">
        <v>322</v>
      </c>
      <c r="D50" s="244" t="s">
        <v>190</v>
      </c>
      <c r="E50" s="241"/>
      <c r="F50" s="241" t="s">
        <v>367</v>
      </c>
      <c r="G50" s="247">
        <v>43281</v>
      </c>
      <c r="H50" s="245" t="s">
        <v>310</v>
      </c>
      <c r="I50" s="245" t="s">
        <v>309</v>
      </c>
      <c r="J50" s="245"/>
      <c r="K50" s="244" t="s">
        <v>503</v>
      </c>
      <c r="L50" s="224" t="s">
        <v>387</v>
      </c>
      <c r="M50" s="246">
        <v>160</v>
      </c>
      <c r="N50" s="246">
        <v>35.68181818181818</v>
      </c>
      <c r="O50" s="244"/>
      <c r="P50" s="241"/>
      <c r="Q50" s="271"/>
      <c r="R50" s="241"/>
      <c r="S50" s="270"/>
      <c r="T50" s="241"/>
      <c r="U50" s="246"/>
      <c r="V50" s="246"/>
      <c r="W50" s="246">
        <v>23.836363636363632</v>
      </c>
      <c r="X50" s="270"/>
      <c r="Y50" s="270"/>
      <c r="Z50" s="270"/>
      <c r="AA50" s="270"/>
      <c r="AB50" s="270"/>
      <c r="AC50" s="270"/>
      <c r="AD50" s="271"/>
      <c r="AE50" s="271"/>
      <c r="AF50" s="270"/>
      <c r="AG50" s="270"/>
      <c r="AH50" s="246">
        <v>32.781818181818181</v>
      </c>
      <c r="AI50" s="270"/>
      <c r="AJ50" s="270"/>
      <c r="AK50" s="271"/>
      <c r="AL50" s="246"/>
      <c r="AM50" s="246"/>
      <c r="AN50" s="246"/>
      <c r="AO50" s="241" t="s">
        <v>368</v>
      </c>
      <c r="AP50" s="272" t="s">
        <v>309</v>
      </c>
      <c r="AQ50" s="246"/>
      <c r="AR50" s="246"/>
      <c r="AS50" s="241" t="s">
        <v>760</v>
      </c>
    </row>
    <row r="55" spans="1:45" x14ac:dyDescent="0.3">
      <c r="M55">
        <f>1368*4</f>
        <v>5472</v>
      </c>
    </row>
  </sheetData>
  <sheetProtection algorithmName="SHA-512" hashValue="Mt8jAPO92JILVe4d2ozXQKzumGBW8UEpB16ggIv3SqbnzTGkfRlPDnQweLiqdHwZtecYIhR1hZtHgO9Vwotu1A==" saltValue="F5QK6VFItqfPv+vCba9+GQ==" spinCount="100000" sheet="1" objects="1" scenarios="1"/>
  <hyperlinks>
    <hyperlink ref="AS49" r:id="rId1" location="Essential-Energy-Network" xr:uid="{CDE455D9-708A-ED4F-A27A-BCC87BE8E6FC}"/>
  </hyperlink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E8B61-117F-7B46-A313-41CF5AA61B2E}">
  <sheetPr codeName="Sheet59"/>
  <dimension ref="A1:AS54"/>
  <sheetViews>
    <sheetView zoomScale="150" zoomScaleNormal="150" workbookViewId="0">
      <pane xSplit="12" ySplit="1" topLeftCell="M2" activePane="bottomRight" state="frozen"/>
      <selection pane="topRight" activeCell="M1" sqref="M1"/>
      <selection pane="bottomLeft" activeCell="A2" sqref="A2"/>
      <selection pane="bottomRight" activeCell="J58" sqref="J58:N62"/>
    </sheetView>
  </sheetViews>
  <sheetFormatPr defaultColWidth="11" defaultRowHeight="13.5" x14ac:dyDescent="0.3"/>
  <cols>
    <col min="1" max="1" width="8.15234375" customWidth="1"/>
    <col min="5" max="5" width="2.4609375" customWidth="1"/>
    <col min="10" max="10" width="6" customWidth="1"/>
    <col min="11" max="11" width="17.4609375" bestFit="1" customWidth="1"/>
    <col min="12" max="12" width="15.15234375" customWidth="1"/>
    <col min="31" max="31" width="12.84375" bestFit="1" customWidth="1"/>
    <col min="38" max="38" width="17.4609375" customWidth="1"/>
  </cols>
  <sheetData>
    <row r="1" spans="1:43" ht="81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ht="13" customHeight="1" x14ac:dyDescent="0.35">
      <c r="A2" s="278">
        <v>10410</v>
      </c>
      <c r="B2" s="306">
        <v>43307</v>
      </c>
      <c r="C2" s="243" t="s">
        <v>322</v>
      </c>
      <c r="D2" s="281" t="s">
        <v>373</v>
      </c>
      <c r="E2" s="241"/>
      <c r="F2" s="241" t="s">
        <v>323</v>
      </c>
      <c r="G2" s="247">
        <v>43284</v>
      </c>
      <c r="H2" s="245" t="s">
        <v>324</v>
      </c>
      <c r="I2" s="245" t="s">
        <v>325</v>
      </c>
      <c r="J2" s="245"/>
      <c r="K2" s="241" t="s">
        <v>326</v>
      </c>
      <c r="L2" s="284" t="s">
        <v>387</v>
      </c>
      <c r="M2" s="285">
        <v>84.709090909090904</v>
      </c>
      <c r="N2" s="285">
        <v>27.309090909090905</v>
      </c>
      <c r="O2" s="278"/>
      <c r="P2" s="278"/>
      <c r="Q2" s="286"/>
      <c r="R2" s="278"/>
      <c r="S2" s="287"/>
      <c r="T2" s="278"/>
      <c r="U2" s="288" t="s">
        <v>320</v>
      </c>
      <c r="V2" s="285" t="s">
        <v>320</v>
      </c>
      <c r="W2" s="288"/>
      <c r="X2" s="278"/>
      <c r="Y2" s="278"/>
      <c r="Z2" s="278"/>
      <c r="AA2" s="278"/>
      <c r="AB2" s="278"/>
      <c r="AC2" s="278"/>
      <c r="AD2" s="285" t="s">
        <v>320</v>
      </c>
      <c r="AE2" s="288"/>
      <c r="AF2" s="278"/>
      <c r="AG2" s="278"/>
      <c r="AH2" s="288"/>
      <c r="AI2" s="278"/>
      <c r="AJ2" s="278"/>
      <c r="AK2" s="285" t="s">
        <v>320</v>
      </c>
      <c r="AL2" s="278"/>
      <c r="AM2" s="285" t="s">
        <v>320</v>
      </c>
      <c r="AN2" s="285" t="s">
        <v>320</v>
      </c>
      <c r="AO2" s="278" t="s">
        <v>327</v>
      </c>
      <c r="AP2" s="283" t="s">
        <v>325</v>
      </c>
      <c r="AQ2" s="285" t="s">
        <v>788</v>
      </c>
    </row>
    <row r="3" spans="1:43" ht="13" customHeight="1" x14ac:dyDescent="0.35">
      <c r="A3" s="278">
        <v>10497</v>
      </c>
      <c r="B3" s="306">
        <v>43307</v>
      </c>
      <c r="C3" s="280" t="s">
        <v>322</v>
      </c>
      <c r="D3" s="281" t="s">
        <v>373</v>
      </c>
      <c r="E3" s="278"/>
      <c r="F3" s="278" t="s">
        <v>323</v>
      </c>
      <c r="G3" s="290">
        <v>43281</v>
      </c>
      <c r="H3" s="283" t="s">
        <v>324</v>
      </c>
      <c r="I3" s="283" t="s">
        <v>325</v>
      </c>
      <c r="J3" s="283"/>
      <c r="K3" s="278" t="s">
        <v>328</v>
      </c>
      <c r="L3" s="284" t="s">
        <v>387</v>
      </c>
      <c r="M3" s="285">
        <v>84</v>
      </c>
      <c r="N3" s="285">
        <v>27.354545454545452</v>
      </c>
      <c r="O3" s="278"/>
      <c r="P3" s="278"/>
      <c r="Q3" s="286"/>
      <c r="R3" s="278"/>
      <c r="S3" s="287"/>
      <c r="T3" s="278"/>
      <c r="U3" s="288" t="s">
        <v>320</v>
      </c>
      <c r="V3" s="285" t="s">
        <v>320</v>
      </c>
      <c r="W3" s="288"/>
      <c r="X3" s="278"/>
      <c r="Y3" s="278"/>
      <c r="Z3" s="278"/>
      <c r="AA3" s="278"/>
      <c r="AB3" s="278"/>
      <c r="AC3" s="278"/>
      <c r="AD3" s="285" t="s">
        <v>320</v>
      </c>
      <c r="AE3" s="288"/>
      <c r="AF3" s="278"/>
      <c r="AG3" s="278"/>
      <c r="AH3" s="288"/>
      <c r="AI3" s="278"/>
      <c r="AJ3" s="278"/>
      <c r="AK3" s="285" t="s">
        <v>320</v>
      </c>
      <c r="AL3" s="278"/>
      <c r="AM3" s="285" t="s">
        <v>320</v>
      </c>
      <c r="AN3" s="285" t="s">
        <v>320</v>
      </c>
      <c r="AO3" s="278" t="s">
        <v>327</v>
      </c>
      <c r="AP3" s="283" t="s">
        <v>325</v>
      </c>
      <c r="AQ3" s="285" t="s">
        <v>791</v>
      </c>
    </row>
    <row r="4" spans="1:43" ht="13" customHeight="1" x14ac:dyDescent="0.35">
      <c r="A4" s="278">
        <v>4650</v>
      </c>
      <c r="B4" s="306">
        <v>43307</v>
      </c>
      <c r="C4" s="280" t="s">
        <v>322</v>
      </c>
      <c r="D4" s="281" t="s">
        <v>373</v>
      </c>
      <c r="E4" s="278"/>
      <c r="F4" s="278" t="s">
        <v>323</v>
      </c>
      <c r="G4" s="290">
        <v>43281</v>
      </c>
      <c r="H4" s="283" t="s">
        <v>324</v>
      </c>
      <c r="I4" s="283" t="s">
        <v>325</v>
      </c>
      <c r="J4" s="283"/>
      <c r="K4" s="278" t="s">
        <v>331</v>
      </c>
      <c r="L4" s="284" t="s">
        <v>387</v>
      </c>
      <c r="M4" s="285">
        <v>65</v>
      </c>
      <c r="N4" s="285">
        <v>29.099999999999994</v>
      </c>
      <c r="O4" s="278"/>
      <c r="P4" s="278"/>
      <c r="Q4" s="288"/>
      <c r="R4" s="278"/>
      <c r="S4" s="287"/>
      <c r="T4" s="278"/>
      <c r="U4" s="288" t="s">
        <v>320</v>
      </c>
      <c r="V4" s="285" t="s">
        <v>320</v>
      </c>
      <c r="W4" s="288"/>
      <c r="X4" s="278"/>
      <c r="Y4" s="278"/>
      <c r="Z4" s="278"/>
      <c r="AA4" s="278"/>
      <c r="AB4" s="278"/>
      <c r="AC4" s="278"/>
      <c r="AD4" s="285" t="s">
        <v>320</v>
      </c>
      <c r="AE4" s="288"/>
      <c r="AF4" s="278"/>
      <c r="AG4" s="278"/>
      <c r="AH4" s="288"/>
      <c r="AI4" s="278"/>
      <c r="AJ4" s="278"/>
      <c r="AK4" s="285" t="s">
        <v>320</v>
      </c>
      <c r="AL4" s="278"/>
      <c r="AM4" s="285" t="s">
        <v>320</v>
      </c>
      <c r="AN4" s="285" t="s">
        <v>320</v>
      </c>
      <c r="AO4" s="278" t="s">
        <v>327</v>
      </c>
      <c r="AP4" s="283" t="s">
        <v>325</v>
      </c>
      <c r="AQ4" s="285" t="s">
        <v>794</v>
      </c>
    </row>
    <row r="5" spans="1:43" ht="13" customHeight="1" x14ac:dyDescent="0.35">
      <c r="A5" s="278">
        <v>1439</v>
      </c>
      <c r="B5" s="306">
        <v>43307</v>
      </c>
      <c r="C5" s="280" t="s">
        <v>322</v>
      </c>
      <c r="D5" s="281" t="s">
        <v>373</v>
      </c>
      <c r="E5" s="278"/>
      <c r="F5" s="278" t="s">
        <v>323</v>
      </c>
      <c r="G5" s="290">
        <v>43281</v>
      </c>
      <c r="H5" s="283" t="s">
        <v>324</v>
      </c>
      <c r="I5" s="283" t="s">
        <v>325</v>
      </c>
      <c r="J5" s="283"/>
      <c r="K5" s="278" t="s">
        <v>479</v>
      </c>
      <c r="L5" s="284" t="s">
        <v>387</v>
      </c>
      <c r="M5" s="285">
        <v>70</v>
      </c>
      <c r="N5" s="285">
        <v>25.75454545454545</v>
      </c>
      <c r="O5" s="337" t="s">
        <v>351</v>
      </c>
      <c r="P5" s="337">
        <v>300</v>
      </c>
      <c r="Q5" s="285">
        <v>29.999999999999996</v>
      </c>
      <c r="R5" s="337">
        <v>300</v>
      </c>
      <c r="S5" s="285">
        <v>29.999999999999996</v>
      </c>
      <c r="T5" s="278"/>
      <c r="U5" s="288" t="s">
        <v>320</v>
      </c>
      <c r="V5" s="285" t="s">
        <v>320</v>
      </c>
      <c r="W5" s="288"/>
      <c r="X5" s="278"/>
      <c r="Y5" s="278"/>
      <c r="Z5" s="278"/>
      <c r="AA5" s="278"/>
      <c r="AB5" s="278"/>
      <c r="AC5" s="278"/>
      <c r="AD5" s="285" t="s">
        <v>320</v>
      </c>
      <c r="AE5" s="288"/>
      <c r="AF5" s="278"/>
      <c r="AG5" s="278"/>
      <c r="AH5" s="288"/>
      <c r="AI5" s="278"/>
      <c r="AJ5" s="278"/>
      <c r="AK5" s="285" t="s">
        <v>320</v>
      </c>
      <c r="AL5" s="278"/>
      <c r="AM5" s="285" t="s">
        <v>320</v>
      </c>
      <c r="AN5" s="285" t="s">
        <v>320</v>
      </c>
      <c r="AO5" s="278" t="s">
        <v>327</v>
      </c>
      <c r="AP5" s="283" t="s">
        <v>325</v>
      </c>
      <c r="AQ5" s="285" t="s">
        <v>797</v>
      </c>
    </row>
    <row r="6" spans="1:43" ht="13" customHeight="1" x14ac:dyDescent="0.35">
      <c r="A6" s="278">
        <v>1481</v>
      </c>
      <c r="B6" s="306">
        <v>43307</v>
      </c>
      <c r="C6" s="243" t="s">
        <v>322</v>
      </c>
      <c r="D6" s="281" t="s">
        <v>373</v>
      </c>
      <c r="E6" s="241"/>
      <c r="F6" s="241" t="s">
        <v>323</v>
      </c>
      <c r="G6" s="248">
        <v>43281</v>
      </c>
      <c r="H6" s="283" t="s">
        <v>324</v>
      </c>
      <c r="I6" s="283" t="s">
        <v>325</v>
      </c>
      <c r="J6" s="283"/>
      <c r="K6" s="278" t="s">
        <v>397</v>
      </c>
      <c r="L6" s="284" t="s">
        <v>387</v>
      </c>
      <c r="M6" s="285">
        <v>108.05454545454545</v>
      </c>
      <c r="N6" s="285">
        <v>25.027272727272727</v>
      </c>
      <c r="O6" s="278"/>
      <c r="P6" s="278"/>
      <c r="Q6" s="288"/>
      <c r="R6" s="278"/>
      <c r="S6" s="287"/>
      <c r="T6" s="278"/>
      <c r="U6" s="288" t="s">
        <v>320</v>
      </c>
      <c r="V6" s="285" t="s">
        <v>320</v>
      </c>
      <c r="W6" s="288"/>
      <c r="X6" s="278"/>
      <c r="Y6" s="278"/>
      <c r="Z6" s="278"/>
      <c r="AA6" s="278"/>
      <c r="AB6" s="278"/>
      <c r="AC6" s="278"/>
      <c r="AD6" s="285" t="s">
        <v>320</v>
      </c>
      <c r="AE6" s="288"/>
      <c r="AF6" s="278"/>
      <c r="AG6" s="278"/>
      <c r="AH6" s="288"/>
      <c r="AI6" s="278"/>
      <c r="AJ6" s="278"/>
      <c r="AK6" s="285" t="s">
        <v>320</v>
      </c>
      <c r="AL6" s="278"/>
      <c r="AM6" s="285" t="s">
        <v>320</v>
      </c>
      <c r="AN6" s="285" t="s">
        <v>320</v>
      </c>
      <c r="AO6" s="278" t="s">
        <v>327</v>
      </c>
      <c r="AP6" s="283" t="s">
        <v>325</v>
      </c>
      <c r="AQ6" s="285" t="s">
        <v>800</v>
      </c>
    </row>
    <row r="7" spans="1:43" ht="13" customHeight="1" x14ac:dyDescent="0.35">
      <c r="A7" s="278">
        <v>10260</v>
      </c>
      <c r="B7" s="306">
        <v>43307</v>
      </c>
      <c r="C7" s="280" t="s">
        <v>322</v>
      </c>
      <c r="D7" s="281" t="s">
        <v>373</v>
      </c>
      <c r="E7" s="278"/>
      <c r="F7" s="278" t="s">
        <v>323</v>
      </c>
      <c r="G7" s="248">
        <v>43281</v>
      </c>
      <c r="H7" s="283" t="s">
        <v>324</v>
      </c>
      <c r="I7" s="283" t="s">
        <v>325</v>
      </c>
      <c r="J7" s="283"/>
      <c r="K7" s="278" t="s">
        <v>340</v>
      </c>
      <c r="L7" s="284" t="s">
        <v>387</v>
      </c>
      <c r="M7" s="285">
        <v>85</v>
      </c>
      <c r="N7" s="285">
        <v>27.290909090909089</v>
      </c>
      <c r="O7" s="278"/>
      <c r="P7" s="278"/>
      <c r="Q7" s="288"/>
      <c r="R7" s="278"/>
      <c r="S7" s="287"/>
      <c r="T7" s="278"/>
      <c r="U7" s="288" t="s">
        <v>320</v>
      </c>
      <c r="V7" s="285" t="s">
        <v>320</v>
      </c>
      <c r="W7" s="288"/>
      <c r="X7" s="278"/>
      <c r="Y7" s="278"/>
      <c r="Z7" s="278"/>
      <c r="AA7" s="278"/>
      <c r="AB7" s="278"/>
      <c r="AC7" s="278"/>
      <c r="AD7" s="285" t="s">
        <v>320</v>
      </c>
      <c r="AE7" s="288"/>
      <c r="AF7" s="278"/>
      <c r="AG7" s="278"/>
      <c r="AH7" s="288"/>
      <c r="AI7" s="278"/>
      <c r="AJ7" s="278"/>
      <c r="AK7" s="285" t="s">
        <v>320</v>
      </c>
      <c r="AL7" s="278"/>
      <c r="AM7" s="285" t="s">
        <v>320</v>
      </c>
      <c r="AN7" s="285" t="s">
        <v>320</v>
      </c>
      <c r="AO7" s="278" t="s">
        <v>327</v>
      </c>
      <c r="AP7" s="283" t="s">
        <v>325</v>
      </c>
      <c r="AQ7" s="285" t="s">
        <v>803</v>
      </c>
    </row>
    <row r="8" spans="1:43" ht="13" customHeight="1" x14ac:dyDescent="0.35">
      <c r="A8" s="278">
        <v>4371</v>
      </c>
      <c r="B8" s="306">
        <v>43307</v>
      </c>
      <c r="C8" s="280" t="s">
        <v>322</v>
      </c>
      <c r="D8" s="281" t="s">
        <v>373</v>
      </c>
      <c r="E8" s="278"/>
      <c r="F8" s="278" t="s">
        <v>323</v>
      </c>
      <c r="G8" s="290">
        <v>43281</v>
      </c>
      <c r="H8" s="283" t="s">
        <v>324</v>
      </c>
      <c r="I8" s="283" t="s">
        <v>325</v>
      </c>
      <c r="J8" s="283"/>
      <c r="K8" s="278" t="s">
        <v>403</v>
      </c>
      <c r="L8" s="284" t="s">
        <v>387</v>
      </c>
      <c r="M8" s="285">
        <v>99.090909090909079</v>
      </c>
      <c r="N8" s="285">
        <v>25.918181818181818</v>
      </c>
      <c r="O8" s="278"/>
      <c r="P8" s="278"/>
      <c r="Q8" s="288"/>
      <c r="R8" s="294"/>
      <c r="S8" s="287"/>
      <c r="T8" s="278"/>
      <c r="U8" s="288" t="s">
        <v>320</v>
      </c>
      <c r="V8" s="285" t="s">
        <v>320</v>
      </c>
      <c r="W8" s="288"/>
      <c r="X8" s="278"/>
      <c r="Y8" s="278"/>
      <c r="Z8" s="278"/>
      <c r="AA8" s="278"/>
      <c r="AB8" s="278"/>
      <c r="AC8" s="278"/>
      <c r="AD8" s="285" t="s">
        <v>320</v>
      </c>
      <c r="AE8" s="288"/>
      <c r="AF8" s="278"/>
      <c r="AG8" s="278"/>
      <c r="AH8" s="288"/>
      <c r="AI8" s="278"/>
      <c r="AJ8" s="278"/>
      <c r="AK8" s="285" t="s">
        <v>320</v>
      </c>
      <c r="AL8" s="278"/>
      <c r="AM8" s="285" t="s">
        <v>320</v>
      </c>
      <c r="AN8" s="285" t="s">
        <v>320</v>
      </c>
      <c r="AO8" s="278" t="s">
        <v>327</v>
      </c>
      <c r="AP8" s="283" t="s">
        <v>325</v>
      </c>
      <c r="AQ8" s="285" t="s">
        <v>806</v>
      </c>
    </row>
    <row r="9" spans="1:43" ht="13" customHeight="1" x14ac:dyDescent="0.35">
      <c r="A9" s="278">
        <v>10521</v>
      </c>
      <c r="B9" s="306">
        <v>43307</v>
      </c>
      <c r="C9" s="280" t="s">
        <v>322</v>
      </c>
      <c r="D9" s="281" t="s">
        <v>373</v>
      </c>
      <c r="E9" s="278"/>
      <c r="F9" s="278" t="s">
        <v>323</v>
      </c>
      <c r="G9" s="290">
        <v>43281</v>
      </c>
      <c r="H9" s="283" t="s">
        <v>324</v>
      </c>
      <c r="I9" s="283" t="s">
        <v>325</v>
      </c>
      <c r="J9" s="283"/>
      <c r="K9" s="278" t="s">
        <v>348</v>
      </c>
      <c r="L9" s="284" t="s">
        <v>387</v>
      </c>
      <c r="M9" s="285">
        <v>80.48181818181817</v>
      </c>
      <c r="N9" s="285">
        <v>27.709090909090907</v>
      </c>
      <c r="O9" s="278"/>
      <c r="P9" s="278"/>
      <c r="Q9" s="288"/>
      <c r="R9" s="278"/>
      <c r="S9" s="287"/>
      <c r="T9" s="278"/>
      <c r="U9" s="288" t="s">
        <v>320</v>
      </c>
      <c r="V9" s="285" t="s">
        <v>320</v>
      </c>
      <c r="W9" s="288"/>
      <c r="X9" s="278"/>
      <c r="Y9" s="278"/>
      <c r="Z9" s="278"/>
      <c r="AA9" s="278"/>
      <c r="AB9" s="278"/>
      <c r="AC9" s="278"/>
      <c r="AD9" s="285" t="s">
        <v>320</v>
      </c>
      <c r="AE9" s="288"/>
      <c r="AF9" s="278"/>
      <c r="AG9" s="278"/>
      <c r="AH9" s="288"/>
      <c r="AI9" s="278"/>
      <c r="AJ9" s="278"/>
      <c r="AK9" s="285" t="s">
        <v>320</v>
      </c>
      <c r="AL9" s="278"/>
      <c r="AM9" s="285" t="s">
        <v>320</v>
      </c>
      <c r="AN9" s="285" t="s">
        <v>320</v>
      </c>
      <c r="AO9" s="278" t="s">
        <v>327</v>
      </c>
      <c r="AP9" s="283" t="s">
        <v>325</v>
      </c>
      <c r="AQ9" s="285" t="s">
        <v>809</v>
      </c>
    </row>
    <row r="10" spans="1:43" ht="13" customHeight="1" x14ac:dyDescent="0.35">
      <c r="A10" s="278">
        <v>10330</v>
      </c>
      <c r="B10" s="306">
        <v>43307</v>
      </c>
      <c r="C10" s="280" t="s">
        <v>322</v>
      </c>
      <c r="D10" s="281" t="s">
        <v>373</v>
      </c>
      <c r="E10" s="278"/>
      <c r="F10" s="278" t="s">
        <v>323</v>
      </c>
      <c r="G10" s="290">
        <v>43284</v>
      </c>
      <c r="H10" s="283" t="s">
        <v>324</v>
      </c>
      <c r="I10" s="283" t="s">
        <v>325</v>
      </c>
      <c r="J10" s="283"/>
      <c r="K10" s="278" t="s">
        <v>406</v>
      </c>
      <c r="L10" s="284" t="s">
        <v>387</v>
      </c>
      <c r="M10" s="285">
        <v>84.709090909090904</v>
      </c>
      <c r="N10" s="285">
        <v>27.309090909090905</v>
      </c>
      <c r="O10" s="278"/>
      <c r="P10" s="278"/>
      <c r="Q10" s="288"/>
      <c r="R10" s="278"/>
      <c r="S10" s="287"/>
      <c r="T10" s="278"/>
      <c r="U10" s="288" t="s">
        <v>320</v>
      </c>
      <c r="V10" s="285" t="s">
        <v>320</v>
      </c>
      <c r="W10" s="288"/>
      <c r="X10" s="278"/>
      <c r="Y10" s="278"/>
      <c r="Z10" s="278"/>
      <c r="AA10" s="278"/>
      <c r="AB10" s="278"/>
      <c r="AC10" s="278"/>
      <c r="AD10" s="285" t="s">
        <v>320</v>
      </c>
      <c r="AE10" s="288"/>
      <c r="AF10" s="278"/>
      <c r="AG10" s="278"/>
      <c r="AH10" s="288"/>
      <c r="AI10" s="278"/>
      <c r="AJ10" s="278"/>
      <c r="AK10" s="285" t="s">
        <v>320</v>
      </c>
      <c r="AL10" s="278"/>
      <c r="AM10" s="285" t="s">
        <v>320</v>
      </c>
      <c r="AN10" s="285" t="s">
        <v>320</v>
      </c>
      <c r="AO10" s="278" t="s">
        <v>327</v>
      </c>
      <c r="AP10" s="283" t="s">
        <v>325</v>
      </c>
      <c r="AQ10" s="285" t="s">
        <v>812</v>
      </c>
    </row>
    <row r="11" spans="1:43" ht="13" customHeight="1" x14ac:dyDescent="0.35">
      <c r="A11" s="278">
        <v>10665</v>
      </c>
      <c r="B11" s="306">
        <v>43307</v>
      </c>
      <c r="C11" s="280" t="s">
        <v>322</v>
      </c>
      <c r="D11" s="281" t="s">
        <v>373</v>
      </c>
      <c r="E11" s="278"/>
      <c r="F11" s="278" t="s">
        <v>323</v>
      </c>
      <c r="G11" s="290">
        <v>43281</v>
      </c>
      <c r="H11" s="283" t="s">
        <v>324</v>
      </c>
      <c r="I11" s="283" t="s">
        <v>325</v>
      </c>
      <c r="J11" s="283"/>
      <c r="K11" s="278" t="s">
        <v>408</v>
      </c>
      <c r="L11" s="284" t="s">
        <v>387</v>
      </c>
      <c r="M11" s="285">
        <v>109.58181818181818</v>
      </c>
      <c r="N11" s="285">
        <v>24.954545454545453</v>
      </c>
      <c r="O11" s="278"/>
      <c r="P11" s="278"/>
      <c r="Q11" s="288"/>
      <c r="R11" s="278"/>
      <c r="S11" s="287"/>
      <c r="T11" s="278"/>
      <c r="U11" s="288" t="s">
        <v>320</v>
      </c>
      <c r="V11" s="285" t="s">
        <v>320</v>
      </c>
      <c r="W11" s="288"/>
      <c r="X11" s="278"/>
      <c r="Y11" s="278"/>
      <c r="Z11" s="278"/>
      <c r="AA11" s="278"/>
      <c r="AB11" s="278"/>
      <c r="AC11" s="278"/>
      <c r="AD11" s="285" t="s">
        <v>320</v>
      </c>
      <c r="AE11" s="288"/>
      <c r="AF11" s="278"/>
      <c r="AG11" s="278"/>
      <c r="AH11" s="288"/>
      <c r="AI11" s="278"/>
      <c r="AJ11" s="278"/>
      <c r="AK11" s="285" t="s">
        <v>320</v>
      </c>
      <c r="AL11" s="278"/>
      <c r="AM11" s="285" t="s">
        <v>320</v>
      </c>
      <c r="AN11" s="285" t="s">
        <v>320</v>
      </c>
      <c r="AO11" s="278" t="s">
        <v>327</v>
      </c>
      <c r="AP11" s="283" t="s">
        <v>325</v>
      </c>
      <c r="AQ11" s="285" t="s">
        <v>815</v>
      </c>
    </row>
    <row r="12" spans="1:43" ht="13" customHeight="1" x14ac:dyDescent="0.35">
      <c r="A12" s="278">
        <v>1387</v>
      </c>
      <c r="B12" s="306">
        <v>43307</v>
      </c>
      <c r="C12" s="280" t="s">
        <v>322</v>
      </c>
      <c r="D12" s="281" t="s">
        <v>373</v>
      </c>
      <c r="E12" s="278"/>
      <c r="F12" s="278" t="s">
        <v>323</v>
      </c>
      <c r="G12" s="290">
        <v>43281</v>
      </c>
      <c r="H12" s="283" t="s">
        <v>324</v>
      </c>
      <c r="I12" s="283" t="s">
        <v>325</v>
      </c>
      <c r="J12" s="283"/>
      <c r="K12" s="278" t="s">
        <v>410</v>
      </c>
      <c r="L12" s="284" t="s">
        <v>387</v>
      </c>
      <c r="M12" s="285">
        <v>100.99999999999999</v>
      </c>
      <c r="N12" s="285">
        <v>25.5</v>
      </c>
      <c r="O12" s="281"/>
      <c r="P12" s="278"/>
      <c r="Q12" s="288"/>
      <c r="R12" s="278"/>
      <c r="S12" s="287"/>
      <c r="T12" s="278"/>
      <c r="U12" s="288" t="s">
        <v>320</v>
      </c>
      <c r="V12" s="285" t="s">
        <v>320</v>
      </c>
      <c r="W12" s="288"/>
      <c r="X12" s="278"/>
      <c r="Y12" s="278"/>
      <c r="Z12" s="278"/>
      <c r="AA12" s="278"/>
      <c r="AB12" s="278"/>
      <c r="AC12" s="278"/>
      <c r="AD12" s="285" t="s">
        <v>320</v>
      </c>
      <c r="AE12" s="288"/>
      <c r="AF12" s="278"/>
      <c r="AG12" s="278"/>
      <c r="AH12" s="288"/>
      <c r="AI12" s="278"/>
      <c r="AJ12" s="278"/>
      <c r="AK12" s="285" t="s">
        <v>320</v>
      </c>
      <c r="AL12" s="278"/>
      <c r="AM12" s="285" t="s">
        <v>320</v>
      </c>
      <c r="AN12" s="285" t="s">
        <v>320</v>
      </c>
      <c r="AO12" s="278" t="s">
        <v>327</v>
      </c>
      <c r="AP12" s="283" t="s">
        <v>325</v>
      </c>
      <c r="AQ12" s="285" t="s">
        <v>818</v>
      </c>
    </row>
    <row r="13" spans="1:43" ht="13" customHeight="1" x14ac:dyDescent="0.35">
      <c r="A13" s="278">
        <v>3593</v>
      </c>
      <c r="B13" s="306">
        <v>43307</v>
      </c>
      <c r="C13" s="280" t="s">
        <v>322</v>
      </c>
      <c r="D13" s="281" t="s">
        <v>373</v>
      </c>
      <c r="E13" s="278"/>
      <c r="F13" s="278" t="s">
        <v>323</v>
      </c>
      <c r="G13" s="290">
        <v>43281</v>
      </c>
      <c r="H13" s="283" t="s">
        <v>324</v>
      </c>
      <c r="I13" s="283" t="s">
        <v>325</v>
      </c>
      <c r="J13" s="283"/>
      <c r="K13" s="278" t="s">
        <v>412</v>
      </c>
      <c r="L13" s="284" t="s">
        <v>387</v>
      </c>
      <c r="M13" s="285">
        <v>79.763636363636351</v>
      </c>
      <c r="N13" s="285">
        <v>27.781818181818178</v>
      </c>
      <c r="O13" s="307" t="s">
        <v>351</v>
      </c>
      <c r="P13" s="307">
        <v>1000</v>
      </c>
      <c r="Q13" s="285">
        <v>29.281818181818181</v>
      </c>
      <c r="R13" s="307">
        <v>1000</v>
      </c>
      <c r="S13" s="285">
        <v>29.281818181818181</v>
      </c>
      <c r="T13" s="278"/>
      <c r="U13" s="288" t="s">
        <v>320</v>
      </c>
      <c r="V13" s="285" t="s">
        <v>320</v>
      </c>
      <c r="W13" s="288"/>
      <c r="X13" s="278"/>
      <c r="Y13" s="278"/>
      <c r="Z13" s="278"/>
      <c r="AA13" s="278"/>
      <c r="AB13" s="278"/>
      <c r="AC13" s="278"/>
      <c r="AD13" s="285" t="s">
        <v>320</v>
      </c>
      <c r="AE13" s="288"/>
      <c r="AF13" s="278"/>
      <c r="AG13" s="278"/>
      <c r="AH13" s="288"/>
      <c r="AI13" s="278"/>
      <c r="AJ13" s="278"/>
      <c r="AK13" s="285" t="s">
        <v>320</v>
      </c>
      <c r="AL13" s="278"/>
      <c r="AM13" s="285" t="s">
        <v>320</v>
      </c>
      <c r="AN13" s="285" t="s">
        <v>320</v>
      </c>
      <c r="AO13" s="278" t="s">
        <v>327</v>
      </c>
      <c r="AP13" s="283" t="s">
        <v>325</v>
      </c>
      <c r="AQ13" s="285" t="s">
        <v>821</v>
      </c>
    </row>
    <row r="14" spans="1:43" ht="13" customHeight="1" x14ac:dyDescent="0.35">
      <c r="A14" s="278">
        <v>10368</v>
      </c>
      <c r="B14" s="306">
        <v>43307</v>
      </c>
      <c r="C14" s="280" t="s">
        <v>322</v>
      </c>
      <c r="D14" s="281" t="s">
        <v>373</v>
      </c>
      <c r="E14" s="278"/>
      <c r="F14" s="278" t="s">
        <v>323</v>
      </c>
      <c r="G14" s="290">
        <v>43281</v>
      </c>
      <c r="H14" s="283" t="s">
        <v>310</v>
      </c>
      <c r="I14" s="283" t="s">
        <v>309</v>
      </c>
      <c r="J14" s="283"/>
      <c r="K14" s="278" t="s">
        <v>374</v>
      </c>
      <c r="L14" s="284" t="s">
        <v>387</v>
      </c>
      <c r="M14" s="285">
        <v>99.999999999999986</v>
      </c>
      <c r="N14" s="285">
        <v>25.799999999999997</v>
      </c>
      <c r="O14" s="278" t="s">
        <v>351</v>
      </c>
      <c r="P14" s="278">
        <v>1350</v>
      </c>
      <c r="Q14" s="285">
        <v>29.7</v>
      </c>
      <c r="R14" s="308">
        <v>1350</v>
      </c>
      <c r="S14" s="285">
        <v>29.7</v>
      </c>
      <c r="T14" s="278"/>
      <c r="U14" s="288" t="s">
        <v>320</v>
      </c>
      <c r="V14" s="285" t="s">
        <v>320</v>
      </c>
      <c r="W14" s="288"/>
      <c r="X14" s="278"/>
      <c r="Y14" s="278"/>
      <c r="Z14" s="278"/>
      <c r="AA14" s="278"/>
      <c r="AB14" s="278"/>
      <c r="AC14" s="278"/>
      <c r="AD14" s="285" t="s">
        <v>320</v>
      </c>
      <c r="AE14" s="288"/>
      <c r="AF14" s="278"/>
      <c r="AG14" s="278"/>
      <c r="AH14" s="288"/>
      <c r="AI14" s="278"/>
      <c r="AJ14" s="278"/>
      <c r="AK14" s="285" t="s">
        <v>320</v>
      </c>
      <c r="AL14" s="278"/>
      <c r="AM14" s="285" t="s">
        <v>320</v>
      </c>
      <c r="AN14" s="285" t="s">
        <v>320</v>
      </c>
      <c r="AO14" s="278" t="s">
        <v>327</v>
      </c>
      <c r="AP14" s="283" t="s">
        <v>325</v>
      </c>
      <c r="AQ14" s="285" t="s">
        <v>824</v>
      </c>
    </row>
    <row r="15" spans="1:43" ht="13" customHeight="1" x14ac:dyDescent="0.35">
      <c r="A15" s="278">
        <v>9900</v>
      </c>
      <c r="B15" s="306">
        <v>43307</v>
      </c>
      <c r="C15" s="280" t="s">
        <v>322</v>
      </c>
      <c r="D15" s="281" t="s">
        <v>373</v>
      </c>
      <c r="E15" s="278"/>
      <c r="F15" s="278" t="s">
        <v>323</v>
      </c>
      <c r="G15" s="290">
        <v>43281</v>
      </c>
      <c r="H15" s="283" t="s">
        <v>309</v>
      </c>
      <c r="I15" s="283" t="s">
        <v>355</v>
      </c>
      <c r="J15" s="283"/>
      <c r="K15" s="281" t="s">
        <v>354</v>
      </c>
      <c r="L15" s="284" t="s">
        <v>387</v>
      </c>
      <c r="M15" s="285">
        <v>75</v>
      </c>
      <c r="N15" s="285">
        <v>28.172727272727268</v>
      </c>
      <c r="O15" s="278"/>
      <c r="P15" s="278"/>
      <c r="Q15" s="288"/>
      <c r="R15" s="308"/>
      <c r="S15" s="287"/>
      <c r="T15" s="278"/>
      <c r="U15" s="288" t="s">
        <v>320</v>
      </c>
      <c r="V15" s="285" t="s">
        <v>320</v>
      </c>
      <c r="W15" s="288"/>
      <c r="X15" s="278"/>
      <c r="Y15" s="278"/>
      <c r="Z15" s="278"/>
      <c r="AA15" s="278"/>
      <c r="AB15" s="278"/>
      <c r="AC15" s="278"/>
      <c r="AD15" s="285" t="s">
        <v>320</v>
      </c>
      <c r="AE15" s="288"/>
      <c r="AF15" s="278"/>
      <c r="AG15" s="278"/>
      <c r="AH15" s="288"/>
      <c r="AI15" s="278"/>
      <c r="AJ15" s="278"/>
      <c r="AK15" s="285" t="s">
        <v>320</v>
      </c>
      <c r="AL15" s="278"/>
      <c r="AM15" s="285" t="s">
        <v>320</v>
      </c>
      <c r="AN15" s="285" t="s">
        <v>320</v>
      </c>
      <c r="AO15" s="278" t="s">
        <v>327</v>
      </c>
      <c r="AP15" s="283" t="s">
        <v>325</v>
      </c>
      <c r="AQ15" s="285" t="s">
        <v>827</v>
      </c>
    </row>
    <row r="16" spans="1:43" ht="13" customHeight="1" x14ac:dyDescent="0.35">
      <c r="A16" s="278"/>
      <c r="B16" s="306">
        <v>43307</v>
      </c>
      <c r="C16" s="280" t="s">
        <v>322</v>
      </c>
      <c r="D16" s="281" t="s">
        <v>373</v>
      </c>
      <c r="E16" s="278"/>
      <c r="F16" s="278" t="s">
        <v>323</v>
      </c>
      <c r="G16" s="293">
        <v>43281</v>
      </c>
      <c r="H16" s="296" t="s">
        <v>309</v>
      </c>
      <c r="I16" s="296" t="s">
        <v>355</v>
      </c>
      <c r="J16" s="283"/>
      <c r="K16" s="281" t="s">
        <v>424</v>
      </c>
      <c r="L16" s="284" t="s">
        <v>387</v>
      </c>
      <c r="M16" s="285">
        <v>85.999999999999986</v>
      </c>
      <c r="N16" s="285">
        <v>27.189999999999998</v>
      </c>
      <c r="O16" s="278"/>
      <c r="P16" s="278"/>
      <c r="Q16" s="285"/>
      <c r="R16" s="308"/>
      <c r="S16" s="281"/>
      <c r="T16" s="278"/>
      <c r="U16" s="285" t="s">
        <v>320</v>
      </c>
      <c r="V16" s="285" t="s">
        <v>320</v>
      </c>
      <c r="W16" s="285"/>
      <c r="X16" s="278"/>
      <c r="Y16" s="278"/>
      <c r="Z16" s="278"/>
      <c r="AA16" s="278"/>
      <c r="AB16" s="278"/>
      <c r="AC16" s="278"/>
      <c r="AD16" s="285" t="s">
        <v>320</v>
      </c>
      <c r="AE16" s="285"/>
      <c r="AF16" s="278"/>
      <c r="AG16" s="278"/>
      <c r="AH16" s="285"/>
      <c r="AI16" s="278"/>
      <c r="AJ16" s="278"/>
      <c r="AK16" s="285" t="s">
        <v>320</v>
      </c>
      <c r="AL16" s="278"/>
      <c r="AM16" s="285" t="s">
        <v>320</v>
      </c>
      <c r="AN16" s="285" t="s">
        <v>320</v>
      </c>
      <c r="AO16" s="278" t="s">
        <v>327</v>
      </c>
      <c r="AP16" s="283" t="s">
        <v>325</v>
      </c>
      <c r="AQ16" s="285" t="s">
        <v>881</v>
      </c>
    </row>
    <row r="17" spans="1:45" ht="13" customHeight="1" x14ac:dyDescent="0.35">
      <c r="A17" s="278"/>
      <c r="B17" s="306">
        <v>43307</v>
      </c>
      <c r="C17" s="280" t="s">
        <v>322</v>
      </c>
      <c r="D17" s="281" t="s">
        <v>373</v>
      </c>
      <c r="E17" s="278"/>
      <c r="F17" s="278" t="s">
        <v>323</v>
      </c>
      <c r="G17" s="293">
        <v>43281</v>
      </c>
      <c r="H17" s="296" t="s">
        <v>309</v>
      </c>
      <c r="I17" s="296" t="s">
        <v>355</v>
      </c>
      <c r="J17" s="283"/>
      <c r="K17" s="281" t="s">
        <v>430</v>
      </c>
      <c r="L17" s="284" t="s">
        <v>387</v>
      </c>
      <c r="M17" s="285">
        <v>75.25454545454545</v>
      </c>
      <c r="N17" s="285">
        <v>28.199999999999996</v>
      </c>
      <c r="O17" s="278"/>
      <c r="P17" s="278"/>
      <c r="Q17" s="288"/>
      <c r="R17" s="308"/>
      <c r="S17" s="287"/>
      <c r="T17" s="278"/>
      <c r="U17" s="288" t="s">
        <v>320</v>
      </c>
      <c r="V17" s="285" t="s">
        <v>320</v>
      </c>
      <c r="W17" s="288"/>
      <c r="X17" s="278"/>
      <c r="Y17" s="278"/>
      <c r="Z17" s="278"/>
      <c r="AA17" s="278"/>
      <c r="AB17" s="278"/>
      <c r="AC17" s="278"/>
      <c r="AD17" s="285" t="s">
        <v>320</v>
      </c>
      <c r="AE17" s="288"/>
      <c r="AF17" s="278"/>
      <c r="AG17" s="278"/>
      <c r="AH17" s="288"/>
      <c r="AI17" s="278"/>
      <c r="AJ17" s="278"/>
      <c r="AK17" s="285" t="s">
        <v>320</v>
      </c>
      <c r="AL17" s="278"/>
      <c r="AM17" s="285" t="s">
        <v>320</v>
      </c>
      <c r="AN17" s="285" t="s">
        <v>320</v>
      </c>
      <c r="AO17" s="278" t="s">
        <v>327</v>
      </c>
      <c r="AP17" s="283" t="s">
        <v>325</v>
      </c>
      <c r="AQ17" s="285" t="s">
        <v>829</v>
      </c>
    </row>
    <row r="18" spans="1:45" ht="13" customHeight="1" x14ac:dyDescent="0.35">
      <c r="A18" s="278"/>
      <c r="B18" s="306">
        <v>43307</v>
      </c>
      <c r="C18" s="280" t="s">
        <v>322</v>
      </c>
      <c r="D18" s="281" t="s">
        <v>373</v>
      </c>
      <c r="E18" s="278"/>
      <c r="F18" s="278" t="s">
        <v>323</v>
      </c>
      <c r="G18" s="293">
        <v>43281</v>
      </c>
      <c r="H18" s="296" t="s">
        <v>310</v>
      </c>
      <c r="I18" s="296" t="s">
        <v>309</v>
      </c>
      <c r="J18" s="283"/>
      <c r="K18" s="281" t="s">
        <v>501</v>
      </c>
      <c r="L18" s="284" t="s">
        <v>387</v>
      </c>
      <c r="M18" s="285">
        <v>109.99999999999999</v>
      </c>
      <c r="N18" s="285">
        <v>24.936363636363634</v>
      </c>
      <c r="O18" s="278"/>
      <c r="P18" s="278"/>
      <c r="Q18" s="288"/>
      <c r="R18" s="308"/>
      <c r="S18" s="287"/>
      <c r="T18" s="278"/>
      <c r="U18" s="288" t="s">
        <v>320</v>
      </c>
      <c r="V18" s="285" t="s">
        <v>320</v>
      </c>
      <c r="W18" s="288"/>
      <c r="X18" s="278"/>
      <c r="Y18" s="278"/>
      <c r="Z18" s="278"/>
      <c r="AA18" s="278"/>
      <c r="AB18" s="278"/>
      <c r="AC18" s="278"/>
      <c r="AD18" s="285" t="s">
        <v>320</v>
      </c>
      <c r="AE18" s="288"/>
      <c r="AF18" s="278"/>
      <c r="AG18" s="278"/>
      <c r="AH18" s="288"/>
      <c r="AI18" s="278"/>
      <c r="AJ18" s="278"/>
      <c r="AK18" s="285" t="s">
        <v>320</v>
      </c>
      <c r="AL18" s="278"/>
      <c r="AM18" s="285" t="s">
        <v>320</v>
      </c>
      <c r="AN18" s="285" t="s">
        <v>320</v>
      </c>
      <c r="AO18" s="278" t="s">
        <v>327</v>
      </c>
      <c r="AP18" s="283" t="s">
        <v>325</v>
      </c>
      <c r="AQ18" s="285" t="s">
        <v>830</v>
      </c>
    </row>
    <row r="19" spans="1:45" ht="13" customHeight="1" x14ac:dyDescent="0.35">
      <c r="A19" s="278"/>
      <c r="B19" s="306">
        <v>43307</v>
      </c>
      <c r="C19" s="280" t="s">
        <v>322</v>
      </c>
      <c r="D19" s="281" t="s">
        <v>373</v>
      </c>
      <c r="E19" s="278"/>
      <c r="F19" s="278" t="s">
        <v>323</v>
      </c>
      <c r="G19" s="293">
        <v>43281</v>
      </c>
      <c r="H19" s="296" t="s">
        <v>310</v>
      </c>
      <c r="I19" s="296" t="s">
        <v>309</v>
      </c>
      <c r="J19" s="283"/>
      <c r="K19" s="304" t="s">
        <v>503</v>
      </c>
      <c r="L19" s="284" t="s">
        <v>387</v>
      </c>
      <c r="M19" s="285">
        <v>80</v>
      </c>
      <c r="N19" s="285">
        <v>27.754545454545454</v>
      </c>
      <c r="O19" s="278"/>
      <c r="P19" s="278"/>
      <c r="Q19" s="288"/>
      <c r="R19" s="308"/>
      <c r="S19" s="287"/>
      <c r="T19" s="278"/>
      <c r="U19" s="288" t="s">
        <v>320</v>
      </c>
      <c r="V19" s="285" t="s">
        <v>320</v>
      </c>
      <c r="W19" s="288"/>
      <c r="X19" s="278"/>
      <c r="Y19" s="278"/>
      <c r="Z19" s="278"/>
      <c r="AA19" s="278"/>
      <c r="AB19" s="278"/>
      <c r="AC19" s="278"/>
      <c r="AD19" s="285" t="s">
        <v>320</v>
      </c>
      <c r="AE19" s="288"/>
      <c r="AF19" s="278"/>
      <c r="AG19" s="278"/>
      <c r="AH19" s="288"/>
      <c r="AI19" s="278"/>
      <c r="AJ19" s="278"/>
      <c r="AK19" s="285" t="s">
        <v>320</v>
      </c>
      <c r="AL19" s="278"/>
      <c r="AM19" s="285" t="s">
        <v>320</v>
      </c>
      <c r="AN19" s="285" t="s">
        <v>320</v>
      </c>
      <c r="AO19" s="278" t="s">
        <v>327</v>
      </c>
      <c r="AP19" s="283" t="s">
        <v>325</v>
      </c>
      <c r="AQ19" s="285" t="s">
        <v>833</v>
      </c>
    </row>
    <row r="20" spans="1:45" s="320" customFormat="1" ht="13" customHeight="1" x14ac:dyDescent="0.35">
      <c r="A20" s="252"/>
      <c r="B20" s="306">
        <v>43307</v>
      </c>
      <c r="C20" s="312" t="s">
        <v>322</v>
      </c>
      <c r="D20" s="252" t="s">
        <v>373</v>
      </c>
      <c r="E20" s="252"/>
      <c r="F20" s="321" t="s">
        <v>323</v>
      </c>
      <c r="G20" s="313">
        <v>43280</v>
      </c>
      <c r="H20" s="253" t="s">
        <v>310</v>
      </c>
      <c r="I20" s="253" t="s">
        <v>309</v>
      </c>
      <c r="J20" s="253"/>
      <c r="K20" s="252" t="s">
        <v>695</v>
      </c>
      <c r="L20" s="314" t="s">
        <v>387</v>
      </c>
      <c r="M20" s="285">
        <v>85</v>
      </c>
      <c r="N20" s="285">
        <v>27.2</v>
      </c>
      <c r="O20" s="338" t="s">
        <v>351</v>
      </c>
      <c r="P20" s="338">
        <v>1368</v>
      </c>
      <c r="Q20" s="285">
        <v>87</v>
      </c>
      <c r="R20" s="338">
        <v>1368</v>
      </c>
      <c r="S20" s="285">
        <v>87</v>
      </c>
      <c r="T20" s="252"/>
      <c r="U20" s="318"/>
      <c r="V20" s="318"/>
      <c r="W20" s="315"/>
      <c r="X20" s="252"/>
      <c r="Y20" s="252"/>
      <c r="Z20" s="252"/>
      <c r="AA20" s="252"/>
      <c r="AB20" s="252"/>
      <c r="AC20" s="252"/>
      <c r="AD20" s="318"/>
      <c r="AE20" s="315"/>
      <c r="AF20" s="252"/>
      <c r="AG20" s="252"/>
      <c r="AH20" s="315"/>
      <c r="AI20" s="252"/>
      <c r="AJ20" s="252"/>
      <c r="AK20" s="318"/>
      <c r="AL20" s="318"/>
      <c r="AM20" s="318"/>
      <c r="AN20" s="318"/>
      <c r="AO20" s="252" t="s">
        <v>327</v>
      </c>
      <c r="AP20" s="319" t="s">
        <v>309</v>
      </c>
      <c r="AQ20" s="318" t="s">
        <v>836</v>
      </c>
      <c r="AR20" s="318"/>
      <c r="AS20" s="318"/>
    </row>
    <row r="21" spans="1:45" s="320" customFormat="1" ht="13" customHeight="1" x14ac:dyDescent="0.35">
      <c r="A21" s="252"/>
      <c r="B21" s="306">
        <v>43307</v>
      </c>
      <c r="C21" s="312" t="s">
        <v>322</v>
      </c>
      <c r="D21" s="252" t="s">
        <v>373</v>
      </c>
      <c r="E21" s="252"/>
      <c r="F21" s="321" t="s">
        <v>323</v>
      </c>
      <c r="G21" s="313">
        <v>42720</v>
      </c>
      <c r="H21" s="253" t="s">
        <v>310</v>
      </c>
      <c r="I21" s="253" t="s">
        <v>309</v>
      </c>
      <c r="J21" s="253"/>
      <c r="K21" s="252" t="s">
        <v>698</v>
      </c>
      <c r="L21" s="314" t="s">
        <v>387</v>
      </c>
      <c r="M21" s="285">
        <v>77.272727272727266</v>
      </c>
      <c r="N21" s="285">
        <v>19.603305785123965</v>
      </c>
      <c r="O21" s="252"/>
      <c r="P21" s="252"/>
      <c r="Q21" s="318"/>
      <c r="R21" s="252"/>
      <c r="S21" s="252"/>
      <c r="T21" s="252"/>
      <c r="U21" s="318"/>
      <c r="V21" s="318"/>
      <c r="W21" s="318"/>
      <c r="X21" s="252"/>
      <c r="Y21" s="252"/>
      <c r="Z21" s="252"/>
      <c r="AA21" s="252"/>
      <c r="AB21" s="252"/>
      <c r="AC21" s="252"/>
      <c r="AD21" s="318"/>
      <c r="AE21" s="318"/>
      <c r="AF21" s="252"/>
      <c r="AG21" s="252"/>
      <c r="AH21" s="318"/>
      <c r="AI21" s="252"/>
      <c r="AJ21" s="252"/>
      <c r="AK21" s="318"/>
      <c r="AL21" s="318"/>
      <c r="AM21" s="318"/>
      <c r="AN21" s="318"/>
      <c r="AO21" s="252" t="s">
        <v>327</v>
      </c>
      <c r="AP21" s="319" t="s">
        <v>309</v>
      </c>
      <c r="AQ21" s="318" t="s">
        <v>754</v>
      </c>
      <c r="AR21" s="318"/>
      <c r="AS21" s="318"/>
    </row>
    <row r="22" spans="1:45" ht="13" customHeight="1" x14ac:dyDescent="0.35">
      <c r="A22" s="278">
        <v>10411</v>
      </c>
      <c r="B22" s="306">
        <v>43308</v>
      </c>
      <c r="C22" s="243" t="s">
        <v>322</v>
      </c>
      <c r="D22" s="281" t="s">
        <v>373</v>
      </c>
      <c r="E22" s="241"/>
      <c r="F22" s="278" t="s">
        <v>360</v>
      </c>
      <c r="G22" s="247">
        <v>43284</v>
      </c>
      <c r="H22" s="245" t="s">
        <v>324</v>
      </c>
      <c r="I22" s="245" t="s">
        <v>325</v>
      </c>
      <c r="J22" s="245"/>
      <c r="K22" s="241" t="s">
        <v>326</v>
      </c>
      <c r="L22" s="284" t="s">
        <v>387</v>
      </c>
      <c r="M22" s="285">
        <v>84.709090909090904</v>
      </c>
      <c r="N22" s="285">
        <v>27.309090909090905</v>
      </c>
      <c r="O22" s="278"/>
      <c r="P22" s="278"/>
      <c r="Q22" s="288"/>
      <c r="R22" s="308"/>
      <c r="S22" s="287"/>
      <c r="T22" s="278"/>
      <c r="U22" s="288" t="s">
        <v>320</v>
      </c>
      <c r="V22" s="285" t="s">
        <v>320</v>
      </c>
      <c r="W22" s="288"/>
      <c r="X22" s="278"/>
      <c r="Y22" s="278"/>
      <c r="Z22" s="278"/>
      <c r="AA22" s="278"/>
      <c r="AB22" s="278"/>
      <c r="AC22" s="278"/>
      <c r="AD22" s="285" t="s">
        <v>320</v>
      </c>
      <c r="AE22" s="285">
        <v>15.454545454545453</v>
      </c>
      <c r="AF22" s="278"/>
      <c r="AG22" s="278"/>
      <c r="AH22" s="288"/>
      <c r="AI22" s="278"/>
      <c r="AJ22" s="278"/>
      <c r="AK22" s="285" t="s">
        <v>320</v>
      </c>
      <c r="AL22" s="278"/>
      <c r="AM22" s="285" t="s">
        <v>320</v>
      </c>
      <c r="AN22" s="285" t="s">
        <v>320</v>
      </c>
      <c r="AO22" s="278" t="s">
        <v>361</v>
      </c>
      <c r="AP22" s="283" t="s">
        <v>325</v>
      </c>
      <c r="AQ22" s="285" t="s">
        <v>789</v>
      </c>
    </row>
    <row r="23" spans="1:45" ht="13" customHeight="1" x14ac:dyDescent="0.35">
      <c r="A23" s="278">
        <v>10498</v>
      </c>
      <c r="B23" s="306">
        <v>43307</v>
      </c>
      <c r="C23" s="280" t="s">
        <v>322</v>
      </c>
      <c r="D23" s="281" t="s">
        <v>373</v>
      </c>
      <c r="E23" s="278"/>
      <c r="F23" s="278" t="s">
        <v>360</v>
      </c>
      <c r="G23" s="290">
        <v>43281</v>
      </c>
      <c r="H23" s="283" t="s">
        <v>324</v>
      </c>
      <c r="I23" s="283" t="s">
        <v>325</v>
      </c>
      <c r="J23" s="283"/>
      <c r="K23" s="278" t="s">
        <v>328</v>
      </c>
      <c r="L23" s="284" t="s">
        <v>387</v>
      </c>
      <c r="M23" s="285">
        <v>87.999999999999986</v>
      </c>
      <c r="N23" s="285">
        <v>27.354545454545452</v>
      </c>
      <c r="O23" s="278"/>
      <c r="P23" s="278"/>
      <c r="Q23" s="288"/>
      <c r="R23" s="308"/>
      <c r="S23" s="287"/>
      <c r="T23" s="278"/>
      <c r="U23" s="288" t="s">
        <v>320</v>
      </c>
      <c r="V23" s="285" t="s">
        <v>320</v>
      </c>
      <c r="W23" s="288"/>
      <c r="X23" s="278"/>
      <c r="Y23" s="278"/>
      <c r="Z23" s="278"/>
      <c r="AA23" s="278"/>
      <c r="AB23" s="278"/>
      <c r="AC23" s="278"/>
      <c r="AD23" s="285" t="s">
        <v>320</v>
      </c>
      <c r="AE23" s="285">
        <v>13.7</v>
      </c>
      <c r="AF23" s="278"/>
      <c r="AG23" s="278"/>
      <c r="AH23" s="288"/>
      <c r="AI23" s="278"/>
      <c r="AJ23" s="278"/>
      <c r="AK23" s="285" t="s">
        <v>320</v>
      </c>
      <c r="AL23" s="278"/>
      <c r="AM23" s="285" t="s">
        <v>320</v>
      </c>
      <c r="AN23" s="285" t="s">
        <v>320</v>
      </c>
      <c r="AO23" s="278" t="s">
        <v>361</v>
      </c>
      <c r="AP23" s="283" t="s">
        <v>325</v>
      </c>
      <c r="AQ23" s="285" t="s">
        <v>792</v>
      </c>
    </row>
    <row r="24" spans="1:45" ht="13" customHeight="1" x14ac:dyDescent="0.35">
      <c r="A24" s="278">
        <v>4651</v>
      </c>
      <c r="B24" s="306">
        <v>43307</v>
      </c>
      <c r="C24" s="280" t="s">
        <v>322</v>
      </c>
      <c r="D24" s="281" t="s">
        <v>373</v>
      </c>
      <c r="E24" s="278"/>
      <c r="F24" s="278" t="s">
        <v>360</v>
      </c>
      <c r="G24" s="290">
        <v>43281</v>
      </c>
      <c r="H24" s="283" t="s">
        <v>324</v>
      </c>
      <c r="I24" s="283" t="s">
        <v>325</v>
      </c>
      <c r="J24" s="283"/>
      <c r="K24" s="278" t="s">
        <v>331</v>
      </c>
      <c r="L24" s="284" t="s">
        <v>387</v>
      </c>
      <c r="M24" s="285">
        <v>72.399999999999991</v>
      </c>
      <c r="N24" s="285">
        <v>29.099999999999994</v>
      </c>
      <c r="O24" s="278"/>
      <c r="P24" s="278"/>
      <c r="Q24" s="288"/>
      <c r="R24" s="308"/>
      <c r="S24" s="287"/>
      <c r="T24" s="278"/>
      <c r="U24" s="288" t="s">
        <v>320</v>
      </c>
      <c r="V24" s="285" t="s">
        <v>320</v>
      </c>
      <c r="W24" s="288"/>
      <c r="X24" s="278"/>
      <c r="Y24" s="278"/>
      <c r="Z24" s="278"/>
      <c r="AA24" s="278"/>
      <c r="AB24" s="278"/>
      <c r="AC24" s="278"/>
      <c r="AD24" s="285" t="s">
        <v>320</v>
      </c>
      <c r="AE24" s="285">
        <v>13.399999999999999</v>
      </c>
      <c r="AF24" s="278"/>
      <c r="AG24" s="278"/>
      <c r="AH24" s="288"/>
      <c r="AI24" s="278"/>
      <c r="AJ24" s="278"/>
      <c r="AK24" s="285" t="s">
        <v>320</v>
      </c>
      <c r="AL24" s="278"/>
      <c r="AM24" s="285" t="s">
        <v>320</v>
      </c>
      <c r="AN24" s="285" t="s">
        <v>320</v>
      </c>
      <c r="AO24" s="278" t="s">
        <v>361</v>
      </c>
      <c r="AP24" s="283" t="s">
        <v>325</v>
      </c>
      <c r="AQ24" s="285" t="s">
        <v>795</v>
      </c>
    </row>
    <row r="25" spans="1:45" ht="13" customHeight="1" x14ac:dyDescent="0.35">
      <c r="A25" s="278">
        <v>1440</v>
      </c>
      <c r="B25" s="306">
        <v>43307</v>
      </c>
      <c r="C25" s="280" t="s">
        <v>322</v>
      </c>
      <c r="D25" s="281" t="s">
        <v>373</v>
      </c>
      <c r="E25" s="278"/>
      <c r="F25" s="278" t="s">
        <v>360</v>
      </c>
      <c r="G25" s="290">
        <v>43281</v>
      </c>
      <c r="H25" s="283" t="s">
        <v>324</v>
      </c>
      <c r="I25" s="283" t="s">
        <v>325</v>
      </c>
      <c r="J25" s="283"/>
      <c r="K25" s="278" t="s">
        <v>479</v>
      </c>
      <c r="L25" s="284" t="s">
        <v>387</v>
      </c>
      <c r="M25" s="285">
        <v>70</v>
      </c>
      <c r="N25" s="285">
        <v>25.75454545454545</v>
      </c>
      <c r="O25" s="337" t="s">
        <v>351</v>
      </c>
      <c r="P25" s="337">
        <v>300</v>
      </c>
      <c r="Q25" s="285">
        <v>29.999999999999996</v>
      </c>
      <c r="R25" s="337">
        <v>300</v>
      </c>
      <c r="S25" s="285">
        <v>29.999999999999996</v>
      </c>
      <c r="T25" s="278"/>
      <c r="U25" s="288" t="s">
        <v>320</v>
      </c>
      <c r="V25" s="285" t="s">
        <v>320</v>
      </c>
      <c r="W25" s="288"/>
      <c r="X25" s="278"/>
      <c r="Y25" s="278"/>
      <c r="Z25" s="278"/>
      <c r="AA25" s="278"/>
      <c r="AB25" s="278"/>
      <c r="AC25" s="278"/>
      <c r="AD25" s="285" t="s">
        <v>320</v>
      </c>
      <c r="AE25" s="285">
        <v>14.218181818181817</v>
      </c>
      <c r="AF25" s="278"/>
      <c r="AG25" s="278"/>
      <c r="AH25" s="288"/>
      <c r="AI25" s="278"/>
      <c r="AJ25" s="278"/>
      <c r="AK25" s="285" t="s">
        <v>320</v>
      </c>
      <c r="AL25" s="278"/>
      <c r="AM25" s="285" t="s">
        <v>320</v>
      </c>
      <c r="AN25" s="285" t="s">
        <v>320</v>
      </c>
      <c r="AO25" s="278" t="s">
        <v>361</v>
      </c>
      <c r="AP25" s="283" t="s">
        <v>325</v>
      </c>
      <c r="AQ25" s="285" t="s">
        <v>798</v>
      </c>
    </row>
    <row r="26" spans="1:45" ht="13" customHeight="1" x14ac:dyDescent="0.35">
      <c r="A26" s="278">
        <v>1482</v>
      </c>
      <c r="B26" s="306">
        <v>43307</v>
      </c>
      <c r="C26" s="243" t="s">
        <v>322</v>
      </c>
      <c r="D26" s="281" t="s">
        <v>373</v>
      </c>
      <c r="E26" s="241"/>
      <c r="F26" s="278" t="s">
        <v>360</v>
      </c>
      <c r="G26" s="248">
        <v>43281</v>
      </c>
      <c r="H26" s="283" t="s">
        <v>324</v>
      </c>
      <c r="I26" s="283" t="s">
        <v>325</v>
      </c>
      <c r="J26" s="283"/>
      <c r="K26" s="278" t="s">
        <v>397</v>
      </c>
      <c r="L26" s="284" t="s">
        <v>387</v>
      </c>
      <c r="M26" s="285">
        <v>108.05454545454545</v>
      </c>
      <c r="N26" s="285">
        <v>25.027272727272727</v>
      </c>
      <c r="P26" s="278"/>
      <c r="Q26" s="288"/>
      <c r="R26" s="308"/>
      <c r="S26" s="287"/>
      <c r="T26" s="278"/>
      <c r="U26" s="288" t="s">
        <v>320</v>
      </c>
      <c r="V26" s="285" t="s">
        <v>320</v>
      </c>
      <c r="W26" s="288"/>
      <c r="X26" s="278"/>
      <c r="Y26" s="278"/>
      <c r="Z26" s="278"/>
      <c r="AA26" s="278"/>
      <c r="AB26" s="278"/>
      <c r="AC26" s="278"/>
      <c r="AD26" s="285" t="s">
        <v>320</v>
      </c>
      <c r="AE26" s="285">
        <v>16.445454545454545</v>
      </c>
      <c r="AF26" s="278"/>
      <c r="AG26" s="278"/>
      <c r="AH26" s="288"/>
      <c r="AI26" s="278"/>
      <c r="AJ26" s="278"/>
      <c r="AK26" s="285" t="s">
        <v>320</v>
      </c>
      <c r="AL26" s="278"/>
      <c r="AM26" s="285" t="s">
        <v>320</v>
      </c>
      <c r="AN26" s="285" t="s">
        <v>320</v>
      </c>
      <c r="AO26" s="278" t="s">
        <v>361</v>
      </c>
      <c r="AP26" s="283" t="s">
        <v>325</v>
      </c>
      <c r="AQ26" s="285" t="s">
        <v>801</v>
      </c>
    </row>
    <row r="27" spans="1:45" ht="13" customHeight="1" x14ac:dyDescent="0.35">
      <c r="A27" s="278">
        <v>10261</v>
      </c>
      <c r="B27" s="306">
        <v>43307</v>
      </c>
      <c r="C27" s="280" t="s">
        <v>322</v>
      </c>
      <c r="D27" s="281" t="s">
        <v>373</v>
      </c>
      <c r="E27" s="278"/>
      <c r="F27" s="278" t="s">
        <v>360</v>
      </c>
      <c r="G27" s="248">
        <v>43281</v>
      </c>
      <c r="H27" s="283" t="s">
        <v>324</v>
      </c>
      <c r="I27" s="283" t="s">
        <v>325</v>
      </c>
      <c r="J27" s="283"/>
      <c r="K27" s="278" t="s">
        <v>340</v>
      </c>
      <c r="L27" s="284" t="s">
        <v>387</v>
      </c>
      <c r="M27" s="285">
        <v>89.999999999999986</v>
      </c>
      <c r="N27" s="285">
        <v>27.290909090909089</v>
      </c>
      <c r="O27" s="278"/>
      <c r="P27" s="278"/>
      <c r="Q27" s="288"/>
      <c r="R27" s="308"/>
      <c r="S27" s="287"/>
      <c r="T27" s="278"/>
      <c r="U27" s="288" t="s">
        <v>320</v>
      </c>
      <c r="V27" s="285" t="s">
        <v>320</v>
      </c>
      <c r="W27" s="288"/>
      <c r="X27" s="278"/>
      <c r="Y27" s="278"/>
      <c r="Z27" s="278"/>
      <c r="AA27" s="278"/>
      <c r="AB27" s="278"/>
      <c r="AC27" s="278"/>
      <c r="AD27" s="285" t="s">
        <v>320</v>
      </c>
      <c r="AE27" s="285">
        <v>13.136363636363635</v>
      </c>
      <c r="AF27" s="278"/>
      <c r="AG27" s="278"/>
      <c r="AH27" s="288"/>
      <c r="AI27" s="278"/>
      <c r="AJ27" s="278"/>
      <c r="AK27" s="285" t="s">
        <v>320</v>
      </c>
      <c r="AL27" s="278"/>
      <c r="AM27" s="285" t="s">
        <v>320</v>
      </c>
      <c r="AN27" s="285" t="s">
        <v>320</v>
      </c>
      <c r="AO27" s="278" t="s">
        <v>361</v>
      </c>
      <c r="AP27" s="283" t="s">
        <v>325</v>
      </c>
      <c r="AQ27" s="285" t="s">
        <v>804</v>
      </c>
    </row>
    <row r="28" spans="1:45" ht="13" customHeight="1" x14ac:dyDescent="0.35">
      <c r="A28" s="278">
        <v>4372</v>
      </c>
      <c r="B28" s="306">
        <v>43307</v>
      </c>
      <c r="C28" s="280" t="s">
        <v>322</v>
      </c>
      <c r="D28" s="281" t="s">
        <v>373</v>
      </c>
      <c r="E28" s="278"/>
      <c r="F28" s="278" t="s">
        <v>360</v>
      </c>
      <c r="G28" s="290">
        <v>43281</v>
      </c>
      <c r="H28" s="283" t="s">
        <v>324</v>
      </c>
      <c r="I28" s="283" t="s">
        <v>325</v>
      </c>
      <c r="J28" s="283"/>
      <c r="K28" s="278" t="s">
        <v>403</v>
      </c>
      <c r="L28" s="284" t="s">
        <v>387</v>
      </c>
      <c r="M28" s="285">
        <v>110.19090909090907</v>
      </c>
      <c r="N28" s="285">
        <v>26.409090909090907</v>
      </c>
      <c r="O28" s="278"/>
      <c r="P28" s="278"/>
      <c r="Q28" s="288"/>
      <c r="R28" s="308"/>
      <c r="S28" s="287"/>
      <c r="T28" s="278"/>
      <c r="U28" s="288" t="s">
        <v>320</v>
      </c>
      <c r="V28" s="285" t="s">
        <v>320</v>
      </c>
      <c r="W28" s="288"/>
      <c r="X28" s="278"/>
      <c r="Y28" s="278"/>
      <c r="Z28" s="278"/>
      <c r="AA28" s="278"/>
      <c r="AB28" s="278"/>
      <c r="AC28" s="278"/>
      <c r="AD28" s="285" t="s">
        <v>320</v>
      </c>
      <c r="AE28" s="285">
        <v>12.872727272727271</v>
      </c>
      <c r="AF28" s="278"/>
      <c r="AG28" s="278"/>
      <c r="AH28" s="288"/>
      <c r="AI28" s="278"/>
      <c r="AJ28" s="278"/>
      <c r="AK28" s="285" t="s">
        <v>320</v>
      </c>
      <c r="AL28" s="278"/>
      <c r="AM28" s="285" t="s">
        <v>320</v>
      </c>
      <c r="AN28" s="285" t="s">
        <v>320</v>
      </c>
      <c r="AO28" s="278" t="s">
        <v>361</v>
      </c>
      <c r="AP28" s="283" t="s">
        <v>325</v>
      </c>
      <c r="AQ28" s="285" t="s">
        <v>807</v>
      </c>
    </row>
    <row r="29" spans="1:45" ht="13" customHeight="1" x14ac:dyDescent="0.35">
      <c r="A29" s="278">
        <v>10522</v>
      </c>
      <c r="B29" s="306">
        <v>43307</v>
      </c>
      <c r="C29" s="280" t="s">
        <v>322</v>
      </c>
      <c r="D29" s="281" t="s">
        <v>373</v>
      </c>
      <c r="E29" s="278"/>
      <c r="F29" s="278" t="s">
        <v>360</v>
      </c>
      <c r="G29" s="290">
        <v>43281</v>
      </c>
      <c r="H29" s="283" t="s">
        <v>324</v>
      </c>
      <c r="I29" s="283" t="s">
        <v>325</v>
      </c>
      <c r="J29" s="283"/>
      <c r="K29" s="278" t="s">
        <v>348</v>
      </c>
      <c r="L29" s="284" t="s">
        <v>387</v>
      </c>
      <c r="M29" s="285">
        <v>80.48181818181817</v>
      </c>
      <c r="N29" s="285">
        <v>27.709090909090907</v>
      </c>
      <c r="O29" s="278"/>
      <c r="P29" s="278"/>
      <c r="Q29" s="288"/>
      <c r="R29" s="308"/>
      <c r="S29" s="287"/>
      <c r="T29" s="278"/>
      <c r="U29" s="288" t="s">
        <v>320</v>
      </c>
      <c r="V29" s="285" t="s">
        <v>320</v>
      </c>
      <c r="W29" s="288"/>
      <c r="X29" s="278"/>
      <c r="Y29" s="278"/>
      <c r="Z29" s="278"/>
      <c r="AA29" s="278"/>
      <c r="AB29" s="278"/>
      <c r="AC29" s="278"/>
      <c r="AD29" s="285" t="s">
        <v>320</v>
      </c>
      <c r="AE29" s="285">
        <v>12.827272727272726</v>
      </c>
      <c r="AF29" s="278"/>
      <c r="AG29" s="278"/>
      <c r="AH29" s="288"/>
      <c r="AI29" s="278"/>
      <c r="AJ29" s="278"/>
      <c r="AK29" s="285" t="s">
        <v>320</v>
      </c>
      <c r="AL29" s="278"/>
      <c r="AM29" s="285" t="s">
        <v>320</v>
      </c>
      <c r="AN29" s="285" t="s">
        <v>320</v>
      </c>
      <c r="AO29" s="278" t="s">
        <v>361</v>
      </c>
      <c r="AP29" s="283" t="s">
        <v>325</v>
      </c>
      <c r="AQ29" s="285" t="s">
        <v>810</v>
      </c>
    </row>
    <row r="30" spans="1:45" ht="13" customHeight="1" x14ac:dyDescent="0.35">
      <c r="A30" s="278">
        <v>10331</v>
      </c>
      <c r="B30" s="306">
        <v>43307</v>
      </c>
      <c r="C30" s="280" t="s">
        <v>322</v>
      </c>
      <c r="D30" s="281" t="s">
        <v>373</v>
      </c>
      <c r="E30" s="278"/>
      <c r="F30" s="278" t="s">
        <v>360</v>
      </c>
      <c r="G30" s="290">
        <v>43284</v>
      </c>
      <c r="H30" s="283" t="s">
        <v>324</v>
      </c>
      <c r="I30" s="283" t="s">
        <v>325</v>
      </c>
      <c r="J30" s="283"/>
      <c r="K30" s="278" t="s">
        <v>406</v>
      </c>
      <c r="L30" s="284" t="s">
        <v>387</v>
      </c>
      <c r="M30" s="285">
        <v>84.709090909090904</v>
      </c>
      <c r="N30" s="285">
        <v>27.309090909090905</v>
      </c>
      <c r="O30" s="278"/>
      <c r="P30" s="278"/>
      <c r="Q30" s="288"/>
      <c r="R30" s="308"/>
      <c r="S30" s="287"/>
      <c r="T30" s="278"/>
      <c r="U30" s="288" t="s">
        <v>320</v>
      </c>
      <c r="V30" s="285" t="s">
        <v>320</v>
      </c>
      <c r="W30" s="288"/>
      <c r="X30" s="278"/>
      <c r="Y30" s="278"/>
      <c r="Z30" s="278"/>
      <c r="AA30" s="278"/>
      <c r="AB30" s="278"/>
      <c r="AC30" s="278"/>
      <c r="AD30" s="285" t="s">
        <v>320</v>
      </c>
      <c r="AE30" s="285">
        <v>15.454545454545453</v>
      </c>
      <c r="AF30" s="278"/>
      <c r="AG30" s="278"/>
      <c r="AH30" s="288"/>
      <c r="AI30" s="278"/>
      <c r="AJ30" s="278"/>
      <c r="AK30" s="285" t="s">
        <v>320</v>
      </c>
      <c r="AL30" s="278"/>
      <c r="AM30" s="285" t="s">
        <v>320</v>
      </c>
      <c r="AN30" s="285" t="s">
        <v>320</v>
      </c>
      <c r="AO30" s="278" t="s">
        <v>361</v>
      </c>
      <c r="AP30" s="283" t="s">
        <v>325</v>
      </c>
      <c r="AQ30" s="285" t="s">
        <v>813</v>
      </c>
    </row>
    <row r="31" spans="1:45" ht="13" customHeight="1" x14ac:dyDescent="0.35">
      <c r="A31" s="278">
        <v>10666</v>
      </c>
      <c r="B31" s="306">
        <v>43307</v>
      </c>
      <c r="C31" s="280" t="s">
        <v>322</v>
      </c>
      <c r="D31" s="281" t="s">
        <v>373</v>
      </c>
      <c r="E31" s="278"/>
      <c r="F31" s="278" t="s">
        <v>360</v>
      </c>
      <c r="G31" s="290">
        <v>43284</v>
      </c>
      <c r="H31" s="283" t="s">
        <v>324</v>
      </c>
      <c r="I31" s="283" t="s">
        <v>325</v>
      </c>
      <c r="J31" s="283"/>
      <c r="K31" s="278" t="s">
        <v>408</v>
      </c>
      <c r="L31" s="284" t="s">
        <v>387</v>
      </c>
      <c r="M31" s="285">
        <v>119.44545454545452</v>
      </c>
      <c r="N31" s="285">
        <v>24.954545454545453</v>
      </c>
      <c r="O31" s="278"/>
      <c r="P31" s="278"/>
      <c r="Q31" s="288"/>
      <c r="R31" s="308"/>
      <c r="S31" s="287"/>
      <c r="T31" s="278"/>
      <c r="U31" s="288" t="s">
        <v>320</v>
      </c>
      <c r="V31" s="285" t="s">
        <v>320</v>
      </c>
      <c r="W31" s="288"/>
      <c r="X31" s="278"/>
      <c r="Y31" s="278"/>
      <c r="Z31" s="278"/>
      <c r="AA31" s="278"/>
      <c r="AB31" s="278"/>
      <c r="AC31" s="278"/>
      <c r="AD31" s="285" t="s">
        <v>320</v>
      </c>
      <c r="AE31" s="285">
        <v>14.68181818181818</v>
      </c>
      <c r="AF31" s="278"/>
      <c r="AG31" s="278"/>
      <c r="AH31" s="288"/>
      <c r="AI31" s="278"/>
      <c r="AJ31" s="278"/>
      <c r="AK31" s="285" t="s">
        <v>320</v>
      </c>
      <c r="AL31" s="278"/>
      <c r="AM31" s="285" t="s">
        <v>320</v>
      </c>
      <c r="AN31" s="285" t="s">
        <v>320</v>
      </c>
      <c r="AO31" s="278" t="s">
        <v>361</v>
      </c>
      <c r="AP31" s="283" t="s">
        <v>325</v>
      </c>
      <c r="AQ31" s="285" t="s">
        <v>816</v>
      </c>
    </row>
    <row r="32" spans="1:45" ht="13" customHeight="1" x14ac:dyDescent="0.35">
      <c r="A32" s="278">
        <v>1388</v>
      </c>
      <c r="B32" s="306">
        <v>43307</v>
      </c>
      <c r="C32" s="280" t="s">
        <v>322</v>
      </c>
      <c r="D32" s="281" t="s">
        <v>373</v>
      </c>
      <c r="E32" s="278"/>
      <c r="F32" s="278" t="s">
        <v>360</v>
      </c>
      <c r="G32" s="290">
        <v>43281</v>
      </c>
      <c r="H32" s="283" t="s">
        <v>324</v>
      </c>
      <c r="I32" s="283" t="s">
        <v>325</v>
      </c>
      <c r="J32" s="283"/>
      <c r="K32" s="278" t="s">
        <v>410</v>
      </c>
      <c r="L32" s="284" t="s">
        <v>387</v>
      </c>
      <c r="M32" s="285">
        <v>100.99999999999999</v>
      </c>
      <c r="N32" s="285">
        <v>25.5</v>
      </c>
      <c r="O32" s="281"/>
      <c r="P32" s="278"/>
      <c r="Q32" s="288"/>
      <c r="R32" s="308"/>
      <c r="S32" s="287"/>
      <c r="T32" s="278"/>
      <c r="U32" s="288" t="s">
        <v>320</v>
      </c>
      <c r="V32" s="285" t="s">
        <v>320</v>
      </c>
      <c r="W32" s="288"/>
      <c r="X32" s="278"/>
      <c r="Y32" s="278"/>
      <c r="Z32" s="278"/>
      <c r="AA32" s="278"/>
      <c r="AB32" s="278"/>
      <c r="AC32" s="278"/>
      <c r="AD32" s="285" t="s">
        <v>320</v>
      </c>
      <c r="AE32" s="285">
        <v>16.2</v>
      </c>
      <c r="AF32" s="278"/>
      <c r="AG32" s="278"/>
      <c r="AH32" s="288"/>
      <c r="AI32" s="278"/>
      <c r="AJ32" s="278"/>
      <c r="AK32" s="285" t="s">
        <v>320</v>
      </c>
      <c r="AL32" s="278"/>
      <c r="AM32" s="285" t="s">
        <v>320</v>
      </c>
      <c r="AN32" s="285" t="s">
        <v>320</v>
      </c>
      <c r="AO32" s="278" t="s">
        <v>361</v>
      </c>
      <c r="AP32" s="283" t="s">
        <v>325</v>
      </c>
      <c r="AQ32" s="285" t="s">
        <v>819</v>
      </c>
    </row>
    <row r="33" spans="1:43" ht="13" customHeight="1" x14ac:dyDescent="0.35">
      <c r="A33" s="278">
        <v>3594</v>
      </c>
      <c r="B33" s="306">
        <v>43307</v>
      </c>
      <c r="C33" s="280" t="s">
        <v>322</v>
      </c>
      <c r="D33" s="281" t="s">
        <v>373</v>
      </c>
      <c r="E33" s="278"/>
      <c r="F33" s="278" t="s">
        <v>360</v>
      </c>
      <c r="G33" s="290">
        <v>43281</v>
      </c>
      <c r="H33" s="283" t="s">
        <v>324</v>
      </c>
      <c r="I33" s="283" t="s">
        <v>325</v>
      </c>
      <c r="J33" s="283"/>
      <c r="K33" s="278" t="s">
        <v>412</v>
      </c>
      <c r="L33" s="284" t="s">
        <v>387</v>
      </c>
      <c r="M33" s="285">
        <v>83.963636363636354</v>
      </c>
      <c r="N33" s="285">
        <v>27.781818181818178</v>
      </c>
      <c r="O33" s="307" t="s">
        <v>351</v>
      </c>
      <c r="P33" s="307">
        <v>1000</v>
      </c>
      <c r="Q33" s="285">
        <v>29.281818181818181</v>
      </c>
      <c r="R33" s="307">
        <v>1000</v>
      </c>
      <c r="S33" s="285">
        <v>29.281818181818181</v>
      </c>
      <c r="T33" s="278"/>
      <c r="U33" s="288" t="s">
        <v>320</v>
      </c>
      <c r="V33" s="285" t="s">
        <v>320</v>
      </c>
      <c r="W33" s="288"/>
      <c r="X33" s="278"/>
      <c r="Y33" s="278"/>
      <c r="Z33" s="278"/>
      <c r="AA33" s="278"/>
      <c r="AB33" s="278"/>
      <c r="AC33" s="278"/>
      <c r="AD33" s="285" t="s">
        <v>320</v>
      </c>
      <c r="AE33" s="285">
        <v>13.872727272727271</v>
      </c>
      <c r="AF33" s="278"/>
      <c r="AG33" s="278"/>
      <c r="AH33" s="288"/>
      <c r="AI33" s="278"/>
      <c r="AJ33" s="278"/>
      <c r="AK33" s="285" t="s">
        <v>320</v>
      </c>
      <c r="AL33" s="278"/>
      <c r="AM33" s="285" t="s">
        <v>320</v>
      </c>
      <c r="AN33" s="285" t="s">
        <v>320</v>
      </c>
      <c r="AO33" s="278" t="s">
        <v>361</v>
      </c>
      <c r="AP33" s="283" t="s">
        <v>325</v>
      </c>
      <c r="AQ33" s="285" t="s">
        <v>822</v>
      </c>
    </row>
    <row r="34" spans="1:43" ht="13" customHeight="1" x14ac:dyDescent="0.35">
      <c r="A34" s="278">
        <v>10369</v>
      </c>
      <c r="B34" s="306">
        <v>43307</v>
      </c>
      <c r="C34" s="280" t="s">
        <v>322</v>
      </c>
      <c r="D34" s="281" t="s">
        <v>373</v>
      </c>
      <c r="E34" s="278"/>
      <c r="F34" s="278" t="s">
        <v>360</v>
      </c>
      <c r="G34" s="290">
        <v>43281</v>
      </c>
      <c r="H34" s="283" t="s">
        <v>310</v>
      </c>
      <c r="I34" s="283" t="s">
        <v>309</v>
      </c>
      <c r="J34" s="283"/>
      <c r="K34" s="278" t="s">
        <v>374</v>
      </c>
      <c r="L34" s="284" t="s">
        <v>387</v>
      </c>
      <c r="M34" s="285">
        <v>104.99999999999999</v>
      </c>
      <c r="N34" s="285">
        <v>25.799999999999997</v>
      </c>
      <c r="O34" s="278" t="s">
        <v>351</v>
      </c>
      <c r="P34" s="278">
        <v>1350</v>
      </c>
      <c r="Q34" s="285">
        <v>29.7</v>
      </c>
      <c r="R34" s="308">
        <v>1350</v>
      </c>
      <c r="S34" s="285">
        <v>29.7</v>
      </c>
      <c r="T34" s="278"/>
      <c r="U34" s="288" t="s">
        <v>320</v>
      </c>
      <c r="V34" s="285" t="s">
        <v>320</v>
      </c>
      <c r="W34" s="288"/>
      <c r="X34" s="278"/>
      <c r="Y34" s="278"/>
      <c r="Z34" s="278"/>
      <c r="AA34" s="278"/>
      <c r="AB34" s="278"/>
      <c r="AC34" s="278"/>
      <c r="AD34" s="285" t="s">
        <v>320</v>
      </c>
      <c r="AE34" s="285">
        <v>13.6</v>
      </c>
      <c r="AF34" s="278"/>
      <c r="AG34" s="278"/>
      <c r="AH34" s="288"/>
      <c r="AI34" s="278"/>
      <c r="AJ34" s="278"/>
      <c r="AK34" s="285" t="s">
        <v>320</v>
      </c>
      <c r="AL34" s="278"/>
      <c r="AM34" s="285" t="s">
        <v>320</v>
      </c>
      <c r="AN34" s="285" t="s">
        <v>320</v>
      </c>
      <c r="AO34" s="278" t="s">
        <v>361</v>
      </c>
      <c r="AP34" s="283" t="s">
        <v>325</v>
      </c>
      <c r="AQ34" s="285" t="s">
        <v>825</v>
      </c>
    </row>
    <row r="35" spans="1:43" ht="13" customHeight="1" x14ac:dyDescent="0.35">
      <c r="A35" s="278">
        <v>9901</v>
      </c>
      <c r="B35" s="306">
        <v>43307</v>
      </c>
      <c r="C35" s="280" t="s">
        <v>322</v>
      </c>
      <c r="D35" s="281" t="s">
        <v>373</v>
      </c>
      <c r="E35" s="278"/>
      <c r="F35" s="278" t="s">
        <v>360</v>
      </c>
      <c r="G35" s="290">
        <v>43281</v>
      </c>
      <c r="H35" s="283" t="s">
        <v>309</v>
      </c>
      <c r="I35" s="283" t="s">
        <v>355</v>
      </c>
      <c r="J35" s="283"/>
      <c r="K35" s="281" t="s">
        <v>354</v>
      </c>
      <c r="L35" s="284" t="s">
        <v>387</v>
      </c>
      <c r="M35" s="285">
        <v>75</v>
      </c>
      <c r="N35" s="285">
        <v>28.172727272727268</v>
      </c>
      <c r="O35" s="278"/>
      <c r="P35" s="278"/>
      <c r="Q35" s="288"/>
      <c r="R35" s="308"/>
      <c r="S35" s="287"/>
      <c r="T35" s="278"/>
      <c r="U35" s="288" t="s">
        <v>320</v>
      </c>
      <c r="V35" s="285" t="s">
        <v>320</v>
      </c>
      <c r="W35" s="288"/>
      <c r="X35" s="278"/>
      <c r="Y35" s="278"/>
      <c r="Z35" s="278"/>
      <c r="AA35" s="278"/>
      <c r="AB35" s="278"/>
      <c r="AC35" s="278"/>
      <c r="AD35" s="285" t="s">
        <v>320</v>
      </c>
      <c r="AE35" s="285">
        <v>14.999999999999998</v>
      </c>
      <c r="AF35" s="278"/>
      <c r="AG35" s="278"/>
      <c r="AH35" s="288"/>
      <c r="AI35" s="278"/>
      <c r="AJ35" s="278"/>
      <c r="AK35" s="285" t="s">
        <v>320</v>
      </c>
      <c r="AL35" s="278"/>
      <c r="AM35" s="285" t="s">
        <v>320</v>
      </c>
      <c r="AN35" s="285" t="s">
        <v>320</v>
      </c>
      <c r="AO35" s="278" t="s">
        <v>361</v>
      </c>
      <c r="AP35" s="283" t="s">
        <v>325</v>
      </c>
      <c r="AQ35" s="285" t="s">
        <v>828</v>
      </c>
    </row>
    <row r="36" spans="1:43" ht="13" customHeight="1" x14ac:dyDescent="0.35">
      <c r="A36" s="278"/>
      <c r="B36" s="306">
        <v>43307</v>
      </c>
      <c r="C36" s="280" t="s">
        <v>322</v>
      </c>
      <c r="D36" s="281" t="s">
        <v>373</v>
      </c>
      <c r="E36" s="278"/>
      <c r="F36" s="278" t="s">
        <v>360</v>
      </c>
      <c r="G36" s="293">
        <v>43281</v>
      </c>
      <c r="H36" s="296" t="s">
        <v>309</v>
      </c>
      <c r="I36" s="296" t="s">
        <v>355</v>
      </c>
      <c r="J36" s="283"/>
      <c r="K36" s="281" t="s">
        <v>424</v>
      </c>
      <c r="L36" s="284" t="s">
        <v>387</v>
      </c>
      <c r="M36" s="285">
        <v>85.999999999999986</v>
      </c>
      <c r="N36" s="285">
        <v>27.189999999999998</v>
      </c>
      <c r="O36" s="286"/>
      <c r="P36" s="286"/>
      <c r="Q36" s="288"/>
      <c r="R36" s="343"/>
      <c r="S36" s="287"/>
      <c r="T36" s="286"/>
      <c r="U36" s="288" t="s">
        <v>320</v>
      </c>
      <c r="V36" s="288" t="s">
        <v>320</v>
      </c>
      <c r="W36" s="288"/>
      <c r="X36" s="286"/>
      <c r="Y36" s="286"/>
      <c r="Z36" s="286"/>
      <c r="AA36" s="286"/>
      <c r="AB36" s="286"/>
      <c r="AC36" s="286"/>
      <c r="AD36" s="288" t="s">
        <v>320</v>
      </c>
      <c r="AE36" s="285">
        <v>15.49</v>
      </c>
      <c r="AF36" s="278"/>
      <c r="AG36" s="278"/>
      <c r="AH36" s="285"/>
      <c r="AI36" s="278"/>
      <c r="AJ36" s="278"/>
      <c r="AK36" s="285" t="s">
        <v>320</v>
      </c>
      <c r="AL36" s="278"/>
      <c r="AM36" s="285" t="s">
        <v>320</v>
      </c>
      <c r="AN36" s="285" t="s">
        <v>320</v>
      </c>
      <c r="AO36" s="278" t="s">
        <v>361</v>
      </c>
      <c r="AP36" s="283" t="s">
        <v>325</v>
      </c>
      <c r="AQ36" s="285" t="s">
        <v>881</v>
      </c>
    </row>
    <row r="37" spans="1:43" ht="13" customHeight="1" x14ac:dyDescent="0.35">
      <c r="A37" s="278"/>
      <c r="B37" s="306">
        <v>43307</v>
      </c>
      <c r="C37" s="280" t="s">
        <v>322</v>
      </c>
      <c r="D37" s="281" t="s">
        <v>373</v>
      </c>
      <c r="E37" s="278"/>
      <c r="F37" s="278" t="s">
        <v>360</v>
      </c>
      <c r="G37" s="293">
        <v>43281</v>
      </c>
      <c r="H37" s="296" t="s">
        <v>310</v>
      </c>
      <c r="I37" s="296" t="s">
        <v>309</v>
      </c>
      <c r="J37" s="283"/>
      <c r="K37" s="281" t="s">
        <v>501</v>
      </c>
      <c r="L37" s="284" t="s">
        <v>387</v>
      </c>
      <c r="M37" s="285">
        <v>109.99999999999999</v>
      </c>
      <c r="N37" s="285">
        <v>24.936363636363634</v>
      </c>
      <c r="O37" s="278"/>
      <c r="P37" s="278"/>
      <c r="Q37" s="288"/>
      <c r="R37" s="308"/>
      <c r="S37" s="287"/>
      <c r="T37" s="278"/>
      <c r="U37" s="288" t="s">
        <v>320</v>
      </c>
      <c r="V37" s="285" t="s">
        <v>320</v>
      </c>
      <c r="W37" s="288"/>
      <c r="X37" s="278"/>
      <c r="Y37" s="278"/>
      <c r="Z37" s="278"/>
      <c r="AA37" s="278"/>
      <c r="AB37" s="278"/>
      <c r="AC37" s="278"/>
      <c r="AD37" s="285" t="s">
        <v>320</v>
      </c>
      <c r="AE37" s="285">
        <v>16.518181818181819</v>
      </c>
      <c r="AF37" s="278"/>
      <c r="AG37" s="278"/>
      <c r="AH37" s="288"/>
      <c r="AI37" s="278"/>
      <c r="AJ37" s="278"/>
      <c r="AK37" s="285" t="s">
        <v>320</v>
      </c>
      <c r="AL37" s="278"/>
      <c r="AM37" s="285" t="s">
        <v>320</v>
      </c>
      <c r="AN37" s="285" t="s">
        <v>320</v>
      </c>
      <c r="AO37" s="278" t="s">
        <v>361</v>
      </c>
      <c r="AP37" s="283" t="s">
        <v>325</v>
      </c>
      <c r="AQ37" s="285" t="s">
        <v>831</v>
      </c>
    </row>
    <row r="38" spans="1:43" ht="13" customHeight="1" x14ac:dyDescent="0.35">
      <c r="A38" s="278"/>
      <c r="B38" s="306">
        <v>43307</v>
      </c>
      <c r="C38" s="280" t="s">
        <v>322</v>
      </c>
      <c r="D38" s="281" t="s">
        <v>373</v>
      </c>
      <c r="E38" s="278"/>
      <c r="F38" s="278" t="s">
        <v>360</v>
      </c>
      <c r="G38" s="293">
        <v>43281</v>
      </c>
      <c r="H38" s="296" t="s">
        <v>310</v>
      </c>
      <c r="I38" s="296" t="s">
        <v>309</v>
      </c>
      <c r="J38" s="283"/>
      <c r="K38" s="304" t="s">
        <v>503</v>
      </c>
      <c r="L38" s="284" t="s">
        <v>387</v>
      </c>
      <c r="M38" s="285">
        <v>82.999999999999986</v>
      </c>
      <c r="N38" s="285">
        <v>27.754545454545454</v>
      </c>
      <c r="O38" s="278"/>
      <c r="P38" s="278"/>
      <c r="Q38" s="288"/>
      <c r="R38" s="308"/>
      <c r="S38" s="287"/>
      <c r="T38" s="278"/>
      <c r="U38" s="288" t="s">
        <v>320</v>
      </c>
      <c r="V38" s="285" t="s">
        <v>320</v>
      </c>
      <c r="W38" s="288"/>
      <c r="X38" s="278"/>
      <c r="Y38" s="278"/>
      <c r="Z38" s="278"/>
      <c r="AA38" s="278"/>
      <c r="AB38" s="278"/>
      <c r="AC38" s="278"/>
      <c r="AD38" s="285" t="s">
        <v>320</v>
      </c>
      <c r="AE38" s="285">
        <v>14.700000000000001</v>
      </c>
      <c r="AF38" s="278"/>
      <c r="AG38" s="278"/>
      <c r="AH38" s="288"/>
      <c r="AI38" s="278"/>
      <c r="AJ38" s="278"/>
      <c r="AK38" s="285" t="s">
        <v>320</v>
      </c>
      <c r="AL38" s="278"/>
      <c r="AM38" s="285" t="s">
        <v>320</v>
      </c>
      <c r="AN38" s="285" t="s">
        <v>320</v>
      </c>
      <c r="AO38" s="278" t="s">
        <v>361</v>
      </c>
      <c r="AP38" s="283" t="s">
        <v>325</v>
      </c>
      <c r="AQ38" s="285" t="s">
        <v>834</v>
      </c>
    </row>
    <row r="39" spans="1:43" ht="13" customHeight="1" x14ac:dyDescent="0.35">
      <c r="A39" s="278">
        <v>10413</v>
      </c>
      <c r="B39" s="306">
        <v>43307</v>
      </c>
      <c r="C39" s="243" t="s">
        <v>322</v>
      </c>
      <c r="D39" s="281" t="s">
        <v>373</v>
      </c>
      <c r="E39" s="241"/>
      <c r="F39" s="278" t="s">
        <v>367</v>
      </c>
      <c r="G39" s="247">
        <v>42928</v>
      </c>
      <c r="H39" s="245" t="s">
        <v>324</v>
      </c>
      <c r="I39" s="245" t="s">
        <v>325</v>
      </c>
      <c r="J39" s="245"/>
      <c r="K39" s="241" t="s">
        <v>326</v>
      </c>
      <c r="L39" s="284" t="s">
        <v>387</v>
      </c>
      <c r="M39" s="285">
        <v>99.627272727272725</v>
      </c>
      <c r="N39" s="285">
        <v>50.809090909090905</v>
      </c>
      <c r="O39" s="278"/>
      <c r="P39" s="278"/>
      <c r="Q39" s="288"/>
      <c r="R39" s="308"/>
      <c r="S39" s="287"/>
      <c r="T39" s="278"/>
      <c r="U39" s="288" t="s">
        <v>320</v>
      </c>
      <c r="V39" s="285" t="s">
        <v>320</v>
      </c>
      <c r="W39" s="285">
        <v>15.099999999999998</v>
      </c>
      <c r="X39" s="278"/>
      <c r="Y39" s="278"/>
      <c r="Z39" s="278"/>
      <c r="AA39" s="278"/>
      <c r="AB39" s="278"/>
      <c r="AC39" s="278"/>
      <c r="AD39" s="285" t="s">
        <v>320</v>
      </c>
      <c r="AE39" s="288"/>
      <c r="AF39" s="278"/>
      <c r="AG39" s="278"/>
      <c r="AH39" s="285">
        <v>22.427272727272726</v>
      </c>
      <c r="AI39" s="278"/>
      <c r="AJ39" s="278"/>
      <c r="AK39" s="285" t="s">
        <v>320</v>
      </c>
      <c r="AL39" s="278"/>
      <c r="AM39" s="285" t="s">
        <v>320</v>
      </c>
      <c r="AN39" s="285" t="s">
        <v>320</v>
      </c>
      <c r="AO39" s="278" t="s">
        <v>378</v>
      </c>
      <c r="AP39" s="283" t="s">
        <v>325</v>
      </c>
      <c r="AQ39" s="285" t="s">
        <v>790</v>
      </c>
    </row>
    <row r="40" spans="1:43" ht="13" customHeight="1" x14ac:dyDescent="0.35">
      <c r="A40" s="278">
        <v>10500</v>
      </c>
      <c r="B40" s="306">
        <v>43307</v>
      </c>
      <c r="C40" s="280" t="s">
        <v>322</v>
      </c>
      <c r="D40" s="281" t="s">
        <v>373</v>
      </c>
      <c r="E40" s="278"/>
      <c r="F40" s="278" t="s">
        <v>367</v>
      </c>
      <c r="G40" s="290">
        <v>43281</v>
      </c>
      <c r="H40" s="283" t="s">
        <v>324</v>
      </c>
      <c r="I40" s="283" t="s">
        <v>325</v>
      </c>
      <c r="J40" s="283"/>
      <c r="K40" s="278" t="s">
        <v>328</v>
      </c>
      <c r="L40" s="284" t="s">
        <v>387</v>
      </c>
      <c r="M40" s="285">
        <v>96.73636363636362</v>
      </c>
      <c r="N40" s="285">
        <v>51.563636363636355</v>
      </c>
      <c r="O40" s="278"/>
      <c r="P40" s="278"/>
      <c r="Q40" s="288"/>
      <c r="R40" s="308"/>
      <c r="S40" s="287"/>
      <c r="T40" s="278"/>
      <c r="U40" s="288" t="s">
        <v>320</v>
      </c>
      <c r="V40" s="285" t="s">
        <v>320</v>
      </c>
      <c r="W40" s="285">
        <v>15.472727272727271</v>
      </c>
      <c r="X40" s="278"/>
      <c r="Y40" s="278"/>
      <c r="Z40" s="278"/>
      <c r="AA40" s="278"/>
      <c r="AB40" s="278"/>
      <c r="AC40" s="278"/>
      <c r="AD40" s="285" t="s">
        <v>320</v>
      </c>
      <c r="AE40" s="288"/>
      <c r="AF40" s="278"/>
      <c r="AG40" s="278"/>
      <c r="AH40" s="285">
        <v>21.863636363636363</v>
      </c>
      <c r="AI40" s="278"/>
      <c r="AJ40" s="278"/>
      <c r="AK40" s="285" t="s">
        <v>320</v>
      </c>
      <c r="AL40" s="278"/>
      <c r="AM40" s="285" t="s">
        <v>320</v>
      </c>
      <c r="AN40" s="285" t="s">
        <v>320</v>
      </c>
      <c r="AO40" s="278" t="s">
        <v>378</v>
      </c>
      <c r="AP40" s="283" t="s">
        <v>325</v>
      </c>
      <c r="AQ40" s="285" t="s">
        <v>793</v>
      </c>
    </row>
    <row r="41" spans="1:43" ht="13" customHeight="1" x14ac:dyDescent="0.35">
      <c r="A41" s="278">
        <v>4653</v>
      </c>
      <c r="B41" s="306">
        <v>43307</v>
      </c>
      <c r="C41" s="280" t="s">
        <v>322</v>
      </c>
      <c r="D41" s="281" t="s">
        <v>373</v>
      </c>
      <c r="E41" s="278"/>
      <c r="F41" s="278" t="s">
        <v>367</v>
      </c>
      <c r="G41" s="290">
        <v>43281</v>
      </c>
      <c r="H41" s="283" t="s">
        <v>324</v>
      </c>
      <c r="I41" s="283" t="s">
        <v>325</v>
      </c>
      <c r="J41" s="283"/>
      <c r="K41" s="278" t="s">
        <v>331</v>
      </c>
      <c r="L41" s="284" t="s">
        <v>387</v>
      </c>
      <c r="M41" s="285">
        <v>72</v>
      </c>
      <c r="N41" s="285">
        <v>47.999999999999993</v>
      </c>
      <c r="O41" s="278"/>
      <c r="P41" s="278"/>
      <c r="Q41" s="288"/>
      <c r="R41" s="308"/>
      <c r="S41" s="287"/>
      <c r="T41" s="278"/>
      <c r="U41" s="288" t="s">
        <v>320</v>
      </c>
      <c r="V41" s="285" t="s">
        <v>320</v>
      </c>
      <c r="W41" s="285">
        <v>17.2</v>
      </c>
      <c r="X41" s="278"/>
      <c r="Y41" s="278"/>
      <c r="Z41" s="278"/>
      <c r="AA41" s="278"/>
      <c r="AB41" s="278"/>
      <c r="AC41" s="278"/>
      <c r="AD41" s="285" t="s">
        <v>320</v>
      </c>
      <c r="AE41" s="288"/>
      <c r="AF41" s="278"/>
      <c r="AG41" s="278"/>
      <c r="AH41" s="285">
        <v>24.499999999999996</v>
      </c>
      <c r="AI41" s="278"/>
      <c r="AJ41" s="278"/>
      <c r="AK41" s="285" t="s">
        <v>320</v>
      </c>
      <c r="AL41" s="278"/>
      <c r="AM41" s="285" t="s">
        <v>320</v>
      </c>
      <c r="AN41" s="285" t="s">
        <v>320</v>
      </c>
      <c r="AO41" s="278" t="s">
        <v>378</v>
      </c>
      <c r="AP41" s="283" t="s">
        <v>325</v>
      </c>
      <c r="AQ41" s="285" t="s">
        <v>796</v>
      </c>
    </row>
    <row r="42" spans="1:43" ht="13" customHeight="1" x14ac:dyDescent="0.35">
      <c r="A42" s="278">
        <v>1442</v>
      </c>
      <c r="B42" s="306">
        <v>43307</v>
      </c>
      <c r="C42" s="280" t="s">
        <v>322</v>
      </c>
      <c r="D42" s="281" t="s">
        <v>373</v>
      </c>
      <c r="E42" s="278"/>
      <c r="F42" s="278" t="s">
        <v>367</v>
      </c>
      <c r="G42" s="290">
        <v>43281</v>
      </c>
      <c r="H42" s="283" t="s">
        <v>324</v>
      </c>
      <c r="I42" s="283" t="s">
        <v>325</v>
      </c>
      <c r="J42" s="283"/>
      <c r="K42" s="278" t="s">
        <v>479</v>
      </c>
      <c r="L42" s="284" t="s">
        <v>387</v>
      </c>
      <c r="M42" s="285">
        <v>112.99999999999999</v>
      </c>
      <c r="N42" s="285">
        <v>44.6</v>
      </c>
      <c r="O42" s="278"/>
      <c r="P42" s="278"/>
      <c r="Q42" s="288"/>
      <c r="R42" s="308"/>
      <c r="S42" s="287"/>
      <c r="T42" s="278"/>
      <c r="U42" s="288" t="s">
        <v>320</v>
      </c>
      <c r="V42" s="285" t="s">
        <v>320</v>
      </c>
      <c r="W42" s="285">
        <v>21.999999999999996</v>
      </c>
      <c r="X42" s="278"/>
      <c r="Y42" s="278"/>
      <c r="Z42" s="278"/>
      <c r="AA42" s="278"/>
      <c r="AB42" s="278"/>
      <c r="AC42" s="278"/>
      <c r="AD42" s="285" t="s">
        <v>320</v>
      </c>
      <c r="AE42" s="288"/>
      <c r="AF42" s="278"/>
      <c r="AG42" s="278"/>
      <c r="AH42" s="285">
        <v>21.999999999999996</v>
      </c>
      <c r="AI42" s="278"/>
      <c r="AJ42" s="278"/>
      <c r="AK42" s="285" t="s">
        <v>320</v>
      </c>
      <c r="AL42" s="278"/>
      <c r="AM42" s="285" t="s">
        <v>320</v>
      </c>
      <c r="AN42" s="285" t="s">
        <v>320</v>
      </c>
      <c r="AO42" s="278" t="s">
        <v>378</v>
      </c>
      <c r="AP42" s="283" t="s">
        <v>325</v>
      </c>
      <c r="AQ42" s="285" t="s">
        <v>799</v>
      </c>
    </row>
    <row r="43" spans="1:43" ht="13" customHeight="1" x14ac:dyDescent="0.35">
      <c r="A43" s="278">
        <v>1484</v>
      </c>
      <c r="B43" s="306">
        <v>43307</v>
      </c>
      <c r="C43" s="243" t="s">
        <v>322</v>
      </c>
      <c r="D43" s="281" t="s">
        <v>373</v>
      </c>
      <c r="E43" s="241"/>
      <c r="F43" s="278" t="s">
        <v>367</v>
      </c>
      <c r="G43" s="248">
        <v>43281</v>
      </c>
      <c r="H43" s="283" t="s">
        <v>324</v>
      </c>
      <c r="I43" s="283" t="s">
        <v>325</v>
      </c>
      <c r="J43" s="283"/>
      <c r="K43" s="278" t="s">
        <v>397</v>
      </c>
      <c r="L43" s="284" t="s">
        <v>387</v>
      </c>
      <c r="M43" s="285">
        <v>117.22727272727271</v>
      </c>
      <c r="N43" s="285">
        <v>43.427272727272729</v>
      </c>
      <c r="O43" s="278"/>
      <c r="P43" s="278"/>
      <c r="Q43" s="288"/>
      <c r="R43" s="308"/>
      <c r="S43" s="288"/>
      <c r="T43" s="278"/>
      <c r="U43" s="288" t="s">
        <v>320</v>
      </c>
      <c r="V43" s="285" t="s">
        <v>320</v>
      </c>
      <c r="W43" s="285">
        <v>17.854545454545455</v>
      </c>
      <c r="X43" s="278"/>
      <c r="Y43" s="278"/>
      <c r="Z43" s="278"/>
      <c r="AA43" s="278"/>
      <c r="AB43" s="278"/>
      <c r="AC43" s="278"/>
      <c r="AD43" s="285" t="s">
        <v>320</v>
      </c>
      <c r="AE43" s="288"/>
      <c r="AF43" s="278"/>
      <c r="AG43" s="278"/>
      <c r="AH43" s="285">
        <v>19.545454545454543</v>
      </c>
      <c r="AI43" s="278"/>
      <c r="AJ43" s="278"/>
      <c r="AK43" s="285" t="s">
        <v>320</v>
      </c>
      <c r="AL43" s="278"/>
      <c r="AM43" s="285" t="s">
        <v>320</v>
      </c>
      <c r="AN43" s="285" t="s">
        <v>320</v>
      </c>
      <c r="AO43" s="278" t="s">
        <v>378</v>
      </c>
      <c r="AP43" s="283" t="s">
        <v>325</v>
      </c>
      <c r="AQ43" s="285" t="s">
        <v>802</v>
      </c>
    </row>
    <row r="44" spans="1:43" ht="13" customHeight="1" x14ac:dyDescent="0.35">
      <c r="A44" s="278">
        <v>10263</v>
      </c>
      <c r="B44" s="306">
        <v>43307</v>
      </c>
      <c r="C44" s="280" t="s">
        <v>322</v>
      </c>
      <c r="D44" s="281" t="s">
        <v>373</v>
      </c>
      <c r="E44" s="278"/>
      <c r="F44" s="278" t="s">
        <v>367</v>
      </c>
      <c r="G44" s="248">
        <v>43281</v>
      </c>
      <c r="H44" s="283" t="s">
        <v>324</v>
      </c>
      <c r="I44" s="283" t="s">
        <v>325</v>
      </c>
      <c r="J44" s="283"/>
      <c r="K44" s="278" t="s">
        <v>340</v>
      </c>
      <c r="L44" s="284" t="s">
        <v>387</v>
      </c>
      <c r="M44" s="285">
        <v>94.899999999999991</v>
      </c>
      <c r="N44" s="285">
        <v>52.554545454545455</v>
      </c>
      <c r="O44" s="278"/>
      <c r="P44" s="278"/>
      <c r="Q44" s="288"/>
      <c r="R44" s="278"/>
      <c r="S44" s="288"/>
      <c r="T44" s="278"/>
      <c r="U44" s="288" t="s">
        <v>320</v>
      </c>
      <c r="V44" s="285" t="s">
        <v>320</v>
      </c>
      <c r="W44" s="285">
        <v>17.990909090909089</v>
      </c>
      <c r="X44" s="278"/>
      <c r="Y44" s="278"/>
      <c r="Z44" s="278"/>
      <c r="AA44" s="278"/>
      <c r="AB44" s="278"/>
      <c r="AC44" s="278"/>
      <c r="AD44" s="285" t="s">
        <v>320</v>
      </c>
      <c r="AE44" s="288"/>
      <c r="AF44" s="278"/>
      <c r="AG44" s="278"/>
      <c r="AH44" s="285">
        <v>25.18181818181818</v>
      </c>
      <c r="AI44" s="278"/>
      <c r="AJ44" s="278"/>
      <c r="AK44" s="285" t="s">
        <v>320</v>
      </c>
      <c r="AL44" s="278"/>
      <c r="AM44" s="285" t="s">
        <v>320</v>
      </c>
      <c r="AN44" s="285" t="s">
        <v>320</v>
      </c>
      <c r="AO44" s="278" t="s">
        <v>378</v>
      </c>
      <c r="AP44" s="283" t="s">
        <v>325</v>
      </c>
      <c r="AQ44" s="285" t="s">
        <v>805</v>
      </c>
    </row>
    <row r="45" spans="1:43" ht="13" customHeight="1" x14ac:dyDescent="0.35">
      <c r="A45" s="278">
        <v>4374</v>
      </c>
      <c r="B45" s="306">
        <v>43307</v>
      </c>
      <c r="C45" s="280" t="s">
        <v>322</v>
      </c>
      <c r="D45" s="281" t="s">
        <v>373</v>
      </c>
      <c r="E45" s="278"/>
      <c r="F45" s="278" t="s">
        <v>367</v>
      </c>
      <c r="G45" s="290">
        <v>43281</v>
      </c>
      <c r="H45" s="283" t="s">
        <v>324</v>
      </c>
      <c r="I45" s="283" t="s">
        <v>325</v>
      </c>
      <c r="J45" s="283"/>
      <c r="K45" s="278" t="s">
        <v>403</v>
      </c>
      <c r="L45" s="284" t="s">
        <v>387</v>
      </c>
      <c r="M45" s="285">
        <v>99.090909090909079</v>
      </c>
      <c r="N45" s="285">
        <v>50.027272727272724</v>
      </c>
      <c r="O45" s="278"/>
      <c r="P45" s="278"/>
      <c r="Q45" s="288"/>
      <c r="R45" s="278"/>
      <c r="S45" s="288"/>
      <c r="T45" s="278"/>
      <c r="U45" s="288" t="s">
        <v>320</v>
      </c>
      <c r="V45" s="285" t="s">
        <v>320</v>
      </c>
      <c r="W45" s="285">
        <v>18.209090909090907</v>
      </c>
      <c r="X45" s="278"/>
      <c r="Y45" s="278"/>
      <c r="Z45" s="278"/>
      <c r="AA45" s="278"/>
      <c r="AB45" s="278"/>
      <c r="AC45" s="278"/>
      <c r="AD45" s="285" t="s">
        <v>320</v>
      </c>
      <c r="AE45" s="288"/>
      <c r="AF45" s="278"/>
      <c r="AG45" s="278"/>
      <c r="AH45" s="285">
        <v>20.209090909090907</v>
      </c>
      <c r="AI45" s="278"/>
      <c r="AJ45" s="278"/>
      <c r="AK45" s="285" t="s">
        <v>320</v>
      </c>
      <c r="AL45" s="278"/>
      <c r="AM45" s="285" t="s">
        <v>320</v>
      </c>
      <c r="AN45" s="285" t="s">
        <v>320</v>
      </c>
      <c r="AO45" s="278" t="s">
        <v>378</v>
      </c>
      <c r="AP45" s="283" t="s">
        <v>325</v>
      </c>
      <c r="AQ45" s="285" t="s">
        <v>808</v>
      </c>
    </row>
    <row r="46" spans="1:43" ht="13" customHeight="1" x14ac:dyDescent="0.35">
      <c r="A46" s="278">
        <v>10524</v>
      </c>
      <c r="B46" s="306">
        <v>43307</v>
      </c>
      <c r="C46" s="280" t="s">
        <v>322</v>
      </c>
      <c r="D46" s="281" t="s">
        <v>373</v>
      </c>
      <c r="E46" s="278"/>
      <c r="F46" s="278" t="s">
        <v>367</v>
      </c>
      <c r="G46" s="290">
        <v>43281</v>
      </c>
      <c r="H46" s="283" t="s">
        <v>324</v>
      </c>
      <c r="I46" s="283" t="s">
        <v>325</v>
      </c>
      <c r="J46" s="283"/>
      <c r="K46" s="278" t="s">
        <v>348</v>
      </c>
      <c r="L46" s="284" t="s">
        <v>387</v>
      </c>
      <c r="M46" s="285">
        <v>91.149999999999991</v>
      </c>
      <c r="N46" s="285">
        <v>51.529999999999994</v>
      </c>
      <c r="O46" s="278"/>
      <c r="P46" s="278"/>
      <c r="Q46" s="288"/>
      <c r="R46" s="278"/>
      <c r="S46" s="288"/>
      <c r="T46" s="278"/>
      <c r="U46" s="288" t="s">
        <v>320</v>
      </c>
      <c r="V46" s="285" t="s">
        <v>320</v>
      </c>
      <c r="W46" s="285">
        <v>14.919999999999998</v>
      </c>
      <c r="X46" s="278"/>
      <c r="Y46" s="278"/>
      <c r="Z46" s="278"/>
      <c r="AA46" s="278"/>
      <c r="AB46" s="278"/>
      <c r="AC46" s="278"/>
      <c r="AD46" s="285" t="s">
        <v>320</v>
      </c>
      <c r="AE46" s="288"/>
      <c r="AF46" s="278"/>
      <c r="AG46" s="278"/>
      <c r="AH46" s="285">
        <v>23.419999999999998</v>
      </c>
      <c r="AI46" s="278"/>
      <c r="AJ46" s="278"/>
      <c r="AK46" s="285" t="s">
        <v>320</v>
      </c>
      <c r="AL46" s="278"/>
      <c r="AM46" s="285" t="s">
        <v>320</v>
      </c>
      <c r="AN46" s="285" t="s">
        <v>320</v>
      </c>
      <c r="AO46" s="278" t="s">
        <v>378</v>
      </c>
      <c r="AP46" s="283" t="s">
        <v>325</v>
      </c>
      <c r="AQ46" s="285" t="s">
        <v>811</v>
      </c>
    </row>
    <row r="47" spans="1:43" ht="13" customHeight="1" x14ac:dyDescent="0.35">
      <c r="A47" s="278">
        <v>10333</v>
      </c>
      <c r="B47" s="306">
        <v>43307</v>
      </c>
      <c r="C47" s="280" t="s">
        <v>322</v>
      </c>
      <c r="D47" s="281" t="s">
        <v>373</v>
      </c>
      <c r="E47" s="278"/>
      <c r="F47" s="278" t="s">
        <v>367</v>
      </c>
      <c r="G47" s="290">
        <v>43193</v>
      </c>
      <c r="H47" s="283" t="s">
        <v>324</v>
      </c>
      <c r="I47" s="283" t="s">
        <v>325</v>
      </c>
      <c r="J47" s="283"/>
      <c r="K47" s="278" t="s">
        <v>406</v>
      </c>
      <c r="L47" s="284" t="s">
        <v>387</v>
      </c>
      <c r="M47" s="285">
        <v>99.627272727272725</v>
      </c>
      <c r="N47" s="285">
        <v>50.809090909090905</v>
      </c>
      <c r="O47" s="278"/>
      <c r="P47" s="278"/>
      <c r="Q47" s="288"/>
      <c r="R47" s="278"/>
      <c r="S47" s="287"/>
      <c r="T47" s="278"/>
      <c r="U47" s="288" t="s">
        <v>320</v>
      </c>
      <c r="V47" s="285" t="s">
        <v>320</v>
      </c>
      <c r="W47" s="285">
        <v>15.099999999999998</v>
      </c>
      <c r="X47" s="278"/>
      <c r="Y47" s="278"/>
      <c r="Z47" s="278"/>
      <c r="AA47" s="278"/>
      <c r="AB47" s="278"/>
      <c r="AC47" s="278"/>
      <c r="AD47" s="285" t="s">
        <v>320</v>
      </c>
      <c r="AE47" s="288"/>
      <c r="AF47" s="278"/>
      <c r="AG47" s="278"/>
      <c r="AH47" s="285">
        <v>22.427272727272726</v>
      </c>
      <c r="AI47" s="278"/>
      <c r="AJ47" s="278"/>
      <c r="AK47" s="285" t="s">
        <v>320</v>
      </c>
      <c r="AL47" s="278"/>
      <c r="AM47" s="285" t="s">
        <v>320</v>
      </c>
      <c r="AN47" s="285" t="s">
        <v>320</v>
      </c>
      <c r="AO47" s="278" t="s">
        <v>378</v>
      </c>
      <c r="AP47" s="283" t="s">
        <v>325</v>
      </c>
      <c r="AQ47" s="285" t="s">
        <v>814</v>
      </c>
    </row>
    <row r="48" spans="1:43" ht="13" customHeight="1" x14ac:dyDescent="0.35">
      <c r="A48" s="278">
        <v>10668</v>
      </c>
      <c r="B48" s="306">
        <v>43307</v>
      </c>
      <c r="C48" s="280" t="s">
        <v>322</v>
      </c>
      <c r="D48" s="281" t="s">
        <v>373</v>
      </c>
      <c r="E48" s="278"/>
      <c r="F48" s="278" t="s">
        <v>367</v>
      </c>
      <c r="G48" s="290">
        <v>43284</v>
      </c>
      <c r="H48" s="283" t="s">
        <v>324</v>
      </c>
      <c r="I48" s="283" t="s">
        <v>325</v>
      </c>
      <c r="J48" s="283"/>
      <c r="K48" s="278" t="s">
        <v>408</v>
      </c>
      <c r="L48" s="284" t="s">
        <v>387</v>
      </c>
      <c r="M48" s="285">
        <v>109.58181818181818</v>
      </c>
      <c r="N48" s="285">
        <v>35.590909090909086</v>
      </c>
      <c r="O48" s="278"/>
      <c r="P48" s="278"/>
      <c r="Q48" s="288"/>
      <c r="R48" s="278"/>
      <c r="S48" s="288"/>
      <c r="T48" s="278"/>
      <c r="U48" s="288" t="s">
        <v>320</v>
      </c>
      <c r="V48" s="285"/>
      <c r="W48" s="285">
        <v>16.927272727272726</v>
      </c>
      <c r="X48" s="278"/>
      <c r="Y48" s="278"/>
      <c r="Z48" s="278"/>
      <c r="AA48" s="278"/>
      <c r="AB48" s="278"/>
      <c r="AC48" s="278"/>
      <c r="AD48" s="285" t="s">
        <v>320</v>
      </c>
      <c r="AE48" s="288"/>
      <c r="AF48" s="278"/>
      <c r="AG48" s="278"/>
      <c r="AH48" s="285">
        <v>27.081818181818178</v>
      </c>
      <c r="AI48" s="278"/>
      <c r="AJ48" s="278"/>
      <c r="AK48" s="285" t="s">
        <v>320</v>
      </c>
      <c r="AL48" s="278"/>
      <c r="AM48" s="285" t="s">
        <v>320</v>
      </c>
      <c r="AN48" s="285" t="s">
        <v>320</v>
      </c>
      <c r="AO48" s="281" t="s">
        <v>381</v>
      </c>
      <c r="AP48" s="283" t="s">
        <v>325</v>
      </c>
      <c r="AQ48" s="285" t="s">
        <v>817</v>
      </c>
    </row>
    <row r="49" spans="1:43" ht="13" customHeight="1" x14ac:dyDescent="0.35">
      <c r="A49" s="278">
        <v>1389</v>
      </c>
      <c r="B49" s="306">
        <v>43307</v>
      </c>
      <c r="C49" s="280" t="s">
        <v>322</v>
      </c>
      <c r="D49" s="281" t="s">
        <v>373</v>
      </c>
      <c r="E49" s="278"/>
      <c r="F49" s="278" t="s">
        <v>367</v>
      </c>
      <c r="G49" s="290">
        <v>43281</v>
      </c>
      <c r="H49" s="283" t="s">
        <v>324</v>
      </c>
      <c r="I49" s="283" t="s">
        <v>325</v>
      </c>
      <c r="J49" s="283"/>
      <c r="K49" s="278" t="s">
        <v>410</v>
      </c>
      <c r="L49" s="284" t="s">
        <v>387</v>
      </c>
      <c r="M49" s="285">
        <v>100.99999999999999</v>
      </c>
      <c r="N49" s="285">
        <v>41</v>
      </c>
      <c r="O49" s="281"/>
      <c r="P49" s="278"/>
      <c r="Q49" s="288"/>
      <c r="R49" s="288"/>
      <c r="S49" s="288"/>
      <c r="T49" s="278"/>
      <c r="U49" s="288" t="s">
        <v>320</v>
      </c>
      <c r="V49" s="285" t="s">
        <v>320</v>
      </c>
      <c r="W49" s="285">
        <v>15.799999999999997</v>
      </c>
      <c r="X49" s="278"/>
      <c r="Y49" s="278"/>
      <c r="Z49" s="278"/>
      <c r="AA49" s="278"/>
      <c r="AB49" s="278"/>
      <c r="AC49" s="278"/>
      <c r="AD49" s="285" t="s">
        <v>320</v>
      </c>
      <c r="AE49" s="288"/>
      <c r="AF49" s="278"/>
      <c r="AG49" s="278"/>
      <c r="AH49" s="285">
        <v>25.5</v>
      </c>
      <c r="AI49" s="278"/>
      <c r="AJ49" s="278"/>
      <c r="AK49" s="285" t="s">
        <v>320</v>
      </c>
      <c r="AL49" s="278"/>
      <c r="AM49" s="285" t="s">
        <v>320</v>
      </c>
      <c r="AN49" s="285" t="s">
        <v>320</v>
      </c>
      <c r="AO49" s="278" t="s">
        <v>378</v>
      </c>
      <c r="AP49" s="283" t="s">
        <v>325</v>
      </c>
      <c r="AQ49" s="285" t="s">
        <v>820</v>
      </c>
    </row>
    <row r="50" spans="1:43" ht="13" customHeight="1" x14ac:dyDescent="0.35">
      <c r="A50" s="278">
        <v>3596</v>
      </c>
      <c r="B50" s="306">
        <v>43307</v>
      </c>
      <c r="C50" s="280" t="s">
        <v>322</v>
      </c>
      <c r="D50" s="281" t="s">
        <v>373</v>
      </c>
      <c r="E50" s="278"/>
      <c r="F50" s="278" t="s">
        <v>367</v>
      </c>
      <c r="G50" s="290">
        <v>43281</v>
      </c>
      <c r="H50" s="283" t="s">
        <v>324</v>
      </c>
      <c r="I50" s="283" t="s">
        <v>325</v>
      </c>
      <c r="J50" s="283"/>
      <c r="K50" s="278" t="s">
        <v>412</v>
      </c>
      <c r="L50" s="284" t="s">
        <v>387</v>
      </c>
      <c r="M50" s="285">
        <v>96.072727272727278</v>
      </c>
      <c r="N50" s="285">
        <v>49.972727272727269</v>
      </c>
      <c r="O50" s="241"/>
      <c r="P50" s="241"/>
      <c r="Q50" s="271"/>
      <c r="R50" s="241"/>
      <c r="S50" s="270"/>
      <c r="T50" s="241"/>
      <c r="U50" s="246" t="s">
        <v>320</v>
      </c>
      <c r="V50" s="246" t="s">
        <v>320</v>
      </c>
      <c r="W50" s="285">
        <v>18.899999999999999</v>
      </c>
      <c r="X50" s="241"/>
      <c r="Y50" s="241"/>
      <c r="Z50" s="241"/>
      <c r="AA50" s="241"/>
      <c r="AB50" s="241"/>
      <c r="AC50" s="241"/>
      <c r="AD50" s="246" t="s">
        <v>320</v>
      </c>
      <c r="AE50" s="271"/>
      <c r="AF50" s="241"/>
      <c r="AG50" s="241"/>
      <c r="AH50" s="285">
        <v>24.918181818181818</v>
      </c>
      <c r="AI50" s="241"/>
      <c r="AJ50" s="241"/>
      <c r="AK50" s="246" t="s">
        <v>320</v>
      </c>
      <c r="AL50" s="241"/>
      <c r="AM50" s="246" t="s">
        <v>320</v>
      </c>
      <c r="AN50" s="246" t="s">
        <v>320</v>
      </c>
      <c r="AO50" s="241" t="s">
        <v>377</v>
      </c>
      <c r="AP50" s="245" t="s">
        <v>227</v>
      </c>
      <c r="AQ50" s="246" t="s">
        <v>823</v>
      </c>
    </row>
    <row r="51" spans="1:43" ht="13" customHeight="1" x14ac:dyDescent="0.35">
      <c r="A51" s="278">
        <v>10371</v>
      </c>
      <c r="B51" s="306">
        <v>43307</v>
      </c>
      <c r="C51" s="280" t="s">
        <v>322</v>
      </c>
      <c r="D51" s="281" t="s">
        <v>373</v>
      </c>
      <c r="E51" s="278"/>
      <c r="F51" s="278" t="s">
        <v>367</v>
      </c>
      <c r="G51" s="290">
        <v>43281</v>
      </c>
      <c r="H51" s="283" t="s">
        <v>310</v>
      </c>
      <c r="I51" s="283" t="s">
        <v>309</v>
      </c>
      <c r="J51" s="283"/>
      <c r="K51" s="278" t="s">
        <v>374</v>
      </c>
      <c r="L51" s="284" t="s">
        <v>387</v>
      </c>
      <c r="M51" s="285">
        <v>99.999999999999986</v>
      </c>
      <c r="N51" s="285">
        <v>45.399999999999991</v>
      </c>
      <c r="O51" s="278"/>
      <c r="P51" s="278"/>
      <c r="Q51" s="288"/>
      <c r="R51" s="278"/>
      <c r="S51" s="287"/>
      <c r="T51" s="278"/>
      <c r="U51" s="288" t="s">
        <v>320</v>
      </c>
      <c r="V51" s="285" t="s">
        <v>320</v>
      </c>
      <c r="W51" s="285">
        <v>17.799999999999997</v>
      </c>
      <c r="X51" s="278"/>
      <c r="Y51" s="278"/>
      <c r="Z51" s="278"/>
      <c r="AA51" s="278"/>
      <c r="AB51" s="278"/>
      <c r="AC51" s="278"/>
      <c r="AD51" s="285" t="s">
        <v>320</v>
      </c>
      <c r="AE51" s="288"/>
      <c r="AF51" s="278"/>
      <c r="AG51" s="278"/>
      <c r="AH51" s="285">
        <v>22.2</v>
      </c>
      <c r="AI51" s="278"/>
      <c r="AJ51" s="278"/>
      <c r="AK51" s="285" t="s">
        <v>320</v>
      </c>
      <c r="AL51" s="278"/>
      <c r="AM51" s="285" t="s">
        <v>320</v>
      </c>
      <c r="AN51" s="285" t="s">
        <v>320</v>
      </c>
      <c r="AO51" s="278" t="s">
        <v>378</v>
      </c>
      <c r="AP51" s="283" t="s">
        <v>325</v>
      </c>
      <c r="AQ51" s="285" t="s">
        <v>826</v>
      </c>
    </row>
    <row r="52" spans="1:43" ht="13" customHeight="1" x14ac:dyDescent="0.35">
      <c r="A52" s="278"/>
      <c r="B52" s="306">
        <v>43307</v>
      </c>
      <c r="C52" s="280" t="s">
        <v>322</v>
      </c>
      <c r="D52" s="281" t="s">
        <v>373</v>
      </c>
      <c r="E52" s="278"/>
      <c r="F52" s="278" t="s">
        <v>367</v>
      </c>
      <c r="G52" s="293">
        <v>43281</v>
      </c>
      <c r="H52" s="296" t="s">
        <v>309</v>
      </c>
      <c r="I52" s="296" t="s">
        <v>355</v>
      </c>
      <c r="J52" s="283"/>
      <c r="K52" s="281" t="s">
        <v>424</v>
      </c>
      <c r="L52" s="284" t="s">
        <v>387</v>
      </c>
      <c r="M52" s="285">
        <v>94</v>
      </c>
      <c r="N52" s="285">
        <v>52.999999999999993</v>
      </c>
      <c r="O52" s="286"/>
      <c r="P52" s="286"/>
      <c r="Q52" s="288"/>
      <c r="R52" s="286"/>
      <c r="S52" s="287"/>
      <c r="T52" s="286"/>
      <c r="U52" s="288" t="s">
        <v>320</v>
      </c>
      <c r="V52" s="288" t="s">
        <v>320</v>
      </c>
      <c r="W52" s="285">
        <v>14.999999999999998</v>
      </c>
      <c r="X52" s="286"/>
      <c r="Y52" s="286"/>
      <c r="Z52" s="286"/>
      <c r="AA52" s="286"/>
      <c r="AB52" s="286"/>
      <c r="AC52" s="286"/>
      <c r="AD52" s="288" t="s">
        <v>320</v>
      </c>
      <c r="AE52" s="288"/>
      <c r="AF52" s="286"/>
      <c r="AG52" s="286"/>
      <c r="AH52" s="285">
        <v>24.999999999999996</v>
      </c>
      <c r="AI52" s="278"/>
      <c r="AJ52" s="278"/>
      <c r="AK52" s="285" t="s">
        <v>320</v>
      </c>
      <c r="AL52" s="278"/>
      <c r="AM52" s="285" t="s">
        <v>320</v>
      </c>
      <c r="AN52" s="285" t="s">
        <v>320</v>
      </c>
      <c r="AO52" s="278" t="s">
        <v>378</v>
      </c>
      <c r="AP52" s="283" t="s">
        <v>325</v>
      </c>
      <c r="AQ52" s="285" t="s">
        <v>881</v>
      </c>
    </row>
    <row r="53" spans="1:43" ht="13" customHeight="1" x14ac:dyDescent="0.35">
      <c r="A53" s="278"/>
      <c r="B53" s="306">
        <v>43307</v>
      </c>
      <c r="C53" s="280" t="s">
        <v>322</v>
      </c>
      <c r="D53" s="281" t="s">
        <v>373</v>
      </c>
      <c r="E53" s="278"/>
      <c r="F53" s="278" t="s">
        <v>367</v>
      </c>
      <c r="G53" s="293">
        <v>43281</v>
      </c>
      <c r="H53" s="296" t="s">
        <v>310</v>
      </c>
      <c r="I53" s="296" t="s">
        <v>309</v>
      </c>
      <c r="J53" s="283"/>
      <c r="K53" s="281" t="s">
        <v>501</v>
      </c>
      <c r="L53" s="284" t="s">
        <v>387</v>
      </c>
      <c r="M53" s="285">
        <v>109.99999999999999</v>
      </c>
      <c r="N53" s="285">
        <v>44.999999999999993</v>
      </c>
      <c r="O53" s="278"/>
      <c r="P53" s="278"/>
      <c r="Q53" s="288"/>
      <c r="R53" s="278"/>
      <c r="S53" s="287"/>
      <c r="T53" s="278"/>
      <c r="U53" s="288" t="s">
        <v>320</v>
      </c>
      <c r="V53" s="285" t="s">
        <v>320</v>
      </c>
      <c r="W53" s="285">
        <v>18.099999999999998</v>
      </c>
      <c r="X53" s="278"/>
      <c r="Y53" s="278"/>
      <c r="Z53" s="278"/>
      <c r="AA53" s="278"/>
      <c r="AB53" s="278"/>
      <c r="AC53" s="278"/>
      <c r="AD53" s="285" t="s">
        <v>320</v>
      </c>
      <c r="AE53" s="288"/>
      <c r="AF53" s="278"/>
      <c r="AG53" s="278"/>
      <c r="AH53" s="285">
        <v>20.5</v>
      </c>
      <c r="AI53" s="278"/>
      <c r="AJ53" s="278"/>
      <c r="AK53" s="285" t="s">
        <v>320</v>
      </c>
      <c r="AL53" s="278"/>
      <c r="AM53" s="285" t="s">
        <v>320</v>
      </c>
      <c r="AN53" s="285" t="s">
        <v>320</v>
      </c>
      <c r="AO53" s="278" t="s">
        <v>378</v>
      </c>
      <c r="AP53" s="283" t="s">
        <v>325</v>
      </c>
      <c r="AQ53" s="285" t="s">
        <v>832</v>
      </c>
    </row>
    <row r="54" spans="1:43" ht="13" customHeight="1" x14ac:dyDescent="0.35">
      <c r="A54" s="278"/>
      <c r="B54" s="306">
        <v>43307</v>
      </c>
      <c r="C54" s="280" t="s">
        <v>322</v>
      </c>
      <c r="D54" s="281" t="s">
        <v>373</v>
      </c>
      <c r="E54" s="278"/>
      <c r="F54" s="278" t="s">
        <v>367</v>
      </c>
      <c r="G54" s="293">
        <v>43281</v>
      </c>
      <c r="H54" s="296" t="s">
        <v>310</v>
      </c>
      <c r="I54" s="296" t="s">
        <v>309</v>
      </c>
      <c r="J54" s="283"/>
      <c r="K54" s="304" t="s">
        <v>503</v>
      </c>
      <c r="L54" s="284" t="s">
        <v>387</v>
      </c>
      <c r="M54" s="285">
        <v>90.999999999999986</v>
      </c>
      <c r="N54" s="285">
        <v>53.3</v>
      </c>
      <c r="O54" s="278"/>
      <c r="P54" s="278"/>
      <c r="Q54" s="288"/>
      <c r="R54" s="278"/>
      <c r="S54" s="287"/>
      <c r="T54" s="278"/>
      <c r="U54" s="288" t="s">
        <v>320</v>
      </c>
      <c r="V54" s="285" t="s">
        <v>320</v>
      </c>
      <c r="W54" s="285">
        <v>20.199999999999996</v>
      </c>
      <c r="X54" s="278"/>
      <c r="Y54" s="278"/>
      <c r="Z54" s="278"/>
      <c r="AA54" s="278"/>
      <c r="AB54" s="278"/>
      <c r="AC54" s="278"/>
      <c r="AD54" s="285" t="s">
        <v>320</v>
      </c>
      <c r="AE54" s="288"/>
      <c r="AF54" s="278"/>
      <c r="AG54" s="278"/>
      <c r="AH54" s="285">
        <v>24.2</v>
      </c>
      <c r="AI54" s="278"/>
      <c r="AJ54" s="278"/>
      <c r="AK54" s="285" t="s">
        <v>320</v>
      </c>
      <c r="AL54" s="278"/>
      <c r="AM54" s="285" t="s">
        <v>320</v>
      </c>
      <c r="AN54" s="285" t="s">
        <v>320</v>
      </c>
      <c r="AO54" s="278" t="s">
        <v>378</v>
      </c>
      <c r="AP54" s="283" t="s">
        <v>325</v>
      </c>
      <c r="AQ54" s="285" t="s">
        <v>835</v>
      </c>
    </row>
  </sheetData>
  <sheetProtection algorithmName="SHA-512" hashValue="v6LFWU7fpcSXzDbEBJK1ZjjZqGTe9egl92C6psvbzDjBnoDdmo1JYD+Ds6ii2/xbyk0G/cVj41wivUdQHweCiw==" saltValue="nSjAulCgPw34mQGBBc+k5A==" spinCount="100000" sheet="1" objects="1" scenarios="1"/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2835D-8A12-3648-AEA5-4C1090584E7C}">
  <sheetPr codeName="Sheet60"/>
  <dimension ref="A1:AS49"/>
  <sheetViews>
    <sheetView zoomScale="150" zoomScaleNormal="150" workbookViewId="0">
      <pane xSplit="12" ySplit="1" topLeftCell="M26" activePane="bottomRight" state="frozen"/>
      <selection pane="topRight" activeCell="M1" sqref="M1"/>
      <selection pane="bottomLeft" activeCell="A2" sqref="A2"/>
      <selection pane="bottomRight" activeCell="A51" sqref="A51:XFD53"/>
    </sheetView>
  </sheetViews>
  <sheetFormatPr defaultColWidth="11" defaultRowHeight="13.5" x14ac:dyDescent="0.3"/>
  <cols>
    <col min="3" max="3" width="6.69140625" customWidth="1"/>
    <col min="5" max="5" width="4.69140625" customWidth="1"/>
    <col min="10" max="10" width="3.84375" customWidth="1"/>
    <col min="11" max="11" width="17" bestFit="1" customWidth="1"/>
    <col min="12" max="12" width="8.15234375" customWidth="1"/>
    <col min="13" max="13" width="12.3046875" bestFit="1" customWidth="1"/>
    <col min="38" max="38" width="15.84375" customWidth="1"/>
  </cols>
  <sheetData>
    <row r="1" spans="1:43" ht="108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s="1" customFormat="1" ht="13" customHeight="1" x14ac:dyDescent="0.3">
      <c r="A2" s="155">
        <v>10416</v>
      </c>
      <c r="B2" s="306">
        <v>43307</v>
      </c>
      <c r="C2" s="243" t="s">
        <v>322</v>
      </c>
      <c r="D2" s="227" t="s">
        <v>382</v>
      </c>
      <c r="E2" s="241"/>
      <c r="F2" s="241" t="s">
        <v>323</v>
      </c>
      <c r="G2" s="247">
        <v>43284</v>
      </c>
      <c r="H2" s="156" t="s">
        <v>324</v>
      </c>
      <c r="I2" s="156" t="s">
        <v>325</v>
      </c>
      <c r="J2" s="156"/>
      <c r="K2" s="155" t="s">
        <v>326</v>
      </c>
      <c r="L2" s="227" t="s">
        <v>387</v>
      </c>
      <c r="M2" s="305">
        <v>97.699999999999989</v>
      </c>
      <c r="N2" s="305">
        <v>26.781818181818181</v>
      </c>
      <c r="O2" s="155"/>
      <c r="P2" s="155"/>
      <c r="Q2" s="340"/>
      <c r="R2" s="155"/>
      <c r="S2" s="340"/>
      <c r="T2" s="155"/>
      <c r="U2" s="305" t="s">
        <v>320</v>
      </c>
      <c r="V2" s="305" t="s">
        <v>320</v>
      </c>
      <c r="W2" s="339"/>
      <c r="X2" s="155"/>
      <c r="Y2" s="155"/>
      <c r="Z2" s="155"/>
      <c r="AA2" s="155"/>
      <c r="AB2" s="155"/>
      <c r="AC2" s="155"/>
      <c r="AD2" s="305" t="s">
        <v>320</v>
      </c>
      <c r="AE2" s="339"/>
      <c r="AF2" s="155"/>
      <c r="AG2" s="155"/>
      <c r="AH2" s="339"/>
      <c r="AI2" s="155"/>
      <c r="AJ2" s="155"/>
      <c r="AK2" s="305" t="s">
        <v>320</v>
      </c>
      <c r="AL2" s="155"/>
      <c r="AM2" s="305" t="s">
        <v>320</v>
      </c>
      <c r="AN2" s="305" t="s">
        <v>320</v>
      </c>
      <c r="AO2" s="155" t="s">
        <v>327</v>
      </c>
      <c r="AP2" s="156" t="s">
        <v>325</v>
      </c>
      <c r="AQ2" s="305" t="s">
        <v>837</v>
      </c>
    </row>
    <row r="3" spans="1:43" s="1" customFormat="1" ht="13" customHeight="1" x14ac:dyDescent="0.3">
      <c r="A3" s="155">
        <v>10501</v>
      </c>
      <c r="B3" s="306">
        <v>43307</v>
      </c>
      <c r="C3" s="154" t="s">
        <v>322</v>
      </c>
      <c r="D3" s="227" t="s">
        <v>382</v>
      </c>
      <c r="E3" s="155"/>
      <c r="F3" s="155" t="s">
        <v>323</v>
      </c>
      <c r="G3" s="164">
        <v>43281</v>
      </c>
      <c r="H3" s="156" t="s">
        <v>324</v>
      </c>
      <c r="I3" s="156" t="s">
        <v>325</v>
      </c>
      <c r="J3" s="156"/>
      <c r="K3" s="155" t="s">
        <v>328</v>
      </c>
      <c r="L3" s="227" t="s">
        <v>387</v>
      </c>
      <c r="M3" s="305">
        <v>86.818181818181813</v>
      </c>
      <c r="N3" s="305">
        <v>27.563636363636363</v>
      </c>
      <c r="O3" s="155"/>
      <c r="P3" s="155"/>
      <c r="Q3" s="340"/>
      <c r="R3" s="155"/>
      <c r="S3" s="340"/>
      <c r="T3" s="155"/>
      <c r="U3" s="305" t="s">
        <v>320</v>
      </c>
      <c r="V3" s="305" t="s">
        <v>320</v>
      </c>
      <c r="W3" s="339"/>
      <c r="X3" s="155"/>
      <c r="Y3" s="155"/>
      <c r="Z3" s="155"/>
      <c r="AA3" s="155"/>
      <c r="AB3" s="155"/>
      <c r="AC3" s="155"/>
      <c r="AD3" s="305" t="s">
        <v>320</v>
      </c>
      <c r="AE3" s="339"/>
      <c r="AF3" s="155"/>
      <c r="AG3" s="155"/>
      <c r="AH3" s="339"/>
      <c r="AI3" s="155"/>
      <c r="AJ3" s="155"/>
      <c r="AK3" s="305" t="s">
        <v>320</v>
      </c>
      <c r="AL3" s="155"/>
      <c r="AM3" s="305" t="s">
        <v>320</v>
      </c>
      <c r="AN3" s="305" t="s">
        <v>320</v>
      </c>
      <c r="AO3" s="155" t="s">
        <v>327</v>
      </c>
      <c r="AP3" s="156" t="s">
        <v>325</v>
      </c>
      <c r="AQ3" s="305" t="s">
        <v>840</v>
      </c>
    </row>
    <row r="4" spans="1:43" s="1" customFormat="1" ht="13" customHeight="1" x14ac:dyDescent="0.3">
      <c r="A4" s="155">
        <v>4654</v>
      </c>
      <c r="B4" s="306">
        <v>43307</v>
      </c>
      <c r="C4" s="154" t="s">
        <v>322</v>
      </c>
      <c r="D4" s="227" t="s">
        <v>382</v>
      </c>
      <c r="E4" s="155"/>
      <c r="F4" s="155" t="s">
        <v>323</v>
      </c>
      <c r="G4" s="164">
        <v>43281</v>
      </c>
      <c r="H4" s="156" t="s">
        <v>324</v>
      </c>
      <c r="I4" s="156" t="s">
        <v>325</v>
      </c>
      <c r="J4" s="156"/>
      <c r="K4" s="155" t="s">
        <v>331</v>
      </c>
      <c r="L4" s="227" t="s">
        <v>387</v>
      </c>
      <c r="M4" s="305">
        <v>59.999999999999993</v>
      </c>
      <c r="N4" s="305">
        <v>29.581818181818178</v>
      </c>
      <c r="O4" s="155"/>
      <c r="P4" s="155"/>
      <c r="Q4" s="339"/>
      <c r="R4" s="155"/>
      <c r="S4" s="340"/>
      <c r="T4" s="155"/>
      <c r="U4" s="305" t="s">
        <v>320</v>
      </c>
      <c r="V4" s="305" t="s">
        <v>320</v>
      </c>
      <c r="W4" s="339"/>
      <c r="X4" s="155"/>
      <c r="Y4" s="155"/>
      <c r="Z4" s="155"/>
      <c r="AA4" s="155"/>
      <c r="AB4" s="155"/>
      <c r="AC4" s="155"/>
      <c r="AD4" s="305" t="s">
        <v>320</v>
      </c>
      <c r="AE4" s="339"/>
      <c r="AF4" s="155"/>
      <c r="AG4" s="155"/>
      <c r="AH4" s="339"/>
      <c r="AI4" s="155"/>
      <c r="AJ4" s="155"/>
      <c r="AK4" s="305" t="s">
        <v>320</v>
      </c>
      <c r="AL4" s="155"/>
      <c r="AM4" s="305" t="s">
        <v>320</v>
      </c>
      <c r="AN4" s="305" t="s">
        <v>320</v>
      </c>
      <c r="AO4" s="155" t="s">
        <v>327</v>
      </c>
      <c r="AP4" s="156" t="s">
        <v>325</v>
      </c>
      <c r="AQ4" s="305" t="s">
        <v>843</v>
      </c>
    </row>
    <row r="5" spans="1:43" s="1" customFormat="1" ht="13" customHeight="1" x14ac:dyDescent="0.3">
      <c r="A5" s="155">
        <v>1445</v>
      </c>
      <c r="B5" s="306">
        <v>43307</v>
      </c>
      <c r="C5" s="154" t="s">
        <v>322</v>
      </c>
      <c r="D5" s="227" t="s">
        <v>382</v>
      </c>
      <c r="E5" s="155"/>
      <c r="F5" s="155" t="s">
        <v>323</v>
      </c>
      <c r="G5" s="164">
        <v>43281</v>
      </c>
      <c r="H5" s="156" t="s">
        <v>324</v>
      </c>
      <c r="I5" s="156" t="s">
        <v>325</v>
      </c>
      <c r="J5" s="156"/>
      <c r="K5" s="155" t="s">
        <v>479</v>
      </c>
      <c r="L5" s="227" t="s">
        <v>387</v>
      </c>
      <c r="M5" s="305">
        <v>77</v>
      </c>
      <c r="N5" s="305">
        <v>23.154545454545453</v>
      </c>
      <c r="O5" s="336" t="s">
        <v>351</v>
      </c>
      <c r="P5" s="335">
        <v>300</v>
      </c>
      <c r="Q5" s="305">
        <v>29.999999999999996</v>
      </c>
      <c r="R5" s="155"/>
      <c r="S5" s="340"/>
      <c r="T5" s="155"/>
      <c r="U5" s="305" t="s">
        <v>320</v>
      </c>
      <c r="V5" s="305" t="s">
        <v>320</v>
      </c>
      <c r="W5" s="339"/>
      <c r="X5" s="155"/>
      <c r="Y5" s="155"/>
      <c r="Z5" s="155"/>
      <c r="AA5" s="155"/>
      <c r="AB5" s="155"/>
      <c r="AC5" s="155"/>
      <c r="AD5" s="305" t="s">
        <v>320</v>
      </c>
      <c r="AE5" s="339"/>
      <c r="AF5" s="155"/>
      <c r="AG5" s="155"/>
      <c r="AH5" s="339"/>
      <c r="AI5" s="155"/>
      <c r="AJ5" s="155"/>
      <c r="AK5" s="305" t="s">
        <v>320</v>
      </c>
      <c r="AL5" s="155"/>
      <c r="AM5" s="305" t="s">
        <v>320</v>
      </c>
      <c r="AN5" s="305" t="s">
        <v>320</v>
      </c>
      <c r="AO5" s="155" t="s">
        <v>327</v>
      </c>
      <c r="AP5" s="156" t="s">
        <v>325</v>
      </c>
      <c r="AQ5" s="341" t="s">
        <v>846</v>
      </c>
    </row>
    <row r="6" spans="1:43" s="1" customFormat="1" ht="13" customHeight="1" x14ac:dyDescent="0.3">
      <c r="A6" s="155">
        <v>1485</v>
      </c>
      <c r="B6" s="306">
        <v>43307</v>
      </c>
      <c r="C6" s="154" t="s">
        <v>322</v>
      </c>
      <c r="D6" s="227" t="s">
        <v>382</v>
      </c>
      <c r="E6" s="155"/>
      <c r="F6" s="155" t="s">
        <v>323</v>
      </c>
      <c r="G6" s="153">
        <v>43281</v>
      </c>
      <c r="H6" s="156" t="s">
        <v>324</v>
      </c>
      <c r="I6" s="156" t="s">
        <v>325</v>
      </c>
      <c r="J6" s="156"/>
      <c r="K6" s="155" t="s">
        <v>397</v>
      </c>
      <c r="L6" s="227" t="s">
        <v>387</v>
      </c>
      <c r="M6" s="305">
        <v>123.0090909090909</v>
      </c>
      <c r="N6" s="305">
        <v>24.84545454545454</v>
      </c>
      <c r="O6" s="155"/>
      <c r="P6" s="155"/>
      <c r="Q6" s="339"/>
      <c r="R6" s="155"/>
      <c r="S6" s="340"/>
      <c r="T6" s="155"/>
      <c r="U6" s="305" t="s">
        <v>320</v>
      </c>
      <c r="V6" s="305" t="s">
        <v>320</v>
      </c>
      <c r="W6" s="339"/>
      <c r="X6" s="155"/>
      <c r="Y6" s="155"/>
      <c r="Z6" s="155"/>
      <c r="AA6" s="155"/>
      <c r="AB6" s="155"/>
      <c r="AC6" s="155"/>
      <c r="AD6" s="305" t="s">
        <v>320</v>
      </c>
      <c r="AE6" s="339"/>
      <c r="AF6" s="155"/>
      <c r="AG6" s="155"/>
      <c r="AH6" s="339"/>
      <c r="AI6" s="155"/>
      <c r="AJ6" s="155"/>
      <c r="AK6" s="305" t="s">
        <v>320</v>
      </c>
      <c r="AL6" s="155"/>
      <c r="AM6" s="305" t="s">
        <v>320</v>
      </c>
      <c r="AN6" s="305" t="s">
        <v>320</v>
      </c>
      <c r="AO6" s="155" t="s">
        <v>327</v>
      </c>
      <c r="AP6" s="156" t="s">
        <v>325</v>
      </c>
      <c r="AQ6" s="305" t="s">
        <v>849</v>
      </c>
    </row>
    <row r="7" spans="1:43" s="1" customFormat="1" ht="13" customHeight="1" x14ac:dyDescent="0.3">
      <c r="A7" s="155">
        <v>10270</v>
      </c>
      <c r="B7" s="306">
        <v>43307</v>
      </c>
      <c r="C7" s="154" t="s">
        <v>322</v>
      </c>
      <c r="D7" s="227" t="s">
        <v>382</v>
      </c>
      <c r="E7" s="155"/>
      <c r="F7" s="155" t="s">
        <v>323</v>
      </c>
      <c r="G7" s="153">
        <v>43281</v>
      </c>
      <c r="H7" s="156" t="s">
        <v>324</v>
      </c>
      <c r="I7" s="156" t="s">
        <v>325</v>
      </c>
      <c r="J7" s="156"/>
      <c r="K7" s="155" t="s">
        <v>340</v>
      </c>
      <c r="L7" s="227" t="s">
        <v>387</v>
      </c>
      <c r="M7" s="305">
        <v>85.499999999999986</v>
      </c>
      <c r="N7" s="305">
        <v>27.690909090909088</v>
      </c>
      <c r="O7" s="155"/>
      <c r="P7" s="155"/>
      <c r="Q7" s="339"/>
      <c r="R7" s="155"/>
      <c r="S7" s="340"/>
      <c r="T7" s="155"/>
      <c r="U7" s="305" t="s">
        <v>320</v>
      </c>
      <c r="V7" s="305" t="s">
        <v>320</v>
      </c>
      <c r="W7" s="339"/>
      <c r="X7" s="155"/>
      <c r="Y7" s="155"/>
      <c r="Z7" s="155"/>
      <c r="AA7" s="155"/>
      <c r="AB7" s="155"/>
      <c r="AC7" s="155"/>
      <c r="AD7" s="305" t="s">
        <v>320</v>
      </c>
      <c r="AE7" s="339"/>
      <c r="AF7" s="155"/>
      <c r="AG7" s="155"/>
      <c r="AH7" s="339"/>
      <c r="AI7" s="155"/>
      <c r="AJ7" s="155"/>
      <c r="AK7" s="305" t="s">
        <v>320</v>
      </c>
      <c r="AL7" s="155"/>
      <c r="AM7" s="305" t="s">
        <v>320</v>
      </c>
      <c r="AN7" s="305" t="s">
        <v>320</v>
      </c>
      <c r="AO7" s="155" t="s">
        <v>327</v>
      </c>
      <c r="AP7" s="156" t="s">
        <v>325</v>
      </c>
      <c r="AQ7" s="305" t="s">
        <v>852</v>
      </c>
    </row>
    <row r="8" spans="1:43" s="1" customFormat="1" ht="13" customHeight="1" x14ac:dyDescent="0.3">
      <c r="A8" s="155">
        <v>4375</v>
      </c>
      <c r="B8" s="306">
        <v>43307</v>
      </c>
      <c r="C8" s="154" t="s">
        <v>322</v>
      </c>
      <c r="D8" s="227" t="s">
        <v>382</v>
      </c>
      <c r="E8" s="155"/>
      <c r="F8" s="155" t="s">
        <v>323</v>
      </c>
      <c r="G8" s="153">
        <v>43281</v>
      </c>
      <c r="H8" s="156" t="s">
        <v>324</v>
      </c>
      <c r="I8" s="156" t="s">
        <v>325</v>
      </c>
      <c r="J8" s="156"/>
      <c r="K8" s="155" t="s">
        <v>403</v>
      </c>
      <c r="L8" s="227" t="s">
        <v>387</v>
      </c>
      <c r="M8" s="305">
        <v>99.999999999999986</v>
      </c>
      <c r="N8" s="305">
        <v>26.581818181818178</v>
      </c>
      <c r="O8" s="155"/>
      <c r="P8" s="155"/>
      <c r="Q8" s="339"/>
      <c r="R8" s="155"/>
      <c r="S8" s="340"/>
      <c r="T8" s="155"/>
      <c r="U8" s="305" t="s">
        <v>320</v>
      </c>
      <c r="V8" s="305" t="s">
        <v>320</v>
      </c>
      <c r="W8" s="339"/>
      <c r="X8" s="155"/>
      <c r="Y8" s="155"/>
      <c r="Z8" s="155"/>
      <c r="AA8" s="155"/>
      <c r="AB8" s="155"/>
      <c r="AC8" s="155"/>
      <c r="AD8" s="305" t="s">
        <v>320</v>
      </c>
      <c r="AE8" s="339"/>
      <c r="AF8" s="155"/>
      <c r="AG8" s="155"/>
      <c r="AH8" s="339"/>
      <c r="AI8" s="155"/>
      <c r="AJ8" s="155"/>
      <c r="AK8" s="305" t="s">
        <v>320</v>
      </c>
      <c r="AL8" s="155"/>
      <c r="AM8" s="305" t="s">
        <v>320</v>
      </c>
      <c r="AN8" s="305" t="s">
        <v>320</v>
      </c>
      <c r="AO8" s="155" t="s">
        <v>327</v>
      </c>
      <c r="AP8" s="156" t="s">
        <v>325</v>
      </c>
      <c r="AQ8" s="305" t="s">
        <v>854</v>
      </c>
    </row>
    <row r="9" spans="1:43" s="1" customFormat="1" ht="13" customHeight="1" x14ac:dyDescent="0.3">
      <c r="A9" s="155">
        <v>10525</v>
      </c>
      <c r="B9" s="306">
        <v>43307</v>
      </c>
      <c r="C9" s="154" t="s">
        <v>322</v>
      </c>
      <c r="D9" s="227" t="s">
        <v>382</v>
      </c>
      <c r="E9" s="155"/>
      <c r="F9" s="155" t="s">
        <v>323</v>
      </c>
      <c r="G9" s="153">
        <v>43281</v>
      </c>
      <c r="H9" s="156" t="s">
        <v>324</v>
      </c>
      <c r="I9" s="156" t="s">
        <v>325</v>
      </c>
      <c r="J9" s="156"/>
      <c r="K9" s="155" t="s">
        <v>348</v>
      </c>
      <c r="L9" s="227" t="s">
        <v>387</v>
      </c>
      <c r="M9" s="305">
        <v>81.509999999999991</v>
      </c>
      <c r="N9" s="305">
        <v>27.979999999999997</v>
      </c>
      <c r="O9" s="155"/>
      <c r="P9" s="155"/>
      <c r="Q9" s="339"/>
      <c r="R9" s="155"/>
      <c r="S9" s="340"/>
      <c r="T9" s="155"/>
      <c r="U9" s="305" t="s">
        <v>320</v>
      </c>
      <c r="V9" s="305" t="s">
        <v>320</v>
      </c>
      <c r="W9" s="339"/>
      <c r="X9" s="155"/>
      <c r="Y9" s="155"/>
      <c r="Z9" s="155"/>
      <c r="AA9" s="155"/>
      <c r="AB9" s="155"/>
      <c r="AC9" s="155"/>
      <c r="AD9" s="305" t="s">
        <v>320</v>
      </c>
      <c r="AE9" s="339"/>
      <c r="AF9" s="155"/>
      <c r="AG9" s="155"/>
      <c r="AH9" s="339"/>
      <c r="AI9" s="155"/>
      <c r="AJ9" s="155"/>
      <c r="AK9" s="305" t="s">
        <v>320</v>
      </c>
      <c r="AL9" s="155"/>
      <c r="AM9" s="305" t="s">
        <v>320</v>
      </c>
      <c r="AN9" s="305" t="s">
        <v>320</v>
      </c>
      <c r="AO9" s="155" t="s">
        <v>327</v>
      </c>
      <c r="AP9" s="156" t="s">
        <v>325</v>
      </c>
      <c r="AQ9" s="305" t="s">
        <v>856</v>
      </c>
    </row>
    <row r="10" spans="1:43" s="1" customFormat="1" ht="13" customHeight="1" x14ac:dyDescent="0.3">
      <c r="A10" s="155">
        <v>10324</v>
      </c>
      <c r="B10" s="306">
        <v>43307</v>
      </c>
      <c r="C10" s="154" t="s">
        <v>322</v>
      </c>
      <c r="D10" s="227" t="s">
        <v>382</v>
      </c>
      <c r="E10" s="155"/>
      <c r="F10" s="155" t="s">
        <v>323</v>
      </c>
      <c r="G10" s="153">
        <v>43284</v>
      </c>
      <c r="H10" s="156" t="s">
        <v>324</v>
      </c>
      <c r="I10" s="156" t="s">
        <v>325</v>
      </c>
      <c r="J10" s="156"/>
      <c r="K10" s="155" t="s">
        <v>406</v>
      </c>
      <c r="L10" s="227" t="s">
        <v>387</v>
      </c>
      <c r="M10" s="305">
        <v>97.699999999999989</v>
      </c>
      <c r="N10" s="305">
        <v>26.781818181818181</v>
      </c>
      <c r="O10" s="155"/>
      <c r="P10" s="155"/>
      <c r="Q10" s="339"/>
      <c r="R10" s="155"/>
      <c r="S10" s="340"/>
      <c r="T10" s="155"/>
      <c r="U10" s="305" t="s">
        <v>320</v>
      </c>
      <c r="V10" s="305" t="s">
        <v>320</v>
      </c>
      <c r="W10" s="339"/>
      <c r="X10" s="155"/>
      <c r="Y10" s="155"/>
      <c r="Z10" s="155"/>
      <c r="AA10" s="155"/>
      <c r="AB10" s="155"/>
      <c r="AC10" s="155"/>
      <c r="AD10" s="305" t="s">
        <v>320</v>
      </c>
      <c r="AE10" s="339"/>
      <c r="AF10" s="155"/>
      <c r="AG10" s="155"/>
      <c r="AH10" s="339"/>
      <c r="AI10" s="155"/>
      <c r="AJ10" s="155"/>
      <c r="AK10" s="305" t="s">
        <v>320</v>
      </c>
      <c r="AL10" s="155"/>
      <c r="AM10" s="305" t="s">
        <v>320</v>
      </c>
      <c r="AN10" s="305" t="s">
        <v>320</v>
      </c>
      <c r="AO10" s="155" t="s">
        <v>327</v>
      </c>
      <c r="AP10" s="156" t="s">
        <v>325</v>
      </c>
      <c r="AQ10" s="305" t="s">
        <v>857</v>
      </c>
    </row>
    <row r="11" spans="1:43" s="1" customFormat="1" ht="13" customHeight="1" x14ac:dyDescent="0.3">
      <c r="A11" s="155">
        <v>10679</v>
      </c>
      <c r="B11" s="306">
        <v>43307</v>
      </c>
      <c r="C11" s="154" t="s">
        <v>322</v>
      </c>
      <c r="D11" s="227" t="s">
        <v>382</v>
      </c>
      <c r="E11" s="155"/>
      <c r="F11" s="155" t="s">
        <v>323</v>
      </c>
      <c r="G11" s="153">
        <v>43281</v>
      </c>
      <c r="H11" s="156" t="s">
        <v>324</v>
      </c>
      <c r="I11" s="156" t="s">
        <v>325</v>
      </c>
      <c r="J11" s="156"/>
      <c r="K11" s="155" t="s">
        <v>408</v>
      </c>
      <c r="L11" s="227" t="s">
        <v>387</v>
      </c>
      <c r="M11" s="305">
        <v>119.8090909090909</v>
      </c>
      <c r="N11" s="305">
        <v>25.099999999999998</v>
      </c>
      <c r="O11" s="155"/>
      <c r="P11" s="155"/>
      <c r="Q11" s="339"/>
      <c r="R11" s="155"/>
      <c r="S11" s="340"/>
      <c r="T11" s="155"/>
      <c r="U11" s="305" t="s">
        <v>320</v>
      </c>
      <c r="V11" s="305" t="s">
        <v>320</v>
      </c>
      <c r="W11" s="339"/>
      <c r="X11" s="155"/>
      <c r="Y11" s="155"/>
      <c r="Z11" s="155"/>
      <c r="AA11" s="155"/>
      <c r="AB11" s="155"/>
      <c r="AC11" s="155"/>
      <c r="AD11" s="305" t="s">
        <v>320</v>
      </c>
      <c r="AE11" s="339"/>
      <c r="AF11" s="155"/>
      <c r="AG11" s="155"/>
      <c r="AH11" s="339"/>
      <c r="AI11" s="155"/>
      <c r="AJ11" s="155"/>
      <c r="AK11" s="305" t="s">
        <v>320</v>
      </c>
      <c r="AL11" s="155"/>
      <c r="AM11" s="305" t="s">
        <v>320</v>
      </c>
      <c r="AN11" s="305" t="s">
        <v>320</v>
      </c>
      <c r="AO11" s="155" t="s">
        <v>327</v>
      </c>
      <c r="AP11" s="156" t="s">
        <v>325</v>
      </c>
      <c r="AQ11" s="305" t="s">
        <v>860</v>
      </c>
    </row>
    <row r="12" spans="1:43" s="1" customFormat="1" ht="13" customHeight="1" x14ac:dyDescent="0.3">
      <c r="A12" s="155">
        <v>1397</v>
      </c>
      <c r="B12" s="306">
        <v>43307</v>
      </c>
      <c r="C12" s="154" t="s">
        <v>322</v>
      </c>
      <c r="D12" s="227" t="s">
        <v>382</v>
      </c>
      <c r="E12" s="155"/>
      <c r="F12" s="155" t="s">
        <v>323</v>
      </c>
      <c r="G12" s="153">
        <v>43281</v>
      </c>
      <c r="H12" s="156" t="s">
        <v>324</v>
      </c>
      <c r="I12" s="156" t="s">
        <v>325</v>
      </c>
      <c r="J12" s="156"/>
      <c r="K12" s="155" t="s">
        <v>410</v>
      </c>
      <c r="L12" s="227" t="s">
        <v>387</v>
      </c>
      <c r="M12" s="305">
        <v>109.99999999999999</v>
      </c>
      <c r="N12" s="305">
        <v>25.599999999999998</v>
      </c>
      <c r="O12" s="227"/>
      <c r="P12" s="155"/>
      <c r="Q12" s="339"/>
      <c r="R12" s="155"/>
      <c r="S12" s="340"/>
      <c r="T12" s="155"/>
      <c r="U12" s="305" t="s">
        <v>320</v>
      </c>
      <c r="V12" s="305" t="s">
        <v>320</v>
      </c>
      <c r="W12" s="339"/>
      <c r="X12" s="155"/>
      <c r="Y12" s="155"/>
      <c r="Z12" s="155"/>
      <c r="AA12" s="155"/>
      <c r="AB12" s="155"/>
      <c r="AC12" s="155"/>
      <c r="AD12" s="305" t="s">
        <v>320</v>
      </c>
      <c r="AE12" s="339"/>
      <c r="AF12" s="155"/>
      <c r="AG12" s="155"/>
      <c r="AH12" s="339"/>
      <c r="AI12" s="155"/>
      <c r="AJ12" s="155"/>
      <c r="AK12" s="305" t="s">
        <v>320</v>
      </c>
      <c r="AL12" s="155"/>
      <c r="AM12" s="305" t="s">
        <v>320</v>
      </c>
      <c r="AN12" s="305" t="s">
        <v>320</v>
      </c>
      <c r="AO12" s="155" t="s">
        <v>327</v>
      </c>
      <c r="AP12" s="156" t="s">
        <v>325</v>
      </c>
      <c r="AQ12" s="305" t="s">
        <v>863</v>
      </c>
    </row>
    <row r="13" spans="1:43" s="1" customFormat="1" ht="13" customHeight="1" x14ac:dyDescent="0.3">
      <c r="A13" s="155">
        <v>3601</v>
      </c>
      <c r="B13" s="306">
        <v>43307</v>
      </c>
      <c r="C13" s="154" t="s">
        <v>322</v>
      </c>
      <c r="D13" s="227" t="s">
        <v>382</v>
      </c>
      <c r="E13" s="155"/>
      <c r="F13" s="155" t="s">
        <v>323</v>
      </c>
      <c r="G13" s="153">
        <v>43281</v>
      </c>
      <c r="H13" s="156" t="s">
        <v>324</v>
      </c>
      <c r="I13" s="156" t="s">
        <v>325</v>
      </c>
      <c r="J13" s="156"/>
      <c r="K13" s="155" t="s">
        <v>412</v>
      </c>
      <c r="L13" s="227" t="s">
        <v>387</v>
      </c>
      <c r="M13" s="305">
        <v>85.154545454545456</v>
      </c>
      <c r="N13" s="305">
        <v>27.718181818181815</v>
      </c>
      <c r="O13" s="309" t="s">
        <v>351</v>
      </c>
      <c r="P13" s="256">
        <v>1274</v>
      </c>
      <c r="Q13" s="305">
        <v>29.218181818181815</v>
      </c>
      <c r="R13" s="155"/>
      <c r="S13" s="340"/>
      <c r="T13" s="155"/>
      <c r="U13" s="305" t="s">
        <v>320</v>
      </c>
      <c r="V13" s="305" t="s">
        <v>320</v>
      </c>
      <c r="W13" s="339"/>
      <c r="X13" s="155"/>
      <c r="Y13" s="155"/>
      <c r="Z13" s="155"/>
      <c r="AA13" s="155"/>
      <c r="AB13" s="155"/>
      <c r="AC13" s="155"/>
      <c r="AD13" s="305" t="s">
        <v>320</v>
      </c>
      <c r="AE13" s="339"/>
      <c r="AF13" s="155"/>
      <c r="AG13" s="155"/>
      <c r="AH13" s="339"/>
      <c r="AI13" s="155"/>
      <c r="AJ13" s="155"/>
      <c r="AK13" s="305" t="s">
        <v>320</v>
      </c>
      <c r="AL13" s="155"/>
      <c r="AM13" s="305" t="s">
        <v>320</v>
      </c>
      <c r="AN13" s="305" t="s">
        <v>320</v>
      </c>
      <c r="AO13" s="155" t="s">
        <v>327</v>
      </c>
      <c r="AP13" s="156" t="s">
        <v>325</v>
      </c>
      <c r="AQ13" s="305" t="s">
        <v>865</v>
      </c>
    </row>
    <row r="14" spans="1:43" s="1" customFormat="1" ht="13" customHeight="1" x14ac:dyDescent="0.3">
      <c r="A14" s="155">
        <v>10374</v>
      </c>
      <c r="B14" s="306">
        <v>43307</v>
      </c>
      <c r="C14" s="154" t="s">
        <v>322</v>
      </c>
      <c r="D14" s="227" t="s">
        <v>382</v>
      </c>
      <c r="E14" s="155"/>
      <c r="F14" s="155" t="s">
        <v>323</v>
      </c>
      <c r="G14" s="153">
        <v>43281</v>
      </c>
      <c r="H14" s="156" t="s">
        <v>310</v>
      </c>
      <c r="I14" s="156" t="s">
        <v>309</v>
      </c>
      <c r="J14" s="156"/>
      <c r="K14" s="155" t="s">
        <v>239</v>
      </c>
      <c r="L14" s="227" t="s">
        <v>387</v>
      </c>
      <c r="M14" s="305">
        <v>104.99999999999999</v>
      </c>
      <c r="N14" s="305">
        <v>26.2</v>
      </c>
      <c r="O14" s="155" t="s">
        <v>351</v>
      </c>
      <c r="P14" s="155">
        <v>1350</v>
      </c>
      <c r="Q14" s="305">
        <v>30.599999999999994</v>
      </c>
      <c r="R14" s="155"/>
      <c r="S14" s="340"/>
      <c r="T14" s="155"/>
      <c r="U14" s="305" t="s">
        <v>320</v>
      </c>
      <c r="V14" s="305" t="s">
        <v>320</v>
      </c>
      <c r="W14" s="339"/>
      <c r="X14" s="155"/>
      <c r="Y14" s="155"/>
      <c r="Z14" s="155"/>
      <c r="AA14" s="155"/>
      <c r="AB14" s="155"/>
      <c r="AC14" s="155"/>
      <c r="AD14" s="305" t="s">
        <v>320</v>
      </c>
      <c r="AE14" s="339"/>
      <c r="AF14" s="155"/>
      <c r="AG14" s="155"/>
      <c r="AH14" s="339"/>
      <c r="AI14" s="155"/>
      <c r="AJ14" s="155"/>
      <c r="AK14" s="305" t="s">
        <v>320</v>
      </c>
      <c r="AL14" s="155"/>
      <c r="AM14" s="305" t="s">
        <v>320</v>
      </c>
      <c r="AN14" s="305" t="s">
        <v>320</v>
      </c>
      <c r="AO14" s="155" t="s">
        <v>327</v>
      </c>
      <c r="AP14" s="156" t="s">
        <v>325</v>
      </c>
      <c r="AQ14" s="305" t="s">
        <v>868</v>
      </c>
    </row>
    <row r="15" spans="1:43" s="1" customFormat="1" ht="13" customHeight="1" x14ac:dyDescent="0.3">
      <c r="A15" s="155">
        <v>9904</v>
      </c>
      <c r="B15" s="306">
        <v>43307</v>
      </c>
      <c r="C15" s="154" t="s">
        <v>322</v>
      </c>
      <c r="D15" s="227" t="s">
        <v>382</v>
      </c>
      <c r="E15" s="155"/>
      <c r="F15" s="155" t="s">
        <v>323</v>
      </c>
      <c r="G15" s="153">
        <v>43281</v>
      </c>
      <c r="H15" s="156" t="s">
        <v>309</v>
      </c>
      <c r="I15" s="156" t="s">
        <v>355</v>
      </c>
      <c r="J15" s="156"/>
      <c r="K15" s="227" t="s">
        <v>354</v>
      </c>
      <c r="L15" s="227" t="s">
        <v>387</v>
      </c>
      <c r="M15" s="305">
        <v>77</v>
      </c>
      <c r="N15" s="305">
        <v>28.290909090909089</v>
      </c>
      <c r="O15" s="155"/>
      <c r="P15" s="155"/>
      <c r="Q15" s="339"/>
      <c r="R15" s="155"/>
      <c r="S15" s="340"/>
      <c r="T15" s="155"/>
      <c r="U15" s="305" t="s">
        <v>320</v>
      </c>
      <c r="V15" s="305" t="s">
        <v>320</v>
      </c>
      <c r="W15" s="339"/>
      <c r="X15" s="155"/>
      <c r="Y15" s="155"/>
      <c r="Z15" s="155"/>
      <c r="AA15" s="155"/>
      <c r="AB15" s="155"/>
      <c r="AC15" s="155"/>
      <c r="AD15" s="305" t="s">
        <v>320</v>
      </c>
      <c r="AE15" s="339"/>
      <c r="AF15" s="155"/>
      <c r="AG15" s="155"/>
      <c r="AH15" s="339"/>
      <c r="AI15" s="155"/>
      <c r="AJ15" s="155"/>
      <c r="AK15" s="305" t="s">
        <v>320</v>
      </c>
      <c r="AL15" s="155"/>
      <c r="AM15" s="305" t="s">
        <v>320</v>
      </c>
      <c r="AN15" s="305" t="s">
        <v>320</v>
      </c>
      <c r="AO15" s="155" t="s">
        <v>327</v>
      </c>
      <c r="AP15" s="156" t="s">
        <v>325</v>
      </c>
      <c r="AQ15" s="305" t="s">
        <v>879</v>
      </c>
    </row>
    <row r="16" spans="1:43" s="1" customFormat="1" ht="13" customHeight="1" x14ac:dyDescent="0.3">
      <c r="A16" s="155"/>
      <c r="B16" s="306">
        <v>43307</v>
      </c>
      <c r="C16" s="243" t="s">
        <v>322</v>
      </c>
      <c r="D16" s="227" t="s">
        <v>382</v>
      </c>
      <c r="E16" s="241"/>
      <c r="F16" s="241" t="s">
        <v>323</v>
      </c>
      <c r="G16" s="247">
        <v>43284</v>
      </c>
      <c r="H16" s="156" t="s">
        <v>324</v>
      </c>
      <c r="I16" s="156" t="s">
        <v>325</v>
      </c>
      <c r="J16" s="156"/>
      <c r="K16" s="227" t="s">
        <v>424</v>
      </c>
      <c r="L16" s="227" t="s">
        <v>387</v>
      </c>
      <c r="M16" s="305">
        <v>88</v>
      </c>
      <c r="N16" s="305">
        <v>27.5</v>
      </c>
      <c r="O16" s="155"/>
      <c r="P16" s="155"/>
      <c r="Q16" s="340"/>
      <c r="R16" s="155"/>
      <c r="S16" s="340"/>
      <c r="T16" s="155"/>
      <c r="U16" s="305" t="s">
        <v>320</v>
      </c>
      <c r="V16" s="305" t="s">
        <v>320</v>
      </c>
      <c r="W16" s="339"/>
      <c r="X16" s="155"/>
      <c r="Y16" s="155"/>
      <c r="Z16" s="155"/>
      <c r="AA16" s="155"/>
      <c r="AB16" s="155"/>
      <c r="AC16" s="155"/>
      <c r="AD16" s="305" t="s">
        <v>320</v>
      </c>
      <c r="AE16" s="339"/>
      <c r="AF16" s="155"/>
      <c r="AG16" s="155"/>
      <c r="AH16" s="339"/>
      <c r="AI16" s="155"/>
      <c r="AJ16" s="155"/>
      <c r="AK16" s="305" t="s">
        <v>320</v>
      </c>
      <c r="AL16" s="155"/>
      <c r="AM16" s="305" t="s">
        <v>320</v>
      </c>
      <c r="AN16" s="305" t="s">
        <v>320</v>
      </c>
      <c r="AO16" s="155" t="s">
        <v>327</v>
      </c>
      <c r="AP16" s="156" t="s">
        <v>325</v>
      </c>
      <c r="AQ16" s="305" t="s">
        <v>882</v>
      </c>
    </row>
    <row r="17" spans="1:45" s="1" customFormat="1" ht="13" customHeight="1" x14ac:dyDescent="0.3">
      <c r="A17" s="155"/>
      <c r="B17" s="306">
        <v>43307</v>
      </c>
      <c r="C17" s="154" t="s">
        <v>322</v>
      </c>
      <c r="D17" s="227" t="s">
        <v>382</v>
      </c>
      <c r="E17" s="155"/>
      <c r="F17" s="155" t="s">
        <v>323</v>
      </c>
      <c r="G17" s="153">
        <v>43281</v>
      </c>
      <c r="H17" s="223" t="s">
        <v>309</v>
      </c>
      <c r="I17" s="223" t="s">
        <v>355</v>
      </c>
      <c r="J17" s="156"/>
      <c r="K17" s="227" t="s">
        <v>430</v>
      </c>
      <c r="L17" s="227" t="s">
        <v>387</v>
      </c>
      <c r="M17" s="305">
        <v>70.599999999999994</v>
      </c>
      <c r="N17" s="305">
        <v>28.799999999999997</v>
      </c>
      <c r="O17" s="155"/>
      <c r="P17" s="155"/>
      <c r="Q17" s="339"/>
      <c r="R17" s="155"/>
      <c r="S17" s="340"/>
      <c r="T17" s="155"/>
      <c r="U17" s="305" t="s">
        <v>320</v>
      </c>
      <c r="V17" s="305" t="s">
        <v>320</v>
      </c>
      <c r="W17" s="339"/>
      <c r="X17" s="155"/>
      <c r="Y17" s="155"/>
      <c r="Z17" s="155"/>
      <c r="AA17" s="155"/>
      <c r="AB17" s="155"/>
      <c r="AC17" s="155"/>
      <c r="AD17" s="305" t="s">
        <v>320</v>
      </c>
      <c r="AE17" s="339"/>
      <c r="AF17" s="155"/>
      <c r="AG17" s="155"/>
      <c r="AH17" s="339"/>
      <c r="AI17" s="155"/>
      <c r="AJ17" s="155"/>
      <c r="AK17" s="305" t="s">
        <v>320</v>
      </c>
      <c r="AL17" s="155"/>
      <c r="AM17" s="305" t="s">
        <v>320</v>
      </c>
      <c r="AN17" s="305" t="s">
        <v>320</v>
      </c>
      <c r="AO17" s="155" t="s">
        <v>327</v>
      </c>
      <c r="AP17" s="156" t="s">
        <v>325</v>
      </c>
      <c r="AQ17" s="305" t="s">
        <v>871</v>
      </c>
    </row>
    <row r="18" spans="1:45" s="1" customFormat="1" ht="13" customHeight="1" x14ac:dyDescent="0.35">
      <c r="A18" s="155"/>
      <c r="B18" s="323">
        <v>43307</v>
      </c>
      <c r="C18" s="154" t="s">
        <v>322</v>
      </c>
      <c r="D18" s="227" t="s">
        <v>382</v>
      </c>
      <c r="E18" s="155"/>
      <c r="F18" s="155" t="s">
        <v>323</v>
      </c>
      <c r="G18" s="303">
        <v>43281</v>
      </c>
      <c r="H18" s="223" t="s">
        <v>310</v>
      </c>
      <c r="I18" s="223" t="s">
        <v>309</v>
      </c>
      <c r="J18" s="156"/>
      <c r="K18" s="227" t="s">
        <v>501</v>
      </c>
      <c r="L18" s="227" t="s">
        <v>387</v>
      </c>
      <c r="M18" s="305">
        <v>114.99999999999999</v>
      </c>
      <c r="N18" s="305">
        <v>25.490909090909089</v>
      </c>
      <c r="O18" s="155"/>
      <c r="P18" s="155"/>
      <c r="Q18" s="339"/>
      <c r="R18" s="155"/>
      <c r="S18" s="340"/>
      <c r="T18" s="155"/>
      <c r="U18" s="305" t="s">
        <v>320</v>
      </c>
      <c r="V18" s="305" t="s">
        <v>320</v>
      </c>
      <c r="W18" s="339"/>
      <c r="X18" s="155"/>
      <c r="Y18" s="155"/>
      <c r="Z18" s="155"/>
      <c r="AA18" s="155"/>
      <c r="AB18" s="155"/>
      <c r="AC18" s="155"/>
      <c r="AD18" s="305" t="s">
        <v>320</v>
      </c>
      <c r="AE18" s="339"/>
      <c r="AF18" s="155"/>
      <c r="AG18" s="155"/>
      <c r="AH18" s="339"/>
      <c r="AI18" s="155"/>
      <c r="AJ18" s="155"/>
      <c r="AK18" s="305" t="s">
        <v>320</v>
      </c>
      <c r="AL18" s="155"/>
      <c r="AM18" s="305" t="s">
        <v>320</v>
      </c>
      <c r="AN18" s="305" t="s">
        <v>320</v>
      </c>
      <c r="AO18" s="155" t="s">
        <v>327</v>
      </c>
      <c r="AP18" s="156" t="s">
        <v>325</v>
      </c>
      <c r="AQ18" s="305" t="s">
        <v>872</v>
      </c>
    </row>
    <row r="19" spans="1:45" s="1" customFormat="1" ht="13" customHeight="1" x14ac:dyDescent="0.3">
      <c r="A19" s="155"/>
      <c r="B19" s="306">
        <v>43307</v>
      </c>
      <c r="C19" s="154" t="s">
        <v>322</v>
      </c>
      <c r="D19" s="227" t="s">
        <v>382</v>
      </c>
      <c r="E19" s="155"/>
      <c r="F19" s="155" t="s">
        <v>323</v>
      </c>
      <c r="G19" s="153">
        <v>43281</v>
      </c>
      <c r="H19" s="223" t="s">
        <v>310</v>
      </c>
      <c r="I19" s="223" t="s">
        <v>309</v>
      </c>
      <c r="J19" s="156"/>
      <c r="K19" s="227" t="s">
        <v>503</v>
      </c>
      <c r="L19" s="227" t="s">
        <v>387</v>
      </c>
      <c r="M19" s="305">
        <v>91.899999999999991</v>
      </c>
      <c r="N19" s="305">
        <v>27.209090909090907</v>
      </c>
      <c r="O19" s="155"/>
      <c r="P19" s="155"/>
      <c r="Q19" s="339"/>
      <c r="R19" s="155"/>
      <c r="S19" s="340"/>
      <c r="T19" s="155"/>
      <c r="U19" s="305" t="s">
        <v>320</v>
      </c>
      <c r="V19" s="305" t="s">
        <v>320</v>
      </c>
      <c r="W19" s="339"/>
      <c r="X19" s="155"/>
      <c r="Y19" s="155"/>
      <c r="Z19" s="155"/>
      <c r="AA19" s="155"/>
      <c r="AB19" s="155"/>
      <c r="AC19" s="155"/>
      <c r="AD19" s="305" t="s">
        <v>320</v>
      </c>
      <c r="AE19" s="339"/>
      <c r="AF19" s="155"/>
      <c r="AG19" s="155"/>
      <c r="AH19" s="339"/>
      <c r="AI19" s="155"/>
      <c r="AJ19" s="155"/>
      <c r="AK19" s="305" t="s">
        <v>320</v>
      </c>
      <c r="AL19" s="155"/>
      <c r="AM19" s="305" t="s">
        <v>320</v>
      </c>
      <c r="AN19" s="305" t="s">
        <v>320</v>
      </c>
      <c r="AO19" s="155" t="s">
        <v>327</v>
      </c>
      <c r="AP19" s="156" t="s">
        <v>325</v>
      </c>
      <c r="AQ19" s="305" t="s">
        <v>875</v>
      </c>
    </row>
    <row r="20" spans="1:45" s="320" customFormat="1" ht="13" customHeight="1" x14ac:dyDescent="0.35">
      <c r="A20" s="252"/>
      <c r="B20" s="306">
        <v>43307</v>
      </c>
      <c r="C20" s="312" t="s">
        <v>322</v>
      </c>
      <c r="D20" s="227" t="s">
        <v>382</v>
      </c>
      <c r="E20" s="252"/>
      <c r="F20" s="321" t="s">
        <v>323</v>
      </c>
      <c r="G20" s="313">
        <v>43280</v>
      </c>
      <c r="H20" s="253" t="s">
        <v>310</v>
      </c>
      <c r="I20" s="253" t="s">
        <v>309</v>
      </c>
      <c r="J20" s="253"/>
      <c r="K20" s="252" t="s">
        <v>695</v>
      </c>
      <c r="L20" s="314" t="s">
        <v>387</v>
      </c>
      <c r="M20" s="305">
        <v>87.999999999999986</v>
      </c>
      <c r="N20" s="305">
        <v>27.4</v>
      </c>
      <c r="O20" s="338" t="s">
        <v>351</v>
      </c>
      <c r="P20" s="338">
        <v>1368</v>
      </c>
      <c r="Q20" s="305">
        <v>87</v>
      </c>
      <c r="R20" s="155"/>
      <c r="S20" s="340"/>
      <c r="T20" s="252"/>
      <c r="U20" s="318"/>
      <c r="V20" s="318"/>
      <c r="W20" s="315"/>
      <c r="X20" s="252"/>
      <c r="Y20" s="252"/>
      <c r="Z20" s="252"/>
      <c r="AA20" s="252"/>
      <c r="AB20" s="252"/>
      <c r="AC20" s="252"/>
      <c r="AD20" s="318"/>
      <c r="AE20" s="315"/>
      <c r="AF20" s="252"/>
      <c r="AG20" s="252"/>
      <c r="AH20" s="315"/>
      <c r="AI20" s="252"/>
      <c r="AJ20" s="252"/>
      <c r="AK20" s="318"/>
      <c r="AL20" s="318"/>
      <c r="AM20" s="318"/>
      <c r="AN20" s="318"/>
      <c r="AO20" s="252" t="s">
        <v>327</v>
      </c>
      <c r="AP20" s="319" t="s">
        <v>309</v>
      </c>
      <c r="AQ20" s="318" t="s">
        <v>878</v>
      </c>
      <c r="AR20" s="318"/>
      <c r="AS20" s="318"/>
    </row>
    <row r="21" spans="1:45" s="1" customFormat="1" ht="13" customHeight="1" x14ac:dyDescent="0.3">
      <c r="A21" s="155">
        <v>10417</v>
      </c>
      <c r="B21" s="306">
        <v>43307</v>
      </c>
      <c r="C21" s="243" t="s">
        <v>322</v>
      </c>
      <c r="D21" s="227" t="s">
        <v>382</v>
      </c>
      <c r="E21" s="241"/>
      <c r="F21" s="155" t="s">
        <v>360</v>
      </c>
      <c r="G21" s="247">
        <v>43284</v>
      </c>
      <c r="H21" s="156" t="s">
        <v>324</v>
      </c>
      <c r="I21" s="156" t="s">
        <v>325</v>
      </c>
      <c r="J21" s="156"/>
      <c r="K21" s="155" t="s">
        <v>326</v>
      </c>
      <c r="L21" s="227" t="s">
        <v>387</v>
      </c>
      <c r="M21" s="305">
        <v>104.69999999999999</v>
      </c>
      <c r="N21" s="305">
        <v>26.781818181818181</v>
      </c>
      <c r="O21" s="155"/>
      <c r="P21" s="155"/>
      <c r="Q21" s="339"/>
      <c r="R21" s="155"/>
      <c r="S21" s="340"/>
      <c r="T21" s="155"/>
      <c r="U21" s="305" t="s">
        <v>320</v>
      </c>
      <c r="V21" s="305" t="s">
        <v>320</v>
      </c>
      <c r="W21" s="339"/>
      <c r="X21" s="155"/>
      <c r="Y21" s="155"/>
      <c r="Z21" s="155"/>
      <c r="AA21" s="155"/>
      <c r="AB21" s="155"/>
      <c r="AC21" s="155"/>
      <c r="AD21" s="305" t="s">
        <v>320</v>
      </c>
      <c r="AE21" s="305">
        <v>17.799999999999997</v>
      </c>
      <c r="AF21" s="155"/>
      <c r="AG21" s="155"/>
      <c r="AH21" s="339"/>
      <c r="AI21" s="155"/>
      <c r="AJ21" s="155"/>
      <c r="AK21" s="305" t="s">
        <v>320</v>
      </c>
      <c r="AL21" s="155"/>
      <c r="AM21" s="305" t="s">
        <v>320</v>
      </c>
      <c r="AN21" s="305" t="s">
        <v>320</v>
      </c>
      <c r="AO21" s="155" t="s">
        <v>361</v>
      </c>
      <c r="AP21" s="156" t="s">
        <v>325</v>
      </c>
      <c r="AQ21" s="305" t="s">
        <v>838</v>
      </c>
    </row>
    <row r="22" spans="1:45" s="1" customFormat="1" ht="13" customHeight="1" x14ac:dyDescent="0.3">
      <c r="A22" s="155">
        <v>10502</v>
      </c>
      <c r="B22" s="306">
        <v>43307</v>
      </c>
      <c r="C22" s="154" t="s">
        <v>322</v>
      </c>
      <c r="D22" s="227" t="s">
        <v>382</v>
      </c>
      <c r="E22" s="155"/>
      <c r="F22" s="155" t="s">
        <v>360</v>
      </c>
      <c r="G22" s="164">
        <v>43281</v>
      </c>
      <c r="H22" s="156" t="s">
        <v>324</v>
      </c>
      <c r="I22" s="156" t="s">
        <v>325</v>
      </c>
      <c r="J22" s="156"/>
      <c r="K22" s="155" t="s">
        <v>328</v>
      </c>
      <c r="L22" s="227" t="s">
        <v>387</v>
      </c>
      <c r="M22" s="305">
        <v>93.199999999999989</v>
      </c>
      <c r="N22" s="305">
        <v>27.563636363636363</v>
      </c>
      <c r="O22" s="155"/>
      <c r="P22" s="155"/>
      <c r="Q22" s="339"/>
      <c r="R22" s="155"/>
      <c r="S22" s="340"/>
      <c r="T22" s="155"/>
      <c r="U22" s="305" t="s">
        <v>320</v>
      </c>
      <c r="V22" s="305" t="s">
        <v>320</v>
      </c>
      <c r="W22" s="339"/>
      <c r="X22" s="155"/>
      <c r="Y22" s="155"/>
      <c r="Z22" s="155"/>
      <c r="AA22" s="155"/>
      <c r="AB22" s="155"/>
      <c r="AC22" s="155"/>
      <c r="AD22" s="305" t="s">
        <v>320</v>
      </c>
      <c r="AE22" s="305">
        <v>16.499999999999996</v>
      </c>
      <c r="AF22" s="155"/>
      <c r="AG22" s="155"/>
      <c r="AH22" s="339"/>
      <c r="AI22" s="155"/>
      <c r="AJ22" s="155"/>
      <c r="AK22" s="305" t="s">
        <v>320</v>
      </c>
      <c r="AL22" s="155"/>
      <c r="AM22" s="305" t="s">
        <v>320</v>
      </c>
      <c r="AN22" s="305" t="s">
        <v>320</v>
      </c>
      <c r="AO22" s="155" t="s">
        <v>361</v>
      </c>
      <c r="AP22" s="156" t="s">
        <v>325</v>
      </c>
      <c r="AQ22" s="305" t="s">
        <v>841</v>
      </c>
    </row>
    <row r="23" spans="1:45" s="1" customFormat="1" ht="13" customHeight="1" x14ac:dyDescent="0.3">
      <c r="A23" s="155">
        <v>4655</v>
      </c>
      <c r="B23" s="306">
        <v>43307</v>
      </c>
      <c r="C23" s="154" t="s">
        <v>322</v>
      </c>
      <c r="D23" s="227" t="s">
        <v>382</v>
      </c>
      <c r="E23" s="155"/>
      <c r="F23" s="155" t="s">
        <v>360</v>
      </c>
      <c r="G23" s="164">
        <v>43281</v>
      </c>
      <c r="H23" s="156" t="s">
        <v>324</v>
      </c>
      <c r="I23" s="156" t="s">
        <v>325</v>
      </c>
      <c r="J23" s="156"/>
      <c r="K23" s="155" t="s">
        <v>331</v>
      </c>
      <c r="L23" s="227" t="s">
        <v>387</v>
      </c>
      <c r="M23" s="305">
        <v>65</v>
      </c>
      <c r="N23" s="305">
        <v>29.581818181818178</v>
      </c>
      <c r="O23" s="155"/>
      <c r="P23" s="155"/>
      <c r="Q23" s="339"/>
      <c r="R23" s="155"/>
      <c r="S23" s="340"/>
      <c r="T23" s="155"/>
      <c r="U23" s="305" t="s">
        <v>320</v>
      </c>
      <c r="V23" s="305" t="s">
        <v>320</v>
      </c>
      <c r="W23" s="339"/>
      <c r="X23" s="155"/>
      <c r="Y23" s="155"/>
      <c r="Z23" s="155"/>
      <c r="AA23" s="155"/>
      <c r="AB23" s="155"/>
      <c r="AC23" s="155"/>
      <c r="AD23" s="305" t="s">
        <v>320</v>
      </c>
      <c r="AE23" s="305">
        <v>17.754545454545454</v>
      </c>
      <c r="AF23" s="155"/>
      <c r="AG23" s="155"/>
      <c r="AH23" s="339"/>
      <c r="AI23" s="155"/>
      <c r="AJ23" s="155"/>
      <c r="AK23" s="305" t="s">
        <v>320</v>
      </c>
      <c r="AL23" s="155"/>
      <c r="AM23" s="305" t="s">
        <v>320</v>
      </c>
      <c r="AN23" s="305" t="s">
        <v>320</v>
      </c>
      <c r="AO23" s="155" t="s">
        <v>361</v>
      </c>
      <c r="AP23" s="156" t="s">
        <v>325</v>
      </c>
      <c r="AQ23" s="305" t="s">
        <v>844</v>
      </c>
    </row>
    <row r="24" spans="1:45" s="1" customFormat="1" ht="13" customHeight="1" x14ac:dyDescent="0.3">
      <c r="A24" s="155">
        <v>1446</v>
      </c>
      <c r="B24" s="306">
        <v>43307</v>
      </c>
      <c r="C24" s="154" t="s">
        <v>322</v>
      </c>
      <c r="D24" s="227" t="s">
        <v>382</v>
      </c>
      <c r="E24" s="155"/>
      <c r="F24" s="155" t="s">
        <v>360</v>
      </c>
      <c r="G24" s="164">
        <v>43281</v>
      </c>
      <c r="H24" s="156" t="s">
        <v>324</v>
      </c>
      <c r="I24" s="156" t="s">
        <v>325</v>
      </c>
      <c r="J24" s="156"/>
      <c r="K24" s="155" t="s">
        <v>479</v>
      </c>
      <c r="L24" s="227" t="s">
        <v>387</v>
      </c>
      <c r="M24" s="305">
        <v>77.599999999999994</v>
      </c>
      <c r="N24" s="305">
        <v>23.154545454545453</v>
      </c>
      <c r="O24" s="336" t="s">
        <v>351</v>
      </c>
      <c r="P24" s="335">
        <v>300</v>
      </c>
      <c r="Q24" s="305">
        <v>29.999999999999996</v>
      </c>
      <c r="R24" s="155"/>
      <c r="S24" s="340"/>
      <c r="T24" s="155"/>
      <c r="U24" s="305" t="s">
        <v>320</v>
      </c>
      <c r="V24" s="305" t="s">
        <v>320</v>
      </c>
      <c r="W24" s="339"/>
      <c r="X24" s="155"/>
      <c r="Y24" s="155"/>
      <c r="Z24" s="155"/>
      <c r="AA24" s="155"/>
      <c r="AB24" s="155"/>
      <c r="AC24" s="155"/>
      <c r="AD24" s="305" t="s">
        <v>320</v>
      </c>
      <c r="AE24" s="305">
        <v>18.5</v>
      </c>
      <c r="AF24" s="155"/>
      <c r="AG24" s="155"/>
      <c r="AH24" s="339"/>
      <c r="AI24" s="155"/>
      <c r="AJ24" s="155"/>
      <c r="AK24" s="305" t="s">
        <v>320</v>
      </c>
      <c r="AL24" s="155"/>
      <c r="AM24" s="305" t="s">
        <v>320</v>
      </c>
      <c r="AN24" s="305" t="s">
        <v>320</v>
      </c>
      <c r="AO24" s="155" t="s">
        <v>361</v>
      </c>
      <c r="AP24" s="156" t="s">
        <v>325</v>
      </c>
      <c r="AQ24" s="305" t="s">
        <v>847</v>
      </c>
    </row>
    <row r="25" spans="1:45" s="1" customFormat="1" ht="13" customHeight="1" x14ac:dyDescent="0.3">
      <c r="A25" s="155">
        <v>1486</v>
      </c>
      <c r="B25" s="306">
        <v>43307</v>
      </c>
      <c r="C25" s="154" t="s">
        <v>322</v>
      </c>
      <c r="D25" s="227" t="s">
        <v>382</v>
      </c>
      <c r="E25" s="155"/>
      <c r="F25" s="155" t="s">
        <v>360</v>
      </c>
      <c r="G25" s="153">
        <v>43281</v>
      </c>
      <c r="H25" s="156" t="s">
        <v>324</v>
      </c>
      <c r="I25" s="156" t="s">
        <v>325</v>
      </c>
      <c r="J25" s="156"/>
      <c r="K25" s="155" t="s">
        <v>397</v>
      </c>
      <c r="L25" s="227" t="s">
        <v>387</v>
      </c>
      <c r="M25" s="305">
        <v>123.0090909090909</v>
      </c>
      <c r="N25" s="305">
        <v>24.84545454545454</v>
      </c>
      <c r="O25" s="155"/>
      <c r="P25" s="155"/>
      <c r="Q25" s="339"/>
      <c r="R25" s="155"/>
      <c r="S25" s="340"/>
      <c r="T25" s="155"/>
      <c r="U25" s="305" t="s">
        <v>320</v>
      </c>
      <c r="V25" s="305" t="s">
        <v>320</v>
      </c>
      <c r="W25" s="339"/>
      <c r="X25" s="155"/>
      <c r="Y25" s="155"/>
      <c r="Z25" s="155"/>
      <c r="AA25" s="155"/>
      <c r="AB25" s="155"/>
      <c r="AC25" s="155"/>
      <c r="AD25" s="305" t="s">
        <v>320</v>
      </c>
      <c r="AE25" s="305">
        <v>19.327272727272728</v>
      </c>
      <c r="AF25" s="155"/>
      <c r="AG25" s="155"/>
      <c r="AH25" s="339"/>
      <c r="AI25" s="155"/>
      <c r="AJ25" s="155"/>
      <c r="AK25" s="305" t="s">
        <v>320</v>
      </c>
      <c r="AL25" s="155"/>
      <c r="AM25" s="305" t="s">
        <v>320</v>
      </c>
      <c r="AN25" s="305" t="s">
        <v>320</v>
      </c>
      <c r="AO25" s="155" t="s">
        <v>361</v>
      </c>
      <c r="AP25" s="156" t="s">
        <v>325</v>
      </c>
      <c r="AQ25" s="305" t="s">
        <v>850</v>
      </c>
    </row>
    <row r="26" spans="1:45" s="1" customFormat="1" ht="13" customHeight="1" x14ac:dyDescent="0.3">
      <c r="A26" s="155">
        <v>10271</v>
      </c>
      <c r="B26" s="306">
        <v>43307</v>
      </c>
      <c r="C26" s="154" t="s">
        <v>322</v>
      </c>
      <c r="D26" s="227" t="s">
        <v>382</v>
      </c>
      <c r="E26" s="155"/>
      <c r="F26" s="155" t="s">
        <v>360</v>
      </c>
      <c r="G26" s="153">
        <v>43281</v>
      </c>
      <c r="H26" s="156" t="s">
        <v>324</v>
      </c>
      <c r="I26" s="156" t="s">
        <v>325</v>
      </c>
      <c r="J26" s="156"/>
      <c r="K26" s="155" t="s">
        <v>340</v>
      </c>
      <c r="L26" s="227" t="s">
        <v>387</v>
      </c>
      <c r="M26" s="305">
        <v>87.5</v>
      </c>
      <c r="N26" s="305">
        <v>27.690909090909088</v>
      </c>
      <c r="O26" s="155"/>
      <c r="P26" s="155"/>
      <c r="Q26" s="339"/>
      <c r="R26" s="155"/>
      <c r="S26" s="340"/>
      <c r="T26" s="155"/>
      <c r="U26" s="305" t="s">
        <v>320</v>
      </c>
      <c r="V26" s="305" t="s">
        <v>320</v>
      </c>
      <c r="W26" s="339"/>
      <c r="X26" s="155"/>
      <c r="Y26" s="155"/>
      <c r="Z26" s="155"/>
      <c r="AA26" s="155"/>
      <c r="AB26" s="155"/>
      <c r="AC26" s="155"/>
      <c r="AD26" s="305" t="s">
        <v>320</v>
      </c>
      <c r="AE26" s="305">
        <v>17.09090909090909</v>
      </c>
      <c r="AF26" s="155"/>
      <c r="AG26" s="155"/>
      <c r="AH26" s="339"/>
      <c r="AI26" s="155"/>
      <c r="AJ26" s="155"/>
      <c r="AK26" s="305" t="s">
        <v>320</v>
      </c>
      <c r="AL26" s="155"/>
      <c r="AM26" s="305" t="s">
        <v>320</v>
      </c>
      <c r="AN26" s="305" t="s">
        <v>320</v>
      </c>
      <c r="AO26" s="155" t="s">
        <v>361</v>
      </c>
      <c r="AP26" s="156" t="s">
        <v>325</v>
      </c>
      <c r="AQ26" s="305" t="s">
        <v>853</v>
      </c>
    </row>
    <row r="27" spans="1:45" s="1" customFormat="1" ht="13" customHeight="1" x14ac:dyDescent="0.3">
      <c r="A27" s="155">
        <v>4376</v>
      </c>
      <c r="B27" s="306">
        <v>43307</v>
      </c>
      <c r="C27" s="154" t="s">
        <v>322</v>
      </c>
      <c r="D27" s="227" t="s">
        <v>382</v>
      </c>
      <c r="E27" s="155"/>
      <c r="F27" s="155" t="s">
        <v>360</v>
      </c>
      <c r="G27" s="153">
        <v>43281</v>
      </c>
      <c r="H27" s="156" t="s">
        <v>324</v>
      </c>
      <c r="I27" s="156" t="s">
        <v>325</v>
      </c>
      <c r="J27" s="156"/>
      <c r="K27" s="155" t="s">
        <v>403</v>
      </c>
      <c r="L27" s="227" t="s">
        <v>387</v>
      </c>
      <c r="M27" s="305">
        <v>120.90909090909089</v>
      </c>
      <c r="N27" s="305">
        <v>26.18181818181818</v>
      </c>
      <c r="O27" s="155"/>
      <c r="P27" s="155"/>
      <c r="Q27" s="339"/>
      <c r="R27" s="155"/>
      <c r="S27" s="340"/>
      <c r="T27" s="155"/>
      <c r="U27" s="305" t="s">
        <v>320</v>
      </c>
      <c r="V27" s="305" t="s">
        <v>320</v>
      </c>
      <c r="W27" s="339"/>
      <c r="X27" s="155"/>
      <c r="Y27" s="155"/>
      <c r="Z27" s="155"/>
      <c r="AA27" s="155"/>
      <c r="AB27" s="155"/>
      <c r="AC27" s="155"/>
      <c r="AD27" s="305" t="s">
        <v>320</v>
      </c>
      <c r="AE27" s="305">
        <v>16.454545454545453</v>
      </c>
      <c r="AF27" s="155"/>
      <c r="AG27" s="155"/>
      <c r="AH27" s="339"/>
      <c r="AI27" s="155"/>
      <c r="AJ27" s="155"/>
      <c r="AK27" s="305" t="s">
        <v>320</v>
      </c>
      <c r="AL27" s="155"/>
      <c r="AM27" s="305" t="s">
        <v>320</v>
      </c>
      <c r="AN27" s="305" t="s">
        <v>320</v>
      </c>
      <c r="AO27" s="155" t="s">
        <v>361</v>
      </c>
      <c r="AP27" s="156" t="s">
        <v>325</v>
      </c>
      <c r="AQ27" s="305" t="s">
        <v>855</v>
      </c>
    </row>
    <row r="28" spans="1:45" s="1" customFormat="1" ht="13" customHeight="1" x14ac:dyDescent="0.3">
      <c r="A28" s="155">
        <v>10526</v>
      </c>
      <c r="B28" s="306">
        <v>43307</v>
      </c>
      <c r="C28" s="154" t="s">
        <v>322</v>
      </c>
      <c r="D28" s="227" t="s">
        <v>382</v>
      </c>
      <c r="E28" s="155"/>
      <c r="F28" s="155" t="s">
        <v>360</v>
      </c>
      <c r="G28" s="153">
        <v>43281</v>
      </c>
      <c r="H28" s="156" t="s">
        <v>324</v>
      </c>
      <c r="I28" s="156" t="s">
        <v>325</v>
      </c>
      <c r="J28" s="156"/>
      <c r="K28" s="155" t="s">
        <v>348</v>
      </c>
      <c r="L28" s="227" t="s">
        <v>387</v>
      </c>
      <c r="M28" s="305">
        <v>90.179999999999993</v>
      </c>
      <c r="N28" s="305">
        <v>27.979999999999997</v>
      </c>
      <c r="O28" s="155"/>
      <c r="P28" s="155"/>
      <c r="Q28" s="339"/>
      <c r="R28" s="155"/>
      <c r="S28" s="340"/>
      <c r="T28" s="155"/>
      <c r="U28" s="305" t="s">
        <v>320</v>
      </c>
      <c r="V28" s="305" t="s">
        <v>320</v>
      </c>
      <c r="W28" s="339"/>
      <c r="X28" s="155"/>
      <c r="Y28" s="155"/>
      <c r="Z28" s="155"/>
      <c r="AA28" s="155"/>
      <c r="AB28" s="155"/>
      <c r="AC28" s="155"/>
      <c r="AD28" s="305" t="s">
        <v>320</v>
      </c>
      <c r="AE28" s="305">
        <v>14.199999999999998</v>
      </c>
      <c r="AF28" s="155"/>
      <c r="AG28" s="155"/>
      <c r="AH28" s="339"/>
      <c r="AI28" s="155"/>
      <c r="AJ28" s="155"/>
      <c r="AK28" s="305" t="s">
        <v>320</v>
      </c>
      <c r="AL28" s="155"/>
      <c r="AM28" s="305" t="s">
        <v>320</v>
      </c>
      <c r="AN28" s="305" t="s">
        <v>320</v>
      </c>
      <c r="AO28" s="155" t="s">
        <v>361</v>
      </c>
      <c r="AP28" s="156" t="s">
        <v>325</v>
      </c>
      <c r="AQ28" s="305" t="s">
        <v>856</v>
      </c>
    </row>
    <row r="29" spans="1:45" s="1" customFormat="1" ht="13" customHeight="1" x14ac:dyDescent="0.3">
      <c r="A29" s="155">
        <v>10325</v>
      </c>
      <c r="B29" s="306">
        <v>43307</v>
      </c>
      <c r="C29" s="154" t="s">
        <v>322</v>
      </c>
      <c r="D29" s="227" t="s">
        <v>382</v>
      </c>
      <c r="E29" s="155"/>
      <c r="F29" s="155" t="s">
        <v>360</v>
      </c>
      <c r="G29" s="153">
        <v>43284</v>
      </c>
      <c r="H29" s="156" t="s">
        <v>324</v>
      </c>
      <c r="I29" s="156" t="s">
        <v>325</v>
      </c>
      <c r="J29" s="156"/>
      <c r="K29" s="155" t="s">
        <v>406</v>
      </c>
      <c r="L29" s="227" t="s">
        <v>387</v>
      </c>
      <c r="M29" s="305">
        <v>104.69999999999999</v>
      </c>
      <c r="N29" s="305">
        <v>26.781818181818181</v>
      </c>
      <c r="O29" s="155"/>
      <c r="P29" s="155"/>
      <c r="Q29" s="339"/>
      <c r="R29" s="155"/>
      <c r="S29" s="340"/>
      <c r="T29" s="155"/>
      <c r="U29" s="305" t="s">
        <v>320</v>
      </c>
      <c r="V29" s="305" t="s">
        <v>320</v>
      </c>
      <c r="W29" s="339"/>
      <c r="X29" s="155"/>
      <c r="Y29" s="155"/>
      <c r="Z29" s="155"/>
      <c r="AA29" s="155"/>
      <c r="AB29" s="155"/>
      <c r="AC29" s="155"/>
      <c r="AD29" s="305" t="s">
        <v>320</v>
      </c>
      <c r="AE29" s="305">
        <v>17.799999999999997</v>
      </c>
      <c r="AF29" s="155"/>
      <c r="AG29" s="155"/>
      <c r="AH29" s="339"/>
      <c r="AI29" s="155"/>
      <c r="AJ29" s="155"/>
      <c r="AK29" s="305" t="s">
        <v>320</v>
      </c>
      <c r="AL29" s="155"/>
      <c r="AM29" s="305" t="s">
        <v>320</v>
      </c>
      <c r="AN29" s="305" t="s">
        <v>320</v>
      </c>
      <c r="AO29" s="155" t="s">
        <v>361</v>
      </c>
      <c r="AP29" s="156" t="s">
        <v>325</v>
      </c>
      <c r="AQ29" s="305" t="s">
        <v>858</v>
      </c>
    </row>
    <row r="30" spans="1:45" s="1" customFormat="1" ht="13" customHeight="1" x14ac:dyDescent="0.3">
      <c r="A30" s="155">
        <v>10680</v>
      </c>
      <c r="B30" s="306">
        <v>43307</v>
      </c>
      <c r="C30" s="154" t="s">
        <v>322</v>
      </c>
      <c r="D30" s="227" t="s">
        <v>382</v>
      </c>
      <c r="E30" s="155"/>
      <c r="F30" s="155" t="s">
        <v>360</v>
      </c>
      <c r="G30" s="153">
        <v>43281</v>
      </c>
      <c r="H30" s="156" t="s">
        <v>324</v>
      </c>
      <c r="I30" s="156" t="s">
        <v>325</v>
      </c>
      <c r="J30" s="156"/>
      <c r="K30" s="155" t="s">
        <v>408</v>
      </c>
      <c r="L30" s="227" t="s">
        <v>387</v>
      </c>
      <c r="M30" s="305">
        <v>126.66363636363637</v>
      </c>
      <c r="N30" s="305">
        <v>25.099999999999998</v>
      </c>
      <c r="O30" s="155"/>
      <c r="P30" s="155"/>
      <c r="Q30" s="339"/>
      <c r="R30" s="155"/>
      <c r="S30" s="340"/>
      <c r="T30" s="155"/>
      <c r="U30" s="305" t="s">
        <v>320</v>
      </c>
      <c r="V30" s="305" t="s">
        <v>320</v>
      </c>
      <c r="W30" s="339"/>
      <c r="X30" s="155"/>
      <c r="Y30" s="155"/>
      <c r="Z30" s="155"/>
      <c r="AA30" s="155"/>
      <c r="AB30" s="155"/>
      <c r="AC30" s="155"/>
      <c r="AD30" s="305" t="s">
        <v>320</v>
      </c>
      <c r="AE30" s="305">
        <v>18.072727272727271</v>
      </c>
      <c r="AF30" s="155"/>
      <c r="AG30" s="155"/>
      <c r="AH30" s="339"/>
      <c r="AI30" s="155"/>
      <c r="AJ30" s="155"/>
      <c r="AK30" s="305" t="s">
        <v>320</v>
      </c>
      <c r="AL30" s="155"/>
      <c r="AM30" s="305" t="s">
        <v>320</v>
      </c>
      <c r="AN30" s="305" t="s">
        <v>320</v>
      </c>
      <c r="AO30" s="155" t="s">
        <v>361</v>
      </c>
      <c r="AP30" s="156" t="s">
        <v>325</v>
      </c>
      <c r="AQ30" s="305" t="s">
        <v>861</v>
      </c>
    </row>
    <row r="31" spans="1:45" s="1" customFormat="1" ht="13" customHeight="1" x14ac:dyDescent="0.3">
      <c r="A31" s="155">
        <v>1398</v>
      </c>
      <c r="B31" s="306">
        <v>43307</v>
      </c>
      <c r="C31" s="154" t="s">
        <v>322</v>
      </c>
      <c r="D31" s="227" t="s">
        <v>382</v>
      </c>
      <c r="E31" s="155"/>
      <c r="F31" s="155" t="s">
        <v>360</v>
      </c>
      <c r="G31" s="153">
        <v>43281</v>
      </c>
      <c r="H31" s="156" t="s">
        <v>324</v>
      </c>
      <c r="I31" s="156" t="s">
        <v>325</v>
      </c>
      <c r="J31" s="156"/>
      <c r="K31" s="155" t="s">
        <v>410</v>
      </c>
      <c r="L31" s="227" t="s">
        <v>387</v>
      </c>
      <c r="M31" s="305">
        <v>109.99999999999999</v>
      </c>
      <c r="N31" s="305">
        <v>25.599999999999998</v>
      </c>
      <c r="O31" s="227"/>
      <c r="P31" s="155"/>
      <c r="Q31" s="339"/>
      <c r="R31" s="155"/>
      <c r="S31" s="340"/>
      <c r="T31" s="155"/>
      <c r="U31" s="305" t="s">
        <v>320</v>
      </c>
      <c r="V31" s="305" t="s">
        <v>320</v>
      </c>
      <c r="W31" s="339"/>
      <c r="X31" s="155"/>
      <c r="Y31" s="155"/>
      <c r="Z31" s="155"/>
      <c r="AA31" s="155"/>
      <c r="AB31" s="155"/>
      <c r="AC31" s="155"/>
      <c r="AD31" s="305" t="s">
        <v>320</v>
      </c>
      <c r="AE31" s="305">
        <v>18.999999999999996</v>
      </c>
      <c r="AF31" s="155"/>
      <c r="AG31" s="155"/>
      <c r="AH31" s="339"/>
      <c r="AI31" s="155"/>
      <c r="AJ31" s="155"/>
      <c r="AK31" s="305" t="s">
        <v>320</v>
      </c>
      <c r="AL31" s="155"/>
      <c r="AM31" s="305" t="s">
        <v>320</v>
      </c>
      <c r="AN31" s="305" t="s">
        <v>320</v>
      </c>
      <c r="AO31" s="155" t="s">
        <v>361</v>
      </c>
      <c r="AP31" s="156" t="s">
        <v>325</v>
      </c>
      <c r="AQ31" s="305" t="s">
        <v>864</v>
      </c>
    </row>
    <row r="32" spans="1:45" s="1" customFormat="1" ht="13" customHeight="1" x14ac:dyDescent="0.3">
      <c r="A32" s="155">
        <v>3602</v>
      </c>
      <c r="B32" s="306">
        <v>43307</v>
      </c>
      <c r="C32" s="154" t="s">
        <v>322</v>
      </c>
      <c r="D32" s="227" t="s">
        <v>382</v>
      </c>
      <c r="E32" s="155"/>
      <c r="F32" s="155" t="s">
        <v>360</v>
      </c>
      <c r="G32" s="153">
        <v>43281</v>
      </c>
      <c r="H32" s="156" t="s">
        <v>324</v>
      </c>
      <c r="I32" s="156" t="s">
        <v>325</v>
      </c>
      <c r="J32" s="156"/>
      <c r="K32" s="155" t="s">
        <v>412</v>
      </c>
      <c r="L32" s="227" t="s">
        <v>387</v>
      </c>
      <c r="M32" s="305">
        <v>89.318181818181813</v>
      </c>
      <c r="N32" s="305">
        <v>27.718181818181815</v>
      </c>
      <c r="O32" s="309" t="s">
        <v>351</v>
      </c>
      <c r="P32" s="256">
        <v>1274</v>
      </c>
      <c r="Q32" s="305">
        <v>29.218181818181815</v>
      </c>
      <c r="R32" s="155"/>
      <c r="S32" s="340"/>
      <c r="T32" s="155"/>
      <c r="U32" s="305" t="s">
        <v>320</v>
      </c>
      <c r="V32" s="305" t="s">
        <v>320</v>
      </c>
      <c r="W32" s="339"/>
      <c r="X32" s="155"/>
      <c r="Y32" s="155"/>
      <c r="Z32" s="155"/>
      <c r="AA32" s="155"/>
      <c r="AB32" s="155"/>
      <c r="AC32" s="155"/>
      <c r="AD32" s="305" t="s">
        <v>320</v>
      </c>
      <c r="AE32" s="305">
        <v>18.072727272727271</v>
      </c>
      <c r="AF32" s="155"/>
      <c r="AG32" s="155"/>
      <c r="AH32" s="339"/>
      <c r="AI32" s="155"/>
      <c r="AJ32" s="155"/>
      <c r="AK32" s="305" t="s">
        <v>320</v>
      </c>
      <c r="AL32" s="155"/>
      <c r="AM32" s="305" t="s">
        <v>320</v>
      </c>
      <c r="AN32" s="305" t="s">
        <v>320</v>
      </c>
      <c r="AO32" s="155" t="s">
        <v>361</v>
      </c>
      <c r="AP32" s="156" t="s">
        <v>325</v>
      </c>
      <c r="AQ32" s="305" t="s">
        <v>866</v>
      </c>
    </row>
    <row r="33" spans="1:44" s="1" customFormat="1" ht="13" customHeight="1" x14ac:dyDescent="0.3">
      <c r="A33" s="155">
        <v>10375</v>
      </c>
      <c r="B33" s="306">
        <v>43307</v>
      </c>
      <c r="C33" s="154" t="s">
        <v>322</v>
      </c>
      <c r="D33" s="227" t="s">
        <v>382</v>
      </c>
      <c r="E33" s="155"/>
      <c r="F33" s="155" t="s">
        <v>360</v>
      </c>
      <c r="G33" s="153">
        <v>43281</v>
      </c>
      <c r="H33" s="156" t="s">
        <v>310</v>
      </c>
      <c r="I33" s="156" t="s">
        <v>309</v>
      </c>
      <c r="J33" s="156"/>
      <c r="K33" s="155" t="s">
        <v>239</v>
      </c>
      <c r="L33" s="227" t="s">
        <v>387</v>
      </c>
      <c r="M33" s="305">
        <v>109.99999999999999</v>
      </c>
      <c r="N33" s="305">
        <v>26.2</v>
      </c>
      <c r="O33" s="155" t="s">
        <v>351</v>
      </c>
      <c r="P33" s="155">
        <v>1350</v>
      </c>
      <c r="Q33" s="305">
        <v>30.599999999999994</v>
      </c>
      <c r="R33" s="155"/>
      <c r="S33" s="340"/>
      <c r="T33" s="155"/>
      <c r="U33" s="305" t="s">
        <v>320</v>
      </c>
      <c r="V33" s="305" t="s">
        <v>320</v>
      </c>
      <c r="W33" s="339"/>
      <c r="X33" s="155"/>
      <c r="Y33" s="155"/>
      <c r="Z33" s="155"/>
      <c r="AA33" s="155"/>
      <c r="AB33" s="155"/>
      <c r="AC33" s="155"/>
      <c r="AD33" s="305" t="s">
        <v>320</v>
      </c>
      <c r="AE33" s="305">
        <v>16.8</v>
      </c>
      <c r="AF33" s="155"/>
      <c r="AG33" s="155"/>
      <c r="AH33" s="339"/>
      <c r="AI33" s="155"/>
      <c r="AJ33" s="155"/>
      <c r="AK33" s="305" t="s">
        <v>320</v>
      </c>
      <c r="AL33" s="155"/>
      <c r="AM33" s="305" t="s">
        <v>320</v>
      </c>
      <c r="AN33" s="305" t="s">
        <v>320</v>
      </c>
      <c r="AO33" s="155" t="s">
        <v>361</v>
      </c>
      <c r="AP33" s="156" t="s">
        <v>325</v>
      </c>
      <c r="AQ33" s="305" t="s">
        <v>869</v>
      </c>
    </row>
    <row r="34" spans="1:44" s="1" customFormat="1" ht="13" customHeight="1" x14ac:dyDescent="0.3">
      <c r="A34" s="155">
        <v>9905</v>
      </c>
      <c r="B34" s="306">
        <v>43307</v>
      </c>
      <c r="C34" s="154" t="s">
        <v>322</v>
      </c>
      <c r="D34" s="227" t="s">
        <v>382</v>
      </c>
      <c r="E34" s="155"/>
      <c r="F34" s="155" t="s">
        <v>360</v>
      </c>
      <c r="G34" s="153">
        <v>43281</v>
      </c>
      <c r="H34" s="156" t="s">
        <v>309</v>
      </c>
      <c r="I34" s="156" t="s">
        <v>355</v>
      </c>
      <c r="J34" s="156"/>
      <c r="K34" s="227" t="s">
        <v>354</v>
      </c>
      <c r="L34" s="227" t="s">
        <v>387</v>
      </c>
      <c r="M34" s="305">
        <v>77</v>
      </c>
      <c r="N34" s="305">
        <v>28.290909090909089</v>
      </c>
      <c r="O34" s="155"/>
      <c r="P34" s="155"/>
      <c r="Q34" s="339"/>
      <c r="R34" s="155"/>
      <c r="S34" s="340"/>
      <c r="T34" s="155"/>
      <c r="U34" s="305" t="s">
        <v>320</v>
      </c>
      <c r="V34" s="305" t="s">
        <v>320</v>
      </c>
      <c r="W34" s="339"/>
      <c r="X34" s="155"/>
      <c r="Y34" s="155"/>
      <c r="Z34" s="155"/>
      <c r="AA34" s="155"/>
      <c r="AB34" s="155"/>
      <c r="AC34" s="155"/>
      <c r="AD34" s="305" t="s">
        <v>320</v>
      </c>
      <c r="AE34" s="305">
        <v>18.7</v>
      </c>
      <c r="AF34" s="155"/>
      <c r="AG34" s="155"/>
      <c r="AH34" s="339"/>
      <c r="AI34" s="155"/>
      <c r="AJ34" s="155"/>
      <c r="AK34" s="305" t="s">
        <v>320</v>
      </c>
      <c r="AL34" s="155"/>
      <c r="AM34" s="305" t="s">
        <v>320</v>
      </c>
      <c r="AN34" s="305" t="s">
        <v>320</v>
      </c>
      <c r="AO34" s="155" t="s">
        <v>361</v>
      </c>
      <c r="AP34" s="156" t="s">
        <v>325</v>
      </c>
      <c r="AQ34" s="305" t="s">
        <v>880</v>
      </c>
    </row>
    <row r="35" spans="1:44" s="1" customFormat="1" ht="13" customHeight="1" x14ac:dyDescent="0.3">
      <c r="A35" s="155"/>
      <c r="B35" s="306">
        <v>43307</v>
      </c>
      <c r="C35" s="243" t="s">
        <v>322</v>
      </c>
      <c r="D35" s="227" t="s">
        <v>382</v>
      </c>
      <c r="E35" s="241"/>
      <c r="F35" s="155" t="s">
        <v>360</v>
      </c>
      <c r="G35" s="247">
        <v>43284</v>
      </c>
      <c r="H35" s="156" t="s">
        <v>324</v>
      </c>
      <c r="I35" s="156" t="s">
        <v>325</v>
      </c>
      <c r="J35" s="156"/>
      <c r="K35" s="227" t="s">
        <v>424</v>
      </c>
      <c r="L35" s="227" t="s">
        <v>387</v>
      </c>
      <c r="M35" s="305">
        <v>88</v>
      </c>
      <c r="N35" s="305">
        <v>27.5</v>
      </c>
      <c r="O35" s="340"/>
      <c r="P35" s="340"/>
      <c r="Q35" s="339"/>
      <c r="R35" s="340"/>
      <c r="S35" s="340"/>
      <c r="T35" s="340"/>
      <c r="U35" s="339" t="s">
        <v>320</v>
      </c>
      <c r="V35" s="339" t="s">
        <v>320</v>
      </c>
      <c r="W35" s="339"/>
      <c r="X35" s="340"/>
      <c r="Y35" s="340"/>
      <c r="Z35" s="340"/>
      <c r="AA35" s="340"/>
      <c r="AB35" s="340"/>
      <c r="AC35" s="340"/>
      <c r="AD35" s="339" t="s">
        <v>320</v>
      </c>
      <c r="AE35" s="305">
        <v>18.760000000000002</v>
      </c>
      <c r="AF35" s="155"/>
      <c r="AG35" s="155"/>
      <c r="AH35" s="339"/>
      <c r="AI35" s="155"/>
      <c r="AJ35" s="155"/>
      <c r="AK35" s="305" t="s">
        <v>320</v>
      </c>
      <c r="AL35" s="155"/>
      <c r="AM35" s="305" t="s">
        <v>320</v>
      </c>
      <c r="AN35" s="305" t="s">
        <v>320</v>
      </c>
      <c r="AO35" s="155" t="s">
        <v>361</v>
      </c>
      <c r="AP35" s="156" t="s">
        <v>325</v>
      </c>
      <c r="AQ35" s="305" t="s">
        <v>882</v>
      </c>
    </row>
    <row r="36" spans="1:44" s="1" customFormat="1" ht="13" customHeight="1" x14ac:dyDescent="0.35">
      <c r="A36" s="155"/>
      <c r="B36" s="323">
        <v>43307</v>
      </c>
      <c r="C36" s="154" t="s">
        <v>322</v>
      </c>
      <c r="D36" s="227" t="s">
        <v>382</v>
      </c>
      <c r="E36" s="155"/>
      <c r="F36" s="155" t="s">
        <v>360</v>
      </c>
      <c r="G36" s="303">
        <v>43281</v>
      </c>
      <c r="H36" s="223" t="s">
        <v>310</v>
      </c>
      <c r="I36" s="223" t="s">
        <v>309</v>
      </c>
      <c r="J36" s="156"/>
      <c r="K36" s="227" t="s">
        <v>501</v>
      </c>
      <c r="L36" s="227" t="s">
        <v>387</v>
      </c>
      <c r="M36" s="305">
        <v>114.99999999999999</v>
      </c>
      <c r="N36" s="305">
        <v>25.490909090909089</v>
      </c>
      <c r="O36" s="155"/>
      <c r="P36" s="155"/>
      <c r="Q36" s="339"/>
      <c r="R36" s="155"/>
      <c r="S36" s="340"/>
      <c r="T36" s="155"/>
      <c r="U36" s="305" t="s">
        <v>320</v>
      </c>
      <c r="V36" s="305" t="s">
        <v>320</v>
      </c>
      <c r="W36" s="339"/>
      <c r="X36" s="155"/>
      <c r="Y36" s="155"/>
      <c r="Z36" s="155"/>
      <c r="AA36" s="155"/>
      <c r="AB36" s="155"/>
      <c r="AC36" s="155"/>
      <c r="AD36" s="305" t="s">
        <v>320</v>
      </c>
      <c r="AE36" s="305">
        <v>19.136363636363637</v>
      </c>
      <c r="AF36" s="155"/>
      <c r="AG36" s="155"/>
      <c r="AH36" s="339"/>
      <c r="AI36" s="155"/>
      <c r="AJ36" s="155"/>
      <c r="AK36" s="305" t="s">
        <v>320</v>
      </c>
      <c r="AL36" s="155"/>
      <c r="AM36" s="305" t="s">
        <v>320</v>
      </c>
      <c r="AN36" s="305" t="s">
        <v>320</v>
      </c>
      <c r="AO36" s="155" t="s">
        <v>361</v>
      </c>
      <c r="AP36" s="156" t="s">
        <v>325</v>
      </c>
      <c r="AQ36" s="305" t="s">
        <v>873</v>
      </c>
    </row>
    <row r="37" spans="1:44" s="1" customFormat="1" ht="13" customHeight="1" x14ac:dyDescent="0.3">
      <c r="A37" s="155"/>
      <c r="B37" s="306">
        <v>43307</v>
      </c>
      <c r="C37" s="154" t="s">
        <v>322</v>
      </c>
      <c r="D37" s="227" t="s">
        <v>382</v>
      </c>
      <c r="E37" s="155"/>
      <c r="F37" s="155" t="s">
        <v>360</v>
      </c>
      <c r="G37" s="153">
        <v>43281</v>
      </c>
      <c r="H37" s="223" t="s">
        <v>310</v>
      </c>
      <c r="I37" s="223" t="s">
        <v>309</v>
      </c>
      <c r="J37" s="156"/>
      <c r="K37" s="227" t="s">
        <v>503</v>
      </c>
      <c r="L37" s="227" t="s">
        <v>387</v>
      </c>
      <c r="M37" s="305">
        <v>98.499999999999986</v>
      </c>
      <c r="N37" s="305">
        <v>27.209090909090907</v>
      </c>
      <c r="O37" s="155"/>
      <c r="P37" s="155"/>
      <c r="Q37" s="339"/>
      <c r="R37" s="155"/>
      <c r="S37" s="340"/>
      <c r="T37" s="155"/>
      <c r="U37" s="305" t="s">
        <v>320</v>
      </c>
      <c r="V37" s="305" t="s">
        <v>320</v>
      </c>
      <c r="W37" s="339"/>
      <c r="X37" s="155"/>
      <c r="Y37" s="155"/>
      <c r="Z37" s="155"/>
      <c r="AA37" s="155"/>
      <c r="AB37" s="155"/>
      <c r="AC37" s="155"/>
      <c r="AD37" s="305" t="s">
        <v>320</v>
      </c>
      <c r="AE37" s="305">
        <v>17.799999999999997</v>
      </c>
      <c r="AF37" s="155"/>
      <c r="AG37" s="155"/>
      <c r="AH37" s="339"/>
      <c r="AI37" s="155"/>
      <c r="AJ37" s="155"/>
      <c r="AK37" s="305" t="s">
        <v>320</v>
      </c>
      <c r="AL37" s="155"/>
      <c r="AM37" s="305" t="s">
        <v>320</v>
      </c>
      <c r="AN37" s="305" t="s">
        <v>320</v>
      </c>
      <c r="AO37" s="155" t="s">
        <v>361</v>
      </c>
      <c r="AP37" s="156" t="s">
        <v>325</v>
      </c>
      <c r="AQ37" s="305" t="s">
        <v>876</v>
      </c>
    </row>
    <row r="38" spans="1:44" s="1" customFormat="1" ht="13" customHeight="1" x14ac:dyDescent="0.3">
      <c r="A38" s="155">
        <v>10419</v>
      </c>
      <c r="B38" s="306">
        <v>43307</v>
      </c>
      <c r="C38" s="243" t="s">
        <v>322</v>
      </c>
      <c r="D38" s="227" t="s">
        <v>382</v>
      </c>
      <c r="E38" s="241"/>
      <c r="F38" s="155" t="s">
        <v>367</v>
      </c>
      <c r="G38" s="247">
        <v>43284</v>
      </c>
      <c r="H38" s="156" t="s">
        <v>324</v>
      </c>
      <c r="I38" s="156" t="s">
        <v>325</v>
      </c>
      <c r="J38" s="156"/>
      <c r="K38" s="155" t="s">
        <v>326</v>
      </c>
      <c r="L38" s="227" t="s">
        <v>387</v>
      </c>
      <c r="M38" s="305">
        <v>101.51818181818182</v>
      </c>
      <c r="N38" s="305">
        <v>38.099999999999994</v>
      </c>
      <c r="O38" s="155"/>
      <c r="P38" s="155"/>
      <c r="Q38" s="339"/>
      <c r="R38" s="155"/>
      <c r="S38" s="340"/>
      <c r="T38" s="155"/>
      <c r="U38" s="305" t="s">
        <v>320</v>
      </c>
      <c r="V38" s="305" t="s">
        <v>320</v>
      </c>
      <c r="W38" s="305">
        <v>18.518181818181816</v>
      </c>
      <c r="X38" s="155"/>
      <c r="Y38" s="155"/>
      <c r="Z38" s="155"/>
      <c r="AA38" s="155"/>
      <c r="AB38" s="155"/>
      <c r="AC38" s="155"/>
      <c r="AD38" s="305" t="s">
        <v>320</v>
      </c>
      <c r="AE38" s="339"/>
      <c r="AF38" s="155"/>
      <c r="AG38" s="155"/>
      <c r="AH38" s="305">
        <v>32.763636363636358</v>
      </c>
      <c r="AI38" s="155"/>
      <c r="AJ38" s="155"/>
      <c r="AK38" s="305" t="s">
        <v>320</v>
      </c>
      <c r="AL38" s="155"/>
      <c r="AM38" s="305" t="s">
        <v>320</v>
      </c>
      <c r="AN38" s="305" t="s">
        <v>320</v>
      </c>
      <c r="AO38" s="155" t="s">
        <v>384</v>
      </c>
      <c r="AP38" s="156" t="s">
        <v>325</v>
      </c>
      <c r="AQ38" s="305" t="s">
        <v>839</v>
      </c>
    </row>
    <row r="39" spans="1:44" s="1" customFormat="1" ht="13" customHeight="1" x14ac:dyDescent="0.3">
      <c r="A39" s="155">
        <v>10504</v>
      </c>
      <c r="B39" s="306">
        <v>43307</v>
      </c>
      <c r="C39" s="154" t="s">
        <v>322</v>
      </c>
      <c r="D39" s="227" t="s">
        <v>382</v>
      </c>
      <c r="E39" s="155"/>
      <c r="F39" s="155" t="s">
        <v>367</v>
      </c>
      <c r="G39" s="164">
        <v>43281</v>
      </c>
      <c r="H39" s="156" t="s">
        <v>324</v>
      </c>
      <c r="I39" s="156" t="s">
        <v>325</v>
      </c>
      <c r="J39" s="156"/>
      <c r="K39" s="155" t="s">
        <v>328</v>
      </c>
      <c r="L39" s="227" t="s">
        <v>387</v>
      </c>
      <c r="M39" s="305">
        <v>98.109090909090909</v>
      </c>
      <c r="N39" s="305">
        <v>33.427272727272729</v>
      </c>
      <c r="O39" s="155"/>
      <c r="P39" s="155"/>
      <c r="Q39" s="339"/>
      <c r="R39" s="155"/>
      <c r="S39" s="340"/>
      <c r="T39" s="155"/>
      <c r="U39" s="305" t="s">
        <v>320</v>
      </c>
      <c r="V39" s="305" t="s">
        <v>320</v>
      </c>
      <c r="W39" s="305">
        <v>18.881818181818179</v>
      </c>
      <c r="X39" s="155"/>
      <c r="Y39" s="155"/>
      <c r="Z39" s="155"/>
      <c r="AA39" s="155"/>
      <c r="AB39" s="155"/>
      <c r="AC39" s="155"/>
      <c r="AD39" s="305" t="s">
        <v>320</v>
      </c>
      <c r="AE39" s="339"/>
      <c r="AF39" s="155"/>
      <c r="AG39" s="155"/>
      <c r="AH39" s="305">
        <v>28.590909090909086</v>
      </c>
      <c r="AI39" s="155"/>
      <c r="AJ39" s="155"/>
      <c r="AK39" s="305" t="s">
        <v>320</v>
      </c>
      <c r="AL39" s="155"/>
      <c r="AM39" s="305" t="s">
        <v>320</v>
      </c>
      <c r="AN39" s="305" t="s">
        <v>320</v>
      </c>
      <c r="AO39" s="155" t="s">
        <v>384</v>
      </c>
      <c r="AP39" s="156" t="s">
        <v>325</v>
      </c>
      <c r="AQ39" s="305" t="s">
        <v>632</v>
      </c>
      <c r="AR39" s="1" t="s">
        <v>842</v>
      </c>
    </row>
    <row r="40" spans="1:44" s="1" customFormat="1" ht="13" customHeight="1" x14ac:dyDescent="0.3">
      <c r="A40" s="155">
        <v>4657</v>
      </c>
      <c r="B40" s="306">
        <v>43307</v>
      </c>
      <c r="C40" s="154" t="s">
        <v>322</v>
      </c>
      <c r="D40" s="227" t="s">
        <v>382</v>
      </c>
      <c r="E40" s="155"/>
      <c r="F40" s="155" t="s">
        <v>367</v>
      </c>
      <c r="G40" s="164">
        <v>43281</v>
      </c>
      <c r="H40" s="156" t="s">
        <v>324</v>
      </c>
      <c r="I40" s="156" t="s">
        <v>325</v>
      </c>
      <c r="J40" s="156"/>
      <c r="K40" s="155" t="s">
        <v>331</v>
      </c>
      <c r="L40" s="227" t="s">
        <v>387</v>
      </c>
      <c r="M40" s="305">
        <v>89.999999999999986</v>
      </c>
      <c r="N40" s="305">
        <v>36.299999999999997</v>
      </c>
      <c r="O40" s="155"/>
      <c r="P40" s="155"/>
      <c r="Q40" s="339"/>
      <c r="R40" s="155"/>
      <c r="S40" s="340"/>
      <c r="T40" s="155"/>
      <c r="U40" s="305" t="s">
        <v>320</v>
      </c>
      <c r="V40" s="305" t="s">
        <v>320</v>
      </c>
      <c r="W40" s="305">
        <v>23</v>
      </c>
      <c r="X40" s="155"/>
      <c r="Y40" s="155"/>
      <c r="Z40" s="155"/>
      <c r="AA40" s="155"/>
      <c r="AB40" s="155"/>
      <c r="AC40" s="155"/>
      <c r="AD40" s="305" t="s">
        <v>320</v>
      </c>
      <c r="AE40" s="339"/>
      <c r="AF40" s="155"/>
      <c r="AG40" s="155"/>
      <c r="AH40" s="305">
        <v>28</v>
      </c>
      <c r="AI40" s="155"/>
      <c r="AJ40" s="155"/>
      <c r="AK40" s="305" t="s">
        <v>320</v>
      </c>
      <c r="AL40" s="155"/>
      <c r="AM40" s="305" t="s">
        <v>320</v>
      </c>
      <c r="AN40" s="305" t="s">
        <v>320</v>
      </c>
      <c r="AO40" s="155" t="s">
        <v>384</v>
      </c>
      <c r="AP40" s="156" t="s">
        <v>325</v>
      </c>
      <c r="AQ40" s="305" t="s">
        <v>845</v>
      </c>
    </row>
    <row r="41" spans="1:44" s="1" customFormat="1" ht="13" customHeight="1" x14ac:dyDescent="0.35">
      <c r="A41" s="155">
        <v>1448</v>
      </c>
      <c r="B41" s="306">
        <v>43307</v>
      </c>
      <c r="C41" s="154" t="s">
        <v>322</v>
      </c>
      <c r="D41" s="227" t="s">
        <v>382</v>
      </c>
      <c r="E41" s="155"/>
      <c r="F41" s="155" t="s">
        <v>367</v>
      </c>
      <c r="G41" s="164">
        <v>43281</v>
      </c>
      <c r="H41" s="156" t="s">
        <v>324</v>
      </c>
      <c r="I41" s="156" t="s">
        <v>325</v>
      </c>
      <c r="J41" s="156"/>
      <c r="K41" s="155" t="s">
        <v>479</v>
      </c>
      <c r="L41" s="227" t="s">
        <v>387</v>
      </c>
      <c r="M41" s="305">
        <v>109.99999999999999</v>
      </c>
      <c r="N41" s="305">
        <v>40.554545454545448</v>
      </c>
      <c r="O41" s="338" t="s">
        <v>351</v>
      </c>
      <c r="P41" s="335">
        <v>85</v>
      </c>
      <c r="Q41" s="305">
        <v>44.999999999999993</v>
      </c>
      <c r="R41" s="155"/>
      <c r="S41" s="340"/>
      <c r="T41" s="155"/>
      <c r="U41" s="305" t="s">
        <v>320</v>
      </c>
      <c r="V41" s="305" t="s">
        <v>320</v>
      </c>
      <c r="W41" s="305">
        <v>18</v>
      </c>
      <c r="X41" s="155"/>
      <c r="Y41" s="155"/>
      <c r="Z41" s="155"/>
      <c r="AA41" s="155"/>
      <c r="AB41" s="155"/>
      <c r="AC41" s="155"/>
      <c r="AD41" s="305" t="s">
        <v>320</v>
      </c>
      <c r="AE41" s="339"/>
      <c r="AF41" s="155"/>
      <c r="AG41" s="155"/>
      <c r="AH41" s="305">
        <v>26</v>
      </c>
      <c r="AI41" s="155"/>
      <c r="AJ41" s="155"/>
      <c r="AK41" s="305" t="s">
        <v>320</v>
      </c>
      <c r="AL41" s="155"/>
      <c r="AM41" s="305" t="s">
        <v>320</v>
      </c>
      <c r="AN41" s="305" t="s">
        <v>320</v>
      </c>
      <c r="AO41" s="155" t="s">
        <v>384</v>
      </c>
      <c r="AP41" s="156" t="s">
        <v>325</v>
      </c>
      <c r="AQ41" s="305" t="s">
        <v>848</v>
      </c>
    </row>
    <row r="42" spans="1:44" s="1" customFormat="1" ht="13" customHeight="1" x14ac:dyDescent="0.3">
      <c r="A42" s="155">
        <v>1488</v>
      </c>
      <c r="B42" s="306">
        <v>43307</v>
      </c>
      <c r="C42" s="154" t="s">
        <v>322</v>
      </c>
      <c r="D42" s="227" t="s">
        <v>382</v>
      </c>
      <c r="E42" s="155"/>
      <c r="F42" s="155" t="s">
        <v>367</v>
      </c>
      <c r="G42" s="153">
        <v>43281</v>
      </c>
      <c r="H42" s="156" t="s">
        <v>324</v>
      </c>
      <c r="I42" s="156" t="s">
        <v>325</v>
      </c>
      <c r="J42" s="156"/>
      <c r="K42" s="155" t="s">
        <v>397</v>
      </c>
      <c r="L42" s="227" t="s">
        <v>387</v>
      </c>
      <c r="M42" s="305">
        <v>104.27272727272727</v>
      </c>
      <c r="N42" s="305">
        <v>29.68181818181818</v>
      </c>
      <c r="O42" s="155"/>
      <c r="P42" s="155"/>
      <c r="Q42" s="339"/>
      <c r="R42" s="155"/>
      <c r="S42" s="339"/>
      <c r="T42" s="155"/>
      <c r="U42" s="305" t="s">
        <v>320</v>
      </c>
      <c r="V42" s="305" t="s">
        <v>320</v>
      </c>
      <c r="W42" s="305">
        <v>24.499999999999996</v>
      </c>
      <c r="X42" s="155"/>
      <c r="Y42" s="155"/>
      <c r="Z42" s="155"/>
      <c r="AA42" s="155"/>
      <c r="AB42" s="155"/>
      <c r="AC42" s="155"/>
      <c r="AD42" s="305" t="s">
        <v>320</v>
      </c>
      <c r="AE42" s="339"/>
      <c r="AF42" s="155"/>
      <c r="AG42" s="155"/>
      <c r="AH42" s="305">
        <v>25.072727272727271</v>
      </c>
      <c r="AI42" s="155"/>
      <c r="AJ42" s="155"/>
      <c r="AK42" s="305" t="s">
        <v>320</v>
      </c>
      <c r="AL42" s="155"/>
      <c r="AM42" s="305" t="s">
        <v>320</v>
      </c>
      <c r="AN42" s="305" t="s">
        <v>320</v>
      </c>
      <c r="AO42" s="155" t="s">
        <v>384</v>
      </c>
      <c r="AP42" s="156" t="s">
        <v>325</v>
      </c>
      <c r="AQ42" s="305" t="s">
        <v>851</v>
      </c>
    </row>
    <row r="43" spans="1:44" s="1" customFormat="1" ht="13" customHeight="1" x14ac:dyDescent="0.3">
      <c r="A43" s="155">
        <v>10528</v>
      </c>
      <c r="B43" s="306">
        <v>43307</v>
      </c>
      <c r="C43" s="154" t="s">
        <v>322</v>
      </c>
      <c r="D43" s="227" t="s">
        <v>382</v>
      </c>
      <c r="E43" s="155"/>
      <c r="F43" s="155" t="s">
        <v>367</v>
      </c>
      <c r="G43" s="153">
        <v>43281</v>
      </c>
      <c r="H43" s="156" t="s">
        <v>324</v>
      </c>
      <c r="I43" s="156" t="s">
        <v>325</v>
      </c>
      <c r="J43" s="156"/>
      <c r="K43" s="155" t="s">
        <v>348</v>
      </c>
      <c r="L43" s="227" t="s">
        <v>387</v>
      </c>
      <c r="M43" s="305">
        <v>100.78999999999999</v>
      </c>
      <c r="N43" s="305">
        <v>37.74</v>
      </c>
      <c r="O43" s="155"/>
      <c r="P43" s="155"/>
      <c r="Q43" s="339"/>
      <c r="R43" s="155"/>
      <c r="S43" s="339"/>
      <c r="T43" s="155"/>
      <c r="U43" s="305" t="s">
        <v>320</v>
      </c>
      <c r="V43" s="305" t="s">
        <v>320</v>
      </c>
      <c r="W43" s="305">
        <v>19.239999999999998</v>
      </c>
      <c r="X43" s="155"/>
      <c r="Y43" s="155"/>
      <c r="Z43" s="155"/>
      <c r="AA43" s="155"/>
      <c r="AB43" s="155"/>
      <c r="AC43" s="155"/>
      <c r="AD43" s="305" t="s">
        <v>320</v>
      </c>
      <c r="AE43" s="339"/>
      <c r="AF43" s="155"/>
      <c r="AG43" s="155"/>
      <c r="AH43" s="305">
        <v>30.319999999999993</v>
      </c>
      <c r="AI43" s="155"/>
      <c r="AJ43" s="155"/>
      <c r="AK43" s="305" t="s">
        <v>320</v>
      </c>
      <c r="AL43" s="155"/>
      <c r="AM43" s="305" t="s">
        <v>320</v>
      </c>
      <c r="AN43" s="305" t="s">
        <v>320</v>
      </c>
      <c r="AO43" s="155" t="s">
        <v>384</v>
      </c>
      <c r="AP43" s="156" t="s">
        <v>325</v>
      </c>
      <c r="AQ43" s="305" t="s">
        <v>856</v>
      </c>
    </row>
    <row r="44" spans="1:44" s="1" customFormat="1" ht="13" customHeight="1" x14ac:dyDescent="0.3">
      <c r="A44" s="155">
        <v>10327</v>
      </c>
      <c r="B44" s="306">
        <v>43307</v>
      </c>
      <c r="C44" s="154" t="s">
        <v>322</v>
      </c>
      <c r="D44" s="227" t="s">
        <v>382</v>
      </c>
      <c r="E44" s="155"/>
      <c r="F44" s="155" t="s">
        <v>367</v>
      </c>
      <c r="G44" s="153">
        <v>43284</v>
      </c>
      <c r="H44" s="156" t="s">
        <v>324</v>
      </c>
      <c r="I44" s="156" t="s">
        <v>325</v>
      </c>
      <c r="J44" s="156"/>
      <c r="K44" s="155" t="s">
        <v>406</v>
      </c>
      <c r="L44" s="227" t="s">
        <v>387</v>
      </c>
      <c r="M44" s="305">
        <v>101.51818181818182</v>
      </c>
      <c r="N44" s="305">
        <v>38.099999999999994</v>
      </c>
      <c r="O44" s="155"/>
      <c r="P44" s="155"/>
      <c r="Q44" s="339"/>
      <c r="R44" s="155"/>
      <c r="S44" s="340"/>
      <c r="T44" s="155"/>
      <c r="U44" s="305" t="s">
        <v>320</v>
      </c>
      <c r="V44" s="305" t="s">
        <v>320</v>
      </c>
      <c r="W44" s="305">
        <v>18.518181818181816</v>
      </c>
      <c r="X44" s="155"/>
      <c r="Y44" s="155"/>
      <c r="Z44" s="155"/>
      <c r="AA44" s="155"/>
      <c r="AB44" s="155"/>
      <c r="AC44" s="155"/>
      <c r="AD44" s="305" t="s">
        <v>320</v>
      </c>
      <c r="AE44" s="339"/>
      <c r="AF44" s="155"/>
      <c r="AG44" s="155"/>
      <c r="AH44" s="305">
        <v>32.763636363636358</v>
      </c>
      <c r="AI44" s="155"/>
      <c r="AJ44" s="155"/>
      <c r="AK44" s="305" t="s">
        <v>320</v>
      </c>
      <c r="AL44" s="155"/>
      <c r="AM44" s="305" t="s">
        <v>320</v>
      </c>
      <c r="AN44" s="305" t="s">
        <v>320</v>
      </c>
      <c r="AO44" s="155" t="s">
        <v>384</v>
      </c>
      <c r="AP44" s="156" t="s">
        <v>325</v>
      </c>
      <c r="AQ44" s="305" t="s">
        <v>859</v>
      </c>
    </row>
    <row r="45" spans="1:44" s="1" customFormat="1" ht="13" customHeight="1" x14ac:dyDescent="0.3">
      <c r="A45" s="155">
        <v>10682</v>
      </c>
      <c r="B45" s="306">
        <v>43307</v>
      </c>
      <c r="C45" s="154" t="s">
        <v>322</v>
      </c>
      <c r="D45" s="227" t="s">
        <v>382</v>
      </c>
      <c r="E45" s="155"/>
      <c r="F45" s="155" t="s">
        <v>367</v>
      </c>
      <c r="G45" s="153">
        <v>43281</v>
      </c>
      <c r="H45" s="156" t="s">
        <v>324</v>
      </c>
      <c r="I45" s="156" t="s">
        <v>325</v>
      </c>
      <c r="J45" s="156"/>
      <c r="K45" s="155" t="s">
        <v>408</v>
      </c>
      <c r="L45" s="227" t="s">
        <v>387</v>
      </c>
      <c r="M45" s="305">
        <v>131.21818181818182</v>
      </c>
      <c r="N45" s="305">
        <v>27.609090909090909</v>
      </c>
      <c r="O45" s="155"/>
      <c r="P45" s="155"/>
      <c r="Q45" s="339"/>
      <c r="R45" s="155"/>
      <c r="S45" s="339"/>
      <c r="T45" s="155"/>
      <c r="U45" s="305" t="s">
        <v>320</v>
      </c>
      <c r="V45" s="305" t="s">
        <v>320</v>
      </c>
      <c r="W45" s="305">
        <v>22.854545454545452</v>
      </c>
      <c r="X45" s="155"/>
      <c r="Y45" s="155"/>
      <c r="Z45" s="155"/>
      <c r="AA45" s="155"/>
      <c r="AB45" s="155"/>
      <c r="AC45" s="155"/>
      <c r="AD45" s="305" t="s">
        <v>320</v>
      </c>
      <c r="AE45" s="339"/>
      <c r="AF45" s="155"/>
      <c r="AG45" s="155"/>
      <c r="AH45" s="305">
        <v>24.054545454545455</v>
      </c>
      <c r="AI45" s="155"/>
      <c r="AJ45" s="155"/>
      <c r="AK45" s="305" t="s">
        <v>320</v>
      </c>
      <c r="AL45" s="155"/>
      <c r="AM45" s="305" t="s">
        <v>320</v>
      </c>
      <c r="AN45" s="305" t="s">
        <v>320</v>
      </c>
      <c r="AO45" s="155" t="s">
        <v>384</v>
      </c>
      <c r="AP45" s="156" t="s">
        <v>325</v>
      </c>
      <c r="AQ45" s="305" t="s">
        <v>862</v>
      </c>
    </row>
    <row r="46" spans="1:44" s="1" customFormat="1" ht="13" customHeight="1" x14ac:dyDescent="0.3">
      <c r="A46" s="155">
        <v>3604</v>
      </c>
      <c r="B46" s="306">
        <v>43307</v>
      </c>
      <c r="C46" s="154" t="s">
        <v>322</v>
      </c>
      <c r="D46" s="227" t="s">
        <v>382</v>
      </c>
      <c r="E46" s="155"/>
      <c r="F46" s="155" t="s">
        <v>367</v>
      </c>
      <c r="G46" s="153">
        <v>43281</v>
      </c>
      <c r="H46" s="156" t="s">
        <v>324</v>
      </c>
      <c r="I46" s="156" t="s">
        <v>325</v>
      </c>
      <c r="J46" s="156"/>
      <c r="K46" s="155" t="s">
        <v>412</v>
      </c>
      <c r="L46" s="227" t="s">
        <v>387</v>
      </c>
      <c r="M46" s="305">
        <v>92.499999999999986</v>
      </c>
      <c r="N46" s="305">
        <v>35</v>
      </c>
      <c r="O46" s="155"/>
      <c r="P46" s="155"/>
      <c r="Q46" s="339"/>
      <c r="R46" s="155"/>
      <c r="S46" s="340"/>
      <c r="T46" s="155"/>
      <c r="U46" s="305" t="s">
        <v>320</v>
      </c>
      <c r="V46" s="305" t="s">
        <v>320</v>
      </c>
      <c r="W46" s="305">
        <v>23.472727272727273</v>
      </c>
      <c r="X46" s="155"/>
      <c r="Y46" s="155"/>
      <c r="Z46" s="155"/>
      <c r="AA46" s="155"/>
      <c r="AB46" s="155"/>
      <c r="AC46" s="155"/>
      <c r="AD46" s="305" t="s">
        <v>320</v>
      </c>
      <c r="AE46" s="339"/>
      <c r="AF46" s="155"/>
      <c r="AG46" s="155"/>
      <c r="AH46" s="305">
        <v>26.999999999999996</v>
      </c>
      <c r="AI46" s="155"/>
      <c r="AJ46" s="155"/>
      <c r="AK46" s="305" t="s">
        <v>320</v>
      </c>
      <c r="AL46" s="155"/>
      <c r="AM46" s="305" t="s">
        <v>320</v>
      </c>
      <c r="AN46" s="305" t="s">
        <v>320</v>
      </c>
      <c r="AO46" s="155" t="s">
        <v>384</v>
      </c>
      <c r="AP46" s="156" t="s">
        <v>325</v>
      </c>
      <c r="AQ46" s="305" t="s">
        <v>867</v>
      </c>
    </row>
    <row r="47" spans="1:44" s="1" customFormat="1" ht="13" customHeight="1" x14ac:dyDescent="0.3">
      <c r="A47" s="155">
        <v>10377</v>
      </c>
      <c r="B47" s="306">
        <v>43307</v>
      </c>
      <c r="C47" s="154" t="s">
        <v>322</v>
      </c>
      <c r="D47" s="227" t="s">
        <v>382</v>
      </c>
      <c r="E47" s="155"/>
      <c r="F47" s="155" t="s">
        <v>367</v>
      </c>
      <c r="G47" s="153">
        <v>43281</v>
      </c>
      <c r="H47" s="156" t="s">
        <v>310</v>
      </c>
      <c r="I47" s="156" t="s">
        <v>309</v>
      </c>
      <c r="J47" s="156"/>
      <c r="K47" s="155" t="s">
        <v>239</v>
      </c>
      <c r="L47" s="227" t="s">
        <v>387</v>
      </c>
      <c r="M47" s="305">
        <v>104.99999999999999</v>
      </c>
      <c r="N47" s="305">
        <v>30.7</v>
      </c>
      <c r="O47" s="155"/>
      <c r="P47" s="155"/>
      <c r="Q47" s="339"/>
      <c r="R47" s="155"/>
      <c r="S47" s="340"/>
      <c r="T47" s="155"/>
      <c r="U47" s="305" t="s">
        <v>320</v>
      </c>
      <c r="V47" s="305" t="s">
        <v>320</v>
      </c>
      <c r="W47" s="305">
        <v>21.4</v>
      </c>
      <c r="X47" s="155"/>
      <c r="Y47" s="155"/>
      <c r="Z47" s="155"/>
      <c r="AA47" s="155"/>
      <c r="AB47" s="155"/>
      <c r="AC47" s="155"/>
      <c r="AD47" s="305" t="s">
        <v>320</v>
      </c>
      <c r="AE47" s="339"/>
      <c r="AF47" s="155"/>
      <c r="AG47" s="155"/>
      <c r="AH47" s="305">
        <v>26.9</v>
      </c>
      <c r="AI47" s="155"/>
      <c r="AJ47" s="155"/>
      <c r="AK47" s="305" t="s">
        <v>320</v>
      </c>
      <c r="AL47" s="155"/>
      <c r="AM47" s="305" t="s">
        <v>320</v>
      </c>
      <c r="AN47" s="305" t="s">
        <v>320</v>
      </c>
      <c r="AO47" s="155" t="s">
        <v>384</v>
      </c>
      <c r="AP47" s="156" t="s">
        <v>325</v>
      </c>
      <c r="AQ47" s="305" t="s">
        <v>870</v>
      </c>
    </row>
    <row r="48" spans="1:44" s="1" customFormat="1" ht="13" customHeight="1" x14ac:dyDescent="0.3">
      <c r="A48" s="155"/>
      <c r="B48" s="306">
        <v>43307</v>
      </c>
      <c r="C48" s="154" t="s">
        <v>322</v>
      </c>
      <c r="D48" s="227" t="s">
        <v>382</v>
      </c>
      <c r="E48" s="155"/>
      <c r="F48" s="155" t="s">
        <v>367</v>
      </c>
      <c r="G48" s="153">
        <v>43281</v>
      </c>
      <c r="H48" s="156" t="s">
        <v>310</v>
      </c>
      <c r="I48" s="156" t="s">
        <v>309</v>
      </c>
      <c r="J48" s="156"/>
      <c r="K48" s="155" t="s">
        <v>501</v>
      </c>
      <c r="L48" s="227" t="s">
        <v>387</v>
      </c>
      <c r="M48" s="305">
        <v>109.99999999999999</v>
      </c>
      <c r="N48" s="305">
        <v>29.199999999999996</v>
      </c>
      <c r="O48" s="155"/>
      <c r="P48" s="155"/>
      <c r="Q48" s="339"/>
      <c r="R48" s="155"/>
      <c r="S48" s="340"/>
      <c r="T48" s="155"/>
      <c r="U48" s="305" t="s">
        <v>320</v>
      </c>
      <c r="V48" s="305" t="s">
        <v>320</v>
      </c>
      <c r="W48" s="305">
        <v>23.999999999999996</v>
      </c>
      <c r="X48" s="155"/>
      <c r="Y48" s="155"/>
      <c r="Z48" s="155"/>
      <c r="AA48" s="155"/>
      <c r="AB48" s="155"/>
      <c r="AC48" s="155"/>
      <c r="AD48" s="305" t="s">
        <v>320</v>
      </c>
      <c r="AE48" s="339"/>
      <c r="AF48" s="155"/>
      <c r="AG48" s="155"/>
      <c r="AH48" s="305">
        <v>25.299999999999997</v>
      </c>
      <c r="AI48" s="155"/>
      <c r="AJ48" s="155"/>
      <c r="AK48" s="305" t="s">
        <v>320</v>
      </c>
      <c r="AL48" s="155"/>
      <c r="AM48" s="305" t="s">
        <v>320</v>
      </c>
      <c r="AN48" s="305" t="s">
        <v>320</v>
      </c>
      <c r="AO48" s="155" t="s">
        <v>384</v>
      </c>
      <c r="AP48" s="156" t="s">
        <v>325</v>
      </c>
      <c r="AQ48" s="305" t="s">
        <v>874</v>
      </c>
    </row>
    <row r="49" spans="1:43" s="1" customFormat="1" ht="13" customHeight="1" x14ac:dyDescent="0.3">
      <c r="A49" s="155"/>
      <c r="B49" s="306">
        <v>43307</v>
      </c>
      <c r="C49" s="154" t="s">
        <v>322</v>
      </c>
      <c r="D49" s="227" t="s">
        <v>382</v>
      </c>
      <c r="E49" s="155"/>
      <c r="F49" s="155" t="s">
        <v>367</v>
      </c>
      <c r="G49" s="153">
        <v>43281</v>
      </c>
      <c r="H49" s="156" t="s">
        <v>310</v>
      </c>
      <c r="I49" s="156" t="s">
        <v>309</v>
      </c>
      <c r="J49" s="156"/>
      <c r="K49" s="155" t="s">
        <v>503</v>
      </c>
      <c r="L49" s="227" t="s">
        <v>387</v>
      </c>
      <c r="M49" s="305">
        <v>92.899999999999991</v>
      </c>
      <c r="N49" s="305">
        <v>31.890909090909087</v>
      </c>
      <c r="O49" s="155"/>
      <c r="P49" s="155"/>
      <c r="Q49" s="339"/>
      <c r="R49" s="155"/>
      <c r="S49" s="340"/>
      <c r="T49" s="155"/>
      <c r="U49" s="305" t="s">
        <v>320</v>
      </c>
      <c r="V49" s="305" t="s">
        <v>320</v>
      </c>
      <c r="W49" s="305">
        <v>26.072727272727271</v>
      </c>
      <c r="X49" s="155"/>
      <c r="Y49" s="155"/>
      <c r="Z49" s="155"/>
      <c r="AA49" s="155"/>
      <c r="AB49" s="155"/>
      <c r="AC49" s="155"/>
      <c r="AD49" s="305" t="s">
        <v>320</v>
      </c>
      <c r="AE49" s="339"/>
      <c r="AF49" s="155"/>
      <c r="AG49" s="155"/>
      <c r="AH49" s="305">
        <v>26.799999999999997</v>
      </c>
      <c r="AI49" s="155"/>
      <c r="AJ49" s="155"/>
      <c r="AK49" s="305" t="s">
        <v>320</v>
      </c>
      <c r="AL49" s="155"/>
      <c r="AM49" s="305" t="s">
        <v>320</v>
      </c>
      <c r="AN49" s="305" t="s">
        <v>320</v>
      </c>
      <c r="AO49" s="155" t="s">
        <v>384</v>
      </c>
      <c r="AP49" s="156" t="s">
        <v>325</v>
      </c>
      <c r="AQ49" s="305" t="s">
        <v>877</v>
      </c>
    </row>
  </sheetData>
  <sheetProtection algorithmName="SHA-512" hashValue="2hJCYtYgyKkgVw+s2DhMw+cufpVa9RKrv6mz++BGLBhiY1ckwu2nyLnNFDVfCk+wsAP+7JJpxCZsk+nxitMZUw==" saltValue="I+7zrmOU+wcL4t0leyPbPw==" spinCount="100000" sheet="1" objects="1" scenarios="1"/>
  <hyperlinks>
    <hyperlink ref="AQ5" r:id="rId1" xr:uid="{29012574-5D5A-E54B-8144-CE2EFDB7DFF5}"/>
  </hyperlink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A7461-B236-594E-8D27-86746F4A227D}">
  <sheetPr codeName="Sheet55"/>
  <dimension ref="A1:AY64"/>
  <sheetViews>
    <sheetView topLeftCell="J1" zoomScale="107" zoomScaleNormal="120" workbookViewId="0">
      <selection activeCell="A63" activeCellId="2" sqref="A57:XFD57 A59:XFD59 A63:XFD63"/>
    </sheetView>
  </sheetViews>
  <sheetFormatPr defaultColWidth="11" defaultRowHeight="13.5" x14ac:dyDescent="0.3"/>
  <cols>
    <col min="11" max="11" width="18" bestFit="1" customWidth="1"/>
    <col min="12" max="12" width="18.15234375" customWidth="1"/>
    <col min="13" max="13" width="7.69140625" bestFit="1" customWidth="1"/>
    <col min="23" max="23" width="12.69140625" bestFit="1" customWidth="1"/>
    <col min="41" max="41" width="13.69140625" customWidth="1"/>
  </cols>
  <sheetData>
    <row r="1" spans="1:45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  <c r="AS1" s="277" t="s">
        <v>474</v>
      </c>
    </row>
    <row r="2" spans="1:45" ht="13" customHeight="1" x14ac:dyDescent="0.35">
      <c r="A2" s="241">
        <v>10426</v>
      </c>
      <c r="B2" s="306">
        <v>42946</v>
      </c>
      <c r="C2" s="243" t="s">
        <v>322</v>
      </c>
      <c r="D2" s="244" t="s">
        <v>190</v>
      </c>
      <c r="E2" s="241"/>
      <c r="F2" s="241" t="s">
        <v>323</v>
      </c>
      <c r="G2" s="247">
        <v>42928</v>
      </c>
      <c r="H2" s="245" t="s">
        <v>324</v>
      </c>
      <c r="I2" s="245" t="s">
        <v>325</v>
      </c>
      <c r="J2" s="245"/>
      <c r="K2" s="241" t="s">
        <v>326</v>
      </c>
      <c r="L2" s="224" t="s">
        <v>387</v>
      </c>
      <c r="M2" s="246">
        <v>155.91818181818181</v>
      </c>
      <c r="N2" s="246">
        <v>25.309090909090909</v>
      </c>
      <c r="O2" s="241"/>
      <c r="P2" s="241"/>
      <c r="Q2" s="269"/>
      <c r="R2" s="241"/>
      <c r="S2" s="270"/>
      <c r="T2" s="241"/>
      <c r="U2" s="246"/>
      <c r="V2" s="246"/>
      <c r="W2" s="271"/>
      <c r="X2" s="241"/>
      <c r="Y2" s="241"/>
      <c r="Z2" s="241"/>
      <c r="AA2" s="241"/>
      <c r="AB2" s="241"/>
      <c r="AC2" s="241"/>
      <c r="AD2" s="246"/>
      <c r="AE2" s="271"/>
      <c r="AF2" s="241"/>
      <c r="AG2" s="241"/>
      <c r="AH2" s="271"/>
      <c r="AI2" s="241"/>
      <c r="AJ2" s="241"/>
      <c r="AK2" s="246"/>
      <c r="AL2" s="246"/>
      <c r="AM2" s="246"/>
      <c r="AN2" s="246"/>
      <c r="AO2" s="241" t="s">
        <v>327</v>
      </c>
      <c r="AP2" s="272" t="s">
        <v>309</v>
      </c>
      <c r="AQ2" s="246"/>
      <c r="AR2" s="246"/>
      <c r="AS2" s="246" t="s">
        <v>392</v>
      </c>
    </row>
    <row r="3" spans="1:45" ht="13" customHeight="1" x14ac:dyDescent="0.35">
      <c r="A3" s="241">
        <v>10505</v>
      </c>
      <c r="B3" s="306">
        <v>42946</v>
      </c>
      <c r="C3" s="243" t="s">
        <v>322</v>
      </c>
      <c r="D3" s="244" t="s">
        <v>190</v>
      </c>
      <c r="E3" s="241"/>
      <c r="F3" s="241" t="s">
        <v>323</v>
      </c>
      <c r="G3" s="247">
        <v>42916</v>
      </c>
      <c r="H3" s="245" t="s">
        <v>324</v>
      </c>
      <c r="I3" s="245" t="s">
        <v>325</v>
      </c>
      <c r="J3" s="245"/>
      <c r="K3" s="241" t="s">
        <v>328</v>
      </c>
      <c r="L3" s="224" t="s">
        <v>387</v>
      </c>
      <c r="M3" s="246">
        <v>146.71818181818179</v>
      </c>
      <c r="N3" s="246">
        <v>26.018181818181816</v>
      </c>
      <c r="O3" s="241"/>
      <c r="P3" s="241"/>
      <c r="Q3" s="269"/>
      <c r="R3" s="241"/>
      <c r="S3" s="270"/>
      <c r="T3" s="241"/>
      <c r="U3" s="246"/>
      <c r="V3" s="246"/>
      <c r="W3" s="271"/>
      <c r="X3" s="241"/>
      <c r="Y3" s="241"/>
      <c r="Z3" s="241"/>
      <c r="AA3" s="241"/>
      <c r="AB3" s="241"/>
      <c r="AC3" s="241"/>
      <c r="AD3" s="246"/>
      <c r="AE3" s="271"/>
      <c r="AF3" s="241"/>
      <c r="AG3" s="241"/>
      <c r="AH3" s="271"/>
      <c r="AI3" s="241"/>
      <c r="AJ3" s="241"/>
      <c r="AK3" s="246"/>
      <c r="AL3" s="246"/>
      <c r="AM3" s="246"/>
      <c r="AN3" s="246"/>
      <c r="AO3" s="241" t="s">
        <v>327</v>
      </c>
      <c r="AP3" s="272" t="s">
        <v>309</v>
      </c>
      <c r="AQ3" s="246"/>
      <c r="AR3" s="246"/>
      <c r="AS3" s="246" t="s">
        <v>624</v>
      </c>
    </row>
    <row r="4" spans="1:45" ht="13" customHeight="1" x14ac:dyDescent="0.3">
      <c r="A4" s="241">
        <v>4658</v>
      </c>
      <c r="B4" s="306">
        <v>42946</v>
      </c>
      <c r="C4" s="243" t="s">
        <v>322</v>
      </c>
      <c r="D4" s="244" t="s">
        <v>190</v>
      </c>
      <c r="E4" s="241"/>
      <c r="F4" s="241" t="s">
        <v>323</v>
      </c>
      <c r="G4" s="248">
        <v>42916</v>
      </c>
      <c r="H4" s="245" t="s">
        <v>324</v>
      </c>
      <c r="I4" s="245" t="s">
        <v>325</v>
      </c>
      <c r="J4" s="245"/>
      <c r="K4" s="241" t="s">
        <v>331</v>
      </c>
      <c r="L4" s="224" t="s">
        <v>387</v>
      </c>
      <c r="M4" s="246">
        <v>119.99999999999999</v>
      </c>
      <c r="N4" s="246">
        <v>28</v>
      </c>
      <c r="O4" s="241"/>
      <c r="P4" s="241"/>
      <c r="Q4" s="271"/>
      <c r="R4" s="241"/>
      <c r="S4" s="270"/>
      <c r="T4" s="241"/>
      <c r="U4" s="246"/>
      <c r="V4" s="246"/>
      <c r="W4" s="271"/>
      <c r="X4" s="241"/>
      <c r="Y4" s="241"/>
      <c r="Z4" s="241"/>
      <c r="AA4" s="241"/>
      <c r="AB4" s="241"/>
      <c r="AC4" s="241"/>
      <c r="AD4" s="246"/>
      <c r="AE4" s="271"/>
      <c r="AF4" s="241"/>
      <c r="AG4" s="241"/>
      <c r="AH4" s="271"/>
      <c r="AI4" s="241"/>
      <c r="AJ4" s="241"/>
      <c r="AK4" s="246"/>
      <c r="AL4" s="246"/>
      <c r="AM4" s="246"/>
      <c r="AN4" s="246"/>
      <c r="AO4" s="241" t="s">
        <v>327</v>
      </c>
      <c r="AP4" s="272" t="s">
        <v>309</v>
      </c>
      <c r="AQ4" s="246"/>
      <c r="AR4" s="246"/>
      <c r="AS4" s="246" t="s">
        <v>676</v>
      </c>
    </row>
    <row r="5" spans="1:45" ht="13" customHeight="1" x14ac:dyDescent="0.3">
      <c r="A5" s="241">
        <v>1489</v>
      </c>
      <c r="B5" s="306">
        <v>42946</v>
      </c>
      <c r="C5" s="243" t="s">
        <v>322</v>
      </c>
      <c r="D5" s="244" t="s">
        <v>190</v>
      </c>
      <c r="E5" s="241"/>
      <c r="F5" s="241" t="s">
        <v>323</v>
      </c>
      <c r="G5" s="248">
        <v>42916</v>
      </c>
      <c r="H5" s="245" t="s">
        <v>324</v>
      </c>
      <c r="I5" s="245" t="s">
        <v>325</v>
      </c>
      <c r="J5" s="245"/>
      <c r="K5" s="241" t="s">
        <v>397</v>
      </c>
      <c r="L5" s="224" t="s">
        <v>387</v>
      </c>
      <c r="M5" s="246">
        <v>170</v>
      </c>
      <c r="N5" s="246">
        <v>23.5</v>
      </c>
      <c r="O5" s="241"/>
      <c r="P5" s="241"/>
      <c r="Q5" s="271"/>
      <c r="R5" s="241"/>
      <c r="S5" s="270"/>
      <c r="T5" s="241"/>
      <c r="U5" s="246"/>
      <c r="V5" s="246"/>
      <c r="W5" s="271"/>
      <c r="X5" s="241"/>
      <c r="Y5" s="241"/>
      <c r="Z5" s="241"/>
      <c r="AA5" s="241"/>
      <c r="AB5" s="241"/>
      <c r="AC5" s="241"/>
      <c r="AD5" s="246"/>
      <c r="AE5" s="271"/>
      <c r="AF5" s="241"/>
      <c r="AG5" s="241"/>
      <c r="AH5" s="271"/>
      <c r="AI5" s="241"/>
      <c r="AJ5" s="241"/>
      <c r="AK5" s="246"/>
      <c r="AL5" s="246"/>
      <c r="AM5" s="246"/>
      <c r="AN5" s="246"/>
      <c r="AO5" s="241" t="s">
        <v>327</v>
      </c>
      <c r="AP5" s="272" t="s">
        <v>309</v>
      </c>
      <c r="AQ5" s="246"/>
      <c r="AR5" s="246"/>
      <c r="AS5" s="246" t="s">
        <v>635</v>
      </c>
    </row>
    <row r="6" spans="1:45" ht="13" customHeight="1" x14ac:dyDescent="0.3">
      <c r="A6" s="241">
        <v>10274</v>
      </c>
      <c r="B6" s="306">
        <v>42946</v>
      </c>
      <c r="C6" s="243" t="s">
        <v>322</v>
      </c>
      <c r="D6" s="244" t="s">
        <v>190</v>
      </c>
      <c r="E6" s="241"/>
      <c r="F6" s="241" t="s">
        <v>323</v>
      </c>
      <c r="G6" s="248">
        <v>42916</v>
      </c>
      <c r="H6" s="245" t="s">
        <v>324</v>
      </c>
      <c r="I6" s="245" t="s">
        <v>325</v>
      </c>
      <c r="J6" s="245"/>
      <c r="K6" s="241" t="s">
        <v>340</v>
      </c>
      <c r="L6" s="224" t="s">
        <v>387</v>
      </c>
      <c r="M6" s="246">
        <v>131.99999999999997</v>
      </c>
      <c r="N6" s="246">
        <v>27.209090909090907</v>
      </c>
      <c r="O6" s="241"/>
      <c r="P6" s="241"/>
      <c r="Q6" s="271"/>
      <c r="R6" s="241"/>
      <c r="S6" s="270"/>
      <c r="T6" s="241"/>
      <c r="U6" s="246"/>
      <c r="V6" s="246"/>
      <c r="W6" s="271"/>
      <c r="X6" s="241"/>
      <c r="Y6" s="241"/>
      <c r="Z6" s="241"/>
      <c r="AA6" s="241"/>
      <c r="AB6" s="241"/>
      <c r="AC6" s="241"/>
      <c r="AD6" s="246"/>
      <c r="AE6" s="271"/>
      <c r="AF6" s="241"/>
      <c r="AG6" s="241"/>
      <c r="AH6" s="271"/>
      <c r="AI6" s="241"/>
      <c r="AJ6" s="241"/>
      <c r="AK6" s="246"/>
      <c r="AL6" s="246"/>
      <c r="AM6" s="246"/>
      <c r="AN6" s="246"/>
      <c r="AO6" s="241" t="s">
        <v>327</v>
      </c>
      <c r="AP6" s="272" t="s">
        <v>309</v>
      </c>
      <c r="AQ6" s="246"/>
      <c r="AR6" s="246"/>
      <c r="AS6" s="246" t="s">
        <v>400</v>
      </c>
    </row>
    <row r="7" spans="1:45" ht="13" customHeight="1" x14ac:dyDescent="0.3">
      <c r="A7" s="241">
        <v>5660</v>
      </c>
      <c r="B7" s="306">
        <v>42946</v>
      </c>
      <c r="C7" s="243" t="s">
        <v>322</v>
      </c>
      <c r="D7" s="244" t="s">
        <v>190</v>
      </c>
      <c r="E7" s="241"/>
      <c r="F7" s="241" t="s">
        <v>323</v>
      </c>
      <c r="G7" s="248">
        <v>42916</v>
      </c>
      <c r="H7" s="245" t="s">
        <v>324</v>
      </c>
      <c r="I7" s="245" t="s">
        <v>325</v>
      </c>
      <c r="J7" s="245"/>
      <c r="K7" s="241" t="s">
        <v>401</v>
      </c>
      <c r="L7" s="224" t="s">
        <v>387</v>
      </c>
      <c r="M7" s="246">
        <v>143.13636363636363</v>
      </c>
      <c r="N7" s="246">
        <v>26.318181818181817</v>
      </c>
      <c r="O7" s="241"/>
      <c r="P7" s="241"/>
      <c r="Q7" s="271"/>
      <c r="R7" s="241"/>
      <c r="S7" s="270"/>
      <c r="T7" s="241"/>
      <c r="U7" s="246"/>
      <c r="V7" s="246"/>
      <c r="W7" s="271"/>
      <c r="X7" s="241"/>
      <c r="Y7" s="241"/>
      <c r="Z7" s="241"/>
      <c r="AA7" s="241"/>
      <c r="AB7" s="241"/>
      <c r="AC7" s="241"/>
      <c r="AD7" s="246"/>
      <c r="AE7" s="271"/>
      <c r="AF7" s="241"/>
      <c r="AG7" s="241"/>
      <c r="AH7" s="271"/>
      <c r="AI7" s="241"/>
      <c r="AJ7" s="241"/>
      <c r="AK7" s="246"/>
      <c r="AL7" s="246"/>
      <c r="AM7" s="246"/>
      <c r="AN7" s="246"/>
      <c r="AO7" s="241" t="s">
        <v>327</v>
      </c>
      <c r="AP7" s="272" t="s">
        <v>309</v>
      </c>
      <c r="AQ7" s="246"/>
      <c r="AR7" s="246"/>
      <c r="AS7" s="246" t="s">
        <v>679</v>
      </c>
    </row>
    <row r="8" spans="1:45" ht="13" customHeight="1" x14ac:dyDescent="0.3">
      <c r="A8" s="241">
        <v>4379</v>
      </c>
      <c r="B8" s="306">
        <v>42946</v>
      </c>
      <c r="C8" s="243" t="s">
        <v>322</v>
      </c>
      <c r="D8" s="244" t="s">
        <v>190</v>
      </c>
      <c r="E8" s="241"/>
      <c r="F8" s="241" t="s">
        <v>323</v>
      </c>
      <c r="G8" s="248">
        <v>42916</v>
      </c>
      <c r="H8" s="245" t="s">
        <v>324</v>
      </c>
      <c r="I8" s="245" t="s">
        <v>325</v>
      </c>
      <c r="J8" s="245"/>
      <c r="K8" s="241" t="s">
        <v>403</v>
      </c>
      <c r="L8" s="224" t="s">
        <v>387</v>
      </c>
      <c r="M8" s="246">
        <v>107.62727272727273</v>
      </c>
      <c r="N8" s="246">
        <v>29.136363636363633</v>
      </c>
      <c r="O8" s="241"/>
      <c r="P8" s="241"/>
      <c r="Q8" s="271"/>
      <c r="R8" s="241"/>
      <c r="S8" s="270"/>
      <c r="T8" s="241"/>
      <c r="U8" s="246"/>
      <c r="V8" s="246"/>
      <c r="W8" s="271"/>
      <c r="X8" s="241"/>
      <c r="Y8" s="241"/>
      <c r="Z8" s="241"/>
      <c r="AA8" s="241"/>
      <c r="AB8" s="241"/>
      <c r="AC8" s="241"/>
      <c r="AD8" s="246"/>
      <c r="AE8" s="271"/>
      <c r="AF8" s="241"/>
      <c r="AG8" s="241"/>
      <c r="AH8" s="271"/>
      <c r="AI8" s="241"/>
      <c r="AJ8" s="241"/>
      <c r="AK8" s="246"/>
      <c r="AL8" s="246"/>
      <c r="AM8" s="246"/>
      <c r="AN8" s="246"/>
      <c r="AO8" s="241" t="s">
        <v>327</v>
      </c>
      <c r="AP8" s="272" t="s">
        <v>309</v>
      </c>
      <c r="AQ8" s="246"/>
      <c r="AR8" s="246"/>
      <c r="AS8" s="246" t="s">
        <v>637</v>
      </c>
    </row>
    <row r="9" spans="1:45" ht="13" customHeight="1" x14ac:dyDescent="0.3">
      <c r="A9" s="241">
        <v>10529</v>
      </c>
      <c r="B9" s="306">
        <v>42946</v>
      </c>
      <c r="C9" s="243" t="s">
        <v>322</v>
      </c>
      <c r="D9" s="244" t="s">
        <v>190</v>
      </c>
      <c r="E9" s="241"/>
      <c r="F9" s="241" t="s">
        <v>323</v>
      </c>
      <c r="G9" s="248">
        <v>42916</v>
      </c>
      <c r="H9" s="245" t="s">
        <v>324</v>
      </c>
      <c r="I9" s="245" t="s">
        <v>325</v>
      </c>
      <c r="J9" s="245"/>
      <c r="K9" s="241" t="s">
        <v>348</v>
      </c>
      <c r="L9" s="224" t="s">
        <v>387</v>
      </c>
      <c r="M9" s="246">
        <v>144.12</v>
      </c>
      <c r="N9" s="246">
        <v>26.249999999999996</v>
      </c>
      <c r="O9" s="241"/>
      <c r="P9" s="241"/>
      <c r="Q9" s="271"/>
      <c r="R9" s="241"/>
      <c r="S9" s="270"/>
      <c r="T9" s="241"/>
      <c r="U9" s="246"/>
      <c r="V9" s="246"/>
      <c r="W9" s="271"/>
      <c r="X9" s="241"/>
      <c r="Y9" s="241"/>
      <c r="Z9" s="241"/>
      <c r="AA9" s="241"/>
      <c r="AB9" s="241"/>
      <c r="AC9" s="241"/>
      <c r="AD9" s="246"/>
      <c r="AE9" s="271"/>
      <c r="AF9" s="241"/>
      <c r="AG9" s="241"/>
      <c r="AH9" s="271"/>
      <c r="AI9" s="241"/>
      <c r="AJ9" s="241"/>
      <c r="AK9" s="246"/>
      <c r="AL9" s="246"/>
      <c r="AM9" s="246"/>
      <c r="AN9" s="246"/>
      <c r="AO9" s="241" t="s">
        <v>327</v>
      </c>
      <c r="AP9" s="272" t="s">
        <v>309</v>
      </c>
      <c r="AQ9" s="246"/>
      <c r="AR9" s="246"/>
      <c r="AS9" s="246" t="s">
        <v>644</v>
      </c>
    </row>
    <row r="10" spans="1:45" ht="13" customHeight="1" x14ac:dyDescent="0.3">
      <c r="A10" s="241">
        <v>10345</v>
      </c>
      <c r="B10" s="306">
        <v>42946</v>
      </c>
      <c r="C10" s="243" t="s">
        <v>322</v>
      </c>
      <c r="D10" s="244" t="s">
        <v>190</v>
      </c>
      <c r="E10" s="241"/>
      <c r="F10" s="241" t="s">
        <v>323</v>
      </c>
      <c r="G10" s="248">
        <v>42916</v>
      </c>
      <c r="H10" s="245" t="s">
        <v>324</v>
      </c>
      <c r="I10" s="245" t="s">
        <v>325</v>
      </c>
      <c r="J10" s="245"/>
      <c r="K10" s="241" t="s">
        <v>406</v>
      </c>
      <c r="L10" s="224" t="s">
        <v>387</v>
      </c>
      <c r="M10" s="246">
        <v>155.91818181818181</v>
      </c>
      <c r="N10" s="246">
        <v>25.309090909090909</v>
      </c>
      <c r="O10" s="241"/>
      <c r="P10" s="241"/>
      <c r="Q10" s="271"/>
      <c r="R10" s="241"/>
      <c r="S10" s="270"/>
      <c r="T10" s="241"/>
      <c r="U10" s="246"/>
      <c r="V10" s="246"/>
      <c r="W10" s="271"/>
      <c r="X10" s="241"/>
      <c r="Y10" s="241"/>
      <c r="Z10" s="241"/>
      <c r="AA10" s="241"/>
      <c r="AB10" s="241"/>
      <c r="AC10" s="241"/>
      <c r="AD10" s="246"/>
      <c r="AE10" s="271"/>
      <c r="AF10" s="241"/>
      <c r="AG10" s="241"/>
      <c r="AH10" s="271"/>
      <c r="AI10" s="241"/>
      <c r="AJ10" s="241"/>
      <c r="AK10" s="246"/>
      <c r="AL10" s="246"/>
      <c r="AM10" s="246"/>
      <c r="AN10" s="246"/>
      <c r="AO10" s="241" t="s">
        <v>327</v>
      </c>
      <c r="AP10" s="272" t="s">
        <v>309</v>
      </c>
      <c r="AQ10" s="246"/>
      <c r="AR10" s="246"/>
      <c r="AS10" s="246" t="s">
        <v>647</v>
      </c>
    </row>
    <row r="11" spans="1:45" ht="13" customHeight="1" x14ac:dyDescent="0.3">
      <c r="A11" s="241">
        <v>10687</v>
      </c>
      <c r="B11" s="306">
        <v>42946</v>
      </c>
      <c r="C11" s="243" t="s">
        <v>322</v>
      </c>
      <c r="D11" s="244" t="s">
        <v>190</v>
      </c>
      <c r="E11" s="241"/>
      <c r="F11" s="241" t="s">
        <v>323</v>
      </c>
      <c r="G11" s="248">
        <v>42916</v>
      </c>
      <c r="H11" s="245" t="s">
        <v>324</v>
      </c>
      <c r="I11" s="245" t="s">
        <v>325</v>
      </c>
      <c r="J11" s="245"/>
      <c r="K11" s="241" t="s">
        <v>408</v>
      </c>
      <c r="L11" s="224" t="s">
        <v>387</v>
      </c>
      <c r="M11" s="246">
        <v>150</v>
      </c>
      <c r="N11" s="246">
        <v>25.5</v>
      </c>
      <c r="O11" s="241"/>
      <c r="P11" s="241"/>
      <c r="Q11" s="271"/>
      <c r="R11" s="241"/>
      <c r="S11" s="270"/>
      <c r="T11" s="241"/>
      <c r="U11" s="246"/>
      <c r="V11" s="246"/>
      <c r="W11" s="271"/>
      <c r="X11" s="241"/>
      <c r="Y11" s="241"/>
      <c r="Z11" s="241"/>
      <c r="AA11" s="241"/>
      <c r="AB11" s="241"/>
      <c r="AC11" s="241"/>
      <c r="AD11" s="246"/>
      <c r="AE11" s="271"/>
      <c r="AF11" s="241"/>
      <c r="AG11" s="241"/>
      <c r="AH11" s="271"/>
      <c r="AI11" s="241"/>
      <c r="AJ11" s="241"/>
      <c r="AK11" s="246"/>
      <c r="AL11" s="246"/>
      <c r="AM11" s="246"/>
      <c r="AN11" s="246"/>
      <c r="AO11" s="241" t="s">
        <v>327</v>
      </c>
      <c r="AP11" s="272" t="s">
        <v>309</v>
      </c>
      <c r="AQ11" s="246"/>
      <c r="AR11" s="246"/>
      <c r="AS11" s="246" t="s">
        <v>648</v>
      </c>
    </row>
    <row r="12" spans="1:45" ht="13" customHeight="1" x14ac:dyDescent="0.3">
      <c r="A12" s="241">
        <v>1409</v>
      </c>
      <c r="B12" s="306">
        <v>42946</v>
      </c>
      <c r="C12" s="243" t="s">
        <v>322</v>
      </c>
      <c r="D12" s="244" t="s">
        <v>190</v>
      </c>
      <c r="E12" s="241"/>
      <c r="F12" s="241" t="s">
        <v>323</v>
      </c>
      <c r="G12" s="248">
        <v>42916</v>
      </c>
      <c r="H12" s="245" t="s">
        <v>324</v>
      </c>
      <c r="I12" s="245" t="s">
        <v>325</v>
      </c>
      <c r="J12" s="245"/>
      <c r="K12" s="241" t="s">
        <v>410</v>
      </c>
      <c r="L12" s="224" t="s">
        <v>387</v>
      </c>
      <c r="M12" s="246">
        <v>142.41818181818181</v>
      </c>
      <c r="N12" s="246">
        <v>25.518181818181816</v>
      </c>
      <c r="O12" s="244"/>
      <c r="P12" s="241"/>
      <c r="Q12" s="271"/>
      <c r="R12" s="241"/>
      <c r="S12" s="270"/>
      <c r="T12" s="241"/>
      <c r="U12" s="246"/>
      <c r="V12" s="246"/>
      <c r="W12" s="271"/>
      <c r="X12" s="241"/>
      <c r="Y12" s="241"/>
      <c r="Z12" s="241"/>
      <c r="AA12" s="241"/>
      <c r="AB12" s="241"/>
      <c r="AC12" s="241"/>
      <c r="AD12" s="246"/>
      <c r="AE12" s="271"/>
      <c r="AF12" s="241"/>
      <c r="AG12" s="241"/>
      <c r="AH12" s="271"/>
      <c r="AI12" s="241"/>
      <c r="AJ12" s="241"/>
      <c r="AK12" s="246"/>
      <c r="AL12" s="246"/>
      <c r="AM12" s="246"/>
      <c r="AN12" s="246"/>
      <c r="AO12" s="241" t="s">
        <v>327</v>
      </c>
      <c r="AP12" s="272" t="s">
        <v>309</v>
      </c>
      <c r="AQ12" s="246"/>
      <c r="AR12" s="246"/>
      <c r="AS12" s="246" t="s">
        <v>651</v>
      </c>
    </row>
    <row r="13" spans="1:45" ht="13" customHeight="1" x14ac:dyDescent="0.3">
      <c r="A13" s="241">
        <v>3609</v>
      </c>
      <c r="B13" s="306">
        <v>42946</v>
      </c>
      <c r="C13" s="243" t="s">
        <v>322</v>
      </c>
      <c r="D13" s="244" t="s">
        <v>190</v>
      </c>
      <c r="E13" s="241"/>
      <c r="F13" s="241" t="s">
        <v>323</v>
      </c>
      <c r="G13" s="248">
        <v>42916</v>
      </c>
      <c r="H13" s="245" t="s">
        <v>324</v>
      </c>
      <c r="I13" s="245" t="s">
        <v>325</v>
      </c>
      <c r="J13" s="245"/>
      <c r="K13" s="241" t="s">
        <v>412</v>
      </c>
      <c r="L13" s="224" t="s">
        <v>387</v>
      </c>
      <c r="M13" s="246">
        <v>137.08181818181816</v>
      </c>
      <c r="N13" s="246">
        <v>26.809090909090905</v>
      </c>
      <c r="O13" s="244" t="s">
        <v>351</v>
      </c>
      <c r="P13" s="256">
        <v>1183</v>
      </c>
      <c r="Q13" s="246">
        <v>27.809090909090905</v>
      </c>
      <c r="R13" s="256">
        <v>1183</v>
      </c>
      <c r="S13" s="246">
        <v>27.809090909090905</v>
      </c>
      <c r="T13" s="241"/>
      <c r="U13" s="246"/>
      <c r="V13" s="246"/>
      <c r="W13" s="271"/>
      <c r="X13" s="241"/>
      <c r="Y13" s="241"/>
      <c r="Z13" s="241"/>
      <c r="AA13" s="241"/>
      <c r="AB13" s="241"/>
      <c r="AC13" s="241"/>
      <c r="AD13" s="246"/>
      <c r="AE13" s="271"/>
      <c r="AF13" s="241"/>
      <c r="AG13" s="241"/>
      <c r="AH13" s="271"/>
      <c r="AI13" s="241"/>
      <c r="AJ13" s="241"/>
      <c r="AK13" s="246"/>
      <c r="AL13" s="246"/>
      <c r="AM13" s="246"/>
      <c r="AN13" s="246"/>
      <c r="AO13" s="241" t="s">
        <v>327</v>
      </c>
      <c r="AP13" s="272" t="s">
        <v>309</v>
      </c>
      <c r="AQ13" s="246"/>
      <c r="AR13" s="246"/>
      <c r="AS13" s="246" t="s">
        <v>659</v>
      </c>
    </row>
    <row r="14" spans="1:45" ht="13" customHeight="1" x14ac:dyDescent="0.3">
      <c r="A14" s="241">
        <v>10380</v>
      </c>
      <c r="B14" s="306">
        <v>42946</v>
      </c>
      <c r="C14" s="243" t="s">
        <v>322</v>
      </c>
      <c r="D14" s="244" t="s">
        <v>190</v>
      </c>
      <c r="E14" s="241"/>
      <c r="F14" s="241" t="s">
        <v>323</v>
      </c>
      <c r="G14" s="248">
        <v>42916</v>
      </c>
      <c r="H14" s="245" t="s">
        <v>310</v>
      </c>
      <c r="I14" s="245" t="s">
        <v>309</v>
      </c>
      <c r="J14" s="245"/>
      <c r="K14" s="241" t="s">
        <v>239</v>
      </c>
      <c r="L14" s="224" t="s">
        <v>387</v>
      </c>
      <c r="M14" s="246">
        <v>166.99999999999997</v>
      </c>
      <c r="N14" s="246">
        <v>24.4</v>
      </c>
      <c r="O14" s="241" t="s">
        <v>351</v>
      </c>
      <c r="P14" s="241">
        <v>1350</v>
      </c>
      <c r="Q14" s="246">
        <v>28.299999999999997</v>
      </c>
      <c r="R14" s="241">
        <v>1350</v>
      </c>
      <c r="S14" s="246">
        <v>28.299999999999997</v>
      </c>
      <c r="T14" s="241"/>
      <c r="U14" s="246"/>
      <c r="V14" s="246"/>
      <c r="W14" s="271"/>
      <c r="X14" s="241"/>
      <c r="Y14" s="241"/>
      <c r="Z14" s="241"/>
      <c r="AA14" s="241"/>
      <c r="AB14" s="241"/>
      <c r="AC14" s="241"/>
      <c r="AD14" s="246"/>
      <c r="AE14" s="271"/>
      <c r="AF14" s="241"/>
      <c r="AG14" s="241"/>
      <c r="AH14" s="271"/>
      <c r="AI14" s="241"/>
      <c r="AJ14" s="241"/>
      <c r="AK14" s="246" t="s">
        <v>320</v>
      </c>
      <c r="AL14" s="246"/>
      <c r="AM14" s="246"/>
      <c r="AN14" s="246"/>
      <c r="AO14" s="241" t="s">
        <v>327</v>
      </c>
      <c r="AP14" s="272" t="s">
        <v>309</v>
      </c>
      <c r="AQ14" s="246"/>
      <c r="AR14" s="246"/>
      <c r="AS14" s="246" t="s">
        <v>668</v>
      </c>
    </row>
    <row r="15" spans="1:45" ht="13" customHeight="1" x14ac:dyDescent="0.3">
      <c r="A15" s="241">
        <v>9908</v>
      </c>
      <c r="B15" s="306">
        <v>42946</v>
      </c>
      <c r="C15" s="243" t="s">
        <v>322</v>
      </c>
      <c r="D15" s="244" t="s">
        <v>190</v>
      </c>
      <c r="E15" s="241"/>
      <c r="F15" s="241" t="s">
        <v>323</v>
      </c>
      <c r="G15" s="248">
        <v>42916</v>
      </c>
      <c r="H15" s="245" t="s">
        <v>324</v>
      </c>
      <c r="I15" s="245" t="s">
        <v>325</v>
      </c>
      <c r="J15" s="245"/>
      <c r="K15" s="244" t="s">
        <v>354</v>
      </c>
      <c r="L15" s="224" t="s">
        <v>387</v>
      </c>
      <c r="M15" s="246">
        <v>194.99999999999997</v>
      </c>
      <c r="N15" s="246">
        <v>22.018181818181816</v>
      </c>
      <c r="O15" s="241"/>
      <c r="P15" s="241"/>
      <c r="Q15" s="271"/>
      <c r="R15" s="241"/>
      <c r="S15" s="270"/>
      <c r="T15" s="241"/>
      <c r="U15" s="246"/>
      <c r="V15" s="246"/>
      <c r="W15" s="271"/>
      <c r="X15" s="241"/>
      <c r="Y15" s="241"/>
      <c r="Z15" s="241"/>
      <c r="AA15" s="241"/>
      <c r="AB15" s="241"/>
      <c r="AC15" s="241"/>
      <c r="AD15" s="246"/>
      <c r="AE15" s="271"/>
      <c r="AF15" s="241"/>
      <c r="AG15" s="241"/>
      <c r="AH15" s="271"/>
      <c r="AI15" s="241"/>
      <c r="AJ15" s="241"/>
      <c r="AK15" s="246" t="s">
        <v>320</v>
      </c>
      <c r="AL15" s="246"/>
      <c r="AM15" s="246"/>
      <c r="AN15" s="246"/>
      <c r="AO15" s="241" t="s">
        <v>327</v>
      </c>
      <c r="AP15" s="272" t="s">
        <v>309</v>
      </c>
      <c r="AQ15" s="246"/>
      <c r="AR15" s="246"/>
      <c r="AS15" s="246" t="s">
        <v>682</v>
      </c>
    </row>
    <row r="16" spans="1:45" ht="13" customHeight="1" x14ac:dyDescent="0.3">
      <c r="A16" s="241">
        <v>10034</v>
      </c>
      <c r="B16" s="306">
        <v>42946</v>
      </c>
      <c r="C16" s="243" t="s">
        <v>322</v>
      </c>
      <c r="D16" s="244" t="s">
        <v>190</v>
      </c>
      <c r="E16" s="241"/>
      <c r="F16" s="241" t="s">
        <v>323</v>
      </c>
      <c r="G16" s="248">
        <v>42916</v>
      </c>
      <c r="H16" s="249" t="s">
        <v>309</v>
      </c>
      <c r="I16" s="249" t="s">
        <v>355</v>
      </c>
      <c r="J16" s="245"/>
      <c r="K16" s="244" t="s">
        <v>417</v>
      </c>
      <c r="L16" s="224" t="s">
        <v>387</v>
      </c>
      <c r="M16" s="246">
        <v>150.23636363636362</v>
      </c>
      <c r="N16" s="246">
        <v>25.763636363636362</v>
      </c>
      <c r="O16" s="241"/>
      <c r="P16" s="241"/>
      <c r="Q16" s="271"/>
      <c r="R16" s="241"/>
      <c r="S16" s="270"/>
      <c r="T16" s="241"/>
      <c r="U16" s="246"/>
      <c r="V16" s="246"/>
      <c r="W16" s="271"/>
      <c r="X16" s="241"/>
      <c r="Y16" s="241"/>
      <c r="Z16" s="241"/>
      <c r="AA16" s="241"/>
      <c r="AB16" s="241"/>
      <c r="AC16" s="241"/>
      <c r="AD16" s="246"/>
      <c r="AE16" s="271"/>
      <c r="AF16" s="241"/>
      <c r="AG16" s="241"/>
      <c r="AH16" s="271"/>
      <c r="AI16" s="241"/>
      <c r="AJ16" s="241"/>
      <c r="AK16" s="246" t="s">
        <v>320</v>
      </c>
      <c r="AL16" s="246"/>
      <c r="AM16" s="246"/>
      <c r="AN16" s="246"/>
      <c r="AO16" s="241" t="s">
        <v>327</v>
      </c>
      <c r="AP16" s="272" t="s">
        <v>309</v>
      </c>
      <c r="AQ16" s="246"/>
      <c r="AR16" s="246"/>
      <c r="AS16" s="246" t="s">
        <v>407</v>
      </c>
    </row>
    <row r="17" spans="1:45" ht="13" customHeight="1" x14ac:dyDescent="0.3">
      <c r="A17" s="241">
        <v>5191</v>
      </c>
      <c r="B17" s="306">
        <v>42946</v>
      </c>
      <c r="C17" s="243" t="s">
        <v>322</v>
      </c>
      <c r="D17" s="244" t="s">
        <v>190</v>
      </c>
      <c r="E17" s="241"/>
      <c r="F17" s="241" t="s">
        <v>323</v>
      </c>
      <c r="G17" s="248">
        <v>42928</v>
      </c>
      <c r="H17" s="245" t="s">
        <v>324</v>
      </c>
      <c r="I17" s="245" t="s">
        <v>325</v>
      </c>
      <c r="J17" s="245"/>
      <c r="K17" s="241" t="s">
        <v>358</v>
      </c>
      <c r="L17" s="224" t="s">
        <v>387</v>
      </c>
      <c r="M17" s="246">
        <v>156.36363636363635</v>
      </c>
      <c r="N17" s="246">
        <v>23.554545454545451</v>
      </c>
      <c r="O17" s="241"/>
      <c r="P17" s="241"/>
      <c r="Q17" s="271"/>
      <c r="R17" s="241"/>
      <c r="S17" s="270"/>
      <c r="T17" s="241"/>
      <c r="U17" s="246"/>
      <c r="V17" s="246"/>
      <c r="W17" s="271"/>
      <c r="X17" s="241"/>
      <c r="Y17" s="241"/>
      <c r="Z17" s="241"/>
      <c r="AA17" s="241"/>
      <c r="AB17" s="241"/>
      <c r="AC17" s="241"/>
      <c r="AD17" s="246"/>
      <c r="AE17" s="271"/>
      <c r="AF17" s="241"/>
      <c r="AG17" s="241"/>
      <c r="AH17" s="271"/>
      <c r="AI17" s="241"/>
      <c r="AJ17" s="241"/>
      <c r="AK17" s="246" t="s">
        <v>320</v>
      </c>
      <c r="AL17" s="246"/>
      <c r="AM17" s="246"/>
      <c r="AN17" s="246"/>
      <c r="AO17" s="241" t="s">
        <v>327</v>
      </c>
      <c r="AP17" s="272" t="s">
        <v>309</v>
      </c>
      <c r="AQ17" s="246"/>
      <c r="AR17" s="246"/>
      <c r="AS17" s="246" t="s">
        <v>407</v>
      </c>
    </row>
    <row r="18" spans="1:45" x14ac:dyDescent="0.3">
      <c r="A18" s="241"/>
      <c r="B18" s="306">
        <v>42946</v>
      </c>
      <c r="C18" s="243" t="s">
        <v>322</v>
      </c>
      <c r="D18" s="244" t="s">
        <v>190</v>
      </c>
      <c r="E18" s="241"/>
      <c r="F18" s="241" t="s">
        <v>323</v>
      </c>
      <c r="G18" s="248">
        <v>42916</v>
      </c>
      <c r="H18" s="245" t="s">
        <v>310</v>
      </c>
      <c r="I18" s="245" t="s">
        <v>309</v>
      </c>
      <c r="J18" s="245"/>
      <c r="K18" s="241" t="s">
        <v>420</v>
      </c>
      <c r="L18" s="224" t="s">
        <v>387</v>
      </c>
      <c r="M18" s="246">
        <v>121.69999999999999</v>
      </c>
      <c r="N18" s="246">
        <v>27.963636363636361</v>
      </c>
      <c r="O18" s="241"/>
      <c r="P18" s="241"/>
      <c r="Q18" s="271"/>
      <c r="R18" s="241"/>
      <c r="S18" s="270"/>
      <c r="T18" s="241"/>
      <c r="U18" s="246"/>
      <c r="V18" s="246"/>
      <c r="W18" s="271"/>
      <c r="X18" s="241"/>
      <c r="Y18" s="241"/>
      <c r="Z18" s="241"/>
      <c r="AA18" s="241"/>
      <c r="AB18" s="241"/>
      <c r="AC18" s="241"/>
      <c r="AD18" s="246"/>
      <c r="AE18" s="271"/>
      <c r="AF18" s="241"/>
      <c r="AG18" s="241"/>
      <c r="AH18" s="271"/>
      <c r="AI18" s="241"/>
      <c r="AJ18" s="241"/>
      <c r="AK18" s="246"/>
      <c r="AL18" s="246"/>
      <c r="AM18" s="246"/>
      <c r="AN18" s="246"/>
      <c r="AO18" s="241" t="s">
        <v>327</v>
      </c>
      <c r="AP18" s="272" t="s">
        <v>309</v>
      </c>
      <c r="AQ18" s="246"/>
      <c r="AR18" s="246"/>
      <c r="AS18" s="246" t="s">
        <v>686</v>
      </c>
    </row>
    <row r="19" spans="1:45" x14ac:dyDescent="0.3">
      <c r="A19" s="241"/>
      <c r="B19" s="306">
        <v>42946</v>
      </c>
      <c r="C19" s="243" t="s">
        <v>322</v>
      </c>
      <c r="D19" s="244" t="s">
        <v>190</v>
      </c>
      <c r="E19" s="241"/>
      <c r="F19" s="241" t="s">
        <v>323</v>
      </c>
      <c r="G19" s="248">
        <v>42916</v>
      </c>
      <c r="H19" s="245" t="s">
        <v>310</v>
      </c>
      <c r="I19" s="245" t="s">
        <v>309</v>
      </c>
      <c r="J19" s="245"/>
      <c r="K19" s="241" t="s">
        <v>422</v>
      </c>
      <c r="L19" s="224" t="s">
        <v>387</v>
      </c>
      <c r="M19" s="246">
        <v>136.77272727272725</v>
      </c>
      <c r="N19" s="246">
        <v>26.672727272727272</v>
      </c>
      <c r="O19" s="241"/>
      <c r="P19" s="241"/>
      <c r="Q19" s="271"/>
      <c r="R19" s="241"/>
      <c r="S19" s="270"/>
      <c r="T19" s="241"/>
      <c r="U19" s="246"/>
      <c r="V19" s="246"/>
      <c r="W19" s="271"/>
      <c r="X19" s="241"/>
      <c r="Y19" s="241"/>
      <c r="Z19" s="241"/>
      <c r="AA19" s="241"/>
      <c r="AB19" s="241"/>
      <c r="AC19" s="241"/>
      <c r="AD19" s="246"/>
      <c r="AE19" s="271"/>
      <c r="AF19" s="241"/>
      <c r="AG19" s="241"/>
      <c r="AH19" s="271"/>
      <c r="AI19" s="241"/>
      <c r="AJ19" s="241"/>
      <c r="AK19" s="246"/>
      <c r="AL19" s="246"/>
      <c r="AM19" s="246"/>
      <c r="AN19" s="246"/>
      <c r="AO19" s="241" t="s">
        <v>327</v>
      </c>
      <c r="AP19" s="272" t="s">
        <v>309</v>
      </c>
      <c r="AQ19" s="246"/>
      <c r="AR19" s="246"/>
      <c r="AS19" s="246" t="s">
        <v>689</v>
      </c>
    </row>
    <row r="20" spans="1:45" x14ac:dyDescent="0.3">
      <c r="A20" s="241"/>
      <c r="B20" s="306">
        <v>42946</v>
      </c>
      <c r="C20" s="243" t="s">
        <v>322</v>
      </c>
      <c r="D20" s="244" t="s">
        <v>190</v>
      </c>
      <c r="E20" s="241"/>
      <c r="F20" s="241" t="s">
        <v>323</v>
      </c>
      <c r="G20" s="248">
        <v>42936</v>
      </c>
      <c r="H20" s="245" t="s">
        <v>309</v>
      </c>
      <c r="I20" s="245" t="s">
        <v>355</v>
      </c>
      <c r="J20" s="245"/>
      <c r="K20" s="241" t="s">
        <v>424</v>
      </c>
      <c r="L20" s="224" t="s">
        <v>387</v>
      </c>
      <c r="M20" s="246">
        <v>147.19999999999999</v>
      </c>
      <c r="N20" s="246">
        <v>26</v>
      </c>
      <c r="O20" s="241"/>
      <c r="P20" s="241"/>
      <c r="Q20" s="271"/>
      <c r="R20" s="241"/>
      <c r="S20" s="270"/>
      <c r="T20" s="241"/>
      <c r="U20" s="246"/>
      <c r="V20" s="246"/>
      <c r="W20" s="271"/>
      <c r="X20" s="241"/>
      <c r="Y20" s="241"/>
      <c r="Z20" s="241"/>
      <c r="AA20" s="241"/>
      <c r="AB20" s="241"/>
      <c r="AC20" s="241"/>
      <c r="AD20" s="246"/>
      <c r="AE20" s="271"/>
      <c r="AF20" s="241"/>
      <c r="AG20" s="241"/>
      <c r="AH20" s="271"/>
      <c r="AI20" s="241"/>
      <c r="AJ20" s="241"/>
      <c r="AK20" s="246"/>
      <c r="AL20" s="246"/>
      <c r="AM20" s="246"/>
      <c r="AN20" s="246"/>
      <c r="AO20" s="241" t="s">
        <v>327</v>
      </c>
      <c r="AP20" s="272" t="s">
        <v>309</v>
      </c>
      <c r="AQ20" s="246"/>
      <c r="AR20" s="246"/>
      <c r="AS20" s="246" t="s">
        <v>691</v>
      </c>
    </row>
    <row r="21" spans="1:45" x14ac:dyDescent="0.3">
      <c r="A21" s="241"/>
      <c r="B21" s="306">
        <v>42946</v>
      </c>
      <c r="C21" s="243" t="s">
        <v>322</v>
      </c>
      <c r="D21" s="244" t="s">
        <v>190</v>
      </c>
      <c r="E21" s="241"/>
      <c r="F21" s="241" t="s">
        <v>323</v>
      </c>
      <c r="G21" s="247">
        <v>42916</v>
      </c>
      <c r="H21" s="245" t="s">
        <v>309</v>
      </c>
      <c r="I21" s="245" t="s">
        <v>355</v>
      </c>
      <c r="J21" s="245"/>
      <c r="K21" s="241" t="s">
        <v>430</v>
      </c>
      <c r="L21" s="224" t="s">
        <v>387</v>
      </c>
      <c r="M21" s="246">
        <v>140</v>
      </c>
      <c r="N21" s="246">
        <v>24.499999999999996</v>
      </c>
      <c r="O21" s="241"/>
      <c r="P21" s="241"/>
      <c r="Q21" s="271"/>
      <c r="R21" s="241"/>
      <c r="S21" s="270"/>
      <c r="T21" s="241"/>
      <c r="U21" s="246"/>
      <c r="V21" s="246"/>
      <c r="W21" s="271"/>
      <c r="X21" s="241"/>
      <c r="Y21" s="241"/>
      <c r="Z21" s="241"/>
      <c r="AA21" s="241"/>
      <c r="AB21" s="241"/>
      <c r="AC21" s="241"/>
      <c r="AD21" s="246"/>
      <c r="AE21" s="271"/>
      <c r="AF21" s="241"/>
      <c r="AG21" s="241"/>
      <c r="AH21" s="271"/>
      <c r="AI21" s="241"/>
      <c r="AJ21" s="241"/>
      <c r="AK21" s="246"/>
      <c r="AL21" s="246"/>
      <c r="AM21" s="246"/>
      <c r="AN21" s="246"/>
      <c r="AO21" s="241" t="s">
        <v>327</v>
      </c>
      <c r="AP21" s="272" t="s">
        <v>309</v>
      </c>
      <c r="AQ21" s="246"/>
      <c r="AR21" s="246"/>
      <c r="AS21" s="246" t="s">
        <v>694</v>
      </c>
    </row>
    <row r="22" spans="1:45" x14ac:dyDescent="0.3">
      <c r="A22" s="241"/>
      <c r="B22" s="306">
        <v>42946</v>
      </c>
      <c r="C22" s="243" t="s">
        <v>322</v>
      </c>
      <c r="D22" s="244" t="s">
        <v>190</v>
      </c>
      <c r="E22" s="241"/>
      <c r="F22" s="241" t="s">
        <v>323</v>
      </c>
      <c r="G22" s="247">
        <v>42915</v>
      </c>
      <c r="H22" s="245" t="s">
        <v>310</v>
      </c>
      <c r="I22" s="245" t="s">
        <v>309</v>
      </c>
      <c r="J22" s="245"/>
      <c r="K22" s="244" t="s">
        <v>695</v>
      </c>
      <c r="L22" s="224" t="s">
        <v>387</v>
      </c>
      <c r="M22" s="246">
        <v>161.99999999999997</v>
      </c>
      <c r="N22" s="246">
        <v>24.8</v>
      </c>
      <c r="O22" s="310" t="s">
        <v>351</v>
      </c>
      <c r="P22" s="311">
        <v>2130</v>
      </c>
      <c r="Q22" s="246">
        <v>26</v>
      </c>
      <c r="R22" s="311">
        <v>2130</v>
      </c>
      <c r="S22" s="246">
        <v>26</v>
      </c>
      <c r="T22" s="241"/>
      <c r="U22" s="246"/>
      <c r="V22" s="246"/>
      <c r="W22" s="271"/>
      <c r="X22" s="241"/>
      <c r="Y22" s="241"/>
      <c r="Z22" s="241"/>
      <c r="AA22" s="241"/>
      <c r="AB22" s="241"/>
      <c r="AC22" s="241"/>
      <c r="AD22" s="246"/>
      <c r="AE22" s="271"/>
      <c r="AF22" s="241"/>
      <c r="AG22" s="241"/>
      <c r="AH22" s="271"/>
      <c r="AI22" s="241"/>
      <c r="AJ22" s="241"/>
      <c r="AK22" s="246"/>
      <c r="AL22" s="246"/>
      <c r="AM22" s="246"/>
      <c r="AN22" s="246"/>
      <c r="AO22" s="241" t="s">
        <v>327</v>
      </c>
      <c r="AP22" s="272" t="s">
        <v>309</v>
      </c>
      <c r="AQ22" s="246"/>
      <c r="AR22" s="246"/>
      <c r="AS22" s="246" t="s">
        <v>696</v>
      </c>
    </row>
    <row r="23" spans="1:45" x14ac:dyDescent="0.3">
      <c r="A23" s="241"/>
      <c r="B23" s="306">
        <v>42946</v>
      </c>
      <c r="C23" s="243" t="s">
        <v>322</v>
      </c>
      <c r="D23" s="244" t="s">
        <v>190</v>
      </c>
      <c r="E23" s="241"/>
      <c r="F23" s="241" t="s">
        <v>323</v>
      </c>
      <c r="G23" s="247">
        <v>43085</v>
      </c>
      <c r="H23" s="245" t="s">
        <v>310</v>
      </c>
      <c r="I23" s="245" t="s">
        <v>309</v>
      </c>
      <c r="J23" s="245"/>
      <c r="K23" s="244" t="s">
        <v>698</v>
      </c>
      <c r="L23" s="224" t="s">
        <v>387</v>
      </c>
      <c r="M23" s="246">
        <v>140</v>
      </c>
      <c r="N23" s="246">
        <v>21.118181818181817</v>
      </c>
      <c r="O23" s="244"/>
      <c r="P23" s="241"/>
      <c r="Q23" s="271"/>
      <c r="R23" s="241"/>
      <c r="S23" s="270"/>
      <c r="T23" s="241"/>
      <c r="U23" s="246"/>
      <c r="V23" s="246"/>
      <c r="W23" s="271"/>
      <c r="X23" s="241"/>
      <c r="Y23" s="241"/>
      <c r="Z23" s="241"/>
      <c r="AA23" s="241"/>
      <c r="AB23" s="241"/>
      <c r="AC23" s="241"/>
      <c r="AD23" s="246"/>
      <c r="AE23" s="271"/>
      <c r="AF23" s="241"/>
      <c r="AG23" s="241"/>
      <c r="AH23" s="271"/>
      <c r="AI23" s="241"/>
      <c r="AJ23" s="241"/>
      <c r="AK23" s="246"/>
      <c r="AL23" s="246"/>
      <c r="AM23" s="246"/>
      <c r="AN23" s="246"/>
      <c r="AO23" s="241" t="s">
        <v>327</v>
      </c>
      <c r="AP23" s="272" t="s">
        <v>309</v>
      </c>
      <c r="AQ23" s="246"/>
      <c r="AR23" s="246"/>
      <c r="AS23" s="246" t="s">
        <v>699</v>
      </c>
    </row>
    <row r="24" spans="1:45" x14ac:dyDescent="0.3">
      <c r="A24" s="241"/>
      <c r="B24" s="306">
        <v>42946</v>
      </c>
      <c r="C24" s="243" t="s">
        <v>322</v>
      </c>
      <c r="D24" s="244" t="s">
        <v>190</v>
      </c>
      <c r="E24" s="241"/>
      <c r="F24" s="241" t="s">
        <v>323</v>
      </c>
      <c r="G24" s="247">
        <v>42916</v>
      </c>
      <c r="H24" s="245" t="s">
        <v>310</v>
      </c>
      <c r="I24" s="245" t="s">
        <v>309</v>
      </c>
      <c r="J24" s="245"/>
      <c r="K24" s="244" t="s">
        <v>503</v>
      </c>
      <c r="L24" s="224" t="s">
        <v>387</v>
      </c>
      <c r="M24" s="246">
        <v>134.49999999999997</v>
      </c>
      <c r="N24" s="246">
        <v>26.999999999999996</v>
      </c>
      <c r="O24" s="244"/>
      <c r="P24" s="241"/>
      <c r="Q24" s="271"/>
      <c r="R24" s="241"/>
      <c r="S24" s="270"/>
      <c r="T24" s="241"/>
      <c r="U24" s="246"/>
      <c r="V24" s="246"/>
      <c r="W24" s="271"/>
      <c r="X24" s="241"/>
      <c r="Y24" s="241"/>
      <c r="Z24" s="241"/>
      <c r="AA24" s="241"/>
      <c r="AB24" s="241"/>
      <c r="AC24" s="241"/>
      <c r="AD24" s="246"/>
      <c r="AE24" s="271"/>
      <c r="AF24" s="241"/>
      <c r="AG24" s="241"/>
      <c r="AH24" s="271"/>
      <c r="AI24" s="241"/>
      <c r="AJ24" s="241"/>
      <c r="AK24" s="246"/>
      <c r="AL24" s="246"/>
      <c r="AM24" s="246"/>
      <c r="AN24" s="246"/>
      <c r="AO24" s="241" t="s">
        <v>327</v>
      </c>
      <c r="AP24" s="272" t="s">
        <v>309</v>
      </c>
      <c r="AQ24" s="246"/>
      <c r="AR24" s="246"/>
      <c r="AS24" s="241" t="s">
        <v>701</v>
      </c>
    </row>
    <row r="25" spans="1:45" x14ac:dyDescent="0.3">
      <c r="A25" s="241"/>
      <c r="B25" s="306">
        <v>42946</v>
      </c>
      <c r="C25" s="243" t="s">
        <v>322</v>
      </c>
      <c r="D25" s="244" t="s">
        <v>190</v>
      </c>
      <c r="E25" s="241"/>
      <c r="F25" s="241" t="s">
        <v>323</v>
      </c>
      <c r="G25" s="247">
        <v>42916</v>
      </c>
      <c r="H25" s="245" t="s">
        <v>310</v>
      </c>
      <c r="I25" s="245" t="s">
        <v>309</v>
      </c>
      <c r="J25" s="245"/>
      <c r="K25" s="244" t="s">
        <v>704</v>
      </c>
      <c r="L25" s="224" t="s">
        <v>387</v>
      </c>
      <c r="M25" s="246">
        <v>143.89999999999998</v>
      </c>
      <c r="N25" s="246">
        <v>25.954545454545453</v>
      </c>
      <c r="O25" s="244"/>
      <c r="P25" s="241"/>
      <c r="Q25" s="271"/>
      <c r="R25" s="241"/>
      <c r="S25" s="270"/>
      <c r="T25" s="241"/>
      <c r="U25" s="246"/>
      <c r="V25" s="246"/>
      <c r="W25" s="271"/>
      <c r="X25" s="241"/>
      <c r="Y25" s="241"/>
      <c r="Z25" s="241"/>
      <c r="AA25" s="241"/>
      <c r="AB25" s="241"/>
      <c r="AC25" s="241"/>
      <c r="AD25" s="246"/>
      <c r="AE25" s="271"/>
      <c r="AF25" s="241"/>
      <c r="AG25" s="241"/>
      <c r="AH25" s="271"/>
      <c r="AI25" s="241"/>
      <c r="AJ25" s="241"/>
      <c r="AK25" s="246"/>
      <c r="AL25" s="246"/>
      <c r="AM25" s="246"/>
      <c r="AN25" s="246"/>
      <c r="AO25" s="241" t="s">
        <v>327</v>
      </c>
      <c r="AP25" s="272" t="s">
        <v>309</v>
      </c>
      <c r="AQ25" s="246"/>
      <c r="AR25" s="246"/>
      <c r="AS25" s="241" t="s">
        <v>705</v>
      </c>
    </row>
    <row r="26" spans="1:45" x14ac:dyDescent="0.3">
      <c r="A26" s="241">
        <v>10427</v>
      </c>
      <c r="B26" s="306">
        <v>42946</v>
      </c>
      <c r="C26" s="243" t="s">
        <v>322</v>
      </c>
      <c r="D26" s="244" t="s">
        <v>190</v>
      </c>
      <c r="E26" s="241"/>
      <c r="F26" s="241" t="s">
        <v>360</v>
      </c>
      <c r="G26" s="247">
        <v>42928</v>
      </c>
      <c r="H26" s="245" t="s">
        <v>324</v>
      </c>
      <c r="I26" s="245" t="s">
        <v>325</v>
      </c>
      <c r="J26" s="245"/>
      <c r="K26" s="241" t="s">
        <v>326</v>
      </c>
      <c r="L26" s="224" t="s">
        <v>387</v>
      </c>
      <c r="M26" s="246">
        <v>168.18181818181816</v>
      </c>
      <c r="N26" s="246">
        <v>25.309090909090909</v>
      </c>
      <c r="O26" s="241"/>
      <c r="P26" s="241"/>
      <c r="Q26" s="271"/>
      <c r="R26" s="241"/>
      <c r="S26" s="270"/>
      <c r="T26" s="241"/>
      <c r="U26" s="246"/>
      <c r="V26" s="246"/>
      <c r="W26" s="271"/>
      <c r="X26" s="241"/>
      <c r="Y26" s="241"/>
      <c r="Z26" s="241"/>
      <c r="AA26" s="241"/>
      <c r="AB26" s="241"/>
      <c r="AC26" s="241"/>
      <c r="AD26" s="246"/>
      <c r="AE26" s="246">
        <v>14.299999999999999</v>
      </c>
      <c r="AF26" s="241"/>
      <c r="AG26" s="241"/>
      <c r="AH26" s="271"/>
      <c r="AI26" s="241"/>
      <c r="AJ26" s="241"/>
      <c r="AK26" s="246" t="s">
        <v>320</v>
      </c>
      <c r="AL26" s="246"/>
      <c r="AM26" s="246"/>
      <c r="AN26" s="246"/>
      <c r="AO26" s="241" t="s">
        <v>361</v>
      </c>
      <c r="AP26" s="272" t="s">
        <v>309</v>
      </c>
      <c r="AQ26" s="246"/>
      <c r="AR26" s="246"/>
      <c r="AS26" s="246" t="s">
        <v>432</v>
      </c>
    </row>
    <row r="27" spans="1:45" x14ac:dyDescent="0.3">
      <c r="A27" s="241">
        <v>10506</v>
      </c>
      <c r="B27" s="306">
        <v>42946</v>
      </c>
      <c r="C27" s="243" t="s">
        <v>322</v>
      </c>
      <c r="D27" s="244" t="s">
        <v>190</v>
      </c>
      <c r="E27" s="241"/>
      <c r="F27" s="241" t="s">
        <v>360</v>
      </c>
      <c r="G27" s="247">
        <v>42916</v>
      </c>
      <c r="H27" s="245" t="s">
        <v>324</v>
      </c>
      <c r="I27" s="245" t="s">
        <v>325</v>
      </c>
      <c r="J27" s="245"/>
      <c r="K27" s="241" t="s">
        <v>328</v>
      </c>
      <c r="L27" s="224" t="s">
        <v>387</v>
      </c>
      <c r="M27" s="246">
        <v>158.71818181818182</v>
      </c>
      <c r="N27" s="246">
        <v>26.018181818181816</v>
      </c>
      <c r="O27" s="241"/>
      <c r="P27" s="241"/>
      <c r="Q27" s="271"/>
      <c r="R27" s="241"/>
      <c r="S27" s="270"/>
      <c r="T27" s="241"/>
      <c r="U27" s="246"/>
      <c r="V27" s="246"/>
      <c r="W27" s="271"/>
      <c r="X27" s="241"/>
      <c r="Y27" s="241"/>
      <c r="Z27" s="241"/>
      <c r="AA27" s="241"/>
      <c r="AB27" s="241"/>
      <c r="AC27" s="241"/>
      <c r="AD27" s="246"/>
      <c r="AE27" s="246">
        <v>15.799999999999997</v>
      </c>
      <c r="AF27" s="241"/>
      <c r="AG27" s="241"/>
      <c r="AH27" s="271"/>
      <c r="AI27" s="241"/>
      <c r="AJ27" s="241"/>
      <c r="AK27" s="246" t="s">
        <v>320</v>
      </c>
      <c r="AL27" s="246"/>
      <c r="AM27" s="246"/>
      <c r="AN27" s="246"/>
      <c r="AO27" s="241" t="s">
        <v>361</v>
      </c>
      <c r="AP27" s="272" t="s">
        <v>309</v>
      </c>
      <c r="AQ27" s="246"/>
      <c r="AR27" s="246"/>
      <c r="AS27" s="246" t="s">
        <v>625</v>
      </c>
    </row>
    <row r="28" spans="1:45" x14ac:dyDescent="0.3">
      <c r="A28" s="241">
        <v>4659</v>
      </c>
      <c r="B28" s="306">
        <v>42946</v>
      </c>
      <c r="C28" s="243" t="s">
        <v>322</v>
      </c>
      <c r="D28" s="244" t="s">
        <v>190</v>
      </c>
      <c r="E28" s="241"/>
      <c r="F28" s="241" t="s">
        <v>360</v>
      </c>
      <c r="G28" s="248">
        <v>42916</v>
      </c>
      <c r="H28" s="245" t="s">
        <v>324</v>
      </c>
      <c r="I28" s="245" t="s">
        <v>325</v>
      </c>
      <c r="J28" s="245"/>
      <c r="K28" s="241" t="s">
        <v>331</v>
      </c>
      <c r="L28" s="224" t="s">
        <v>387</v>
      </c>
      <c r="M28" s="246">
        <v>130</v>
      </c>
      <c r="N28" s="246">
        <v>28</v>
      </c>
      <c r="O28" s="241"/>
      <c r="P28" s="241"/>
      <c r="Q28" s="271"/>
      <c r="R28" s="241"/>
      <c r="S28" s="270"/>
      <c r="T28" s="241"/>
      <c r="U28" s="246"/>
      <c r="V28" s="246"/>
      <c r="W28" s="271"/>
      <c r="X28" s="241"/>
      <c r="Y28" s="241"/>
      <c r="Z28" s="241"/>
      <c r="AA28" s="241"/>
      <c r="AB28" s="241"/>
      <c r="AC28" s="241"/>
      <c r="AD28" s="246"/>
      <c r="AE28" s="246">
        <v>14.554545454545455</v>
      </c>
      <c r="AF28" s="241"/>
      <c r="AG28" s="241"/>
      <c r="AH28" s="271"/>
      <c r="AI28" s="241"/>
      <c r="AJ28" s="241"/>
      <c r="AK28" s="246" t="s">
        <v>320</v>
      </c>
      <c r="AL28" s="246"/>
      <c r="AM28" s="246"/>
      <c r="AN28" s="246"/>
      <c r="AO28" s="241" t="s">
        <v>361</v>
      </c>
      <c r="AP28" s="272" t="s">
        <v>309</v>
      </c>
      <c r="AQ28" s="246"/>
      <c r="AR28" s="246"/>
      <c r="AS28" s="246" t="s">
        <v>677</v>
      </c>
    </row>
    <row r="29" spans="1:45" x14ac:dyDescent="0.3">
      <c r="A29" s="241">
        <v>1490</v>
      </c>
      <c r="B29" s="306">
        <v>42946</v>
      </c>
      <c r="C29" s="243" t="s">
        <v>322</v>
      </c>
      <c r="D29" s="244" t="s">
        <v>190</v>
      </c>
      <c r="E29" s="241"/>
      <c r="F29" s="241" t="s">
        <v>360</v>
      </c>
      <c r="G29" s="248">
        <v>42916</v>
      </c>
      <c r="H29" s="245" t="s">
        <v>324</v>
      </c>
      <c r="I29" s="245" t="s">
        <v>325</v>
      </c>
      <c r="J29" s="245"/>
      <c r="K29" s="241" t="s">
        <v>397</v>
      </c>
      <c r="L29" s="224" t="s">
        <v>387</v>
      </c>
      <c r="M29" s="246">
        <v>175</v>
      </c>
      <c r="N29" s="246">
        <v>23.5</v>
      </c>
      <c r="O29" s="241"/>
      <c r="P29" s="241"/>
      <c r="Q29" s="271"/>
      <c r="R29" s="241"/>
      <c r="S29" s="270"/>
      <c r="T29" s="241"/>
      <c r="U29" s="246"/>
      <c r="V29" s="246"/>
      <c r="W29" s="271"/>
      <c r="X29" s="241"/>
      <c r="Y29" s="241"/>
      <c r="Z29" s="241"/>
      <c r="AA29" s="241"/>
      <c r="AB29" s="241"/>
      <c r="AC29" s="241"/>
      <c r="AD29" s="246"/>
      <c r="AE29" s="246">
        <v>14.499999999999998</v>
      </c>
      <c r="AF29" s="241"/>
      <c r="AG29" s="241"/>
      <c r="AH29" s="271"/>
      <c r="AI29" s="241"/>
      <c r="AJ29" s="241"/>
      <c r="AK29" s="246" t="s">
        <v>320</v>
      </c>
      <c r="AL29" s="246"/>
      <c r="AM29" s="246"/>
      <c r="AN29" s="246"/>
      <c r="AO29" s="241" t="s">
        <v>361</v>
      </c>
      <c r="AP29" s="272" t="s">
        <v>309</v>
      </c>
      <c r="AQ29" s="246"/>
      <c r="AR29" s="246"/>
      <c r="AS29" s="246" t="s">
        <v>634</v>
      </c>
    </row>
    <row r="30" spans="1:45" x14ac:dyDescent="0.3">
      <c r="A30" s="241">
        <v>10275</v>
      </c>
      <c r="B30" s="306">
        <v>42946</v>
      </c>
      <c r="C30" s="243" t="s">
        <v>322</v>
      </c>
      <c r="D30" s="244" t="s">
        <v>190</v>
      </c>
      <c r="E30" s="241"/>
      <c r="F30" s="241" t="s">
        <v>360</v>
      </c>
      <c r="G30" s="248">
        <v>42916</v>
      </c>
      <c r="H30" s="245" t="s">
        <v>324</v>
      </c>
      <c r="I30" s="245" t="s">
        <v>325</v>
      </c>
      <c r="J30" s="245"/>
      <c r="K30" s="241" t="s">
        <v>340</v>
      </c>
      <c r="L30" s="224" t="s">
        <v>387</v>
      </c>
      <c r="M30" s="246">
        <v>139</v>
      </c>
      <c r="N30" s="246">
        <v>27.209090909090907</v>
      </c>
      <c r="O30" s="241"/>
      <c r="P30" s="241"/>
      <c r="Q30" s="271"/>
      <c r="R30" s="241"/>
      <c r="S30" s="270"/>
      <c r="T30" s="241"/>
      <c r="U30" s="246"/>
      <c r="V30" s="246"/>
      <c r="W30" s="271"/>
      <c r="X30" s="241"/>
      <c r="Y30" s="241"/>
      <c r="Z30" s="241"/>
      <c r="AA30" s="241"/>
      <c r="AB30" s="241"/>
      <c r="AC30" s="241"/>
      <c r="AD30" s="246"/>
      <c r="AE30" s="246">
        <v>13.872727272727271</v>
      </c>
      <c r="AF30" s="241"/>
      <c r="AG30" s="241"/>
      <c r="AH30" s="271"/>
      <c r="AI30" s="241"/>
      <c r="AJ30" s="241"/>
      <c r="AK30" s="246" t="s">
        <v>320</v>
      </c>
      <c r="AL30" s="246"/>
      <c r="AM30" s="246"/>
      <c r="AN30" s="246"/>
      <c r="AO30" s="241" t="s">
        <v>361</v>
      </c>
      <c r="AP30" s="272" t="s">
        <v>309</v>
      </c>
      <c r="AQ30" s="246"/>
      <c r="AR30" s="246"/>
      <c r="AS30" s="246" t="s">
        <v>437</v>
      </c>
    </row>
    <row r="31" spans="1:45" x14ac:dyDescent="0.3">
      <c r="A31" s="241">
        <v>5661</v>
      </c>
      <c r="B31" s="306">
        <v>42946</v>
      </c>
      <c r="C31" s="243" t="s">
        <v>322</v>
      </c>
      <c r="D31" s="244" t="s">
        <v>190</v>
      </c>
      <c r="E31" s="241"/>
      <c r="F31" s="241" t="s">
        <v>360</v>
      </c>
      <c r="G31" s="248">
        <v>42916</v>
      </c>
      <c r="H31" s="245" t="s">
        <v>324</v>
      </c>
      <c r="I31" s="245" t="s">
        <v>325</v>
      </c>
      <c r="J31" s="245"/>
      <c r="K31" s="241" t="s">
        <v>401</v>
      </c>
      <c r="L31" s="224" t="s">
        <v>387</v>
      </c>
      <c r="M31" s="246">
        <v>152.4909090909091</v>
      </c>
      <c r="N31" s="246">
        <v>25.454545454545453</v>
      </c>
      <c r="O31" s="241"/>
      <c r="P31" s="241"/>
      <c r="Q31" s="271"/>
      <c r="R31" s="241"/>
      <c r="S31" s="270"/>
      <c r="T31" s="241"/>
      <c r="U31" s="246"/>
      <c r="V31" s="246"/>
      <c r="W31" s="271"/>
      <c r="X31" s="241"/>
      <c r="Y31" s="241"/>
      <c r="Z31" s="241"/>
      <c r="AA31" s="241"/>
      <c r="AB31" s="241"/>
      <c r="AC31" s="241"/>
      <c r="AD31" s="246"/>
      <c r="AE31" s="246">
        <v>16.836363636363636</v>
      </c>
      <c r="AF31" s="241"/>
      <c r="AG31" s="241"/>
      <c r="AH31" s="271"/>
      <c r="AI31" s="241"/>
      <c r="AJ31" s="241"/>
      <c r="AK31" s="246" t="s">
        <v>320</v>
      </c>
      <c r="AL31" s="246"/>
      <c r="AM31" s="246"/>
      <c r="AN31" s="246"/>
      <c r="AO31" s="241" t="s">
        <v>361</v>
      </c>
      <c r="AP31" s="272" t="s">
        <v>309</v>
      </c>
      <c r="AQ31" s="246"/>
      <c r="AR31" s="246"/>
      <c r="AS31" s="246" t="s">
        <v>680</v>
      </c>
    </row>
    <row r="32" spans="1:45" x14ac:dyDescent="0.3">
      <c r="A32" s="241">
        <v>4380</v>
      </c>
      <c r="B32" s="306">
        <v>42946</v>
      </c>
      <c r="C32" s="243" t="s">
        <v>322</v>
      </c>
      <c r="D32" s="244" t="s">
        <v>190</v>
      </c>
      <c r="E32" s="241"/>
      <c r="F32" s="241" t="s">
        <v>360</v>
      </c>
      <c r="G32" s="248">
        <v>42916</v>
      </c>
      <c r="H32" s="245" t="s">
        <v>324</v>
      </c>
      <c r="I32" s="245" t="s">
        <v>325</v>
      </c>
      <c r="J32" s="245"/>
      <c r="K32" s="241" t="s">
        <v>403</v>
      </c>
      <c r="L32" s="224" t="s">
        <v>387</v>
      </c>
      <c r="M32" s="246">
        <v>120.90909090909089</v>
      </c>
      <c r="N32" s="246">
        <v>29.709090909090907</v>
      </c>
      <c r="O32" s="241"/>
      <c r="P32" s="241"/>
      <c r="Q32" s="271"/>
      <c r="R32" s="241"/>
      <c r="S32" s="270"/>
      <c r="T32" s="241"/>
      <c r="U32" s="246"/>
      <c r="V32" s="246"/>
      <c r="W32" s="271"/>
      <c r="X32" s="241"/>
      <c r="Y32" s="241"/>
      <c r="Z32" s="241"/>
      <c r="AA32" s="241"/>
      <c r="AB32" s="241"/>
      <c r="AC32" s="241"/>
      <c r="AD32" s="246"/>
      <c r="AE32" s="246">
        <v>12.799999999999999</v>
      </c>
      <c r="AF32" s="241"/>
      <c r="AG32" s="241"/>
      <c r="AH32" s="271"/>
      <c r="AI32" s="241"/>
      <c r="AJ32" s="241"/>
      <c r="AK32" s="246" t="s">
        <v>320</v>
      </c>
      <c r="AL32" s="246"/>
      <c r="AM32" s="246"/>
      <c r="AN32" s="246"/>
      <c r="AO32" s="241" t="s">
        <v>361</v>
      </c>
      <c r="AP32" s="272" t="s">
        <v>309</v>
      </c>
      <c r="AQ32" s="246"/>
      <c r="AR32" s="246"/>
      <c r="AS32" s="246" t="s">
        <v>638</v>
      </c>
    </row>
    <row r="33" spans="1:45" x14ac:dyDescent="0.3">
      <c r="A33" s="241">
        <v>10530</v>
      </c>
      <c r="B33" s="306">
        <v>42946</v>
      </c>
      <c r="C33" s="243" t="s">
        <v>322</v>
      </c>
      <c r="D33" s="244" t="s">
        <v>190</v>
      </c>
      <c r="E33" s="241"/>
      <c r="F33" s="241" t="s">
        <v>360</v>
      </c>
      <c r="G33" s="248">
        <v>42916</v>
      </c>
      <c r="H33" s="245" t="s">
        <v>324</v>
      </c>
      <c r="I33" s="245" t="s">
        <v>325</v>
      </c>
      <c r="J33" s="245"/>
      <c r="K33" s="241" t="s">
        <v>348</v>
      </c>
      <c r="L33" s="224" t="s">
        <v>387</v>
      </c>
      <c r="M33" s="246">
        <v>158</v>
      </c>
      <c r="N33" s="246">
        <v>26.249999999999996</v>
      </c>
      <c r="O33" s="241"/>
      <c r="P33" s="241"/>
      <c r="Q33" s="271"/>
      <c r="R33" s="241"/>
      <c r="S33" s="270"/>
      <c r="T33" s="241"/>
      <c r="U33" s="246"/>
      <c r="V33" s="246"/>
      <c r="W33" s="271"/>
      <c r="X33" s="241"/>
      <c r="Y33" s="241"/>
      <c r="Z33" s="241"/>
      <c r="AA33" s="241"/>
      <c r="AB33" s="241"/>
      <c r="AC33" s="241"/>
      <c r="AD33" s="246"/>
      <c r="AE33" s="246">
        <v>13.989999999999998</v>
      </c>
      <c r="AF33" s="241"/>
      <c r="AG33" s="241"/>
      <c r="AH33" s="271"/>
      <c r="AI33" s="241"/>
      <c r="AJ33" s="241"/>
      <c r="AK33" s="246" t="s">
        <v>320</v>
      </c>
      <c r="AL33" s="246"/>
      <c r="AM33" s="246"/>
      <c r="AN33" s="246"/>
      <c r="AO33" s="241" t="s">
        <v>361</v>
      </c>
      <c r="AP33" s="272" t="s">
        <v>309</v>
      </c>
      <c r="AQ33" s="246"/>
      <c r="AR33" s="246"/>
      <c r="AS33" s="246" t="s">
        <v>644</v>
      </c>
    </row>
    <row r="34" spans="1:45" x14ac:dyDescent="0.3">
      <c r="A34" s="241">
        <v>10346</v>
      </c>
      <c r="B34" s="306">
        <v>42946</v>
      </c>
      <c r="C34" s="243" t="s">
        <v>322</v>
      </c>
      <c r="D34" s="244" t="s">
        <v>190</v>
      </c>
      <c r="E34" s="241"/>
      <c r="F34" s="241" t="s">
        <v>360</v>
      </c>
      <c r="G34" s="248">
        <v>42916</v>
      </c>
      <c r="H34" s="245" t="s">
        <v>324</v>
      </c>
      <c r="I34" s="245" t="s">
        <v>325</v>
      </c>
      <c r="J34" s="245"/>
      <c r="K34" s="241" t="s">
        <v>406</v>
      </c>
      <c r="L34" s="224" t="s">
        <v>387</v>
      </c>
      <c r="M34" s="246">
        <v>168.18181818181816</v>
      </c>
      <c r="N34" s="246">
        <v>25.309090909090909</v>
      </c>
      <c r="O34" s="241"/>
      <c r="P34" s="241"/>
      <c r="Q34" s="271"/>
      <c r="R34" s="241"/>
      <c r="S34" s="270"/>
      <c r="T34" s="241"/>
      <c r="U34" s="246"/>
      <c r="V34" s="246"/>
      <c r="W34" s="271"/>
      <c r="X34" s="241"/>
      <c r="Y34" s="241"/>
      <c r="Z34" s="241"/>
      <c r="AA34" s="241"/>
      <c r="AB34" s="241"/>
      <c r="AC34" s="241"/>
      <c r="AD34" s="246"/>
      <c r="AE34" s="246">
        <v>14.299999999999999</v>
      </c>
      <c r="AF34" s="241"/>
      <c r="AG34" s="241"/>
      <c r="AH34" s="271"/>
      <c r="AI34" s="241"/>
      <c r="AJ34" s="241"/>
      <c r="AK34" s="246" t="s">
        <v>320</v>
      </c>
      <c r="AL34" s="246"/>
      <c r="AM34" s="246"/>
      <c r="AN34" s="246"/>
      <c r="AO34" s="241" t="s">
        <v>361</v>
      </c>
      <c r="AP34" s="272" t="s">
        <v>309</v>
      </c>
      <c r="AQ34" s="246"/>
      <c r="AR34" s="246"/>
      <c r="AS34" s="246" t="s">
        <v>647</v>
      </c>
    </row>
    <row r="35" spans="1:45" x14ac:dyDescent="0.3">
      <c r="A35" s="241">
        <v>10688</v>
      </c>
      <c r="B35" s="306">
        <v>42946</v>
      </c>
      <c r="C35" s="243" t="s">
        <v>322</v>
      </c>
      <c r="D35" s="244" t="s">
        <v>190</v>
      </c>
      <c r="E35" s="241"/>
      <c r="F35" s="241" t="s">
        <v>360</v>
      </c>
      <c r="G35" s="248">
        <v>42916</v>
      </c>
      <c r="H35" s="245" t="s">
        <v>324</v>
      </c>
      <c r="I35" s="245" t="s">
        <v>325</v>
      </c>
      <c r="J35" s="245"/>
      <c r="K35" s="241" t="s">
        <v>408</v>
      </c>
      <c r="L35" s="224" t="s">
        <v>387</v>
      </c>
      <c r="M35" s="246">
        <v>165</v>
      </c>
      <c r="N35" s="246">
        <v>25.5</v>
      </c>
      <c r="O35" s="241"/>
      <c r="P35" s="250"/>
      <c r="Q35" s="271"/>
      <c r="R35" s="241"/>
      <c r="S35" s="270"/>
      <c r="T35" s="241"/>
      <c r="U35" s="246"/>
      <c r="V35" s="246"/>
      <c r="W35" s="271"/>
      <c r="X35" s="241"/>
      <c r="Y35" s="241"/>
      <c r="Z35" s="241"/>
      <c r="AA35" s="241"/>
      <c r="AB35" s="241"/>
      <c r="AC35" s="241"/>
      <c r="AD35" s="246"/>
      <c r="AE35" s="246">
        <v>10.999999999999998</v>
      </c>
      <c r="AF35" s="241"/>
      <c r="AG35" s="241"/>
      <c r="AH35" s="271"/>
      <c r="AI35" s="241"/>
      <c r="AJ35" s="241"/>
      <c r="AK35" s="246" t="s">
        <v>320</v>
      </c>
      <c r="AL35" s="246"/>
      <c r="AM35" s="246"/>
      <c r="AN35" s="246"/>
      <c r="AO35" s="241" t="s">
        <v>361</v>
      </c>
      <c r="AP35" s="272" t="s">
        <v>309</v>
      </c>
      <c r="AQ35" s="246"/>
      <c r="AR35" s="246"/>
      <c r="AS35" s="246" t="s">
        <v>648</v>
      </c>
    </row>
    <row r="36" spans="1:45" x14ac:dyDescent="0.3">
      <c r="A36" s="241">
        <v>1410</v>
      </c>
      <c r="B36" s="306">
        <v>42946</v>
      </c>
      <c r="C36" s="243" t="s">
        <v>322</v>
      </c>
      <c r="D36" s="244" t="s">
        <v>190</v>
      </c>
      <c r="E36" s="241"/>
      <c r="F36" s="241" t="s">
        <v>360</v>
      </c>
      <c r="G36" s="248">
        <v>42916</v>
      </c>
      <c r="H36" s="245" t="s">
        <v>324</v>
      </c>
      <c r="I36" s="245" t="s">
        <v>325</v>
      </c>
      <c r="J36" s="245"/>
      <c r="K36" s="241" t="s">
        <v>410</v>
      </c>
      <c r="L36" s="224" t="s">
        <v>387</v>
      </c>
      <c r="M36" s="246">
        <v>142.41818181818181</v>
      </c>
      <c r="N36" s="246">
        <v>25.518181818181816</v>
      </c>
      <c r="O36" s="244"/>
      <c r="P36" s="241"/>
      <c r="Q36" s="271"/>
      <c r="R36" s="241"/>
      <c r="S36" s="270"/>
      <c r="T36" s="241"/>
      <c r="U36" s="246"/>
      <c r="V36" s="246"/>
      <c r="W36" s="271"/>
      <c r="X36" s="241"/>
      <c r="Y36" s="241"/>
      <c r="Z36" s="241"/>
      <c r="AA36" s="241"/>
      <c r="AB36" s="241"/>
      <c r="AC36" s="241"/>
      <c r="AD36" s="246"/>
      <c r="AE36" s="246">
        <v>16.499999999999996</v>
      </c>
      <c r="AF36" s="241"/>
      <c r="AG36" s="241"/>
      <c r="AH36" s="271"/>
      <c r="AI36" s="241"/>
      <c r="AJ36" s="241"/>
      <c r="AK36" s="246" t="s">
        <v>320</v>
      </c>
      <c r="AL36" s="246"/>
      <c r="AM36" s="246"/>
      <c r="AN36" s="246"/>
      <c r="AO36" s="241" t="s">
        <v>361</v>
      </c>
      <c r="AP36" s="272" t="s">
        <v>309</v>
      </c>
      <c r="AQ36" s="246"/>
      <c r="AR36" s="246"/>
      <c r="AS36" s="246" t="s">
        <v>652</v>
      </c>
    </row>
    <row r="37" spans="1:45" x14ac:dyDescent="0.3">
      <c r="A37" s="241">
        <v>3610</v>
      </c>
      <c r="B37" s="306">
        <v>42946</v>
      </c>
      <c r="C37" s="243" t="s">
        <v>322</v>
      </c>
      <c r="D37" s="244" t="s">
        <v>190</v>
      </c>
      <c r="E37" s="241"/>
      <c r="F37" s="241" t="s">
        <v>360</v>
      </c>
      <c r="G37" s="248">
        <v>42916</v>
      </c>
      <c r="H37" s="245" t="s">
        <v>324</v>
      </c>
      <c r="I37" s="245" t="s">
        <v>325</v>
      </c>
      <c r="J37" s="245"/>
      <c r="K37" s="241" t="s">
        <v>412</v>
      </c>
      <c r="L37" s="224" t="s">
        <v>387</v>
      </c>
      <c r="M37" s="246">
        <v>147.08181818181816</v>
      </c>
      <c r="N37" s="246">
        <v>26.809090909090905</v>
      </c>
      <c r="O37" s="244" t="s">
        <v>351</v>
      </c>
      <c r="P37" s="256">
        <v>1183</v>
      </c>
      <c r="Q37" s="246">
        <v>27.809090909090905</v>
      </c>
      <c r="R37" s="256">
        <v>1183</v>
      </c>
      <c r="S37" s="246">
        <v>27.809090909090905</v>
      </c>
      <c r="T37" s="241"/>
      <c r="U37" s="246"/>
      <c r="V37" s="246"/>
      <c r="W37" s="271"/>
      <c r="X37" s="241"/>
      <c r="Y37" s="241"/>
      <c r="Z37" s="241"/>
      <c r="AA37" s="241"/>
      <c r="AB37" s="241"/>
      <c r="AC37" s="241"/>
      <c r="AD37" s="246"/>
      <c r="AE37" s="246">
        <v>14.718181818181819</v>
      </c>
      <c r="AF37" s="241"/>
      <c r="AG37" s="241"/>
      <c r="AH37" s="271"/>
      <c r="AI37" s="241"/>
      <c r="AJ37" s="241"/>
      <c r="AK37" s="246" t="s">
        <v>320</v>
      </c>
      <c r="AL37" s="246"/>
      <c r="AM37" s="246"/>
      <c r="AN37" s="246"/>
      <c r="AO37" s="241" t="s">
        <v>361</v>
      </c>
      <c r="AP37" s="272" t="s">
        <v>309</v>
      </c>
      <c r="AQ37" s="246"/>
      <c r="AR37" s="246"/>
      <c r="AS37" s="246" t="s">
        <v>660</v>
      </c>
    </row>
    <row r="38" spans="1:45" x14ac:dyDescent="0.3">
      <c r="A38" s="241">
        <v>10381</v>
      </c>
      <c r="B38" s="306">
        <v>42946</v>
      </c>
      <c r="C38" s="243" t="s">
        <v>322</v>
      </c>
      <c r="D38" s="244" t="s">
        <v>190</v>
      </c>
      <c r="E38" s="241"/>
      <c r="F38" s="241" t="s">
        <v>360</v>
      </c>
      <c r="G38" s="248">
        <v>42916</v>
      </c>
      <c r="H38" s="245" t="s">
        <v>310</v>
      </c>
      <c r="I38" s="245" t="s">
        <v>309</v>
      </c>
      <c r="J38" s="245"/>
      <c r="K38" s="241" t="s">
        <v>239</v>
      </c>
      <c r="L38" s="224" t="s">
        <v>387</v>
      </c>
      <c r="M38" s="246">
        <v>179.99999999999997</v>
      </c>
      <c r="N38" s="246">
        <v>24.4</v>
      </c>
      <c r="O38" s="241" t="s">
        <v>351</v>
      </c>
      <c r="P38" s="241">
        <v>1350</v>
      </c>
      <c r="Q38" s="246">
        <v>28.299999999999997</v>
      </c>
      <c r="R38" s="155">
        <v>1350</v>
      </c>
      <c r="S38" s="246">
        <v>28.299999999999997</v>
      </c>
      <c r="T38" s="241"/>
      <c r="U38" s="246"/>
      <c r="V38" s="246"/>
      <c r="W38" s="271"/>
      <c r="X38" s="241"/>
      <c r="Y38" s="241"/>
      <c r="Z38" s="241"/>
      <c r="AA38" s="241"/>
      <c r="AB38" s="241"/>
      <c r="AC38" s="241"/>
      <c r="AD38" s="246"/>
      <c r="AE38" s="246">
        <v>10.999999999999998</v>
      </c>
      <c r="AF38" s="241"/>
      <c r="AG38" s="241"/>
      <c r="AH38" s="271"/>
      <c r="AI38" s="241"/>
      <c r="AJ38" s="241"/>
      <c r="AK38" s="246" t="s">
        <v>320</v>
      </c>
      <c r="AL38" s="246"/>
      <c r="AM38" s="246"/>
      <c r="AN38" s="246"/>
      <c r="AO38" s="241" t="s">
        <v>361</v>
      </c>
      <c r="AP38" s="272" t="s">
        <v>309</v>
      </c>
      <c r="AQ38" s="246"/>
      <c r="AR38" s="246"/>
      <c r="AS38" s="246" t="s">
        <v>669</v>
      </c>
    </row>
    <row r="39" spans="1:45" x14ac:dyDescent="0.3">
      <c r="A39" s="241">
        <v>9909</v>
      </c>
      <c r="B39" s="306">
        <v>42946</v>
      </c>
      <c r="C39" s="243" t="s">
        <v>322</v>
      </c>
      <c r="D39" s="244" t="s">
        <v>190</v>
      </c>
      <c r="E39" s="241"/>
      <c r="F39" s="241" t="s">
        <v>360</v>
      </c>
      <c r="G39" s="248">
        <v>42916</v>
      </c>
      <c r="H39" s="245" t="s">
        <v>324</v>
      </c>
      <c r="I39" s="245" t="s">
        <v>325</v>
      </c>
      <c r="J39" s="245"/>
      <c r="K39" s="244" t="s">
        <v>354</v>
      </c>
      <c r="L39" s="224" t="s">
        <v>387</v>
      </c>
      <c r="M39" s="246">
        <v>192.48181818181817</v>
      </c>
      <c r="N39" s="246">
        <v>22.018181818181816</v>
      </c>
      <c r="O39" s="241"/>
      <c r="P39" s="241"/>
      <c r="Q39" s="271"/>
      <c r="R39" s="241"/>
      <c r="S39" s="270"/>
      <c r="T39" s="241"/>
      <c r="U39" s="246"/>
      <c r="V39" s="246"/>
      <c r="W39" s="271"/>
      <c r="X39" s="241"/>
      <c r="Y39" s="241"/>
      <c r="Z39" s="241"/>
      <c r="AA39" s="241"/>
      <c r="AB39" s="241"/>
      <c r="AC39" s="241"/>
      <c r="AD39" s="246" t="s">
        <v>320</v>
      </c>
      <c r="AE39" s="246">
        <v>16.999999999999996</v>
      </c>
      <c r="AF39" s="241"/>
      <c r="AG39" s="241"/>
      <c r="AH39" s="271"/>
      <c r="AI39" s="241"/>
      <c r="AJ39" s="241"/>
      <c r="AK39" s="246" t="s">
        <v>320</v>
      </c>
      <c r="AL39" s="246"/>
      <c r="AM39" s="246"/>
      <c r="AN39" s="246"/>
      <c r="AO39" s="241" t="s">
        <v>361</v>
      </c>
      <c r="AP39" s="272" t="s">
        <v>309</v>
      </c>
      <c r="AQ39" s="246"/>
      <c r="AR39" s="246"/>
      <c r="AS39" s="246" t="s">
        <v>683</v>
      </c>
    </row>
    <row r="40" spans="1:45" x14ac:dyDescent="0.3">
      <c r="A40" s="241">
        <v>5192</v>
      </c>
      <c r="B40" s="306">
        <v>42946</v>
      </c>
      <c r="C40" s="243" t="s">
        <v>322</v>
      </c>
      <c r="D40" s="244" t="s">
        <v>190</v>
      </c>
      <c r="E40" s="241"/>
      <c r="F40" s="241" t="s">
        <v>360</v>
      </c>
      <c r="G40" s="248">
        <v>42928</v>
      </c>
      <c r="H40" s="245" t="s">
        <v>324</v>
      </c>
      <c r="I40" s="245" t="s">
        <v>325</v>
      </c>
      <c r="J40" s="245"/>
      <c r="K40" s="241" t="s">
        <v>358</v>
      </c>
      <c r="L40" s="224" t="s">
        <v>387</v>
      </c>
      <c r="M40" s="246">
        <v>170.91818181818181</v>
      </c>
      <c r="N40" s="246">
        <v>23.554545454545451</v>
      </c>
      <c r="O40" s="241"/>
      <c r="P40" s="241"/>
      <c r="Q40" s="271"/>
      <c r="R40" s="241"/>
      <c r="S40" s="270"/>
      <c r="T40" s="241"/>
      <c r="U40" s="246"/>
      <c r="V40" s="246"/>
      <c r="W40" s="271"/>
      <c r="X40" s="241"/>
      <c r="Y40" s="241"/>
      <c r="Z40" s="241"/>
      <c r="AA40" s="241"/>
      <c r="AB40" s="241"/>
      <c r="AC40" s="241"/>
      <c r="AD40" s="246" t="s">
        <v>320</v>
      </c>
      <c r="AE40" s="246">
        <v>14.554545454545455</v>
      </c>
      <c r="AF40" s="241"/>
      <c r="AG40" s="241"/>
      <c r="AH40" s="271"/>
      <c r="AI40" s="241"/>
      <c r="AJ40" s="241"/>
      <c r="AK40" s="246" t="s">
        <v>320</v>
      </c>
      <c r="AL40" s="246"/>
      <c r="AM40" s="246"/>
      <c r="AN40" s="246"/>
      <c r="AO40" s="241" t="s">
        <v>361</v>
      </c>
      <c r="AP40" s="272" t="s">
        <v>309</v>
      </c>
      <c r="AQ40" s="246"/>
      <c r="AR40" s="246"/>
      <c r="AS40" s="246" t="s">
        <v>684</v>
      </c>
    </row>
    <row r="41" spans="1:45" x14ac:dyDescent="0.3">
      <c r="A41" s="241"/>
      <c r="B41" s="306">
        <v>42946</v>
      </c>
      <c r="C41" s="243" t="s">
        <v>322</v>
      </c>
      <c r="D41" s="244" t="s">
        <v>190</v>
      </c>
      <c r="E41" s="241"/>
      <c r="F41" s="241" t="s">
        <v>360</v>
      </c>
      <c r="G41" s="248">
        <v>42916</v>
      </c>
      <c r="H41" s="245" t="s">
        <v>310</v>
      </c>
      <c r="I41" s="245" t="s">
        <v>309</v>
      </c>
      <c r="J41" s="245"/>
      <c r="K41" s="241" t="s">
        <v>420</v>
      </c>
      <c r="L41" s="224" t="s">
        <v>387</v>
      </c>
      <c r="M41" s="246">
        <v>133.94545454545454</v>
      </c>
      <c r="N41" s="246">
        <v>27.963636363636361</v>
      </c>
      <c r="O41" s="241"/>
      <c r="P41" s="241"/>
      <c r="Q41" s="271"/>
      <c r="R41" s="241"/>
      <c r="S41" s="270"/>
      <c r="T41" s="241"/>
      <c r="U41" s="246"/>
      <c r="V41" s="246"/>
      <c r="W41" s="271"/>
      <c r="X41" s="241"/>
      <c r="Y41" s="241"/>
      <c r="Z41" s="241"/>
      <c r="AA41" s="241"/>
      <c r="AB41" s="241"/>
      <c r="AC41" s="241"/>
      <c r="AD41" s="246"/>
      <c r="AE41" s="246">
        <v>14.299999999999999</v>
      </c>
      <c r="AF41" s="241"/>
      <c r="AG41" s="241"/>
      <c r="AH41" s="271"/>
      <c r="AI41" s="241"/>
      <c r="AJ41" s="241"/>
      <c r="AK41" s="246"/>
      <c r="AL41" s="246"/>
      <c r="AM41" s="246"/>
      <c r="AN41" s="246"/>
      <c r="AO41" s="241" t="s">
        <v>361</v>
      </c>
      <c r="AP41" s="272" t="s">
        <v>309</v>
      </c>
      <c r="AQ41" s="246"/>
      <c r="AR41" s="246"/>
      <c r="AS41" s="246" t="s">
        <v>687</v>
      </c>
    </row>
    <row r="42" spans="1:45" x14ac:dyDescent="0.3">
      <c r="A42" s="241"/>
      <c r="B42" s="306">
        <v>42946</v>
      </c>
      <c r="C42" s="243" t="s">
        <v>322</v>
      </c>
      <c r="D42" s="244" t="s">
        <v>190</v>
      </c>
      <c r="E42" s="241"/>
      <c r="F42" s="241" t="s">
        <v>360</v>
      </c>
      <c r="G42" s="248">
        <v>42916</v>
      </c>
      <c r="H42" s="245" t="s">
        <v>310</v>
      </c>
      <c r="I42" s="245" t="s">
        <v>309</v>
      </c>
      <c r="J42" s="245"/>
      <c r="K42" s="241" t="s">
        <v>422</v>
      </c>
      <c r="L42" s="224" t="s">
        <v>387</v>
      </c>
      <c r="M42" s="246">
        <v>148.05454545454546</v>
      </c>
      <c r="N42" s="246">
        <v>26.672727272727272</v>
      </c>
      <c r="O42" s="241"/>
      <c r="P42" s="241"/>
      <c r="Q42" s="271"/>
      <c r="R42" s="241"/>
      <c r="S42" s="270"/>
      <c r="T42" s="241"/>
      <c r="U42" s="246"/>
      <c r="V42" s="246"/>
      <c r="W42" s="271"/>
      <c r="X42" s="241"/>
      <c r="Y42" s="241"/>
      <c r="Z42" s="241"/>
      <c r="AA42" s="241"/>
      <c r="AB42" s="241"/>
      <c r="AC42" s="241"/>
      <c r="AD42" s="246"/>
      <c r="AE42" s="246">
        <v>14.663636363636362</v>
      </c>
      <c r="AF42" s="241"/>
      <c r="AG42" s="241"/>
      <c r="AH42" s="271"/>
      <c r="AI42" s="241"/>
      <c r="AJ42" s="241"/>
      <c r="AK42" s="246"/>
      <c r="AL42" s="246"/>
      <c r="AM42" s="246"/>
      <c r="AN42" s="246"/>
      <c r="AO42" s="241" t="s">
        <v>361</v>
      </c>
      <c r="AP42" s="272" t="s">
        <v>309</v>
      </c>
      <c r="AQ42" s="246"/>
      <c r="AR42" s="246"/>
      <c r="AS42" s="246" t="s">
        <v>690</v>
      </c>
    </row>
    <row r="43" spans="1:45" x14ac:dyDescent="0.3">
      <c r="A43" s="241"/>
      <c r="B43" s="306">
        <v>42946</v>
      </c>
      <c r="C43" s="243" t="s">
        <v>322</v>
      </c>
      <c r="D43" s="244" t="s">
        <v>190</v>
      </c>
      <c r="E43" s="241"/>
      <c r="F43" s="241" t="s">
        <v>360</v>
      </c>
      <c r="G43" s="248">
        <v>42936</v>
      </c>
      <c r="H43" s="245" t="s">
        <v>309</v>
      </c>
      <c r="I43" s="245" t="s">
        <v>355</v>
      </c>
      <c r="J43" s="245"/>
      <c r="K43" s="241" t="s">
        <v>424</v>
      </c>
      <c r="L43" s="224" t="s">
        <v>387</v>
      </c>
      <c r="M43" s="246">
        <v>147.19999999999999</v>
      </c>
      <c r="N43" s="246">
        <v>26</v>
      </c>
      <c r="O43" s="241"/>
      <c r="P43" s="241"/>
      <c r="Q43" s="271"/>
      <c r="R43" s="241"/>
      <c r="S43" s="270"/>
      <c r="T43" s="241"/>
      <c r="U43" s="246"/>
      <c r="V43" s="246"/>
      <c r="W43" s="271"/>
      <c r="X43" s="241"/>
      <c r="Y43" s="241"/>
      <c r="Z43" s="241"/>
      <c r="AA43" s="241"/>
      <c r="AB43" s="241"/>
      <c r="AC43" s="241"/>
      <c r="AD43" s="246"/>
      <c r="AE43" s="246">
        <v>16.499999999999996</v>
      </c>
      <c r="AF43" s="241"/>
      <c r="AG43" s="241"/>
      <c r="AH43" s="271"/>
      <c r="AI43" s="241"/>
      <c r="AJ43" s="241"/>
      <c r="AK43" s="246"/>
      <c r="AL43" s="246"/>
      <c r="AM43" s="246"/>
      <c r="AN43" s="246"/>
      <c r="AO43" s="241" t="s">
        <v>361</v>
      </c>
      <c r="AP43" s="272" t="s">
        <v>309</v>
      </c>
      <c r="AQ43" s="246"/>
      <c r="AR43" s="246"/>
      <c r="AS43" s="246" t="s">
        <v>692</v>
      </c>
    </row>
    <row r="44" spans="1:45" x14ac:dyDescent="0.3">
      <c r="A44" s="241"/>
      <c r="B44" s="306">
        <v>42946</v>
      </c>
      <c r="C44" s="243" t="s">
        <v>322</v>
      </c>
      <c r="D44" s="244" t="s">
        <v>190</v>
      </c>
      <c r="E44" s="241"/>
      <c r="F44" s="241" t="s">
        <v>360</v>
      </c>
      <c r="G44" s="247">
        <v>42915</v>
      </c>
      <c r="H44" s="245" t="s">
        <v>310</v>
      </c>
      <c r="I44" s="245" t="s">
        <v>309</v>
      </c>
      <c r="J44" s="245"/>
      <c r="K44" s="244" t="s">
        <v>695</v>
      </c>
      <c r="L44" s="224" t="s">
        <v>387</v>
      </c>
      <c r="M44" s="246">
        <v>161.99999999999997</v>
      </c>
      <c r="N44" s="246">
        <v>24.8</v>
      </c>
      <c r="O44" s="310" t="s">
        <v>351</v>
      </c>
      <c r="P44" s="311">
        <v>2130</v>
      </c>
      <c r="Q44" s="246">
        <v>26</v>
      </c>
      <c r="R44" s="311">
        <v>2130</v>
      </c>
      <c r="S44" s="246">
        <v>26</v>
      </c>
      <c r="T44" s="241"/>
      <c r="U44" s="246"/>
      <c r="V44" s="246"/>
      <c r="W44" s="271"/>
      <c r="X44" s="241"/>
      <c r="Y44" s="241"/>
      <c r="Z44" s="241"/>
      <c r="AA44" s="241"/>
      <c r="AB44" s="241"/>
      <c r="AC44" s="241"/>
      <c r="AD44" s="246"/>
      <c r="AE44" s="246">
        <v>16.499999999999996</v>
      </c>
      <c r="AF44" s="241"/>
      <c r="AG44" s="241"/>
      <c r="AH44" s="271"/>
      <c r="AI44" s="241"/>
      <c r="AJ44" s="241"/>
      <c r="AK44" s="246"/>
      <c r="AL44" s="246"/>
      <c r="AM44" s="246"/>
      <c r="AN44" s="246"/>
      <c r="AO44" s="241" t="s">
        <v>361</v>
      </c>
      <c r="AP44" s="272" t="s">
        <v>309</v>
      </c>
      <c r="AQ44" s="246"/>
      <c r="AR44" s="246"/>
      <c r="AS44" s="246" t="s">
        <v>697</v>
      </c>
    </row>
    <row r="45" spans="1:45" x14ac:dyDescent="0.3">
      <c r="A45" s="241"/>
      <c r="B45" s="306">
        <v>42946</v>
      </c>
      <c r="C45" s="243" t="s">
        <v>322</v>
      </c>
      <c r="D45" s="244" t="s">
        <v>190</v>
      </c>
      <c r="E45" s="241"/>
      <c r="F45" s="241" t="s">
        <v>360</v>
      </c>
      <c r="G45" s="247">
        <v>43085</v>
      </c>
      <c r="H45" s="245" t="s">
        <v>310</v>
      </c>
      <c r="I45" s="245" t="s">
        <v>309</v>
      </c>
      <c r="J45" s="245"/>
      <c r="K45" s="244" t="s">
        <v>698</v>
      </c>
      <c r="L45" s="224" t="s">
        <v>387</v>
      </c>
      <c r="M45" s="246">
        <v>140</v>
      </c>
      <c r="N45" s="246">
        <v>20.072727272727271</v>
      </c>
      <c r="O45" s="244"/>
      <c r="P45" s="241"/>
      <c r="Q45" s="271"/>
      <c r="R45" s="241"/>
      <c r="S45" s="270"/>
      <c r="T45" s="241"/>
      <c r="U45" s="246"/>
      <c r="V45" s="246"/>
      <c r="W45" s="271"/>
      <c r="X45" s="241"/>
      <c r="Y45" s="241"/>
      <c r="Z45" s="241"/>
      <c r="AA45" s="241"/>
      <c r="AB45" s="241"/>
      <c r="AC45" s="241"/>
      <c r="AD45" s="246"/>
      <c r="AE45" s="246">
        <v>11.863636363636363</v>
      </c>
      <c r="AF45" s="241"/>
      <c r="AG45" s="241"/>
      <c r="AH45" s="271"/>
      <c r="AI45" s="241"/>
      <c r="AJ45" s="241"/>
      <c r="AK45" s="246"/>
      <c r="AL45" s="246"/>
      <c r="AM45" s="246"/>
      <c r="AN45" s="246"/>
      <c r="AO45" s="241" t="s">
        <v>361</v>
      </c>
      <c r="AP45" s="272" t="s">
        <v>309</v>
      </c>
      <c r="AQ45" s="246"/>
      <c r="AR45" s="246"/>
      <c r="AS45" s="246" t="s">
        <v>700</v>
      </c>
    </row>
    <row r="46" spans="1:45" x14ac:dyDescent="0.3">
      <c r="A46" s="241"/>
      <c r="B46" s="306">
        <v>42946</v>
      </c>
      <c r="C46" s="243" t="s">
        <v>322</v>
      </c>
      <c r="D46" s="244" t="s">
        <v>190</v>
      </c>
      <c r="E46" s="241"/>
      <c r="F46" s="241" t="s">
        <v>360</v>
      </c>
      <c r="G46" s="247">
        <v>42916</v>
      </c>
      <c r="H46" s="245" t="s">
        <v>310</v>
      </c>
      <c r="I46" s="245" t="s">
        <v>309</v>
      </c>
      <c r="J46" s="245"/>
      <c r="K46" s="244" t="s">
        <v>503</v>
      </c>
      <c r="L46" s="224" t="s">
        <v>387</v>
      </c>
      <c r="M46" s="246">
        <v>130</v>
      </c>
      <c r="N46" s="246">
        <v>27.9</v>
      </c>
      <c r="O46" s="244"/>
      <c r="P46" s="241"/>
      <c r="Q46" s="271"/>
      <c r="R46" s="241"/>
      <c r="S46" s="270"/>
      <c r="T46" s="241"/>
      <c r="U46" s="246"/>
      <c r="V46" s="246"/>
      <c r="W46" s="271"/>
      <c r="X46" s="241"/>
      <c r="Y46" s="241"/>
      <c r="Z46" s="241"/>
      <c r="AA46" s="241"/>
      <c r="AB46" s="241"/>
      <c r="AC46" s="241"/>
      <c r="AD46" s="246"/>
      <c r="AE46" s="246">
        <v>15.199999999999998</v>
      </c>
      <c r="AF46" s="241"/>
      <c r="AG46" s="241"/>
      <c r="AH46" s="271"/>
      <c r="AI46" s="241"/>
      <c r="AJ46" s="241"/>
      <c r="AK46" s="246"/>
      <c r="AL46" s="246"/>
      <c r="AM46" s="246"/>
      <c r="AN46" s="246"/>
      <c r="AO46" s="241" t="s">
        <v>311</v>
      </c>
      <c r="AP46" s="272" t="s">
        <v>309</v>
      </c>
      <c r="AQ46" s="246"/>
      <c r="AR46" s="246"/>
      <c r="AS46" s="241" t="s">
        <v>702</v>
      </c>
    </row>
    <row r="47" spans="1:45" x14ac:dyDescent="0.3">
      <c r="A47" s="241"/>
      <c r="B47" s="306">
        <v>42946</v>
      </c>
      <c r="C47" s="243" t="s">
        <v>322</v>
      </c>
      <c r="D47" s="244" t="s">
        <v>190</v>
      </c>
      <c r="E47" s="241"/>
      <c r="F47" s="241" t="s">
        <v>360</v>
      </c>
      <c r="G47" s="247">
        <v>42916</v>
      </c>
      <c r="H47" s="245" t="s">
        <v>310</v>
      </c>
      <c r="I47" s="245" t="s">
        <v>309</v>
      </c>
      <c r="J47" s="245"/>
      <c r="K47" s="244" t="s">
        <v>704</v>
      </c>
      <c r="L47" s="224" t="s">
        <v>387</v>
      </c>
      <c r="M47" s="246">
        <v>156.39999999999998</v>
      </c>
      <c r="N47" s="246">
        <v>25.954545454545453</v>
      </c>
      <c r="O47" s="244"/>
      <c r="P47" s="241"/>
      <c r="Q47" s="271"/>
      <c r="R47" s="241"/>
      <c r="S47" s="270"/>
      <c r="T47" s="241"/>
      <c r="U47" s="246"/>
      <c r="V47" s="246"/>
      <c r="W47" s="271"/>
      <c r="X47" s="241"/>
      <c r="Y47" s="241"/>
      <c r="Z47" s="241"/>
      <c r="AA47" s="241"/>
      <c r="AB47" s="241"/>
      <c r="AC47" s="241"/>
      <c r="AD47" s="246"/>
      <c r="AE47" s="246">
        <v>14.499999999999998</v>
      </c>
      <c r="AF47" s="241"/>
      <c r="AG47" s="241"/>
      <c r="AH47" s="271"/>
      <c r="AI47" s="241"/>
      <c r="AJ47" s="241"/>
      <c r="AK47" s="246"/>
      <c r="AL47" s="246"/>
      <c r="AM47" s="246"/>
      <c r="AN47" s="246"/>
      <c r="AO47" s="241" t="s">
        <v>312</v>
      </c>
      <c r="AP47" s="272" t="s">
        <v>309</v>
      </c>
      <c r="AQ47" s="246"/>
      <c r="AR47" s="246"/>
      <c r="AS47" s="241" t="s">
        <v>706</v>
      </c>
    </row>
    <row r="48" spans="1:45" x14ac:dyDescent="0.3">
      <c r="A48" s="241">
        <v>10429</v>
      </c>
      <c r="B48" s="306">
        <v>42946</v>
      </c>
      <c r="C48" s="243" t="s">
        <v>322</v>
      </c>
      <c r="D48" s="244" t="s">
        <v>190</v>
      </c>
      <c r="E48" s="241"/>
      <c r="F48" s="241" t="s">
        <v>367</v>
      </c>
      <c r="G48" s="247">
        <v>42928</v>
      </c>
      <c r="H48" s="245" t="s">
        <v>324</v>
      </c>
      <c r="I48" s="245" t="s">
        <v>325</v>
      </c>
      <c r="J48" s="245"/>
      <c r="K48" s="241" t="s">
        <v>326</v>
      </c>
      <c r="L48" s="224" t="s">
        <v>387</v>
      </c>
      <c r="M48" s="246">
        <v>155.91818181818181</v>
      </c>
      <c r="N48" s="246">
        <v>34.036363636363632</v>
      </c>
      <c r="O48" s="241"/>
      <c r="P48" s="241"/>
      <c r="Q48" s="271"/>
      <c r="R48" s="241"/>
      <c r="S48" s="270"/>
      <c r="T48" s="241"/>
      <c r="U48" s="246"/>
      <c r="V48" s="246"/>
      <c r="W48" s="246">
        <v>17.86363636363636</v>
      </c>
      <c r="X48" s="241"/>
      <c r="Y48" s="241"/>
      <c r="Z48" s="241"/>
      <c r="AA48" s="241"/>
      <c r="AB48" s="241"/>
      <c r="AC48" s="241"/>
      <c r="AD48" s="246"/>
      <c r="AE48" s="271"/>
      <c r="AF48" s="241"/>
      <c r="AG48" s="241"/>
      <c r="AH48" s="246">
        <v>33.090909090909086</v>
      </c>
      <c r="AI48" s="241"/>
      <c r="AJ48" s="241"/>
      <c r="AK48" s="246" t="s">
        <v>320</v>
      </c>
      <c r="AL48" s="246"/>
      <c r="AM48" s="246"/>
      <c r="AN48" s="246"/>
      <c r="AO48" s="241" t="s">
        <v>368</v>
      </c>
      <c r="AP48" s="272" t="s">
        <v>309</v>
      </c>
      <c r="AQ48" s="246"/>
      <c r="AR48" s="246"/>
      <c r="AS48" s="246" t="s">
        <v>453</v>
      </c>
    </row>
    <row r="49" spans="1:51" x14ac:dyDescent="0.3">
      <c r="A49" s="241">
        <v>10508</v>
      </c>
      <c r="B49" s="306">
        <v>42946</v>
      </c>
      <c r="C49" s="243" t="s">
        <v>322</v>
      </c>
      <c r="D49" s="244" t="s">
        <v>190</v>
      </c>
      <c r="E49" s="241"/>
      <c r="F49" s="241" t="s">
        <v>367</v>
      </c>
      <c r="G49" s="247">
        <v>42916</v>
      </c>
      <c r="H49" s="245" t="s">
        <v>324</v>
      </c>
      <c r="I49" s="245" t="s">
        <v>325</v>
      </c>
      <c r="J49" s="245"/>
      <c r="K49" s="241" t="s">
        <v>328</v>
      </c>
      <c r="L49" s="224" t="s">
        <v>387</v>
      </c>
      <c r="M49" s="246">
        <v>145.05454545454543</v>
      </c>
      <c r="N49" s="246">
        <v>34.454545454545453</v>
      </c>
      <c r="O49" s="241"/>
      <c r="P49" s="241"/>
      <c r="Q49" s="271"/>
      <c r="R49" s="241"/>
      <c r="S49" s="270"/>
      <c r="T49" s="241"/>
      <c r="U49" s="246"/>
      <c r="V49" s="246"/>
      <c r="W49" s="246">
        <v>19.118181818181817</v>
      </c>
      <c r="X49" s="241"/>
      <c r="Y49" s="241"/>
      <c r="Z49" s="241"/>
      <c r="AA49" s="241"/>
      <c r="AB49" s="241"/>
      <c r="AC49" s="241"/>
      <c r="AD49" s="246"/>
      <c r="AE49" s="271"/>
      <c r="AF49" s="241"/>
      <c r="AG49" s="241"/>
      <c r="AH49" s="246">
        <v>32.536363636363632</v>
      </c>
      <c r="AI49" s="241"/>
      <c r="AJ49" s="241"/>
      <c r="AK49" s="246" t="s">
        <v>320</v>
      </c>
      <c r="AL49" s="246"/>
      <c r="AM49" s="246"/>
      <c r="AN49" s="246"/>
      <c r="AO49" s="241" t="s">
        <v>368</v>
      </c>
      <c r="AP49" s="272" t="s">
        <v>309</v>
      </c>
      <c r="AQ49" s="246"/>
      <c r="AR49" s="246"/>
      <c r="AS49" s="246" t="s">
        <v>626</v>
      </c>
    </row>
    <row r="50" spans="1:51" x14ac:dyDescent="0.3">
      <c r="A50" s="241">
        <v>4661</v>
      </c>
      <c r="B50" s="306">
        <v>42946</v>
      </c>
      <c r="C50" s="243" t="s">
        <v>322</v>
      </c>
      <c r="D50" s="244" t="s">
        <v>190</v>
      </c>
      <c r="E50" s="241"/>
      <c r="F50" s="241" t="s">
        <v>367</v>
      </c>
      <c r="G50" s="248">
        <v>42916</v>
      </c>
      <c r="H50" s="245" t="s">
        <v>324</v>
      </c>
      <c r="I50" s="245" t="s">
        <v>325</v>
      </c>
      <c r="J50" s="245"/>
      <c r="K50" s="241" t="s">
        <v>331</v>
      </c>
      <c r="L50" s="224" t="s">
        <v>387</v>
      </c>
      <c r="M50" s="246">
        <v>124.99999999999999</v>
      </c>
      <c r="N50" s="246">
        <v>37.799999999999997</v>
      </c>
      <c r="O50" s="241"/>
      <c r="P50" s="241"/>
      <c r="Q50" s="271"/>
      <c r="R50" s="241"/>
      <c r="S50" s="270"/>
      <c r="T50" s="241"/>
      <c r="U50" s="246"/>
      <c r="V50" s="246"/>
      <c r="W50" s="246">
        <v>18.2</v>
      </c>
      <c r="X50" s="241"/>
      <c r="Y50" s="241"/>
      <c r="Z50" s="241"/>
      <c r="AA50" s="241"/>
      <c r="AB50" s="241"/>
      <c r="AC50" s="241"/>
      <c r="AD50" s="246"/>
      <c r="AE50" s="271"/>
      <c r="AF50" s="241"/>
      <c r="AG50" s="241"/>
      <c r="AH50" s="246">
        <v>32.636363636363633</v>
      </c>
      <c r="AI50" s="241"/>
      <c r="AJ50" s="241"/>
      <c r="AK50" s="246" t="s">
        <v>320</v>
      </c>
      <c r="AL50" s="246"/>
      <c r="AM50" s="246"/>
      <c r="AN50" s="246"/>
      <c r="AO50" s="241" t="s">
        <v>368</v>
      </c>
      <c r="AP50" s="272" t="s">
        <v>309</v>
      </c>
      <c r="AQ50" s="246"/>
      <c r="AR50" s="246"/>
      <c r="AS50" s="246" t="s">
        <v>678</v>
      </c>
    </row>
    <row r="51" spans="1:51" x14ac:dyDescent="0.3">
      <c r="A51" s="241">
        <v>1492</v>
      </c>
      <c r="B51" s="306">
        <v>42946</v>
      </c>
      <c r="C51" s="243" t="s">
        <v>322</v>
      </c>
      <c r="D51" s="244" t="s">
        <v>190</v>
      </c>
      <c r="E51" s="241"/>
      <c r="F51" s="241" t="s">
        <v>367</v>
      </c>
      <c r="G51" s="248">
        <v>42916</v>
      </c>
      <c r="H51" s="245" t="s">
        <v>324</v>
      </c>
      <c r="I51" s="245" t="s">
        <v>325</v>
      </c>
      <c r="J51" s="245"/>
      <c r="K51" s="241" t="s">
        <v>397</v>
      </c>
      <c r="L51" s="224" t="s">
        <v>387</v>
      </c>
      <c r="M51" s="246">
        <v>189</v>
      </c>
      <c r="N51" s="246">
        <v>28</v>
      </c>
      <c r="O51" s="241"/>
      <c r="P51" s="241"/>
      <c r="Q51" s="271"/>
      <c r="R51" s="241"/>
      <c r="S51" s="271"/>
      <c r="T51" s="241"/>
      <c r="U51" s="246" t="s">
        <v>320</v>
      </c>
      <c r="V51" s="246" t="s">
        <v>320</v>
      </c>
      <c r="W51" s="246">
        <v>18</v>
      </c>
      <c r="X51" s="241"/>
      <c r="Y51" s="241"/>
      <c r="Z51" s="241"/>
      <c r="AA51" s="241"/>
      <c r="AB51" s="241"/>
      <c r="AC51" s="241"/>
      <c r="AD51" s="246"/>
      <c r="AE51" s="271"/>
      <c r="AF51" s="241"/>
      <c r="AG51" s="241"/>
      <c r="AH51" s="246">
        <v>26.999999999999996</v>
      </c>
      <c r="AI51" s="241"/>
      <c r="AJ51" s="241"/>
      <c r="AK51" s="246" t="s">
        <v>320</v>
      </c>
      <c r="AL51" s="246"/>
      <c r="AM51" s="246"/>
      <c r="AN51" s="246"/>
      <c r="AO51" s="241" t="s">
        <v>368</v>
      </c>
      <c r="AP51" s="272" t="s">
        <v>309</v>
      </c>
      <c r="AQ51" s="246"/>
      <c r="AR51" s="246"/>
      <c r="AS51" s="246" t="s">
        <v>633</v>
      </c>
    </row>
    <row r="52" spans="1:51" x14ac:dyDescent="0.3">
      <c r="A52" s="241">
        <v>10277</v>
      </c>
      <c r="B52" s="306">
        <v>42946</v>
      </c>
      <c r="C52" s="243" t="s">
        <v>322</v>
      </c>
      <c r="D52" s="244" t="s">
        <v>190</v>
      </c>
      <c r="E52" s="241"/>
      <c r="F52" s="241" t="s">
        <v>367</v>
      </c>
      <c r="G52" s="248">
        <v>42916</v>
      </c>
      <c r="H52" s="245" t="s">
        <v>324</v>
      </c>
      <c r="I52" s="245" t="s">
        <v>325</v>
      </c>
      <c r="J52" s="245"/>
      <c r="K52" s="241" t="s">
        <v>340</v>
      </c>
      <c r="L52" s="224" t="s">
        <v>387</v>
      </c>
      <c r="M52" s="246">
        <v>143.25454545454545</v>
      </c>
      <c r="N52" s="246">
        <v>36.063636363636363</v>
      </c>
      <c r="O52" s="241"/>
      <c r="P52" s="241"/>
      <c r="Q52" s="271"/>
      <c r="R52" s="241"/>
      <c r="S52" s="270"/>
      <c r="T52" s="241"/>
      <c r="U52" s="246" t="s">
        <v>320</v>
      </c>
      <c r="V52" s="246" t="s">
        <v>320</v>
      </c>
      <c r="W52" s="246">
        <v>19.918181818181818</v>
      </c>
      <c r="X52" s="241"/>
      <c r="Y52" s="241"/>
      <c r="Z52" s="241"/>
      <c r="AA52" s="241"/>
      <c r="AB52" s="241"/>
      <c r="AC52" s="241"/>
      <c r="AD52" s="246"/>
      <c r="AE52" s="271"/>
      <c r="AF52" s="241"/>
      <c r="AG52" s="241"/>
      <c r="AH52" s="246">
        <v>30.8</v>
      </c>
      <c r="AI52" s="241"/>
      <c r="AJ52" s="241"/>
      <c r="AK52" s="246" t="s">
        <v>320</v>
      </c>
      <c r="AL52" s="246"/>
      <c r="AM52" s="246"/>
      <c r="AN52" s="246"/>
      <c r="AO52" s="241" t="s">
        <v>368</v>
      </c>
      <c r="AP52" s="272" t="s">
        <v>309</v>
      </c>
      <c r="AQ52" s="246"/>
      <c r="AR52" s="246"/>
      <c r="AS52" s="246" t="s">
        <v>458</v>
      </c>
    </row>
    <row r="53" spans="1:51" x14ac:dyDescent="0.3">
      <c r="A53" s="241">
        <v>5663</v>
      </c>
      <c r="B53" s="306">
        <v>42946</v>
      </c>
      <c r="C53" s="243" t="s">
        <v>322</v>
      </c>
      <c r="D53" s="244" t="s">
        <v>190</v>
      </c>
      <c r="E53" s="241"/>
      <c r="F53" s="241" t="s">
        <v>367</v>
      </c>
      <c r="G53" s="248">
        <v>42916</v>
      </c>
      <c r="H53" s="245" t="s">
        <v>324</v>
      </c>
      <c r="I53" s="245" t="s">
        <v>325</v>
      </c>
      <c r="J53" s="245"/>
      <c r="K53" s="241" t="s">
        <v>401</v>
      </c>
      <c r="L53" s="224" t="s">
        <v>387</v>
      </c>
      <c r="M53" s="246">
        <v>143.13636363636363</v>
      </c>
      <c r="N53" s="246">
        <v>32.836363636363629</v>
      </c>
      <c r="O53" s="241"/>
      <c r="P53" s="241"/>
      <c r="Q53" s="271"/>
      <c r="R53" s="241"/>
      <c r="S53" s="271"/>
      <c r="T53" s="241"/>
      <c r="U53" s="246" t="s">
        <v>320</v>
      </c>
      <c r="V53" s="246" t="s">
        <v>320</v>
      </c>
      <c r="W53" s="246">
        <v>22.154545454545453</v>
      </c>
      <c r="X53" s="241"/>
      <c r="Y53" s="241"/>
      <c r="Z53" s="241"/>
      <c r="AA53" s="241"/>
      <c r="AB53" s="241"/>
      <c r="AC53" s="241"/>
      <c r="AD53" s="246"/>
      <c r="AE53" s="271"/>
      <c r="AF53" s="241"/>
      <c r="AG53" s="241"/>
      <c r="AH53" s="246">
        <v>29.372727272727271</v>
      </c>
      <c r="AI53" s="241"/>
      <c r="AJ53" s="241"/>
      <c r="AK53" s="246" t="s">
        <v>320</v>
      </c>
      <c r="AL53" s="246"/>
      <c r="AM53" s="246"/>
      <c r="AN53" s="246"/>
      <c r="AO53" s="241" t="s">
        <v>368</v>
      </c>
      <c r="AP53" s="272" t="s">
        <v>309</v>
      </c>
      <c r="AQ53" s="246"/>
      <c r="AR53" s="246"/>
      <c r="AS53" s="246" t="s">
        <v>681</v>
      </c>
    </row>
    <row r="54" spans="1:51" x14ac:dyDescent="0.3">
      <c r="A54" s="241">
        <v>4382</v>
      </c>
      <c r="B54" s="306">
        <v>42946</v>
      </c>
      <c r="C54" s="243" t="s">
        <v>322</v>
      </c>
      <c r="D54" s="244" t="s">
        <v>190</v>
      </c>
      <c r="E54" s="241"/>
      <c r="F54" s="241" t="s">
        <v>367</v>
      </c>
      <c r="G54" s="248">
        <v>42916</v>
      </c>
      <c r="H54" s="245" t="s">
        <v>324</v>
      </c>
      <c r="I54" s="245" t="s">
        <v>325</v>
      </c>
      <c r="J54" s="245"/>
      <c r="K54" s="241" t="s">
        <v>403</v>
      </c>
      <c r="L54" s="224" t="s">
        <v>387</v>
      </c>
      <c r="M54" s="246">
        <v>107.62727272727273</v>
      </c>
      <c r="N54" s="246">
        <v>39.336363636363636</v>
      </c>
      <c r="O54" s="241"/>
      <c r="P54" s="241"/>
      <c r="Q54" s="271"/>
      <c r="R54" s="271"/>
      <c r="S54" s="271"/>
      <c r="T54" s="241"/>
      <c r="U54" s="246" t="s">
        <v>320</v>
      </c>
      <c r="V54" s="246" t="s">
        <v>320</v>
      </c>
      <c r="W54" s="246">
        <v>22.963636363636365</v>
      </c>
      <c r="X54" s="241"/>
      <c r="Y54" s="241"/>
      <c r="Z54" s="241"/>
      <c r="AA54" s="241"/>
      <c r="AB54" s="241"/>
      <c r="AC54" s="241"/>
      <c r="AD54" s="246"/>
      <c r="AE54" s="271"/>
      <c r="AF54" s="241"/>
      <c r="AG54" s="241"/>
      <c r="AH54" s="246">
        <v>34.090909090909086</v>
      </c>
      <c r="AI54" s="241"/>
      <c r="AJ54" s="241"/>
      <c r="AK54" s="246" t="s">
        <v>320</v>
      </c>
      <c r="AL54" s="246"/>
      <c r="AM54" s="246"/>
      <c r="AN54" s="246"/>
      <c r="AO54" s="241" t="s">
        <v>368</v>
      </c>
      <c r="AP54" s="272" t="s">
        <v>309</v>
      </c>
      <c r="AQ54" s="246"/>
      <c r="AR54" s="246"/>
      <c r="AS54" s="246" t="s">
        <v>636</v>
      </c>
    </row>
    <row r="55" spans="1:51" x14ac:dyDescent="0.3">
      <c r="A55" s="241">
        <v>10532</v>
      </c>
      <c r="B55" s="306">
        <v>42946</v>
      </c>
      <c r="C55" s="243" t="s">
        <v>322</v>
      </c>
      <c r="D55" s="244" t="s">
        <v>190</v>
      </c>
      <c r="E55" s="241"/>
      <c r="F55" s="241" t="s">
        <v>367</v>
      </c>
      <c r="G55" s="248">
        <v>42916</v>
      </c>
      <c r="H55" s="245" t="s">
        <v>324</v>
      </c>
      <c r="I55" s="245" t="s">
        <v>325</v>
      </c>
      <c r="J55" s="245"/>
      <c r="K55" s="241" t="s">
        <v>348</v>
      </c>
      <c r="L55" s="224" t="s">
        <v>387</v>
      </c>
      <c r="M55" s="246">
        <v>140.08999999999997</v>
      </c>
      <c r="N55" s="246">
        <v>35.050909090909087</v>
      </c>
      <c r="O55" s="241"/>
      <c r="P55" s="241"/>
      <c r="Q55" s="246"/>
      <c r="R55" s="241"/>
      <c r="S55" s="244"/>
      <c r="T55" s="241"/>
      <c r="U55" s="246" t="s">
        <v>320</v>
      </c>
      <c r="V55" s="246" t="s">
        <v>320</v>
      </c>
      <c r="W55" s="246">
        <v>19.179999999999996</v>
      </c>
      <c r="X55" s="241"/>
      <c r="Y55" s="241"/>
      <c r="Z55" s="241"/>
      <c r="AA55" s="241"/>
      <c r="AB55" s="241"/>
      <c r="AC55" s="241"/>
      <c r="AD55" s="246" t="s">
        <v>320</v>
      </c>
      <c r="AE55" s="246"/>
      <c r="AF55" s="241"/>
      <c r="AG55" s="241"/>
      <c r="AH55" s="246">
        <v>33.449999999999996</v>
      </c>
      <c r="AI55" s="241"/>
      <c r="AJ55" s="241"/>
      <c r="AK55" s="246" t="s">
        <v>320</v>
      </c>
      <c r="AL55" s="246"/>
      <c r="AM55" s="246"/>
      <c r="AN55" s="246"/>
      <c r="AO55" s="241" t="s">
        <v>368</v>
      </c>
      <c r="AP55" s="272" t="s">
        <v>309</v>
      </c>
      <c r="AQ55" s="246"/>
      <c r="AR55" s="246"/>
      <c r="AS55" s="246" t="s">
        <v>644</v>
      </c>
      <c r="AT55" s="276"/>
      <c r="AU55" s="246"/>
      <c r="AV55" s="241"/>
      <c r="AW55" s="245"/>
      <c r="AX55" s="245"/>
      <c r="AY55" s="245"/>
    </row>
    <row r="56" spans="1:51" x14ac:dyDescent="0.3">
      <c r="A56" s="241">
        <v>10348</v>
      </c>
      <c r="B56" s="306">
        <v>42946</v>
      </c>
      <c r="C56" s="243" t="s">
        <v>322</v>
      </c>
      <c r="D56" s="244" t="s">
        <v>190</v>
      </c>
      <c r="E56" s="241"/>
      <c r="F56" s="241" t="s">
        <v>367</v>
      </c>
      <c r="G56" s="248">
        <v>42916</v>
      </c>
      <c r="H56" s="245" t="s">
        <v>324</v>
      </c>
      <c r="I56" s="245" t="s">
        <v>325</v>
      </c>
      <c r="J56" s="245"/>
      <c r="K56" s="241" t="s">
        <v>406</v>
      </c>
      <c r="L56" s="224" t="s">
        <v>387</v>
      </c>
      <c r="M56" s="246">
        <v>155.91818181818181</v>
      </c>
      <c r="N56" s="246">
        <v>34.036363636363632</v>
      </c>
      <c r="O56" s="241"/>
      <c r="P56" s="241"/>
      <c r="Q56" s="271"/>
      <c r="R56" s="241"/>
      <c r="S56" s="270"/>
      <c r="T56" s="241"/>
      <c r="U56" s="246"/>
      <c r="V56" s="246"/>
      <c r="W56" s="246">
        <v>17.86363636363636</v>
      </c>
      <c r="X56" s="241"/>
      <c r="Y56" s="241"/>
      <c r="Z56" s="241"/>
      <c r="AA56" s="241"/>
      <c r="AB56" s="241"/>
      <c r="AC56" s="241"/>
      <c r="AD56" s="246"/>
      <c r="AE56" s="271"/>
      <c r="AF56" s="241"/>
      <c r="AG56" s="241"/>
      <c r="AH56" s="246">
        <v>33.090909090909086</v>
      </c>
      <c r="AI56" s="241"/>
      <c r="AJ56" s="241"/>
      <c r="AK56" s="246" t="s">
        <v>320</v>
      </c>
      <c r="AL56" s="246"/>
      <c r="AM56" s="246"/>
      <c r="AN56" s="246"/>
      <c r="AO56" s="241" t="s">
        <v>368</v>
      </c>
      <c r="AP56" s="272" t="s">
        <v>309</v>
      </c>
      <c r="AQ56" s="246"/>
      <c r="AR56" s="246"/>
      <c r="AS56" s="246" t="s">
        <v>647</v>
      </c>
    </row>
    <row r="57" spans="1:51" x14ac:dyDescent="0.3">
      <c r="A57" s="241">
        <v>10690</v>
      </c>
      <c r="B57" s="306">
        <v>42946</v>
      </c>
      <c r="C57" s="243" t="s">
        <v>322</v>
      </c>
      <c r="D57" s="244" t="s">
        <v>190</v>
      </c>
      <c r="E57" s="241"/>
      <c r="F57" s="241" t="s">
        <v>367</v>
      </c>
      <c r="G57" s="248">
        <v>42916</v>
      </c>
      <c r="H57" s="245" t="s">
        <v>324</v>
      </c>
      <c r="I57" s="245" t="s">
        <v>325</v>
      </c>
      <c r="J57" s="245"/>
      <c r="K57" s="241" t="s">
        <v>408</v>
      </c>
      <c r="L57" s="224" t="s">
        <v>387</v>
      </c>
      <c r="M57" s="246">
        <v>150</v>
      </c>
      <c r="N57" s="246">
        <v>29.999999999999996</v>
      </c>
      <c r="O57" s="241"/>
      <c r="P57" s="241"/>
      <c r="Q57" s="271"/>
      <c r="R57" s="241"/>
      <c r="S57" s="270"/>
      <c r="T57" s="241"/>
      <c r="U57" s="246" t="s">
        <v>320</v>
      </c>
      <c r="V57" s="246" t="s">
        <v>320</v>
      </c>
      <c r="W57" s="246">
        <v>18.999999999999996</v>
      </c>
      <c r="X57" s="241"/>
      <c r="Y57" s="241"/>
      <c r="Z57" s="241"/>
      <c r="AA57" s="241"/>
      <c r="AB57" s="241"/>
      <c r="AC57" s="241"/>
      <c r="AD57" s="246"/>
      <c r="AE57" s="271"/>
      <c r="AF57" s="241"/>
      <c r="AG57" s="241"/>
      <c r="AH57" s="246">
        <v>28</v>
      </c>
      <c r="AI57" s="241"/>
      <c r="AJ57" s="241"/>
      <c r="AK57" s="246" t="s">
        <v>320</v>
      </c>
      <c r="AL57" s="246"/>
      <c r="AM57" s="246"/>
      <c r="AN57" s="246"/>
      <c r="AO57" s="241" t="s">
        <v>368</v>
      </c>
      <c r="AP57" s="272" t="s">
        <v>309</v>
      </c>
      <c r="AQ57" s="246"/>
      <c r="AR57" s="246"/>
      <c r="AS57" s="246" t="s">
        <v>648</v>
      </c>
    </row>
    <row r="58" spans="1:51" x14ac:dyDescent="0.3">
      <c r="A58" s="241">
        <v>1412</v>
      </c>
      <c r="B58" s="306">
        <v>42946</v>
      </c>
      <c r="C58" s="243" t="s">
        <v>322</v>
      </c>
      <c r="D58" s="244" t="s">
        <v>190</v>
      </c>
      <c r="E58" s="241"/>
      <c r="F58" s="241" t="s">
        <v>367</v>
      </c>
      <c r="G58" s="248">
        <v>42916</v>
      </c>
      <c r="H58" s="245" t="s">
        <v>324</v>
      </c>
      <c r="I58" s="245" t="s">
        <v>325</v>
      </c>
      <c r="J58" s="245"/>
      <c r="K58" s="241" t="s">
        <v>410</v>
      </c>
      <c r="L58" s="224" t="s">
        <v>387</v>
      </c>
      <c r="M58" s="246">
        <v>142.41818181818181</v>
      </c>
      <c r="N58" s="246">
        <v>36.799999999999997</v>
      </c>
      <c r="O58" s="244"/>
      <c r="P58" s="241"/>
      <c r="Q58" s="271"/>
      <c r="R58" s="241"/>
      <c r="S58" s="270"/>
      <c r="T58" s="241"/>
      <c r="U58" s="246" t="s">
        <v>320</v>
      </c>
      <c r="V58" s="246" t="s">
        <v>320</v>
      </c>
      <c r="W58" s="246">
        <v>20.990909090909089</v>
      </c>
      <c r="X58" s="241"/>
      <c r="Y58" s="241"/>
      <c r="Z58" s="241"/>
      <c r="AA58" s="241"/>
      <c r="AB58" s="241"/>
      <c r="AC58" s="241"/>
      <c r="AD58" s="246"/>
      <c r="AE58" s="271"/>
      <c r="AF58" s="241"/>
      <c r="AG58" s="241"/>
      <c r="AH58" s="246">
        <v>25.518181818181816</v>
      </c>
      <c r="AI58" s="241"/>
      <c r="AJ58" s="241"/>
      <c r="AK58" s="246" t="s">
        <v>320</v>
      </c>
      <c r="AL58" s="246"/>
      <c r="AM58" s="246"/>
      <c r="AN58" s="246"/>
      <c r="AO58" s="241" t="s">
        <v>368</v>
      </c>
      <c r="AP58" s="272" t="s">
        <v>309</v>
      </c>
      <c r="AQ58" s="246"/>
      <c r="AR58" s="246"/>
      <c r="AS58" s="246" t="s">
        <v>653</v>
      </c>
    </row>
    <row r="59" spans="1:51" x14ac:dyDescent="0.3">
      <c r="A59" s="241">
        <v>3612</v>
      </c>
      <c r="B59" s="306">
        <v>42946</v>
      </c>
      <c r="C59" s="243" t="s">
        <v>322</v>
      </c>
      <c r="D59" s="244" t="s">
        <v>190</v>
      </c>
      <c r="E59" s="241"/>
      <c r="F59" s="241" t="s">
        <v>367</v>
      </c>
      <c r="G59" s="248">
        <v>42916</v>
      </c>
      <c r="H59" s="245" t="s">
        <v>324</v>
      </c>
      <c r="I59" s="245" t="s">
        <v>325</v>
      </c>
      <c r="J59" s="245"/>
      <c r="K59" s="241" t="s">
        <v>412</v>
      </c>
      <c r="L59" s="224" t="s">
        <v>387</v>
      </c>
      <c r="M59" s="246">
        <v>137.08181818181816</v>
      </c>
      <c r="N59" s="246">
        <v>34.36363636363636</v>
      </c>
      <c r="O59" s="241"/>
      <c r="P59" s="241"/>
      <c r="Q59" s="271"/>
      <c r="R59" s="241"/>
      <c r="S59" s="270"/>
      <c r="T59" s="241"/>
      <c r="U59" s="246" t="s">
        <v>320</v>
      </c>
      <c r="V59" s="246" t="s">
        <v>320</v>
      </c>
      <c r="W59" s="246">
        <v>21.236363636363635</v>
      </c>
      <c r="X59" s="241"/>
      <c r="Y59" s="241"/>
      <c r="Z59" s="241"/>
      <c r="AA59" s="241"/>
      <c r="AB59" s="241"/>
      <c r="AC59" s="241"/>
      <c r="AD59" s="246"/>
      <c r="AE59" s="271"/>
      <c r="AF59" s="241"/>
      <c r="AG59" s="241"/>
      <c r="AH59" s="246">
        <v>31.299999999999997</v>
      </c>
      <c r="AI59" s="241"/>
      <c r="AJ59" s="241"/>
      <c r="AK59" s="246" t="s">
        <v>320</v>
      </c>
      <c r="AL59" s="246"/>
      <c r="AM59" s="246"/>
      <c r="AN59" s="246"/>
      <c r="AO59" s="241" t="s">
        <v>368</v>
      </c>
      <c r="AP59" s="272" t="s">
        <v>309</v>
      </c>
      <c r="AQ59" s="246"/>
      <c r="AR59" s="246"/>
      <c r="AS59" s="246" t="s">
        <v>661</v>
      </c>
    </row>
    <row r="60" spans="1:51" x14ac:dyDescent="0.3">
      <c r="A60" s="241">
        <v>10383</v>
      </c>
      <c r="B60" s="306">
        <v>42946</v>
      </c>
      <c r="C60" s="243" t="s">
        <v>322</v>
      </c>
      <c r="D60" s="244" t="s">
        <v>190</v>
      </c>
      <c r="E60" s="241"/>
      <c r="F60" s="241" t="s">
        <v>367</v>
      </c>
      <c r="G60" s="248">
        <v>42916</v>
      </c>
      <c r="H60" s="245" t="s">
        <v>310</v>
      </c>
      <c r="I60" s="245" t="s">
        <v>309</v>
      </c>
      <c r="J60" s="245"/>
      <c r="K60" s="241" t="s">
        <v>239</v>
      </c>
      <c r="L60" s="224" t="s">
        <v>387</v>
      </c>
      <c r="M60" s="246">
        <v>166.99999999999997</v>
      </c>
      <c r="N60" s="246">
        <v>29.099999999999994</v>
      </c>
      <c r="O60" s="241"/>
      <c r="P60" s="241"/>
      <c r="Q60" s="271"/>
      <c r="R60" s="241"/>
      <c r="S60" s="270"/>
      <c r="T60" s="241"/>
      <c r="U60" s="246" t="s">
        <v>320</v>
      </c>
      <c r="V60" s="246" t="s">
        <v>320</v>
      </c>
      <c r="W60" s="246">
        <v>17.799999999999997</v>
      </c>
      <c r="X60" s="241"/>
      <c r="Y60" s="241"/>
      <c r="Z60" s="241"/>
      <c r="AA60" s="241"/>
      <c r="AB60" s="241"/>
      <c r="AC60" s="241"/>
      <c r="AD60" s="246"/>
      <c r="AE60" s="271"/>
      <c r="AF60" s="241"/>
      <c r="AG60" s="241"/>
      <c r="AH60" s="246">
        <v>26</v>
      </c>
      <c r="AI60" s="241"/>
      <c r="AJ60" s="241"/>
      <c r="AK60" s="246" t="s">
        <v>320</v>
      </c>
      <c r="AL60" s="246"/>
      <c r="AM60" s="246"/>
      <c r="AN60" s="246"/>
      <c r="AO60" s="241" t="s">
        <v>368</v>
      </c>
      <c r="AP60" s="272" t="s">
        <v>309</v>
      </c>
      <c r="AQ60" s="246"/>
      <c r="AR60" s="246"/>
      <c r="AS60" s="246" t="s">
        <v>670</v>
      </c>
    </row>
    <row r="61" spans="1:51" x14ac:dyDescent="0.3">
      <c r="A61" s="241">
        <v>5194</v>
      </c>
      <c r="B61" s="306">
        <v>42946</v>
      </c>
      <c r="C61" s="243" t="s">
        <v>322</v>
      </c>
      <c r="D61" s="244" t="s">
        <v>190</v>
      </c>
      <c r="E61" s="241"/>
      <c r="F61" s="241" t="s">
        <v>367</v>
      </c>
      <c r="G61" s="248">
        <v>42928</v>
      </c>
      <c r="H61" s="245" t="s">
        <v>324</v>
      </c>
      <c r="I61" s="245" t="s">
        <v>325</v>
      </c>
      <c r="J61" s="245"/>
      <c r="K61" s="241" t="s">
        <v>358</v>
      </c>
      <c r="L61" s="224" t="s">
        <v>387</v>
      </c>
      <c r="M61" s="246">
        <v>156.36363636363635</v>
      </c>
      <c r="N61" s="246">
        <v>23.554545454545451</v>
      </c>
      <c r="O61" s="241"/>
      <c r="P61" s="241"/>
      <c r="Q61" s="271"/>
      <c r="R61" s="241"/>
      <c r="S61" s="270"/>
      <c r="T61" s="241"/>
      <c r="U61" s="246" t="s">
        <v>320</v>
      </c>
      <c r="V61" s="246" t="s">
        <v>320</v>
      </c>
      <c r="W61" s="246">
        <v>23.554545454545451</v>
      </c>
      <c r="X61" s="241"/>
      <c r="Y61" s="241"/>
      <c r="Z61" s="241"/>
      <c r="AA61" s="241"/>
      <c r="AB61" s="241"/>
      <c r="AC61" s="241"/>
      <c r="AD61" s="246"/>
      <c r="AE61" s="271"/>
      <c r="AF61" s="241"/>
      <c r="AG61" s="241"/>
      <c r="AH61" s="246">
        <v>23.554545454545451</v>
      </c>
      <c r="AI61" s="241"/>
      <c r="AJ61" s="241"/>
      <c r="AK61" s="246" t="s">
        <v>320</v>
      </c>
      <c r="AL61" s="246"/>
      <c r="AM61" s="246"/>
      <c r="AN61" s="246"/>
      <c r="AO61" s="241" t="s">
        <v>368</v>
      </c>
      <c r="AP61" s="272" t="s">
        <v>309</v>
      </c>
      <c r="AQ61" s="246"/>
      <c r="AR61" s="246"/>
      <c r="AS61" s="246" t="s">
        <v>685</v>
      </c>
    </row>
    <row r="62" spans="1:51" x14ac:dyDescent="0.3">
      <c r="A62" s="241"/>
      <c r="B62" s="306">
        <v>42946</v>
      </c>
      <c r="C62" s="243" t="s">
        <v>322</v>
      </c>
      <c r="D62" s="244" t="s">
        <v>190</v>
      </c>
      <c r="E62" s="241"/>
      <c r="F62" s="241" t="s">
        <v>367</v>
      </c>
      <c r="G62" s="248">
        <v>42916</v>
      </c>
      <c r="H62" s="245" t="s">
        <v>310</v>
      </c>
      <c r="I62" s="245" t="s">
        <v>309</v>
      </c>
      <c r="J62" s="245"/>
      <c r="K62" s="241" t="s">
        <v>420</v>
      </c>
      <c r="L62" s="224" t="s">
        <v>387</v>
      </c>
      <c r="M62" s="246">
        <v>131.99999999999997</v>
      </c>
      <c r="N62" s="246">
        <v>31</v>
      </c>
      <c r="O62" s="241"/>
      <c r="P62" s="241"/>
      <c r="Q62" s="271"/>
      <c r="R62" s="241"/>
      <c r="S62" s="270"/>
      <c r="T62" s="241"/>
      <c r="U62" s="246"/>
      <c r="V62" s="246"/>
      <c r="W62" s="246">
        <v>19.399999999999999</v>
      </c>
      <c r="X62" s="241"/>
      <c r="Y62" s="241"/>
      <c r="Z62" s="241"/>
      <c r="AA62" s="241"/>
      <c r="AB62" s="241"/>
      <c r="AC62" s="241"/>
      <c r="AD62" s="246"/>
      <c r="AE62" s="271"/>
      <c r="AF62" s="241"/>
      <c r="AG62" s="241"/>
      <c r="AH62" s="246">
        <v>28.999999999999996</v>
      </c>
      <c r="AI62" s="241"/>
      <c r="AJ62" s="241"/>
      <c r="AK62" s="246"/>
      <c r="AL62" s="246"/>
      <c r="AM62" s="246"/>
      <c r="AN62" s="246"/>
      <c r="AO62" s="241" t="s">
        <v>368</v>
      </c>
      <c r="AP62" s="272" t="s">
        <v>309</v>
      </c>
      <c r="AQ62" s="246"/>
      <c r="AR62" s="246"/>
      <c r="AS62" s="246" t="s">
        <v>688</v>
      </c>
    </row>
    <row r="63" spans="1:51" x14ac:dyDescent="0.3">
      <c r="A63" s="241"/>
      <c r="B63" s="306">
        <v>42946</v>
      </c>
      <c r="C63" s="243" t="s">
        <v>322</v>
      </c>
      <c r="D63" s="244" t="s">
        <v>190</v>
      </c>
      <c r="E63" s="241"/>
      <c r="F63" s="241" t="s">
        <v>367</v>
      </c>
      <c r="G63" s="248">
        <v>42936</v>
      </c>
      <c r="H63" s="245" t="s">
        <v>309</v>
      </c>
      <c r="I63" s="245" t="s">
        <v>355</v>
      </c>
      <c r="J63" s="245"/>
      <c r="K63" s="241" t="s">
        <v>424</v>
      </c>
      <c r="L63" s="224" t="s">
        <v>387</v>
      </c>
      <c r="M63" s="246">
        <v>145.30000000000001</v>
      </c>
      <c r="N63" s="246">
        <v>35.199999999999996</v>
      </c>
      <c r="O63" s="241"/>
      <c r="P63" s="241"/>
      <c r="Q63" s="271"/>
      <c r="R63" s="241"/>
      <c r="S63" s="270"/>
      <c r="T63" s="241"/>
      <c r="U63" s="246"/>
      <c r="V63" s="246"/>
      <c r="W63" s="246">
        <v>18.099999999999998</v>
      </c>
      <c r="X63" s="241"/>
      <c r="Y63" s="241"/>
      <c r="Z63" s="241"/>
      <c r="AA63" s="241"/>
      <c r="AB63" s="241"/>
      <c r="AC63" s="241"/>
      <c r="AD63" s="246"/>
      <c r="AE63" s="271"/>
      <c r="AF63" s="241"/>
      <c r="AG63" s="241"/>
      <c r="AH63" s="246">
        <v>33.999999999999993</v>
      </c>
      <c r="AI63" s="241"/>
      <c r="AJ63" s="241"/>
      <c r="AK63" s="246"/>
      <c r="AL63" s="246"/>
      <c r="AM63" s="246"/>
      <c r="AN63" s="246"/>
      <c r="AO63" s="241" t="s">
        <v>368</v>
      </c>
      <c r="AP63" s="272" t="s">
        <v>309</v>
      </c>
      <c r="AQ63" s="246"/>
      <c r="AR63" s="246"/>
      <c r="AS63" s="246" t="s">
        <v>693</v>
      </c>
    </row>
    <row r="64" spans="1:51" x14ac:dyDescent="0.3">
      <c r="A64" s="241"/>
      <c r="B64" s="306">
        <v>42946</v>
      </c>
      <c r="C64" s="243" t="s">
        <v>322</v>
      </c>
      <c r="D64" s="244" t="s">
        <v>190</v>
      </c>
      <c r="E64" s="241"/>
      <c r="F64" s="241" t="s">
        <v>367</v>
      </c>
      <c r="G64" s="247">
        <v>42916</v>
      </c>
      <c r="H64" s="245" t="s">
        <v>310</v>
      </c>
      <c r="I64" s="245" t="s">
        <v>309</v>
      </c>
      <c r="J64" s="245"/>
      <c r="K64" s="244" t="s">
        <v>503</v>
      </c>
      <c r="L64" s="224" t="s">
        <v>387</v>
      </c>
      <c r="M64" s="246">
        <v>130.9</v>
      </c>
      <c r="N64" s="246">
        <v>29.999999999999996</v>
      </c>
      <c r="O64" s="244"/>
      <c r="P64" s="241"/>
      <c r="Q64" s="271"/>
      <c r="R64" s="241"/>
      <c r="S64" s="270"/>
      <c r="T64" s="241"/>
      <c r="U64" s="246"/>
      <c r="V64" s="246"/>
      <c r="W64" s="246">
        <v>23.999999999999996</v>
      </c>
      <c r="X64" s="241"/>
      <c r="Y64" s="241"/>
      <c r="Z64" s="241"/>
      <c r="AA64" s="241"/>
      <c r="AB64" s="241"/>
      <c r="AC64" s="241"/>
      <c r="AD64" s="246"/>
      <c r="AE64" s="271"/>
      <c r="AF64" s="241"/>
      <c r="AG64" s="241"/>
      <c r="AH64" s="246">
        <v>28</v>
      </c>
      <c r="AI64" s="241"/>
      <c r="AJ64" s="241"/>
      <c r="AK64" s="246"/>
      <c r="AL64" s="246"/>
      <c r="AM64" s="246"/>
      <c r="AN64" s="246"/>
      <c r="AO64" s="241" t="s">
        <v>368</v>
      </c>
      <c r="AP64" s="272" t="s">
        <v>309</v>
      </c>
      <c r="AQ64" s="246"/>
      <c r="AR64" s="246"/>
      <c r="AS64" s="241" t="s">
        <v>703</v>
      </c>
    </row>
  </sheetData>
  <sheetProtection algorithmName="SHA-512" hashValue="SfGFMUdGSx0eL8OH1F9WquQutsEeTckuNufpJsbMDN+iit0ZVEJXFDSHXVrYi/CNQpc38x9Qca/G8/39n1tdXw==" saltValue="iADs9EuwNQE12S50kSIWGw==" spinCount="100000" sheet="1" objects="1" scenarios="1"/>
  <phoneticPr fontId="5" type="noConversion"/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E0D0F-5275-0446-9D8E-F3F6C38FA7F1}">
  <sheetPr codeName="Sheet56"/>
  <dimension ref="A1:AS68"/>
  <sheetViews>
    <sheetView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.4609375" bestFit="1" customWidth="1"/>
    <col min="12" max="12" width="15.15234375" customWidth="1"/>
    <col min="31" max="31" width="12.84375" bestFit="1" customWidth="1"/>
    <col min="38" max="38" width="17.4609375" customWidth="1"/>
  </cols>
  <sheetData>
    <row r="1" spans="1:43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ht="13" customHeight="1" x14ac:dyDescent="0.35">
      <c r="A2" s="278">
        <v>10410</v>
      </c>
      <c r="B2" s="306">
        <v>42946</v>
      </c>
      <c r="C2" s="243" t="s">
        <v>322</v>
      </c>
      <c r="D2" s="281" t="s">
        <v>373</v>
      </c>
      <c r="E2" s="241"/>
      <c r="F2" s="241" t="s">
        <v>323</v>
      </c>
      <c r="G2" s="247">
        <v>42928</v>
      </c>
      <c r="H2" s="245" t="s">
        <v>324</v>
      </c>
      <c r="I2" s="245" t="s">
        <v>325</v>
      </c>
      <c r="J2" s="245"/>
      <c r="K2" s="241" t="s">
        <v>326</v>
      </c>
      <c r="L2" s="284" t="s">
        <v>387</v>
      </c>
      <c r="M2" s="285">
        <v>90.86363636363636</v>
      </c>
      <c r="N2" s="285">
        <v>23.963636363636361</v>
      </c>
      <c r="O2" s="278"/>
      <c r="P2" s="278"/>
      <c r="Q2" s="286"/>
      <c r="R2" s="278"/>
      <c r="S2" s="287"/>
      <c r="T2" s="278"/>
      <c r="U2" s="288" t="s">
        <v>320</v>
      </c>
      <c r="V2" s="285" t="s">
        <v>320</v>
      </c>
      <c r="W2" s="285"/>
      <c r="X2" s="278"/>
      <c r="Y2" s="278"/>
      <c r="Z2" s="278"/>
      <c r="AA2" s="278"/>
      <c r="AB2" s="278"/>
      <c r="AC2" s="278"/>
      <c r="AD2" s="285" t="s">
        <v>320</v>
      </c>
      <c r="AE2" s="285"/>
      <c r="AF2" s="278"/>
      <c r="AG2" s="278"/>
      <c r="AH2" s="285"/>
      <c r="AI2" s="278"/>
      <c r="AJ2" s="278"/>
      <c r="AK2" s="285" t="s">
        <v>320</v>
      </c>
      <c r="AL2" s="278"/>
      <c r="AM2" s="285" t="s">
        <v>320</v>
      </c>
      <c r="AN2" s="285" t="s">
        <v>320</v>
      </c>
      <c r="AO2" s="278" t="s">
        <v>327</v>
      </c>
      <c r="AP2" s="283" t="s">
        <v>325</v>
      </c>
      <c r="AQ2" s="285" t="s">
        <v>475</v>
      </c>
    </row>
    <row r="3" spans="1:43" ht="13" customHeight="1" x14ac:dyDescent="0.35">
      <c r="A3" s="278">
        <v>10497</v>
      </c>
      <c r="B3" s="306">
        <v>42946</v>
      </c>
      <c r="C3" s="280" t="s">
        <v>322</v>
      </c>
      <c r="D3" s="281" t="s">
        <v>373</v>
      </c>
      <c r="E3" s="278"/>
      <c r="F3" s="278" t="s">
        <v>323</v>
      </c>
      <c r="G3" s="290">
        <v>42916</v>
      </c>
      <c r="H3" s="283" t="s">
        <v>324</v>
      </c>
      <c r="I3" s="283" t="s">
        <v>325</v>
      </c>
      <c r="J3" s="283"/>
      <c r="K3" s="278" t="s">
        <v>328</v>
      </c>
      <c r="L3" s="284" t="s">
        <v>387</v>
      </c>
      <c r="M3" s="285">
        <v>84</v>
      </c>
      <c r="N3" s="285">
        <v>24.581818181818178</v>
      </c>
      <c r="O3" s="278"/>
      <c r="P3" s="278"/>
      <c r="Q3" s="286"/>
      <c r="R3" s="278"/>
      <c r="S3" s="287"/>
      <c r="T3" s="278"/>
      <c r="U3" s="288" t="s">
        <v>320</v>
      </c>
      <c r="V3" s="285" t="s">
        <v>320</v>
      </c>
      <c r="W3" s="285"/>
      <c r="X3" s="278"/>
      <c r="Y3" s="278"/>
      <c r="Z3" s="278"/>
      <c r="AA3" s="278"/>
      <c r="AB3" s="278"/>
      <c r="AC3" s="278"/>
      <c r="AD3" s="285" t="s">
        <v>320</v>
      </c>
      <c r="AE3" s="285"/>
      <c r="AF3" s="278"/>
      <c r="AG3" s="278"/>
      <c r="AH3" s="285"/>
      <c r="AI3" s="278"/>
      <c r="AJ3" s="278"/>
      <c r="AK3" s="285" t="s">
        <v>320</v>
      </c>
      <c r="AL3" s="278"/>
      <c r="AM3" s="285" t="s">
        <v>320</v>
      </c>
      <c r="AN3" s="285" t="s">
        <v>320</v>
      </c>
      <c r="AO3" s="278" t="s">
        <v>327</v>
      </c>
      <c r="AP3" s="283" t="s">
        <v>325</v>
      </c>
      <c r="AQ3" s="285" t="s">
        <v>627</v>
      </c>
    </row>
    <row r="4" spans="1:43" ht="13" customHeight="1" x14ac:dyDescent="0.35">
      <c r="A4" s="278">
        <v>4650</v>
      </c>
      <c r="B4" s="306">
        <v>42946</v>
      </c>
      <c r="C4" s="280" t="s">
        <v>322</v>
      </c>
      <c r="D4" s="281" t="s">
        <v>373</v>
      </c>
      <c r="E4" s="278"/>
      <c r="F4" s="278" t="s">
        <v>323</v>
      </c>
      <c r="G4" s="290">
        <v>42916</v>
      </c>
      <c r="H4" s="283" t="s">
        <v>324</v>
      </c>
      <c r="I4" s="283" t="s">
        <v>325</v>
      </c>
      <c r="J4" s="283"/>
      <c r="K4" s="278" t="s">
        <v>331</v>
      </c>
      <c r="L4" s="284" t="s">
        <v>387</v>
      </c>
      <c r="M4" s="285">
        <v>65</v>
      </c>
      <c r="N4" s="285">
        <v>25.66363636363636</v>
      </c>
      <c r="O4" s="278"/>
      <c r="P4" s="278"/>
      <c r="Q4" s="288"/>
      <c r="R4" s="278"/>
      <c r="S4" s="287"/>
      <c r="T4" s="278"/>
      <c r="U4" s="288" t="s">
        <v>320</v>
      </c>
      <c r="V4" s="285" t="s">
        <v>320</v>
      </c>
      <c r="W4" s="285"/>
      <c r="X4" s="278"/>
      <c r="Y4" s="278"/>
      <c r="Z4" s="278"/>
      <c r="AA4" s="278"/>
      <c r="AB4" s="278"/>
      <c r="AC4" s="278"/>
      <c r="AD4" s="285" t="s">
        <v>320</v>
      </c>
      <c r="AE4" s="285"/>
      <c r="AF4" s="278"/>
      <c r="AG4" s="278"/>
      <c r="AH4" s="285"/>
      <c r="AI4" s="278"/>
      <c r="AJ4" s="278"/>
      <c r="AK4" s="285" t="s">
        <v>320</v>
      </c>
      <c r="AL4" s="278"/>
      <c r="AM4" s="285" t="s">
        <v>320</v>
      </c>
      <c r="AN4" s="285" t="s">
        <v>320</v>
      </c>
      <c r="AO4" s="278" t="s">
        <v>327</v>
      </c>
      <c r="AP4" s="283" t="s">
        <v>325</v>
      </c>
      <c r="AQ4" s="285" t="s">
        <v>707</v>
      </c>
    </row>
    <row r="5" spans="1:43" ht="13" customHeight="1" x14ac:dyDescent="0.35">
      <c r="A5" s="278">
        <v>1439</v>
      </c>
      <c r="B5" s="306">
        <v>42946</v>
      </c>
      <c r="C5" s="280" t="s">
        <v>322</v>
      </c>
      <c r="D5" s="281" t="s">
        <v>373</v>
      </c>
      <c r="E5" s="278"/>
      <c r="F5" s="278" t="s">
        <v>323</v>
      </c>
      <c r="G5" s="290">
        <v>42916</v>
      </c>
      <c r="H5" s="283" t="s">
        <v>324</v>
      </c>
      <c r="I5" s="283" t="s">
        <v>325</v>
      </c>
      <c r="J5" s="283"/>
      <c r="K5" s="278" t="s">
        <v>479</v>
      </c>
      <c r="L5" s="284" t="s">
        <v>387</v>
      </c>
      <c r="M5" s="285">
        <v>72</v>
      </c>
      <c r="N5" s="285">
        <v>25.418181818181818</v>
      </c>
      <c r="O5" s="278"/>
      <c r="P5" s="278"/>
      <c r="Q5" s="288"/>
      <c r="R5" s="285"/>
      <c r="S5" s="287"/>
      <c r="T5" s="278"/>
      <c r="U5" s="288" t="s">
        <v>320</v>
      </c>
      <c r="V5" s="285" t="s">
        <v>320</v>
      </c>
      <c r="W5" s="285"/>
      <c r="X5" s="278"/>
      <c r="Y5" s="278"/>
      <c r="Z5" s="278"/>
      <c r="AA5" s="278"/>
      <c r="AB5" s="278"/>
      <c r="AC5" s="278"/>
      <c r="AD5" s="285" t="s">
        <v>320</v>
      </c>
      <c r="AE5" s="285"/>
      <c r="AF5" s="278"/>
      <c r="AG5" s="278"/>
      <c r="AH5" s="285"/>
      <c r="AI5" s="278"/>
      <c r="AJ5" s="278"/>
      <c r="AK5" s="285" t="s">
        <v>320</v>
      </c>
      <c r="AL5" s="278"/>
      <c r="AM5" s="285" t="s">
        <v>320</v>
      </c>
      <c r="AN5" s="285" t="s">
        <v>320</v>
      </c>
      <c r="AO5" s="278" t="s">
        <v>327</v>
      </c>
      <c r="AP5" s="283" t="s">
        <v>325</v>
      </c>
      <c r="AQ5" s="285" t="s">
        <v>709</v>
      </c>
    </row>
    <row r="6" spans="1:43" ht="13" customHeight="1" x14ac:dyDescent="0.35">
      <c r="A6" s="278">
        <v>1481</v>
      </c>
      <c r="B6" s="306">
        <v>42946</v>
      </c>
      <c r="C6" s="243" t="s">
        <v>322</v>
      </c>
      <c r="D6" s="281" t="s">
        <v>373</v>
      </c>
      <c r="E6" s="241"/>
      <c r="F6" s="241" t="s">
        <v>323</v>
      </c>
      <c r="G6" s="248">
        <v>42916</v>
      </c>
      <c r="H6" s="283" t="s">
        <v>324</v>
      </c>
      <c r="I6" s="283" t="s">
        <v>325</v>
      </c>
      <c r="J6" s="283"/>
      <c r="K6" s="278" t="s">
        <v>397</v>
      </c>
      <c r="L6" s="284" t="s">
        <v>387</v>
      </c>
      <c r="M6" s="285">
        <v>109.99999999999999</v>
      </c>
      <c r="N6" s="285">
        <v>21.799999999999997</v>
      </c>
      <c r="O6" s="278"/>
      <c r="P6" s="278"/>
      <c r="Q6" s="288"/>
      <c r="R6" s="278"/>
      <c r="S6" s="287"/>
      <c r="T6" s="278"/>
      <c r="U6" s="288" t="s">
        <v>320</v>
      </c>
      <c r="V6" s="285" t="s">
        <v>320</v>
      </c>
      <c r="W6" s="285"/>
      <c r="X6" s="278"/>
      <c r="Y6" s="278"/>
      <c r="Z6" s="278"/>
      <c r="AA6" s="278"/>
      <c r="AB6" s="278"/>
      <c r="AC6" s="278"/>
      <c r="AD6" s="285" t="s">
        <v>320</v>
      </c>
      <c r="AE6" s="285"/>
      <c r="AF6" s="278"/>
      <c r="AG6" s="278"/>
      <c r="AH6" s="285"/>
      <c r="AI6" s="278"/>
      <c r="AJ6" s="278"/>
      <c r="AK6" s="285" t="s">
        <v>320</v>
      </c>
      <c r="AL6" s="278"/>
      <c r="AM6" s="285" t="s">
        <v>320</v>
      </c>
      <c r="AN6" s="285" t="s">
        <v>320</v>
      </c>
      <c r="AO6" s="278" t="s">
        <v>327</v>
      </c>
      <c r="AP6" s="283" t="s">
        <v>325</v>
      </c>
      <c r="AQ6" s="285" t="s">
        <v>481</v>
      </c>
    </row>
    <row r="7" spans="1:43" ht="13" customHeight="1" x14ac:dyDescent="0.35">
      <c r="A7" s="278">
        <v>10260</v>
      </c>
      <c r="B7" s="306">
        <v>42946</v>
      </c>
      <c r="C7" s="280" t="s">
        <v>322</v>
      </c>
      <c r="D7" s="281" t="s">
        <v>373</v>
      </c>
      <c r="E7" s="278"/>
      <c r="F7" s="278" t="s">
        <v>323</v>
      </c>
      <c r="G7" s="248">
        <v>42916</v>
      </c>
      <c r="H7" s="283" t="s">
        <v>324</v>
      </c>
      <c r="I7" s="283" t="s">
        <v>325</v>
      </c>
      <c r="J7" s="283"/>
      <c r="K7" s="278" t="s">
        <v>340</v>
      </c>
      <c r="L7" s="284" t="s">
        <v>387</v>
      </c>
      <c r="M7" s="285">
        <v>80</v>
      </c>
      <c r="N7" s="285">
        <v>24.981818181818181</v>
      </c>
      <c r="O7" s="278"/>
      <c r="P7" s="278"/>
      <c r="Q7" s="288"/>
      <c r="R7" s="278"/>
      <c r="S7" s="287"/>
      <c r="T7" s="278"/>
      <c r="U7" s="288" t="s">
        <v>320</v>
      </c>
      <c r="V7" s="285" t="s">
        <v>320</v>
      </c>
      <c r="W7" s="285"/>
      <c r="X7" s="278"/>
      <c r="Y7" s="278"/>
      <c r="Z7" s="278"/>
      <c r="AA7" s="278"/>
      <c r="AB7" s="278"/>
      <c r="AC7" s="278"/>
      <c r="AD7" s="285" t="s">
        <v>320</v>
      </c>
      <c r="AE7" s="285"/>
      <c r="AF7" s="278"/>
      <c r="AG7" s="278"/>
      <c r="AH7" s="285"/>
      <c r="AI7" s="278"/>
      <c r="AJ7" s="278"/>
      <c r="AK7" s="285" t="s">
        <v>320</v>
      </c>
      <c r="AL7" s="278"/>
      <c r="AM7" s="285" t="s">
        <v>320</v>
      </c>
      <c r="AN7" s="285" t="s">
        <v>320</v>
      </c>
      <c r="AO7" s="278" t="s">
        <v>327</v>
      </c>
      <c r="AP7" s="283" t="s">
        <v>325</v>
      </c>
      <c r="AQ7" s="285" t="s">
        <v>482</v>
      </c>
    </row>
    <row r="8" spans="1:43" ht="13" customHeight="1" x14ac:dyDescent="0.35">
      <c r="A8" s="278">
        <v>5636</v>
      </c>
      <c r="B8" s="306">
        <v>42946</v>
      </c>
      <c r="C8" s="280" t="s">
        <v>322</v>
      </c>
      <c r="D8" s="281" t="s">
        <v>373</v>
      </c>
      <c r="E8" s="278"/>
      <c r="F8" s="278" t="s">
        <v>323</v>
      </c>
      <c r="G8" s="248">
        <v>42916</v>
      </c>
      <c r="H8" s="283" t="s">
        <v>324</v>
      </c>
      <c r="I8" s="283" t="s">
        <v>325</v>
      </c>
      <c r="J8" s="283"/>
      <c r="K8" s="278" t="s">
        <v>401</v>
      </c>
      <c r="L8" s="284" t="s">
        <v>387</v>
      </c>
      <c r="M8" s="285">
        <v>94.372727272727261</v>
      </c>
      <c r="N8" s="285">
        <v>23.627272727272725</v>
      </c>
      <c r="O8" s="278"/>
      <c r="P8" s="278"/>
      <c r="Q8" s="288"/>
      <c r="R8" s="278"/>
      <c r="S8" s="287"/>
      <c r="T8" s="278"/>
      <c r="U8" s="288" t="s">
        <v>320</v>
      </c>
      <c r="V8" s="285" t="s">
        <v>320</v>
      </c>
      <c r="W8" s="285"/>
      <c r="X8" s="278"/>
      <c r="Y8" s="278"/>
      <c r="Z8" s="278"/>
      <c r="AA8" s="278"/>
      <c r="AB8" s="278"/>
      <c r="AC8" s="278"/>
      <c r="AD8" s="285" t="s">
        <v>320</v>
      </c>
      <c r="AE8" s="285"/>
      <c r="AF8" s="278"/>
      <c r="AG8" s="278"/>
      <c r="AH8" s="285"/>
      <c r="AI8" s="278"/>
      <c r="AJ8" s="278"/>
      <c r="AK8" s="285" t="s">
        <v>320</v>
      </c>
      <c r="AL8" s="278"/>
      <c r="AM8" s="285" t="s">
        <v>320</v>
      </c>
      <c r="AN8" s="285" t="s">
        <v>320</v>
      </c>
      <c r="AO8" s="278" t="s">
        <v>327</v>
      </c>
      <c r="AP8" s="283" t="s">
        <v>325</v>
      </c>
      <c r="AQ8" s="285" t="s">
        <v>710</v>
      </c>
    </row>
    <row r="9" spans="1:43" ht="13" customHeight="1" x14ac:dyDescent="0.35">
      <c r="A9" s="278">
        <v>4371</v>
      </c>
      <c r="B9" s="306">
        <v>42946</v>
      </c>
      <c r="C9" s="280" t="s">
        <v>322</v>
      </c>
      <c r="D9" s="281" t="s">
        <v>373</v>
      </c>
      <c r="E9" s="278"/>
      <c r="F9" s="278" t="s">
        <v>323</v>
      </c>
      <c r="G9" s="290">
        <v>42916</v>
      </c>
      <c r="H9" s="283" t="s">
        <v>324</v>
      </c>
      <c r="I9" s="283" t="s">
        <v>325</v>
      </c>
      <c r="J9" s="283"/>
      <c r="K9" s="278" t="s">
        <v>403</v>
      </c>
      <c r="L9" s="284" t="s">
        <v>387</v>
      </c>
      <c r="M9" s="285">
        <v>89.781818181818181</v>
      </c>
      <c r="N9" s="285">
        <v>24.063636363636359</v>
      </c>
      <c r="O9" s="278"/>
      <c r="P9" s="278"/>
      <c r="Q9" s="288"/>
      <c r="R9" s="294"/>
      <c r="S9" s="287"/>
      <c r="T9" s="278"/>
      <c r="U9" s="288" t="s">
        <v>320</v>
      </c>
      <c r="V9" s="285" t="s">
        <v>320</v>
      </c>
      <c r="W9" s="285"/>
      <c r="X9" s="278"/>
      <c r="Y9" s="278"/>
      <c r="Z9" s="278"/>
      <c r="AA9" s="278"/>
      <c r="AB9" s="278"/>
      <c r="AC9" s="278"/>
      <c r="AD9" s="285" t="s">
        <v>320</v>
      </c>
      <c r="AE9" s="285"/>
      <c r="AF9" s="278"/>
      <c r="AG9" s="278"/>
      <c r="AH9" s="285"/>
      <c r="AI9" s="278"/>
      <c r="AJ9" s="278"/>
      <c r="AK9" s="285" t="s">
        <v>320</v>
      </c>
      <c r="AL9" s="278"/>
      <c r="AM9" s="285" t="s">
        <v>320</v>
      </c>
      <c r="AN9" s="285" t="s">
        <v>320</v>
      </c>
      <c r="AO9" s="278" t="s">
        <v>327</v>
      </c>
      <c r="AP9" s="283" t="s">
        <v>325</v>
      </c>
      <c r="AQ9" s="285" t="s">
        <v>639</v>
      </c>
    </row>
    <row r="10" spans="1:43" ht="13" customHeight="1" x14ac:dyDescent="0.35">
      <c r="A10" s="278">
        <v>10521</v>
      </c>
      <c r="B10" s="306">
        <v>42946</v>
      </c>
      <c r="C10" s="280" t="s">
        <v>322</v>
      </c>
      <c r="D10" s="281" t="s">
        <v>373</v>
      </c>
      <c r="E10" s="278"/>
      <c r="F10" s="278" t="s">
        <v>323</v>
      </c>
      <c r="G10" s="290">
        <v>42916</v>
      </c>
      <c r="H10" s="283" t="s">
        <v>324</v>
      </c>
      <c r="I10" s="283" t="s">
        <v>325</v>
      </c>
      <c r="J10" s="283"/>
      <c r="K10" s="278" t="s">
        <v>348</v>
      </c>
      <c r="L10" s="284" t="s">
        <v>387</v>
      </c>
      <c r="M10" s="285">
        <v>80.439999999999984</v>
      </c>
      <c r="N10" s="285">
        <v>24.939999999999998</v>
      </c>
      <c r="O10" s="278"/>
      <c r="P10" s="278"/>
      <c r="Q10" s="288"/>
      <c r="R10" s="278"/>
      <c r="S10" s="287"/>
      <c r="T10" s="278"/>
      <c r="U10" s="288" t="s">
        <v>320</v>
      </c>
      <c r="V10" s="285" t="s">
        <v>320</v>
      </c>
      <c r="W10" s="285"/>
      <c r="X10" s="278"/>
      <c r="Y10" s="278"/>
      <c r="Z10" s="278"/>
      <c r="AA10" s="278"/>
      <c r="AB10" s="278"/>
      <c r="AC10" s="278"/>
      <c r="AD10" s="285" t="s">
        <v>320</v>
      </c>
      <c r="AE10" s="285"/>
      <c r="AF10" s="278"/>
      <c r="AG10" s="278"/>
      <c r="AH10" s="285"/>
      <c r="AI10" s="278"/>
      <c r="AJ10" s="278"/>
      <c r="AK10" s="285" t="s">
        <v>320</v>
      </c>
      <c r="AL10" s="278"/>
      <c r="AM10" s="285" t="s">
        <v>320</v>
      </c>
      <c r="AN10" s="285" t="s">
        <v>320</v>
      </c>
      <c r="AO10" s="278" t="s">
        <v>327</v>
      </c>
      <c r="AP10" s="283" t="s">
        <v>325</v>
      </c>
      <c r="AQ10" s="285" t="s">
        <v>645</v>
      </c>
    </row>
    <row r="11" spans="1:43" ht="13" customHeight="1" x14ac:dyDescent="0.35">
      <c r="A11" s="278">
        <v>10330</v>
      </c>
      <c r="B11" s="306">
        <v>42946</v>
      </c>
      <c r="C11" s="280" t="s">
        <v>322</v>
      </c>
      <c r="D11" s="281" t="s">
        <v>373</v>
      </c>
      <c r="E11" s="278"/>
      <c r="F11" s="278" t="s">
        <v>323</v>
      </c>
      <c r="G11" s="290">
        <v>42916</v>
      </c>
      <c r="H11" s="283" t="s">
        <v>324</v>
      </c>
      <c r="I11" s="283" t="s">
        <v>325</v>
      </c>
      <c r="J11" s="283"/>
      <c r="K11" s="278" t="s">
        <v>406</v>
      </c>
      <c r="L11" s="284" t="s">
        <v>387</v>
      </c>
      <c r="M11" s="285">
        <v>90.86363636363636</v>
      </c>
      <c r="N11" s="285">
        <v>23.963636363636361</v>
      </c>
      <c r="O11" s="278"/>
      <c r="P11" s="278"/>
      <c r="Q11" s="288"/>
      <c r="R11" s="278"/>
      <c r="S11" s="287"/>
      <c r="T11" s="278"/>
      <c r="U11" s="288" t="s">
        <v>320</v>
      </c>
      <c r="V11" s="285" t="s">
        <v>320</v>
      </c>
      <c r="W11" s="285"/>
      <c r="X11" s="278"/>
      <c r="Y11" s="278"/>
      <c r="Z11" s="278"/>
      <c r="AA11" s="278"/>
      <c r="AB11" s="278"/>
      <c r="AC11" s="278"/>
      <c r="AD11" s="285" t="s">
        <v>320</v>
      </c>
      <c r="AE11" s="285"/>
      <c r="AF11" s="278"/>
      <c r="AG11" s="278"/>
      <c r="AH11" s="285"/>
      <c r="AI11" s="278"/>
      <c r="AJ11" s="278"/>
      <c r="AK11" s="285" t="s">
        <v>320</v>
      </c>
      <c r="AL11" s="278"/>
      <c r="AM11" s="285" t="s">
        <v>320</v>
      </c>
      <c r="AN11" s="285" t="s">
        <v>320</v>
      </c>
      <c r="AO11" s="278" t="s">
        <v>327</v>
      </c>
      <c r="AP11" s="283" t="s">
        <v>325</v>
      </c>
      <c r="AQ11" s="285" t="s">
        <v>647</v>
      </c>
    </row>
    <row r="12" spans="1:43" ht="13" customHeight="1" x14ac:dyDescent="0.35">
      <c r="A12" s="278">
        <v>10665</v>
      </c>
      <c r="B12" s="306">
        <v>42946</v>
      </c>
      <c r="C12" s="280" t="s">
        <v>322</v>
      </c>
      <c r="D12" s="281" t="s">
        <v>373</v>
      </c>
      <c r="E12" s="278"/>
      <c r="F12" s="278" t="s">
        <v>323</v>
      </c>
      <c r="G12" s="290">
        <v>42916</v>
      </c>
      <c r="H12" s="283" t="s">
        <v>324</v>
      </c>
      <c r="I12" s="283" t="s">
        <v>325</v>
      </c>
      <c r="J12" s="283"/>
      <c r="K12" s="278" t="s">
        <v>408</v>
      </c>
      <c r="L12" s="284" t="s">
        <v>387</v>
      </c>
      <c r="M12" s="285">
        <v>99.999999999999986</v>
      </c>
      <c r="N12" s="285">
        <v>23</v>
      </c>
      <c r="O12" s="278"/>
      <c r="P12" s="278"/>
      <c r="Q12" s="288"/>
      <c r="R12" s="278"/>
      <c r="S12" s="287"/>
      <c r="T12" s="278"/>
      <c r="U12" s="288" t="s">
        <v>320</v>
      </c>
      <c r="V12" s="285" t="s">
        <v>320</v>
      </c>
      <c r="W12" s="285"/>
      <c r="X12" s="278"/>
      <c r="Y12" s="278"/>
      <c r="Z12" s="278"/>
      <c r="AA12" s="278"/>
      <c r="AB12" s="278"/>
      <c r="AC12" s="278"/>
      <c r="AD12" s="285" t="s">
        <v>320</v>
      </c>
      <c r="AE12" s="285"/>
      <c r="AF12" s="278"/>
      <c r="AG12" s="278"/>
      <c r="AH12" s="285"/>
      <c r="AI12" s="278"/>
      <c r="AJ12" s="278"/>
      <c r="AK12" s="285" t="s">
        <v>320</v>
      </c>
      <c r="AL12" s="278"/>
      <c r="AM12" s="285" t="s">
        <v>320</v>
      </c>
      <c r="AN12" s="285" t="s">
        <v>320</v>
      </c>
      <c r="AO12" s="278" t="s">
        <v>327</v>
      </c>
      <c r="AP12" s="283" t="s">
        <v>325</v>
      </c>
      <c r="AQ12" s="285" t="s">
        <v>649</v>
      </c>
    </row>
    <row r="13" spans="1:43" ht="13" customHeight="1" x14ac:dyDescent="0.35">
      <c r="A13" s="278">
        <v>1387</v>
      </c>
      <c r="B13" s="306">
        <v>42946</v>
      </c>
      <c r="C13" s="280" t="s">
        <v>322</v>
      </c>
      <c r="D13" s="281" t="s">
        <v>373</v>
      </c>
      <c r="E13" s="278"/>
      <c r="F13" s="278" t="s">
        <v>323</v>
      </c>
      <c r="G13" s="290">
        <v>42916</v>
      </c>
      <c r="H13" s="283" t="s">
        <v>324</v>
      </c>
      <c r="I13" s="283" t="s">
        <v>325</v>
      </c>
      <c r="J13" s="283"/>
      <c r="K13" s="278" t="s">
        <v>410</v>
      </c>
      <c r="L13" s="284" t="s">
        <v>387</v>
      </c>
      <c r="M13" s="285">
        <v>92.3</v>
      </c>
      <c r="N13" s="285">
        <v>23.490909090909089</v>
      </c>
      <c r="O13" s="281"/>
      <c r="P13" s="278"/>
      <c r="Q13" s="288"/>
      <c r="R13" s="278"/>
      <c r="S13" s="287"/>
      <c r="T13" s="278"/>
      <c r="U13" s="288" t="s">
        <v>320</v>
      </c>
      <c r="V13" s="285" t="s">
        <v>320</v>
      </c>
      <c r="W13" s="285"/>
      <c r="X13" s="278"/>
      <c r="Y13" s="278"/>
      <c r="Z13" s="278"/>
      <c r="AA13" s="278"/>
      <c r="AB13" s="278"/>
      <c r="AC13" s="278"/>
      <c r="AD13" s="285" t="s">
        <v>320</v>
      </c>
      <c r="AE13" s="285"/>
      <c r="AF13" s="278"/>
      <c r="AG13" s="278"/>
      <c r="AH13" s="285"/>
      <c r="AI13" s="278"/>
      <c r="AJ13" s="278"/>
      <c r="AK13" s="285" t="s">
        <v>320</v>
      </c>
      <c r="AL13" s="278"/>
      <c r="AM13" s="285" t="s">
        <v>320</v>
      </c>
      <c r="AN13" s="285" t="s">
        <v>320</v>
      </c>
      <c r="AO13" s="278" t="s">
        <v>327</v>
      </c>
      <c r="AP13" s="283" t="s">
        <v>325</v>
      </c>
      <c r="AQ13" s="285" t="s">
        <v>656</v>
      </c>
    </row>
    <row r="14" spans="1:43" ht="13" customHeight="1" x14ac:dyDescent="0.35">
      <c r="A14" s="278">
        <v>3593</v>
      </c>
      <c r="B14" s="306">
        <v>42946</v>
      </c>
      <c r="C14" s="280" t="s">
        <v>322</v>
      </c>
      <c r="D14" s="281" t="s">
        <v>373</v>
      </c>
      <c r="E14" s="278"/>
      <c r="F14" s="278" t="s">
        <v>323</v>
      </c>
      <c r="G14" s="290">
        <v>42916</v>
      </c>
      <c r="H14" s="283" t="s">
        <v>324</v>
      </c>
      <c r="I14" s="283" t="s">
        <v>325</v>
      </c>
      <c r="J14" s="283"/>
      <c r="K14" s="278" t="s">
        <v>412</v>
      </c>
      <c r="L14" s="284" t="s">
        <v>387</v>
      </c>
      <c r="M14" s="285">
        <v>85.999999999999986</v>
      </c>
      <c r="N14" s="285">
        <v>24.418181818181814</v>
      </c>
      <c r="O14" s="307" t="s">
        <v>351</v>
      </c>
      <c r="P14" s="307">
        <v>1000</v>
      </c>
      <c r="Q14" s="285">
        <v>25.5</v>
      </c>
      <c r="R14" s="307">
        <v>1000</v>
      </c>
      <c r="S14" s="285">
        <v>25.5</v>
      </c>
      <c r="T14" s="278"/>
      <c r="U14" s="288" t="s">
        <v>320</v>
      </c>
      <c r="V14" s="285" t="s">
        <v>320</v>
      </c>
      <c r="W14" s="285"/>
      <c r="X14" s="278"/>
      <c r="Y14" s="278"/>
      <c r="Z14" s="278"/>
      <c r="AA14" s="278"/>
      <c r="AB14" s="278"/>
      <c r="AC14" s="278"/>
      <c r="AD14" s="285" t="s">
        <v>320</v>
      </c>
      <c r="AE14" s="285"/>
      <c r="AF14" s="278"/>
      <c r="AG14" s="278"/>
      <c r="AH14" s="285"/>
      <c r="AI14" s="278"/>
      <c r="AJ14" s="278"/>
      <c r="AK14" s="285" t="s">
        <v>320</v>
      </c>
      <c r="AL14" s="278"/>
      <c r="AM14" s="285" t="s">
        <v>320</v>
      </c>
      <c r="AN14" s="285" t="s">
        <v>320</v>
      </c>
      <c r="AO14" s="278" t="s">
        <v>327</v>
      </c>
      <c r="AP14" s="283" t="s">
        <v>325</v>
      </c>
      <c r="AQ14" s="285" t="s">
        <v>662</v>
      </c>
    </row>
    <row r="15" spans="1:43" ht="13" customHeight="1" x14ac:dyDescent="0.35">
      <c r="A15" s="278">
        <v>10368</v>
      </c>
      <c r="B15" s="306">
        <v>42946</v>
      </c>
      <c r="C15" s="280" t="s">
        <v>322</v>
      </c>
      <c r="D15" s="281" t="s">
        <v>373</v>
      </c>
      <c r="E15" s="278"/>
      <c r="F15" s="278" t="s">
        <v>323</v>
      </c>
      <c r="G15" s="290">
        <v>42916</v>
      </c>
      <c r="H15" s="283" t="s">
        <v>310</v>
      </c>
      <c r="I15" s="283" t="s">
        <v>309</v>
      </c>
      <c r="J15" s="283"/>
      <c r="K15" s="278" t="s">
        <v>374</v>
      </c>
      <c r="L15" s="284" t="s">
        <v>387</v>
      </c>
      <c r="M15" s="285">
        <v>99.999999999999986</v>
      </c>
      <c r="N15" s="285">
        <v>23</v>
      </c>
      <c r="O15" s="278" t="s">
        <v>351</v>
      </c>
      <c r="P15" s="278">
        <v>1350</v>
      </c>
      <c r="Q15" s="285">
        <v>26.4</v>
      </c>
      <c r="R15" s="308">
        <v>1350</v>
      </c>
      <c r="S15" s="285">
        <v>26.4</v>
      </c>
      <c r="T15" s="278"/>
      <c r="U15" s="288" t="s">
        <v>320</v>
      </c>
      <c r="V15" s="285" t="s">
        <v>320</v>
      </c>
      <c r="W15" s="285"/>
      <c r="X15" s="278"/>
      <c r="Y15" s="278"/>
      <c r="Z15" s="278"/>
      <c r="AA15" s="278"/>
      <c r="AB15" s="278"/>
      <c r="AC15" s="278"/>
      <c r="AD15" s="285" t="s">
        <v>320</v>
      </c>
      <c r="AE15" s="285"/>
      <c r="AF15" s="278"/>
      <c r="AG15" s="278"/>
      <c r="AH15" s="285"/>
      <c r="AI15" s="278"/>
      <c r="AJ15" s="278"/>
      <c r="AK15" s="285" t="s">
        <v>320</v>
      </c>
      <c r="AL15" s="278"/>
      <c r="AM15" s="285" t="s">
        <v>320</v>
      </c>
      <c r="AN15" s="285" t="s">
        <v>320</v>
      </c>
      <c r="AO15" s="278" t="s">
        <v>327</v>
      </c>
      <c r="AP15" s="283" t="s">
        <v>325</v>
      </c>
      <c r="AQ15" s="285" t="s">
        <v>671</v>
      </c>
    </row>
    <row r="16" spans="1:43" ht="13" customHeight="1" x14ac:dyDescent="0.35">
      <c r="A16" s="278">
        <v>9900</v>
      </c>
      <c r="B16" s="306">
        <v>42946</v>
      </c>
      <c r="C16" s="280" t="s">
        <v>322</v>
      </c>
      <c r="D16" s="281" t="s">
        <v>373</v>
      </c>
      <c r="E16" s="278"/>
      <c r="F16" s="278" t="s">
        <v>323</v>
      </c>
      <c r="G16" s="290">
        <v>42916</v>
      </c>
      <c r="H16" s="283" t="s">
        <v>309</v>
      </c>
      <c r="I16" s="283" t="s">
        <v>355</v>
      </c>
      <c r="J16" s="283"/>
      <c r="K16" s="281" t="s">
        <v>354</v>
      </c>
      <c r="L16" s="284" t="s">
        <v>387</v>
      </c>
      <c r="M16" s="285">
        <v>114.99999999999999</v>
      </c>
      <c r="N16" s="285">
        <v>21.472727272727273</v>
      </c>
      <c r="O16" s="278"/>
      <c r="P16" s="278"/>
      <c r="Q16" s="288"/>
      <c r="R16" s="308"/>
      <c r="S16" s="287"/>
      <c r="T16" s="278"/>
      <c r="U16" s="288" t="s">
        <v>320</v>
      </c>
      <c r="V16" s="285" t="s">
        <v>320</v>
      </c>
      <c r="W16" s="285"/>
      <c r="X16" s="278"/>
      <c r="Y16" s="278"/>
      <c r="Z16" s="278"/>
      <c r="AA16" s="278"/>
      <c r="AB16" s="278"/>
      <c r="AC16" s="278"/>
      <c r="AD16" s="285" t="s">
        <v>320</v>
      </c>
      <c r="AE16" s="285"/>
      <c r="AF16" s="278"/>
      <c r="AG16" s="278"/>
      <c r="AH16" s="285"/>
      <c r="AI16" s="278"/>
      <c r="AJ16" s="278"/>
      <c r="AK16" s="285" t="s">
        <v>320</v>
      </c>
      <c r="AL16" s="278"/>
      <c r="AM16" s="285" t="s">
        <v>320</v>
      </c>
      <c r="AN16" s="285" t="s">
        <v>320</v>
      </c>
      <c r="AO16" s="278" t="s">
        <v>327</v>
      </c>
      <c r="AP16" s="283" t="s">
        <v>325</v>
      </c>
      <c r="AQ16" s="285" t="s">
        <v>713</v>
      </c>
    </row>
    <row r="17" spans="1:45" ht="13" customHeight="1" x14ac:dyDescent="0.35">
      <c r="A17" s="278">
        <v>10028</v>
      </c>
      <c r="B17" s="306">
        <v>42946</v>
      </c>
      <c r="C17" s="280" t="s">
        <v>322</v>
      </c>
      <c r="D17" s="281" t="s">
        <v>373</v>
      </c>
      <c r="E17" s="278"/>
      <c r="F17" s="278" t="s">
        <v>323</v>
      </c>
      <c r="G17" s="293">
        <v>42947</v>
      </c>
      <c r="H17" s="296" t="s">
        <v>309</v>
      </c>
      <c r="I17" s="296" t="s">
        <v>355</v>
      </c>
      <c r="J17" s="283"/>
      <c r="K17" s="281" t="s">
        <v>417</v>
      </c>
      <c r="L17" s="284" t="s">
        <v>387</v>
      </c>
      <c r="M17" s="285">
        <v>91.581818181818164</v>
      </c>
      <c r="N17" s="285">
        <v>23.9</v>
      </c>
      <c r="O17" s="278"/>
      <c r="P17" s="278"/>
      <c r="Q17" s="288"/>
      <c r="R17" s="308"/>
      <c r="S17" s="287"/>
      <c r="T17" s="278"/>
      <c r="U17" s="288" t="s">
        <v>320</v>
      </c>
      <c r="V17" s="285" t="s">
        <v>320</v>
      </c>
      <c r="W17" s="285"/>
      <c r="X17" s="278"/>
      <c r="Y17" s="278"/>
      <c r="Z17" s="278"/>
      <c r="AA17" s="278"/>
      <c r="AB17" s="278"/>
      <c r="AC17" s="278"/>
      <c r="AD17" s="285" t="s">
        <v>320</v>
      </c>
      <c r="AE17" s="285"/>
      <c r="AF17" s="278"/>
      <c r="AG17" s="278"/>
      <c r="AH17" s="285"/>
      <c r="AI17" s="278"/>
      <c r="AJ17" s="278"/>
      <c r="AK17" s="285" t="s">
        <v>320</v>
      </c>
      <c r="AL17" s="278"/>
      <c r="AM17" s="285" t="s">
        <v>320</v>
      </c>
      <c r="AN17" s="285" t="s">
        <v>320</v>
      </c>
      <c r="AO17" s="278" t="s">
        <v>327</v>
      </c>
      <c r="AP17" s="283" t="s">
        <v>325</v>
      </c>
      <c r="AQ17" s="285" t="s">
        <v>715</v>
      </c>
    </row>
    <row r="18" spans="1:45" ht="13" customHeight="1" x14ac:dyDescent="0.35">
      <c r="A18" s="278"/>
      <c r="B18" s="306">
        <v>42946</v>
      </c>
      <c r="C18" s="280" t="s">
        <v>322</v>
      </c>
      <c r="D18" s="281" t="s">
        <v>373</v>
      </c>
      <c r="E18" s="278"/>
      <c r="F18" s="278" t="s">
        <v>323</v>
      </c>
      <c r="G18" s="293">
        <v>42928</v>
      </c>
      <c r="H18" s="296" t="s">
        <v>309</v>
      </c>
      <c r="I18" s="296" t="s">
        <v>355</v>
      </c>
      <c r="J18" s="283"/>
      <c r="K18" s="281" t="s">
        <v>388</v>
      </c>
      <c r="L18" s="284" t="s">
        <v>387</v>
      </c>
      <c r="M18" s="285">
        <v>79.090909090909079</v>
      </c>
      <c r="N18" s="285">
        <v>22.636363636363633</v>
      </c>
      <c r="O18" s="278"/>
      <c r="P18" s="278"/>
      <c r="Q18" s="288"/>
      <c r="R18" s="308"/>
      <c r="S18" s="287"/>
      <c r="T18" s="278"/>
      <c r="U18" s="288" t="s">
        <v>320</v>
      </c>
      <c r="V18" s="285" t="s">
        <v>320</v>
      </c>
      <c r="W18" s="285"/>
      <c r="X18" s="278"/>
      <c r="Y18" s="278"/>
      <c r="Z18" s="278"/>
      <c r="AA18" s="278"/>
      <c r="AB18" s="278"/>
      <c r="AC18" s="278"/>
      <c r="AD18" s="285" t="s">
        <v>320</v>
      </c>
      <c r="AE18" s="285"/>
      <c r="AF18" s="278"/>
      <c r="AG18" s="278"/>
      <c r="AH18" s="285"/>
      <c r="AI18" s="278"/>
      <c r="AJ18" s="278"/>
      <c r="AK18" s="285" t="s">
        <v>320</v>
      </c>
      <c r="AL18" s="278"/>
      <c r="AM18" s="285" t="s">
        <v>320</v>
      </c>
      <c r="AN18" s="285" t="s">
        <v>320</v>
      </c>
      <c r="AO18" s="278" t="s">
        <v>327</v>
      </c>
      <c r="AP18" s="283" t="s">
        <v>325</v>
      </c>
      <c r="AQ18" s="285" t="s">
        <v>716</v>
      </c>
    </row>
    <row r="19" spans="1:45" ht="13" customHeight="1" x14ac:dyDescent="0.35">
      <c r="A19" s="278"/>
      <c r="B19" s="306">
        <v>42946</v>
      </c>
      <c r="C19" s="280" t="s">
        <v>322</v>
      </c>
      <c r="D19" s="281" t="s">
        <v>373</v>
      </c>
      <c r="E19" s="278"/>
      <c r="F19" s="278" t="s">
        <v>323</v>
      </c>
      <c r="G19" s="290">
        <v>42916</v>
      </c>
      <c r="H19" s="296" t="s">
        <v>310</v>
      </c>
      <c r="I19" s="296" t="s">
        <v>309</v>
      </c>
      <c r="J19" s="283"/>
      <c r="K19" s="281" t="s">
        <v>420</v>
      </c>
      <c r="L19" s="284" t="s">
        <v>387</v>
      </c>
      <c r="M19" s="285">
        <v>70</v>
      </c>
      <c r="N19" s="285">
        <v>25.918181818181818</v>
      </c>
      <c r="O19" s="278"/>
      <c r="P19" s="278"/>
      <c r="Q19" s="288"/>
      <c r="R19" s="308"/>
      <c r="S19" s="287"/>
      <c r="T19" s="278"/>
      <c r="U19" s="288" t="s">
        <v>320</v>
      </c>
      <c r="V19" s="285" t="s">
        <v>320</v>
      </c>
      <c r="W19" s="285"/>
      <c r="X19" s="278"/>
      <c r="Y19" s="278"/>
      <c r="Z19" s="278"/>
      <c r="AA19" s="278"/>
      <c r="AB19" s="278"/>
      <c r="AC19" s="278"/>
      <c r="AD19" s="285" t="s">
        <v>320</v>
      </c>
      <c r="AE19" s="285"/>
      <c r="AF19" s="278"/>
      <c r="AG19" s="278"/>
      <c r="AH19" s="285"/>
      <c r="AI19" s="278"/>
      <c r="AJ19" s="278"/>
      <c r="AK19" s="285" t="s">
        <v>320</v>
      </c>
      <c r="AL19" s="278"/>
      <c r="AM19" s="285" t="s">
        <v>320</v>
      </c>
      <c r="AN19" s="285" t="s">
        <v>320</v>
      </c>
      <c r="AO19" s="278" t="s">
        <v>327</v>
      </c>
      <c r="AP19" s="283" t="s">
        <v>325</v>
      </c>
      <c r="AQ19" s="285" t="s">
        <v>719</v>
      </c>
    </row>
    <row r="20" spans="1:45" ht="13" customHeight="1" x14ac:dyDescent="0.35">
      <c r="A20" s="278"/>
      <c r="B20" s="306">
        <v>42946</v>
      </c>
      <c r="C20" s="280" t="s">
        <v>322</v>
      </c>
      <c r="D20" s="281" t="s">
        <v>373</v>
      </c>
      <c r="E20" s="278"/>
      <c r="F20" s="278" t="s">
        <v>323</v>
      </c>
      <c r="G20" s="290">
        <v>42916</v>
      </c>
      <c r="H20" s="296" t="s">
        <v>310</v>
      </c>
      <c r="I20" s="296" t="s">
        <v>495</v>
      </c>
      <c r="J20" s="283"/>
      <c r="K20" s="281" t="s">
        <v>422</v>
      </c>
      <c r="L20" s="284" t="s">
        <v>387</v>
      </c>
      <c r="M20" s="285">
        <v>91.963636363636354</v>
      </c>
      <c r="N20" s="285">
        <v>23.75454545454545</v>
      </c>
      <c r="O20" s="278"/>
      <c r="P20" s="278"/>
      <c r="Q20" s="288"/>
      <c r="R20" s="308"/>
      <c r="S20" s="287"/>
      <c r="T20" s="278"/>
      <c r="U20" s="288" t="s">
        <v>320</v>
      </c>
      <c r="V20" s="285" t="s">
        <v>320</v>
      </c>
      <c r="W20" s="285"/>
      <c r="X20" s="278"/>
      <c r="Y20" s="278"/>
      <c r="Z20" s="278"/>
      <c r="AA20" s="278"/>
      <c r="AB20" s="278"/>
      <c r="AC20" s="278"/>
      <c r="AD20" s="285" t="s">
        <v>320</v>
      </c>
      <c r="AE20" s="285"/>
      <c r="AF20" s="278"/>
      <c r="AG20" s="278"/>
      <c r="AH20" s="285"/>
      <c r="AI20" s="278"/>
      <c r="AJ20" s="278"/>
      <c r="AK20" s="285" t="s">
        <v>320</v>
      </c>
      <c r="AL20" s="278"/>
      <c r="AM20" s="285" t="s">
        <v>320</v>
      </c>
      <c r="AN20" s="285" t="s">
        <v>320</v>
      </c>
      <c r="AO20" s="278" t="s">
        <v>327</v>
      </c>
      <c r="AP20" s="283" t="s">
        <v>325</v>
      </c>
      <c r="AQ20" s="285" t="s">
        <v>722</v>
      </c>
    </row>
    <row r="21" spans="1:45" ht="13" customHeight="1" x14ac:dyDescent="0.35">
      <c r="A21" s="278"/>
      <c r="B21" s="306">
        <v>42946</v>
      </c>
      <c r="C21" s="280" t="s">
        <v>322</v>
      </c>
      <c r="D21" s="281" t="s">
        <v>373</v>
      </c>
      <c r="E21" s="278"/>
      <c r="F21" s="278" t="s">
        <v>323</v>
      </c>
      <c r="G21" s="293">
        <v>42936</v>
      </c>
      <c r="H21" s="296" t="s">
        <v>309</v>
      </c>
      <c r="I21" s="296" t="s">
        <v>355</v>
      </c>
      <c r="J21" s="283"/>
      <c r="K21" s="281" t="s">
        <v>424</v>
      </c>
      <c r="L21" s="284" t="s">
        <v>387</v>
      </c>
      <c r="M21" s="285">
        <v>79.8</v>
      </c>
      <c r="N21" s="285">
        <v>24.9</v>
      </c>
      <c r="O21" s="278"/>
      <c r="P21" s="278"/>
      <c r="Q21" s="288"/>
      <c r="R21" s="308"/>
      <c r="S21" s="287"/>
      <c r="T21" s="278"/>
      <c r="U21" s="288" t="s">
        <v>320</v>
      </c>
      <c r="V21" s="285" t="s">
        <v>320</v>
      </c>
      <c r="W21" s="285"/>
      <c r="X21" s="278"/>
      <c r="Y21" s="278"/>
      <c r="Z21" s="278"/>
      <c r="AA21" s="278"/>
      <c r="AB21" s="278"/>
      <c r="AC21" s="278"/>
      <c r="AD21" s="285" t="s">
        <v>320</v>
      </c>
      <c r="AE21" s="285"/>
      <c r="AF21" s="278"/>
      <c r="AG21" s="278"/>
      <c r="AH21" s="285"/>
      <c r="AI21" s="278"/>
      <c r="AJ21" s="278"/>
      <c r="AK21" s="285" t="s">
        <v>320</v>
      </c>
      <c r="AL21" s="278"/>
      <c r="AM21" s="285" t="s">
        <v>320</v>
      </c>
      <c r="AN21" s="285" t="s">
        <v>320</v>
      </c>
      <c r="AO21" s="278" t="s">
        <v>327</v>
      </c>
      <c r="AP21" s="283" t="s">
        <v>325</v>
      </c>
      <c r="AQ21" s="285" t="s">
        <v>723</v>
      </c>
    </row>
    <row r="22" spans="1:45" ht="13" customHeight="1" x14ac:dyDescent="0.35">
      <c r="A22" s="278"/>
      <c r="B22" s="306">
        <v>42946</v>
      </c>
      <c r="C22" s="280" t="s">
        <v>322</v>
      </c>
      <c r="D22" s="281" t="s">
        <v>373</v>
      </c>
      <c r="E22" s="278"/>
      <c r="F22" s="278" t="s">
        <v>323</v>
      </c>
      <c r="G22" s="293">
        <v>42916</v>
      </c>
      <c r="H22" s="296" t="s">
        <v>309</v>
      </c>
      <c r="I22" s="296" t="s">
        <v>355</v>
      </c>
      <c r="J22" s="283"/>
      <c r="K22" s="281" t="s">
        <v>430</v>
      </c>
      <c r="L22" s="284" t="s">
        <v>387</v>
      </c>
      <c r="M22" s="285">
        <v>86.48181818181817</v>
      </c>
      <c r="N22" s="285">
        <v>23.981818181818181</v>
      </c>
      <c r="O22" s="278"/>
      <c r="P22" s="278"/>
      <c r="Q22" s="288"/>
      <c r="R22" s="308"/>
      <c r="S22" s="287"/>
      <c r="T22" s="278"/>
      <c r="U22" s="288" t="s">
        <v>320</v>
      </c>
      <c r="V22" s="285" t="s">
        <v>320</v>
      </c>
      <c r="W22" s="285"/>
      <c r="X22" s="278"/>
      <c r="Y22" s="278"/>
      <c r="Z22" s="278"/>
      <c r="AA22" s="278"/>
      <c r="AB22" s="278"/>
      <c r="AC22" s="278"/>
      <c r="AD22" s="285" t="s">
        <v>320</v>
      </c>
      <c r="AE22" s="285"/>
      <c r="AF22" s="278"/>
      <c r="AG22" s="278"/>
      <c r="AH22" s="285"/>
      <c r="AI22" s="278"/>
      <c r="AJ22" s="278"/>
      <c r="AK22" s="285" t="s">
        <v>320</v>
      </c>
      <c r="AL22" s="278"/>
      <c r="AM22" s="285" t="s">
        <v>320</v>
      </c>
      <c r="AN22" s="285" t="s">
        <v>320</v>
      </c>
      <c r="AO22" s="278" t="s">
        <v>327</v>
      </c>
      <c r="AP22" s="283" t="s">
        <v>325</v>
      </c>
      <c r="AQ22" s="285" t="s">
        <v>725</v>
      </c>
    </row>
    <row r="23" spans="1:45" ht="13" customHeight="1" x14ac:dyDescent="0.35">
      <c r="A23" s="278"/>
      <c r="B23" s="306">
        <v>42946</v>
      </c>
      <c r="C23" s="280" t="s">
        <v>322</v>
      </c>
      <c r="D23" s="281" t="s">
        <v>373</v>
      </c>
      <c r="E23" s="278"/>
      <c r="F23" s="278" t="s">
        <v>323</v>
      </c>
      <c r="G23" s="293">
        <v>42916</v>
      </c>
      <c r="H23" s="296" t="s">
        <v>310</v>
      </c>
      <c r="I23" s="296" t="s">
        <v>309</v>
      </c>
      <c r="J23" s="283"/>
      <c r="K23" s="281" t="s">
        <v>501</v>
      </c>
      <c r="L23" s="284" t="s">
        <v>387</v>
      </c>
      <c r="M23" s="285">
        <v>104.99999999999999</v>
      </c>
      <c r="N23" s="285">
        <v>22.499999999999996</v>
      </c>
      <c r="O23" s="278"/>
      <c r="P23" s="278"/>
      <c r="Q23" s="288"/>
      <c r="R23" s="308"/>
      <c r="S23" s="287"/>
      <c r="T23" s="278"/>
      <c r="U23" s="288" t="s">
        <v>320</v>
      </c>
      <c r="V23" s="285" t="s">
        <v>320</v>
      </c>
      <c r="W23" s="285"/>
      <c r="X23" s="278"/>
      <c r="Y23" s="278"/>
      <c r="Z23" s="278"/>
      <c r="AA23" s="278"/>
      <c r="AB23" s="278"/>
      <c r="AC23" s="278"/>
      <c r="AD23" s="285" t="s">
        <v>320</v>
      </c>
      <c r="AE23" s="285"/>
      <c r="AF23" s="278"/>
      <c r="AG23" s="278"/>
      <c r="AH23" s="285"/>
      <c r="AI23" s="278"/>
      <c r="AJ23" s="278"/>
      <c r="AK23" s="285" t="s">
        <v>320</v>
      </c>
      <c r="AL23" s="278"/>
      <c r="AM23" s="285" t="s">
        <v>320</v>
      </c>
      <c r="AN23" s="285" t="s">
        <v>320</v>
      </c>
      <c r="AO23" s="278" t="s">
        <v>327</v>
      </c>
      <c r="AP23" s="283" t="s">
        <v>325</v>
      </c>
      <c r="AQ23" s="285" t="s">
        <v>726</v>
      </c>
    </row>
    <row r="24" spans="1:45" ht="13" customHeight="1" x14ac:dyDescent="0.35">
      <c r="A24" s="278"/>
      <c r="B24" s="306">
        <v>42946</v>
      </c>
      <c r="C24" s="280" t="s">
        <v>322</v>
      </c>
      <c r="D24" s="281" t="s">
        <v>373</v>
      </c>
      <c r="E24" s="278"/>
      <c r="F24" s="278" t="s">
        <v>323</v>
      </c>
      <c r="G24" s="293">
        <v>42916</v>
      </c>
      <c r="H24" s="296" t="s">
        <v>310</v>
      </c>
      <c r="I24" s="296" t="s">
        <v>309</v>
      </c>
      <c r="J24" s="283"/>
      <c r="K24" s="304" t="s">
        <v>503</v>
      </c>
      <c r="L24" s="284" t="s">
        <v>387</v>
      </c>
      <c r="M24" s="285">
        <v>82.999999999999986</v>
      </c>
      <c r="N24" s="285">
        <v>24.7</v>
      </c>
      <c r="O24" s="278"/>
      <c r="P24" s="278"/>
      <c r="Q24" s="288"/>
      <c r="R24" s="308"/>
      <c r="S24" s="287"/>
      <c r="T24" s="278"/>
      <c r="U24" s="288" t="s">
        <v>320</v>
      </c>
      <c r="V24" s="285" t="s">
        <v>320</v>
      </c>
      <c r="W24" s="285"/>
      <c r="X24" s="278"/>
      <c r="Y24" s="278"/>
      <c r="Z24" s="278"/>
      <c r="AA24" s="278"/>
      <c r="AB24" s="278"/>
      <c r="AC24" s="278"/>
      <c r="AD24" s="285" t="s">
        <v>320</v>
      </c>
      <c r="AE24" s="285"/>
      <c r="AF24" s="278"/>
      <c r="AG24" s="278"/>
      <c r="AH24" s="285"/>
      <c r="AI24" s="278"/>
      <c r="AJ24" s="278"/>
      <c r="AK24" s="285" t="s">
        <v>320</v>
      </c>
      <c r="AL24" s="278"/>
      <c r="AM24" s="285" t="s">
        <v>320</v>
      </c>
      <c r="AN24" s="285" t="s">
        <v>320</v>
      </c>
      <c r="AO24" s="278" t="s">
        <v>327</v>
      </c>
      <c r="AP24" s="283" t="s">
        <v>325</v>
      </c>
      <c r="AQ24" s="285" t="s">
        <v>728</v>
      </c>
    </row>
    <row r="25" spans="1:45" s="320" customFormat="1" ht="13" customHeight="1" x14ac:dyDescent="0.35">
      <c r="A25" s="252"/>
      <c r="B25" s="306">
        <v>42946</v>
      </c>
      <c r="C25" s="312" t="s">
        <v>322</v>
      </c>
      <c r="D25" s="252" t="s">
        <v>373</v>
      </c>
      <c r="E25" s="252"/>
      <c r="F25" s="321" t="s">
        <v>323</v>
      </c>
      <c r="G25" s="313">
        <v>42915</v>
      </c>
      <c r="H25" s="253" t="s">
        <v>310</v>
      </c>
      <c r="I25" s="253" t="s">
        <v>309</v>
      </c>
      <c r="J25" s="253"/>
      <c r="K25" s="252" t="s">
        <v>695</v>
      </c>
      <c r="L25" s="314" t="s">
        <v>387</v>
      </c>
      <c r="M25" s="285">
        <v>119.99999999999999</v>
      </c>
      <c r="N25" s="285">
        <v>21.2</v>
      </c>
      <c r="O25" s="316" t="s">
        <v>351</v>
      </c>
      <c r="P25" s="316">
        <v>1825</v>
      </c>
      <c r="Q25" s="285">
        <v>22.499999999999996</v>
      </c>
      <c r="R25" s="316">
        <v>1825</v>
      </c>
      <c r="S25" s="285">
        <v>22.499999999999996</v>
      </c>
      <c r="T25" s="252"/>
      <c r="U25" s="318"/>
      <c r="V25" s="318"/>
      <c r="W25" s="315"/>
      <c r="X25" s="252"/>
      <c r="Y25" s="252"/>
      <c r="Z25" s="252"/>
      <c r="AA25" s="252"/>
      <c r="AB25" s="252"/>
      <c r="AC25" s="252"/>
      <c r="AD25" s="318"/>
      <c r="AE25" s="315"/>
      <c r="AF25" s="252"/>
      <c r="AG25" s="252"/>
      <c r="AH25" s="315"/>
      <c r="AI25" s="252"/>
      <c r="AJ25" s="252"/>
      <c r="AK25" s="318"/>
      <c r="AL25" s="318"/>
      <c r="AM25" s="318"/>
      <c r="AN25" s="318"/>
      <c r="AO25" s="252" t="s">
        <v>327</v>
      </c>
      <c r="AP25" s="319" t="s">
        <v>309</v>
      </c>
      <c r="AQ25" s="318" t="s">
        <v>730</v>
      </c>
      <c r="AR25" s="318"/>
      <c r="AS25" s="318"/>
    </row>
    <row r="26" spans="1:45" s="320" customFormat="1" ht="13" customHeight="1" x14ac:dyDescent="0.35">
      <c r="A26" s="252"/>
      <c r="B26" s="306">
        <v>42946</v>
      </c>
      <c r="C26" s="312" t="s">
        <v>322</v>
      </c>
      <c r="D26" s="252" t="s">
        <v>373</v>
      </c>
      <c r="E26" s="252"/>
      <c r="F26" s="321" t="s">
        <v>323</v>
      </c>
      <c r="G26" s="313">
        <v>42720</v>
      </c>
      <c r="H26" s="253" t="s">
        <v>310</v>
      </c>
      <c r="I26" s="253" t="s">
        <v>309</v>
      </c>
      <c r="J26" s="253"/>
      <c r="K26" s="252" t="s">
        <v>698</v>
      </c>
      <c r="L26" s="314" t="s">
        <v>387</v>
      </c>
      <c r="M26" s="285">
        <v>85</v>
      </c>
      <c r="N26" s="285">
        <v>21.563636363636363</v>
      </c>
      <c r="O26" s="252"/>
      <c r="P26" s="252"/>
      <c r="Q26" s="315"/>
      <c r="R26" s="252"/>
      <c r="S26" s="317"/>
      <c r="T26" s="252"/>
      <c r="U26" s="318"/>
      <c r="V26" s="318"/>
      <c r="W26" s="315"/>
      <c r="X26" s="252"/>
      <c r="Y26" s="252"/>
      <c r="Z26" s="252"/>
      <c r="AA26" s="252"/>
      <c r="AB26" s="252"/>
      <c r="AC26" s="252"/>
      <c r="AD26" s="318"/>
      <c r="AE26" s="315"/>
      <c r="AF26" s="252"/>
      <c r="AG26" s="252"/>
      <c r="AH26" s="315"/>
      <c r="AI26" s="252"/>
      <c r="AJ26" s="252"/>
      <c r="AK26" s="318"/>
      <c r="AL26" s="318"/>
      <c r="AM26" s="318"/>
      <c r="AN26" s="318"/>
      <c r="AO26" s="252" t="s">
        <v>327</v>
      </c>
      <c r="AP26" s="319" t="s">
        <v>309</v>
      </c>
      <c r="AQ26" s="318" t="s">
        <v>731</v>
      </c>
      <c r="AR26" s="318"/>
      <c r="AS26" s="318"/>
    </row>
    <row r="27" spans="1:45" ht="13" customHeight="1" x14ac:dyDescent="0.35">
      <c r="A27" s="278">
        <v>10411</v>
      </c>
      <c r="B27" s="306">
        <v>42946</v>
      </c>
      <c r="C27" s="243" t="s">
        <v>322</v>
      </c>
      <c r="D27" s="281" t="s">
        <v>373</v>
      </c>
      <c r="E27" s="241"/>
      <c r="F27" s="278" t="s">
        <v>360</v>
      </c>
      <c r="G27" s="247">
        <v>42928</v>
      </c>
      <c r="H27" s="245" t="s">
        <v>324</v>
      </c>
      <c r="I27" s="245" t="s">
        <v>325</v>
      </c>
      <c r="J27" s="245"/>
      <c r="K27" s="241" t="s">
        <v>326</v>
      </c>
      <c r="L27" s="284" t="s">
        <v>387</v>
      </c>
      <c r="M27" s="285">
        <v>90.86363636363636</v>
      </c>
      <c r="N27" s="285">
        <v>23.963636363636361</v>
      </c>
      <c r="O27" s="278"/>
      <c r="P27" s="278"/>
      <c r="Q27" s="288"/>
      <c r="R27" s="308"/>
      <c r="S27" s="287"/>
      <c r="T27" s="278"/>
      <c r="U27" s="288" t="s">
        <v>320</v>
      </c>
      <c r="V27" s="285" t="s">
        <v>320</v>
      </c>
      <c r="W27" s="285"/>
      <c r="X27" s="278"/>
      <c r="Y27" s="278"/>
      <c r="Z27" s="278"/>
      <c r="AA27" s="278"/>
      <c r="AB27" s="278"/>
      <c r="AC27" s="278"/>
      <c r="AD27" s="285" t="s">
        <v>320</v>
      </c>
      <c r="AE27" s="285">
        <v>12.818181818181817</v>
      </c>
      <c r="AF27" s="278"/>
      <c r="AG27" s="278"/>
      <c r="AH27" s="285"/>
      <c r="AI27" s="278"/>
      <c r="AJ27" s="278"/>
      <c r="AK27" s="285" t="s">
        <v>320</v>
      </c>
      <c r="AL27" s="278"/>
      <c r="AM27" s="285" t="s">
        <v>320</v>
      </c>
      <c r="AN27" s="285" t="s">
        <v>320</v>
      </c>
      <c r="AO27" s="278" t="s">
        <v>361</v>
      </c>
      <c r="AP27" s="283" t="s">
        <v>325</v>
      </c>
      <c r="AQ27" s="285" t="s">
        <v>505</v>
      </c>
    </row>
    <row r="28" spans="1:45" ht="13" customHeight="1" x14ac:dyDescent="0.35">
      <c r="A28" s="278">
        <v>10498</v>
      </c>
      <c r="B28" s="306">
        <v>42946</v>
      </c>
      <c r="C28" s="280" t="s">
        <v>322</v>
      </c>
      <c r="D28" s="281" t="s">
        <v>373</v>
      </c>
      <c r="E28" s="278"/>
      <c r="F28" s="278" t="s">
        <v>360</v>
      </c>
      <c r="G28" s="290">
        <v>42916</v>
      </c>
      <c r="H28" s="283" t="s">
        <v>324</v>
      </c>
      <c r="I28" s="283" t="s">
        <v>325</v>
      </c>
      <c r="J28" s="283"/>
      <c r="K28" s="278" t="s">
        <v>328</v>
      </c>
      <c r="L28" s="284" t="s">
        <v>387</v>
      </c>
      <c r="M28" s="285">
        <v>87.999999999999986</v>
      </c>
      <c r="N28" s="285">
        <v>24.581818181818178</v>
      </c>
      <c r="O28" s="278"/>
      <c r="P28" s="278"/>
      <c r="Q28" s="288"/>
      <c r="R28" s="308"/>
      <c r="S28" s="287"/>
      <c r="T28" s="278"/>
      <c r="U28" s="288" t="s">
        <v>320</v>
      </c>
      <c r="V28" s="285" t="s">
        <v>320</v>
      </c>
      <c r="W28" s="285"/>
      <c r="X28" s="278"/>
      <c r="Y28" s="278"/>
      <c r="Z28" s="278"/>
      <c r="AA28" s="278"/>
      <c r="AB28" s="278"/>
      <c r="AC28" s="278"/>
      <c r="AD28" s="285" t="s">
        <v>320</v>
      </c>
      <c r="AE28" s="285">
        <v>11.09090909090909</v>
      </c>
      <c r="AF28" s="278"/>
      <c r="AG28" s="278"/>
      <c r="AH28" s="285"/>
      <c r="AI28" s="278"/>
      <c r="AJ28" s="278"/>
      <c r="AK28" s="285" t="s">
        <v>320</v>
      </c>
      <c r="AL28" s="278"/>
      <c r="AM28" s="285" t="s">
        <v>320</v>
      </c>
      <c r="AN28" s="285" t="s">
        <v>320</v>
      </c>
      <c r="AO28" s="278" t="s">
        <v>361</v>
      </c>
      <c r="AP28" s="283" t="s">
        <v>325</v>
      </c>
      <c r="AQ28" s="285" t="s">
        <v>628</v>
      </c>
    </row>
    <row r="29" spans="1:45" ht="13" customHeight="1" x14ac:dyDescent="0.35">
      <c r="A29" s="278">
        <v>4651</v>
      </c>
      <c r="B29" s="306">
        <v>42946</v>
      </c>
      <c r="C29" s="280" t="s">
        <v>322</v>
      </c>
      <c r="D29" s="281" t="s">
        <v>373</v>
      </c>
      <c r="E29" s="278"/>
      <c r="F29" s="278" t="s">
        <v>360</v>
      </c>
      <c r="G29" s="290">
        <v>42916</v>
      </c>
      <c r="H29" s="283" t="s">
        <v>324</v>
      </c>
      <c r="I29" s="283" t="s">
        <v>325</v>
      </c>
      <c r="J29" s="283"/>
      <c r="K29" s="278" t="s">
        <v>331</v>
      </c>
      <c r="L29" s="284" t="s">
        <v>387</v>
      </c>
      <c r="M29" s="285">
        <v>65</v>
      </c>
      <c r="N29" s="285">
        <v>25.66363636363636</v>
      </c>
      <c r="O29" s="278"/>
      <c r="P29" s="278"/>
      <c r="Q29" s="288"/>
      <c r="R29" s="308"/>
      <c r="S29" s="287"/>
      <c r="T29" s="278"/>
      <c r="U29" s="288" t="s">
        <v>320</v>
      </c>
      <c r="V29" s="285" t="s">
        <v>320</v>
      </c>
      <c r="W29" s="285"/>
      <c r="X29" s="278"/>
      <c r="Y29" s="278"/>
      <c r="Z29" s="278"/>
      <c r="AA29" s="278"/>
      <c r="AB29" s="278"/>
      <c r="AC29" s="278"/>
      <c r="AD29" s="285" t="s">
        <v>320</v>
      </c>
      <c r="AE29" s="285">
        <v>10.999999999999998</v>
      </c>
      <c r="AF29" s="278"/>
      <c r="AG29" s="278"/>
      <c r="AH29" s="285"/>
      <c r="AI29" s="278"/>
      <c r="AJ29" s="278"/>
      <c r="AK29" s="285" t="s">
        <v>320</v>
      </c>
      <c r="AL29" s="278"/>
      <c r="AM29" s="285" t="s">
        <v>320</v>
      </c>
      <c r="AN29" s="285" t="s">
        <v>320</v>
      </c>
      <c r="AO29" s="278" t="s">
        <v>361</v>
      </c>
      <c r="AP29" s="283" t="s">
        <v>325</v>
      </c>
      <c r="AQ29" s="285" t="s">
        <v>320</v>
      </c>
    </row>
    <row r="30" spans="1:45" ht="13" customHeight="1" x14ac:dyDescent="0.35">
      <c r="A30" s="278">
        <v>1440</v>
      </c>
      <c r="B30" s="306">
        <v>42946</v>
      </c>
      <c r="C30" s="280" t="s">
        <v>322</v>
      </c>
      <c r="D30" s="281" t="s">
        <v>373</v>
      </c>
      <c r="E30" s="278"/>
      <c r="F30" s="278" t="s">
        <v>360</v>
      </c>
      <c r="G30" s="290">
        <v>42916</v>
      </c>
      <c r="H30" s="283" t="s">
        <v>324</v>
      </c>
      <c r="I30" s="283" t="s">
        <v>325</v>
      </c>
      <c r="J30" s="283"/>
      <c r="K30" s="278" t="s">
        <v>479</v>
      </c>
      <c r="L30" s="284" t="s">
        <v>387</v>
      </c>
      <c r="M30" s="285">
        <v>72</v>
      </c>
      <c r="N30" s="285">
        <v>25.418181818181818</v>
      </c>
      <c r="O30" s="278"/>
      <c r="P30" s="278"/>
      <c r="Q30" s="288"/>
      <c r="R30" s="308"/>
      <c r="S30" s="287"/>
      <c r="T30" s="278"/>
      <c r="U30" s="288" t="s">
        <v>320</v>
      </c>
      <c r="V30" s="285" t="s">
        <v>320</v>
      </c>
      <c r="W30" s="285"/>
      <c r="X30" s="278"/>
      <c r="Y30" s="278"/>
      <c r="Z30" s="278"/>
      <c r="AA30" s="278"/>
      <c r="AB30" s="278"/>
      <c r="AC30" s="278"/>
      <c r="AD30" s="285" t="s">
        <v>320</v>
      </c>
      <c r="AE30" s="285">
        <v>12.2</v>
      </c>
      <c r="AF30" s="278"/>
      <c r="AG30" s="278"/>
      <c r="AH30" s="285"/>
      <c r="AI30" s="278"/>
      <c r="AJ30" s="278"/>
      <c r="AK30" s="285" t="s">
        <v>320</v>
      </c>
      <c r="AL30" s="278"/>
      <c r="AM30" s="285" t="s">
        <v>320</v>
      </c>
      <c r="AN30" s="285" t="s">
        <v>320</v>
      </c>
      <c r="AO30" s="278" t="s">
        <v>361</v>
      </c>
      <c r="AP30" s="283" t="s">
        <v>325</v>
      </c>
      <c r="AQ30" s="285" t="s">
        <v>320</v>
      </c>
    </row>
    <row r="31" spans="1:45" ht="13" customHeight="1" x14ac:dyDescent="0.35">
      <c r="A31" s="278">
        <v>1482</v>
      </c>
      <c r="B31" s="306">
        <v>42946</v>
      </c>
      <c r="C31" s="243" t="s">
        <v>322</v>
      </c>
      <c r="D31" s="281" t="s">
        <v>373</v>
      </c>
      <c r="E31" s="241"/>
      <c r="F31" s="278" t="s">
        <v>360</v>
      </c>
      <c r="G31" s="248">
        <v>42916</v>
      </c>
      <c r="H31" s="283" t="s">
        <v>324</v>
      </c>
      <c r="I31" s="283" t="s">
        <v>325</v>
      </c>
      <c r="J31" s="283"/>
      <c r="K31" s="278" t="s">
        <v>397</v>
      </c>
      <c r="L31" s="284" t="s">
        <v>387</v>
      </c>
      <c r="M31" s="285">
        <v>109.99999999999999</v>
      </c>
      <c r="N31" s="285">
        <v>21.799999999999997</v>
      </c>
      <c r="P31" s="278"/>
      <c r="Q31" s="288"/>
      <c r="R31" s="308"/>
      <c r="S31" s="287"/>
      <c r="T31" s="278"/>
      <c r="U31" s="288" t="s">
        <v>320</v>
      </c>
      <c r="V31" s="285" t="s">
        <v>320</v>
      </c>
      <c r="W31" s="285"/>
      <c r="X31" s="278"/>
      <c r="Y31" s="278"/>
      <c r="Z31" s="278"/>
      <c r="AA31" s="278"/>
      <c r="AB31" s="278"/>
      <c r="AC31" s="278"/>
      <c r="AD31" s="285" t="s">
        <v>320</v>
      </c>
      <c r="AE31" s="285">
        <v>15.118181818181816</v>
      </c>
      <c r="AF31" s="278"/>
      <c r="AG31" s="278"/>
      <c r="AH31" s="285"/>
      <c r="AI31" s="278"/>
      <c r="AJ31" s="278"/>
      <c r="AK31" s="285" t="s">
        <v>320</v>
      </c>
      <c r="AL31" s="278"/>
      <c r="AM31" s="285" t="s">
        <v>320</v>
      </c>
      <c r="AN31" s="285" t="s">
        <v>320</v>
      </c>
      <c r="AO31" s="278" t="s">
        <v>361</v>
      </c>
      <c r="AP31" s="283" t="s">
        <v>325</v>
      </c>
      <c r="AQ31" s="285" t="s">
        <v>407</v>
      </c>
    </row>
    <row r="32" spans="1:45" ht="13" customHeight="1" x14ac:dyDescent="0.35">
      <c r="A32" s="278">
        <v>10261</v>
      </c>
      <c r="B32" s="306">
        <v>42946</v>
      </c>
      <c r="C32" s="280" t="s">
        <v>322</v>
      </c>
      <c r="D32" s="281" t="s">
        <v>373</v>
      </c>
      <c r="E32" s="278"/>
      <c r="F32" s="278" t="s">
        <v>360</v>
      </c>
      <c r="G32" s="248">
        <v>42916</v>
      </c>
      <c r="H32" s="283" t="s">
        <v>324</v>
      </c>
      <c r="I32" s="283" t="s">
        <v>325</v>
      </c>
      <c r="J32" s="283"/>
      <c r="K32" s="278" t="s">
        <v>340</v>
      </c>
      <c r="L32" s="284" t="s">
        <v>387</v>
      </c>
      <c r="M32" s="285">
        <v>85</v>
      </c>
      <c r="N32" s="285">
        <v>24.981818181818181</v>
      </c>
      <c r="O32" s="278"/>
      <c r="P32" s="278"/>
      <c r="Q32" s="288"/>
      <c r="R32" s="308"/>
      <c r="S32" s="287"/>
      <c r="T32" s="278"/>
      <c r="U32" s="288" t="s">
        <v>320</v>
      </c>
      <c r="V32" s="285" t="s">
        <v>320</v>
      </c>
      <c r="W32" s="285"/>
      <c r="X32" s="278"/>
      <c r="Y32" s="278"/>
      <c r="Z32" s="278"/>
      <c r="AA32" s="278"/>
      <c r="AB32" s="278"/>
      <c r="AC32" s="278"/>
      <c r="AD32" s="285" t="s">
        <v>320</v>
      </c>
      <c r="AE32" s="285">
        <v>10.036363636363635</v>
      </c>
      <c r="AF32" s="278"/>
      <c r="AG32" s="278"/>
      <c r="AH32" s="285"/>
      <c r="AI32" s="278"/>
      <c r="AJ32" s="278"/>
      <c r="AK32" s="285" t="s">
        <v>320</v>
      </c>
      <c r="AL32" s="278"/>
      <c r="AM32" s="285" t="s">
        <v>320</v>
      </c>
      <c r="AN32" s="285" t="s">
        <v>320</v>
      </c>
      <c r="AO32" s="278" t="s">
        <v>361</v>
      </c>
      <c r="AP32" s="283" t="s">
        <v>325</v>
      </c>
      <c r="AQ32" s="285" t="s">
        <v>511</v>
      </c>
    </row>
    <row r="33" spans="1:45" ht="13" customHeight="1" x14ac:dyDescent="0.35">
      <c r="A33" s="278">
        <v>5637</v>
      </c>
      <c r="B33" s="306">
        <v>42946</v>
      </c>
      <c r="C33" s="280" t="s">
        <v>322</v>
      </c>
      <c r="D33" s="281" t="s">
        <v>373</v>
      </c>
      <c r="E33" s="278"/>
      <c r="F33" s="278" t="s">
        <v>360</v>
      </c>
      <c r="G33" s="248">
        <v>42916</v>
      </c>
      <c r="H33" s="283" t="s">
        <v>324</v>
      </c>
      <c r="I33" s="283" t="s">
        <v>325</v>
      </c>
      <c r="J33" s="283"/>
      <c r="K33" s="278" t="s">
        <v>401</v>
      </c>
      <c r="L33" s="284" t="s">
        <v>387</v>
      </c>
      <c r="M33" s="285">
        <v>94.527272727272717</v>
      </c>
      <c r="N33" s="285">
        <v>22.499999999999996</v>
      </c>
      <c r="O33" s="278"/>
      <c r="P33" s="278"/>
      <c r="Q33" s="288"/>
      <c r="R33" s="308"/>
      <c r="S33" s="287"/>
      <c r="T33" s="278"/>
      <c r="U33" s="288" t="s">
        <v>320</v>
      </c>
      <c r="V33" s="285" t="s">
        <v>320</v>
      </c>
      <c r="W33" s="285"/>
      <c r="X33" s="278"/>
      <c r="Y33" s="278"/>
      <c r="Z33" s="278"/>
      <c r="AA33" s="278"/>
      <c r="AB33" s="278"/>
      <c r="AC33" s="278"/>
      <c r="AD33" s="285" t="s">
        <v>320</v>
      </c>
      <c r="AE33" s="285">
        <v>15.654545454545453</v>
      </c>
      <c r="AF33" s="278"/>
      <c r="AG33" s="278"/>
      <c r="AH33" s="285"/>
      <c r="AI33" s="278"/>
      <c r="AJ33" s="278"/>
      <c r="AK33" s="285" t="s">
        <v>320</v>
      </c>
      <c r="AL33" s="278"/>
      <c r="AM33" s="285" t="s">
        <v>320</v>
      </c>
      <c r="AN33" s="285" t="s">
        <v>320</v>
      </c>
      <c r="AO33" s="278" t="s">
        <v>361</v>
      </c>
      <c r="AP33" s="283" t="s">
        <v>325</v>
      </c>
      <c r="AQ33" s="285" t="s">
        <v>711</v>
      </c>
    </row>
    <row r="34" spans="1:45" ht="13" customHeight="1" x14ac:dyDescent="0.35">
      <c r="A34" s="278">
        <v>4372</v>
      </c>
      <c r="B34" s="306">
        <v>42946</v>
      </c>
      <c r="C34" s="280" t="s">
        <v>322</v>
      </c>
      <c r="D34" s="281" t="s">
        <v>373</v>
      </c>
      <c r="E34" s="278"/>
      <c r="F34" s="278" t="s">
        <v>360</v>
      </c>
      <c r="G34" s="290">
        <v>42916</v>
      </c>
      <c r="H34" s="283" t="s">
        <v>324</v>
      </c>
      <c r="I34" s="283" t="s">
        <v>325</v>
      </c>
      <c r="J34" s="283"/>
      <c r="K34" s="278" t="s">
        <v>403</v>
      </c>
      <c r="L34" s="284" t="s">
        <v>387</v>
      </c>
      <c r="M34" s="285">
        <v>105.69999999999999</v>
      </c>
      <c r="N34" s="285">
        <v>23.036363636363635</v>
      </c>
      <c r="O34" s="278"/>
      <c r="P34" s="278"/>
      <c r="Q34" s="288"/>
      <c r="R34" s="308"/>
      <c r="S34" s="287"/>
      <c r="T34" s="278"/>
      <c r="U34" s="288" t="s">
        <v>320</v>
      </c>
      <c r="V34" s="285" t="s">
        <v>320</v>
      </c>
      <c r="W34" s="285"/>
      <c r="X34" s="278"/>
      <c r="Y34" s="278"/>
      <c r="Z34" s="278"/>
      <c r="AA34" s="278"/>
      <c r="AB34" s="278"/>
      <c r="AC34" s="278"/>
      <c r="AD34" s="285" t="s">
        <v>320</v>
      </c>
      <c r="AE34" s="285">
        <v>12.299999999999999</v>
      </c>
      <c r="AF34" s="278"/>
      <c r="AG34" s="278"/>
      <c r="AH34" s="285"/>
      <c r="AI34" s="278"/>
      <c r="AJ34" s="278"/>
      <c r="AK34" s="285" t="s">
        <v>320</v>
      </c>
      <c r="AL34" s="278"/>
      <c r="AM34" s="285" t="s">
        <v>320</v>
      </c>
      <c r="AN34" s="285" t="s">
        <v>320</v>
      </c>
      <c r="AO34" s="278" t="s">
        <v>361</v>
      </c>
      <c r="AP34" s="283" t="s">
        <v>325</v>
      </c>
      <c r="AQ34" s="285" t="s">
        <v>640</v>
      </c>
    </row>
    <row r="35" spans="1:45" ht="13" customHeight="1" x14ac:dyDescent="0.35">
      <c r="A35" s="278">
        <v>10522</v>
      </c>
      <c r="B35" s="306">
        <v>42946</v>
      </c>
      <c r="C35" s="280" t="s">
        <v>322</v>
      </c>
      <c r="D35" s="281" t="s">
        <v>373</v>
      </c>
      <c r="E35" s="278"/>
      <c r="F35" s="278" t="s">
        <v>360</v>
      </c>
      <c r="G35" s="290">
        <v>42916</v>
      </c>
      <c r="H35" s="283" t="s">
        <v>324</v>
      </c>
      <c r="I35" s="283" t="s">
        <v>325</v>
      </c>
      <c r="J35" s="283"/>
      <c r="K35" s="278" t="s">
        <v>348</v>
      </c>
      <c r="L35" s="284" t="s">
        <v>387</v>
      </c>
      <c r="M35" s="285">
        <v>80.439999999999984</v>
      </c>
      <c r="N35" s="285">
        <v>24.939999999999998</v>
      </c>
      <c r="O35" s="278"/>
      <c r="P35" s="278"/>
      <c r="Q35" s="288"/>
      <c r="R35" s="308"/>
      <c r="S35" s="287"/>
      <c r="T35" s="278"/>
      <c r="U35" s="288" t="s">
        <v>320</v>
      </c>
      <c r="V35" s="285" t="s">
        <v>320</v>
      </c>
      <c r="W35" s="285"/>
      <c r="X35" s="278"/>
      <c r="Y35" s="278"/>
      <c r="Z35" s="278"/>
      <c r="AA35" s="278"/>
      <c r="AB35" s="278"/>
      <c r="AC35" s="278"/>
      <c r="AD35" s="285" t="s">
        <v>320</v>
      </c>
      <c r="AE35" s="285">
        <v>10.826363636363636</v>
      </c>
      <c r="AF35" s="278"/>
      <c r="AG35" s="278"/>
      <c r="AH35" s="285"/>
      <c r="AI35" s="278"/>
      <c r="AJ35" s="278"/>
      <c r="AK35" s="285" t="s">
        <v>320</v>
      </c>
      <c r="AL35" s="278"/>
      <c r="AM35" s="285" t="s">
        <v>320</v>
      </c>
      <c r="AN35" s="285" t="s">
        <v>320</v>
      </c>
      <c r="AO35" s="278" t="s">
        <v>361</v>
      </c>
      <c r="AP35" s="283" t="s">
        <v>325</v>
      </c>
      <c r="AQ35" s="285" t="s">
        <v>645</v>
      </c>
    </row>
    <row r="36" spans="1:45" ht="13" customHeight="1" x14ac:dyDescent="0.35">
      <c r="A36" s="278">
        <v>10331</v>
      </c>
      <c r="B36" s="306">
        <v>42946</v>
      </c>
      <c r="C36" s="280" t="s">
        <v>322</v>
      </c>
      <c r="D36" s="281" t="s">
        <v>373</v>
      </c>
      <c r="E36" s="278"/>
      <c r="F36" s="278" t="s">
        <v>360</v>
      </c>
      <c r="G36" s="290">
        <v>42916</v>
      </c>
      <c r="H36" s="283" t="s">
        <v>324</v>
      </c>
      <c r="I36" s="283" t="s">
        <v>325</v>
      </c>
      <c r="J36" s="283"/>
      <c r="K36" s="278" t="s">
        <v>406</v>
      </c>
      <c r="L36" s="284" t="s">
        <v>387</v>
      </c>
      <c r="M36" s="285">
        <v>90.86363636363636</v>
      </c>
      <c r="N36" s="285">
        <v>23.963636363636361</v>
      </c>
      <c r="O36" s="278"/>
      <c r="P36" s="278"/>
      <c r="Q36" s="288"/>
      <c r="R36" s="308"/>
      <c r="S36" s="287"/>
      <c r="T36" s="278"/>
      <c r="U36" s="288" t="s">
        <v>320</v>
      </c>
      <c r="V36" s="285" t="s">
        <v>320</v>
      </c>
      <c r="W36" s="285"/>
      <c r="X36" s="278"/>
      <c r="Y36" s="278"/>
      <c r="Z36" s="278"/>
      <c r="AA36" s="278"/>
      <c r="AB36" s="278"/>
      <c r="AC36" s="278"/>
      <c r="AD36" s="285" t="s">
        <v>320</v>
      </c>
      <c r="AE36" s="285">
        <v>12.818181818181817</v>
      </c>
      <c r="AF36" s="278"/>
      <c r="AG36" s="278"/>
      <c r="AH36" s="285"/>
      <c r="AI36" s="278"/>
      <c r="AJ36" s="278"/>
      <c r="AK36" s="285" t="s">
        <v>320</v>
      </c>
      <c r="AL36" s="278"/>
      <c r="AM36" s="285" t="s">
        <v>320</v>
      </c>
      <c r="AN36" s="285" t="s">
        <v>320</v>
      </c>
      <c r="AO36" s="278" t="s">
        <v>361</v>
      </c>
      <c r="AP36" s="283" t="s">
        <v>325</v>
      </c>
      <c r="AQ36" s="285" t="s">
        <v>647</v>
      </c>
    </row>
    <row r="37" spans="1:45" ht="13" customHeight="1" x14ac:dyDescent="0.35">
      <c r="A37" s="278">
        <v>10666</v>
      </c>
      <c r="B37" s="306">
        <v>42946</v>
      </c>
      <c r="C37" s="280" t="s">
        <v>322</v>
      </c>
      <c r="D37" s="281" t="s">
        <v>373</v>
      </c>
      <c r="E37" s="278"/>
      <c r="F37" s="278" t="s">
        <v>360</v>
      </c>
      <c r="G37" s="290">
        <v>42916</v>
      </c>
      <c r="H37" s="283" t="s">
        <v>324</v>
      </c>
      <c r="I37" s="283" t="s">
        <v>325</v>
      </c>
      <c r="J37" s="283"/>
      <c r="K37" s="278" t="s">
        <v>408</v>
      </c>
      <c r="L37" s="284" t="s">
        <v>387</v>
      </c>
      <c r="M37" s="285">
        <v>109</v>
      </c>
      <c r="N37" s="285">
        <v>23</v>
      </c>
      <c r="O37" s="278"/>
      <c r="P37" s="278"/>
      <c r="Q37" s="288"/>
      <c r="R37" s="308"/>
      <c r="S37" s="287"/>
      <c r="T37" s="278"/>
      <c r="U37" s="288" t="s">
        <v>320</v>
      </c>
      <c r="V37" s="285" t="s">
        <v>320</v>
      </c>
      <c r="W37" s="285"/>
      <c r="X37" s="278"/>
      <c r="Y37" s="278"/>
      <c r="Z37" s="278"/>
      <c r="AA37" s="278"/>
      <c r="AB37" s="278"/>
      <c r="AC37" s="278"/>
      <c r="AD37" s="285" t="s">
        <v>320</v>
      </c>
      <c r="AE37" s="285">
        <v>10.999999999999998</v>
      </c>
      <c r="AF37" s="278"/>
      <c r="AG37" s="278"/>
      <c r="AH37" s="285"/>
      <c r="AI37" s="278"/>
      <c r="AJ37" s="278"/>
      <c r="AK37" s="285" t="s">
        <v>320</v>
      </c>
      <c r="AL37" s="278"/>
      <c r="AM37" s="285" t="s">
        <v>320</v>
      </c>
      <c r="AN37" s="285" t="s">
        <v>320</v>
      </c>
      <c r="AO37" s="278" t="s">
        <v>361</v>
      </c>
      <c r="AP37" s="283" t="s">
        <v>325</v>
      </c>
      <c r="AQ37" s="285" t="s">
        <v>649</v>
      </c>
    </row>
    <row r="38" spans="1:45" ht="13" customHeight="1" x14ac:dyDescent="0.35">
      <c r="A38" s="278">
        <v>1388</v>
      </c>
      <c r="B38" s="306">
        <v>42946</v>
      </c>
      <c r="C38" s="280" t="s">
        <v>322</v>
      </c>
      <c r="D38" s="281" t="s">
        <v>373</v>
      </c>
      <c r="E38" s="278"/>
      <c r="F38" s="278" t="s">
        <v>360</v>
      </c>
      <c r="G38" s="290">
        <v>42916</v>
      </c>
      <c r="H38" s="283" t="s">
        <v>324</v>
      </c>
      <c r="I38" s="283" t="s">
        <v>325</v>
      </c>
      <c r="J38" s="283"/>
      <c r="K38" s="278" t="s">
        <v>410</v>
      </c>
      <c r="L38" s="284" t="s">
        <v>387</v>
      </c>
      <c r="M38" s="285">
        <v>92.3</v>
      </c>
      <c r="N38" s="285">
        <v>23.490909090909089</v>
      </c>
      <c r="O38" s="281"/>
      <c r="P38" s="278"/>
      <c r="Q38" s="288"/>
      <c r="R38" s="308"/>
      <c r="S38" s="287"/>
      <c r="T38" s="278"/>
      <c r="U38" s="288" t="s">
        <v>320</v>
      </c>
      <c r="V38" s="285" t="s">
        <v>320</v>
      </c>
      <c r="W38" s="285"/>
      <c r="X38" s="278"/>
      <c r="Y38" s="278"/>
      <c r="Z38" s="278"/>
      <c r="AA38" s="278"/>
      <c r="AB38" s="278"/>
      <c r="AC38" s="278"/>
      <c r="AD38" s="285" t="s">
        <v>320</v>
      </c>
      <c r="AE38" s="285">
        <v>13.2</v>
      </c>
      <c r="AF38" s="278"/>
      <c r="AG38" s="278"/>
      <c r="AH38" s="285"/>
      <c r="AI38" s="278"/>
      <c r="AJ38" s="278"/>
      <c r="AK38" s="285" t="s">
        <v>320</v>
      </c>
      <c r="AL38" s="278"/>
      <c r="AM38" s="285" t="s">
        <v>320</v>
      </c>
      <c r="AN38" s="285" t="s">
        <v>320</v>
      </c>
      <c r="AO38" s="278" t="s">
        <v>361</v>
      </c>
      <c r="AP38" s="283" t="s">
        <v>325</v>
      </c>
      <c r="AQ38" s="285" t="s">
        <v>655</v>
      </c>
    </row>
    <row r="39" spans="1:45" ht="13" customHeight="1" x14ac:dyDescent="0.35">
      <c r="A39" s="278">
        <v>3594</v>
      </c>
      <c r="B39" s="306">
        <v>42946</v>
      </c>
      <c r="C39" s="280" t="s">
        <v>322</v>
      </c>
      <c r="D39" s="281" t="s">
        <v>373</v>
      </c>
      <c r="E39" s="278"/>
      <c r="F39" s="278" t="s">
        <v>360</v>
      </c>
      <c r="G39" s="290">
        <v>42916</v>
      </c>
      <c r="H39" s="283" t="s">
        <v>324</v>
      </c>
      <c r="I39" s="283" t="s">
        <v>325</v>
      </c>
      <c r="J39" s="283"/>
      <c r="K39" s="278" t="s">
        <v>412</v>
      </c>
      <c r="L39" s="284" t="s">
        <v>387</v>
      </c>
      <c r="M39" s="285">
        <v>89.999999999999986</v>
      </c>
      <c r="N39" s="285">
        <v>24.418181818181814</v>
      </c>
      <c r="O39" s="307" t="s">
        <v>351</v>
      </c>
      <c r="P39" s="307">
        <v>1000</v>
      </c>
      <c r="Q39" s="285">
        <v>25.5</v>
      </c>
      <c r="R39" s="307">
        <v>1000</v>
      </c>
      <c r="S39" s="285">
        <v>25.5</v>
      </c>
      <c r="T39" s="278"/>
      <c r="U39" s="288" t="s">
        <v>320</v>
      </c>
      <c r="V39" s="285" t="s">
        <v>320</v>
      </c>
      <c r="W39" s="285"/>
      <c r="X39" s="278"/>
      <c r="Y39" s="278"/>
      <c r="Z39" s="278"/>
      <c r="AA39" s="278"/>
      <c r="AB39" s="278"/>
      <c r="AC39" s="278"/>
      <c r="AD39" s="285" t="s">
        <v>320</v>
      </c>
      <c r="AE39" s="285">
        <v>11.454545454545453</v>
      </c>
      <c r="AF39" s="278"/>
      <c r="AG39" s="278"/>
      <c r="AH39" s="285"/>
      <c r="AI39" s="278"/>
      <c r="AJ39" s="278"/>
      <c r="AK39" s="285" t="s">
        <v>320</v>
      </c>
      <c r="AL39" s="278"/>
      <c r="AM39" s="285" t="s">
        <v>320</v>
      </c>
      <c r="AN39" s="285" t="s">
        <v>320</v>
      </c>
      <c r="AO39" s="278" t="s">
        <v>361</v>
      </c>
      <c r="AP39" s="283" t="s">
        <v>325</v>
      </c>
      <c r="AQ39" s="285" t="s">
        <v>663</v>
      </c>
    </row>
    <row r="40" spans="1:45" ht="13" customHeight="1" x14ac:dyDescent="0.35">
      <c r="A40" s="278">
        <v>10369</v>
      </c>
      <c r="B40" s="306">
        <v>42946</v>
      </c>
      <c r="C40" s="280" t="s">
        <v>322</v>
      </c>
      <c r="D40" s="281" t="s">
        <v>373</v>
      </c>
      <c r="E40" s="278"/>
      <c r="F40" s="278" t="s">
        <v>360</v>
      </c>
      <c r="G40" s="290">
        <v>42916</v>
      </c>
      <c r="H40" s="283" t="s">
        <v>310</v>
      </c>
      <c r="I40" s="283" t="s">
        <v>309</v>
      </c>
      <c r="J40" s="283"/>
      <c r="K40" s="278" t="s">
        <v>374</v>
      </c>
      <c r="L40" s="284" t="s">
        <v>387</v>
      </c>
      <c r="M40" s="285">
        <v>104.99999999999999</v>
      </c>
      <c r="N40" s="285">
        <v>23</v>
      </c>
      <c r="O40" s="278" t="s">
        <v>351</v>
      </c>
      <c r="P40" s="278">
        <v>1350</v>
      </c>
      <c r="Q40" s="285">
        <v>26.4</v>
      </c>
      <c r="R40" s="308">
        <v>1350</v>
      </c>
      <c r="S40" s="285">
        <v>26.4</v>
      </c>
      <c r="T40" s="278"/>
      <c r="U40" s="288" t="s">
        <v>320</v>
      </c>
      <c r="V40" s="285" t="s">
        <v>320</v>
      </c>
      <c r="W40" s="285"/>
      <c r="X40" s="278"/>
      <c r="Y40" s="278"/>
      <c r="Z40" s="278"/>
      <c r="AA40" s="278"/>
      <c r="AB40" s="278"/>
      <c r="AC40" s="278"/>
      <c r="AD40" s="285" t="s">
        <v>320</v>
      </c>
      <c r="AE40" s="285">
        <v>10.999999999999998</v>
      </c>
      <c r="AF40" s="278"/>
      <c r="AG40" s="278"/>
      <c r="AH40" s="285"/>
      <c r="AI40" s="278"/>
      <c r="AJ40" s="278"/>
      <c r="AK40" s="285" t="s">
        <v>320</v>
      </c>
      <c r="AL40" s="278"/>
      <c r="AM40" s="285" t="s">
        <v>320</v>
      </c>
      <c r="AN40" s="285" t="s">
        <v>320</v>
      </c>
      <c r="AO40" s="278" t="s">
        <v>361</v>
      </c>
      <c r="AP40" s="283" t="s">
        <v>325</v>
      </c>
      <c r="AQ40" s="285" t="s">
        <v>407</v>
      </c>
    </row>
    <row r="41" spans="1:45" ht="13" customHeight="1" x14ac:dyDescent="0.35">
      <c r="A41" s="278">
        <v>9901</v>
      </c>
      <c r="B41" s="306">
        <v>42946</v>
      </c>
      <c r="C41" s="280" t="s">
        <v>322</v>
      </c>
      <c r="D41" s="281" t="s">
        <v>373</v>
      </c>
      <c r="E41" s="278"/>
      <c r="F41" s="278" t="s">
        <v>360</v>
      </c>
      <c r="G41" s="290">
        <v>42916</v>
      </c>
      <c r="H41" s="283" t="s">
        <v>309</v>
      </c>
      <c r="I41" s="283" t="s">
        <v>355</v>
      </c>
      <c r="J41" s="283"/>
      <c r="K41" s="281" t="s">
        <v>354</v>
      </c>
      <c r="L41" s="284" t="s">
        <v>387</v>
      </c>
      <c r="M41" s="285">
        <v>98.22727272727272</v>
      </c>
      <c r="N41" s="285">
        <v>21.472727272727273</v>
      </c>
      <c r="O41" s="278"/>
      <c r="P41" s="278"/>
      <c r="Q41" s="288"/>
      <c r="R41" s="308"/>
      <c r="S41" s="287"/>
      <c r="T41" s="278"/>
      <c r="U41" s="288" t="s">
        <v>320</v>
      </c>
      <c r="V41" s="285" t="s">
        <v>320</v>
      </c>
      <c r="W41" s="285"/>
      <c r="X41" s="278"/>
      <c r="Y41" s="278"/>
      <c r="Z41" s="278"/>
      <c r="AA41" s="278"/>
      <c r="AB41" s="278"/>
      <c r="AC41" s="278"/>
      <c r="AD41" s="285" t="s">
        <v>320</v>
      </c>
      <c r="AE41" s="285">
        <v>16.999999999999996</v>
      </c>
      <c r="AF41" s="278"/>
      <c r="AG41" s="278"/>
      <c r="AH41" s="285"/>
      <c r="AI41" s="278"/>
      <c r="AJ41" s="278"/>
      <c r="AK41" s="285" t="s">
        <v>320</v>
      </c>
      <c r="AL41" s="278"/>
      <c r="AM41" s="285" t="s">
        <v>320</v>
      </c>
      <c r="AN41" s="285" t="s">
        <v>320</v>
      </c>
      <c r="AO41" s="278" t="s">
        <v>361</v>
      </c>
      <c r="AP41" s="283" t="s">
        <v>325</v>
      </c>
      <c r="AQ41" s="285" t="s">
        <v>714</v>
      </c>
    </row>
    <row r="42" spans="1:45" ht="13" customHeight="1" x14ac:dyDescent="0.35">
      <c r="A42" s="278"/>
      <c r="B42" s="306">
        <v>42946</v>
      </c>
      <c r="C42" s="280" t="s">
        <v>322</v>
      </c>
      <c r="D42" s="281" t="s">
        <v>373</v>
      </c>
      <c r="E42" s="278"/>
      <c r="F42" s="278" t="s">
        <v>360</v>
      </c>
      <c r="G42" s="293">
        <v>42928</v>
      </c>
      <c r="H42" s="296" t="s">
        <v>309</v>
      </c>
      <c r="I42" s="296" t="s">
        <v>355</v>
      </c>
      <c r="J42" s="283"/>
      <c r="K42" s="281" t="s">
        <v>388</v>
      </c>
      <c r="L42" s="284" t="s">
        <v>387</v>
      </c>
      <c r="M42" s="285">
        <v>83.645454545454541</v>
      </c>
      <c r="N42" s="285">
        <v>22.636363636363633</v>
      </c>
      <c r="O42" s="278"/>
      <c r="P42" s="278"/>
      <c r="Q42" s="288"/>
      <c r="R42" s="308"/>
      <c r="S42" s="287"/>
      <c r="T42" s="278"/>
      <c r="U42" s="288" t="s">
        <v>320</v>
      </c>
      <c r="V42" s="285" t="s">
        <v>320</v>
      </c>
      <c r="W42" s="285"/>
      <c r="X42" s="278"/>
      <c r="Y42" s="278"/>
      <c r="Z42" s="278"/>
      <c r="AA42" s="278"/>
      <c r="AB42" s="278"/>
      <c r="AC42" s="278"/>
      <c r="AD42" s="285" t="s">
        <v>320</v>
      </c>
      <c r="AE42" s="285">
        <v>14</v>
      </c>
      <c r="AF42" s="278"/>
      <c r="AG42" s="278"/>
      <c r="AH42" s="285"/>
      <c r="AI42" s="278"/>
      <c r="AJ42" s="278"/>
      <c r="AK42" s="285" t="s">
        <v>320</v>
      </c>
      <c r="AL42" s="278"/>
      <c r="AM42" s="285" t="s">
        <v>320</v>
      </c>
      <c r="AN42" s="285" t="s">
        <v>320</v>
      </c>
      <c r="AO42" s="278" t="s">
        <v>361</v>
      </c>
      <c r="AP42" s="283" t="s">
        <v>325</v>
      </c>
      <c r="AQ42" s="285" t="s">
        <v>717</v>
      </c>
    </row>
    <row r="43" spans="1:45" ht="13" customHeight="1" x14ac:dyDescent="0.35">
      <c r="A43" s="278"/>
      <c r="B43" s="306">
        <v>42946</v>
      </c>
      <c r="C43" s="280" t="s">
        <v>322</v>
      </c>
      <c r="D43" s="281" t="s">
        <v>373</v>
      </c>
      <c r="E43" s="278"/>
      <c r="F43" s="278" t="s">
        <v>360</v>
      </c>
      <c r="G43" s="290">
        <v>42916</v>
      </c>
      <c r="H43" s="296" t="s">
        <v>310</v>
      </c>
      <c r="I43" s="296" t="s">
        <v>309</v>
      </c>
      <c r="J43" s="283"/>
      <c r="K43" s="281" t="s">
        <v>420</v>
      </c>
      <c r="L43" s="284" t="s">
        <v>387</v>
      </c>
      <c r="M43" s="285">
        <v>70</v>
      </c>
      <c r="N43" s="285">
        <v>25.918181818181818</v>
      </c>
      <c r="O43" s="278"/>
      <c r="P43" s="278"/>
      <c r="Q43" s="288"/>
      <c r="R43" s="308"/>
      <c r="S43" s="287"/>
      <c r="T43" s="278"/>
      <c r="U43" s="288" t="s">
        <v>320</v>
      </c>
      <c r="V43" s="285" t="s">
        <v>320</v>
      </c>
      <c r="W43" s="285"/>
      <c r="X43" s="278"/>
      <c r="Y43" s="278"/>
      <c r="Z43" s="278"/>
      <c r="AA43" s="278"/>
      <c r="AB43" s="278"/>
      <c r="AC43" s="278"/>
      <c r="AD43" s="285" t="s">
        <v>320</v>
      </c>
      <c r="AE43" s="285">
        <v>11.936363636363636</v>
      </c>
      <c r="AF43" s="278"/>
      <c r="AG43" s="278"/>
      <c r="AH43" s="285"/>
      <c r="AI43" s="278"/>
      <c r="AJ43" s="278"/>
      <c r="AK43" s="285" t="s">
        <v>320</v>
      </c>
      <c r="AL43" s="278"/>
      <c r="AM43" s="285" t="s">
        <v>320</v>
      </c>
      <c r="AN43" s="285" t="s">
        <v>320</v>
      </c>
      <c r="AO43" s="278" t="s">
        <v>361</v>
      </c>
      <c r="AP43" s="283" t="s">
        <v>325</v>
      </c>
      <c r="AQ43" s="285" t="s">
        <v>720</v>
      </c>
    </row>
    <row r="44" spans="1:45" ht="13" customHeight="1" x14ac:dyDescent="0.35">
      <c r="A44" s="278"/>
      <c r="B44" s="306">
        <v>42946</v>
      </c>
      <c r="C44" s="280" t="s">
        <v>322</v>
      </c>
      <c r="D44" s="281" t="s">
        <v>373</v>
      </c>
      <c r="E44" s="278"/>
      <c r="F44" s="278" t="s">
        <v>360</v>
      </c>
      <c r="G44" s="290">
        <v>42916</v>
      </c>
      <c r="H44" s="296" t="s">
        <v>310</v>
      </c>
      <c r="I44" s="296" t="s">
        <v>495</v>
      </c>
      <c r="J44" s="283"/>
      <c r="K44" s="281" t="s">
        <v>422</v>
      </c>
      <c r="L44" s="284" t="s">
        <v>387</v>
      </c>
      <c r="M44" s="285">
        <v>96.172727272727272</v>
      </c>
      <c r="N44" s="285">
        <v>23.75454545454545</v>
      </c>
      <c r="O44" s="278"/>
      <c r="P44" s="278"/>
      <c r="Q44" s="288"/>
      <c r="R44" s="308"/>
      <c r="S44" s="287"/>
      <c r="T44" s="278"/>
      <c r="U44" s="288" t="s">
        <v>320</v>
      </c>
      <c r="V44" s="285" t="s">
        <v>320</v>
      </c>
      <c r="W44" s="285"/>
      <c r="X44" s="278"/>
      <c r="Y44" s="278"/>
      <c r="Z44" s="278"/>
      <c r="AA44" s="278"/>
      <c r="AB44" s="278"/>
      <c r="AC44" s="278"/>
      <c r="AD44" s="285" t="s">
        <v>320</v>
      </c>
      <c r="AE44" s="285">
        <v>12.218181818181817</v>
      </c>
      <c r="AF44" s="278"/>
      <c r="AG44" s="278"/>
      <c r="AH44" s="285"/>
      <c r="AI44" s="278"/>
      <c r="AJ44" s="278"/>
      <c r="AK44" s="285" t="s">
        <v>320</v>
      </c>
      <c r="AL44" s="278"/>
      <c r="AM44" s="285" t="s">
        <v>320</v>
      </c>
      <c r="AN44" s="285" t="s">
        <v>320</v>
      </c>
      <c r="AO44" s="278" t="s">
        <v>361</v>
      </c>
      <c r="AP44" s="283" t="s">
        <v>325</v>
      </c>
      <c r="AQ44" s="285" t="s">
        <v>320</v>
      </c>
    </row>
    <row r="45" spans="1:45" ht="13" customHeight="1" x14ac:dyDescent="0.35">
      <c r="A45" s="278"/>
      <c r="B45" s="306">
        <v>42946</v>
      </c>
      <c r="C45" s="280" t="s">
        <v>322</v>
      </c>
      <c r="D45" s="281" t="s">
        <v>373</v>
      </c>
      <c r="E45" s="278"/>
      <c r="F45" s="278" t="s">
        <v>360</v>
      </c>
      <c r="G45" s="293">
        <v>42936</v>
      </c>
      <c r="H45" s="296" t="s">
        <v>309</v>
      </c>
      <c r="I45" s="296" t="s">
        <v>355</v>
      </c>
      <c r="J45" s="283"/>
      <c r="K45" s="281" t="s">
        <v>424</v>
      </c>
      <c r="L45" s="284" t="s">
        <v>387</v>
      </c>
      <c r="M45" s="285">
        <v>79.8</v>
      </c>
      <c r="N45" s="285">
        <v>24.9</v>
      </c>
      <c r="O45" s="278"/>
      <c r="P45" s="278"/>
      <c r="Q45" s="288"/>
      <c r="R45" s="308"/>
      <c r="S45" s="287"/>
      <c r="T45" s="278"/>
      <c r="U45" s="288" t="s">
        <v>320</v>
      </c>
      <c r="V45" s="285" t="s">
        <v>320</v>
      </c>
      <c r="W45" s="285"/>
      <c r="X45" s="278"/>
      <c r="Y45" s="278"/>
      <c r="Z45" s="278"/>
      <c r="AA45" s="278"/>
      <c r="AB45" s="278"/>
      <c r="AC45" s="278"/>
      <c r="AD45" s="285" t="s">
        <v>320</v>
      </c>
      <c r="AE45" s="285">
        <v>12.499999999999998</v>
      </c>
      <c r="AF45" s="278"/>
      <c r="AG45" s="278"/>
      <c r="AH45" s="285"/>
      <c r="AI45" s="278"/>
      <c r="AJ45" s="278"/>
      <c r="AK45" s="285" t="s">
        <v>320</v>
      </c>
      <c r="AL45" s="278"/>
      <c r="AM45" s="285" t="s">
        <v>320</v>
      </c>
      <c r="AN45" s="285" t="s">
        <v>320</v>
      </c>
      <c r="AO45" s="278" t="s">
        <v>361</v>
      </c>
      <c r="AP45" s="283" t="s">
        <v>325</v>
      </c>
      <c r="AQ45" s="285" t="s">
        <v>320</v>
      </c>
    </row>
    <row r="46" spans="1:45" ht="13" customHeight="1" x14ac:dyDescent="0.35">
      <c r="A46" s="278"/>
      <c r="B46" s="306">
        <v>42946</v>
      </c>
      <c r="C46" s="280" t="s">
        <v>322</v>
      </c>
      <c r="D46" s="281" t="s">
        <v>373</v>
      </c>
      <c r="E46" s="278"/>
      <c r="F46" s="278" t="s">
        <v>360</v>
      </c>
      <c r="G46" s="293">
        <v>42916</v>
      </c>
      <c r="H46" s="296" t="s">
        <v>310</v>
      </c>
      <c r="I46" s="296" t="s">
        <v>309</v>
      </c>
      <c r="J46" s="283"/>
      <c r="K46" s="281" t="s">
        <v>501</v>
      </c>
      <c r="L46" s="284" t="s">
        <v>387</v>
      </c>
      <c r="M46" s="285">
        <v>107.99999999999999</v>
      </c>
      <c r="N46" s="285">
        <v>22.499999999999996</v>
      </c>
      <c r="O46" s="278"/>
      <c r="P46" s="278"/>
      <c r="Q46" s="288"/>
      <c r="R46" s="308"/>
      <c r="S46" s="287"/>
      <c r="T46" s="278"/>
      <c r="U46" s="288" t="s">
        <v>320</v>
      </c>
      <c r="V46" s="285" t="s">
        <v>320</v>
      </c>
      <c r="W46" s="285"/>
      <c r="X46" s="278"/>
      <c r="Y46" s="278"/>
      <c r="Z46" s="278"/>
      <c r="AA46" s="278"/>
      <c r="AB46" s="278"/>
      <c r="AC46" s="278"/>
      <c r="AD46" s="285" t="s">
        <v>320</v>
      </c>
      <c r="AE46" s="285">
        <v>13.399999999999999</v>
      </c>
      <c r="AF46" s="278"/>
      <c r="AG46" s="278"/>
      <c r="AH46" s="285"/>
      <c r="AI46" s="278"/>
      <c r="AJ46" s="278"/>
      <c r="AK46" s="285" t="s">
        <v>320</v>
      </c>
      <c r="AL46" s="278"/>
      <c r="AM46" s="285" t="s">
        <v>320</v>
      </c>
      <c r="AN46" s="285" t="s">
        <v>320</v>
      </c>
      <c r="AO46" s="278" t="s">
        <v>361</v>
      </c>
      <c r="AP46" s="283" t="s">
        <v>325</v>
      </c>
      <c r="AQ46" s="285" t="s">
        <v>320</v>
      </c>
    </row>
    <row r="47" spans="1:45" ht="13" customHeight="1" x14ac:dyDescent="0.35">
      <c r="A47" s="278"/>
      <c r="B47" s="306">
        <v>42946</v>
      </c>
      <c r="C47" s="280" t="s">
        <v>322</v>
      </c>
      <c r="D47" s="281" t="s">
        <v>373</v>
      </c>
      <c r="E47" s="278"/>
      <c r="F47" s="278" t="s">
        <v>360</v>
      </c>
      <c r="G47" s="293">
        <v>42916</v>
      </c>
      <c r="H47" s="296" t="s">
        <v>310</v>
      </c>
      <c r="I47" s="296" t="s">
        <v>309</v>
      </c>
      <c r="J47" s="283"/>
      <c r="K47" s="304" t="s">
        <v>503</v>
      </c>
      <c r="L47" s="284" t="s">
        <v>387</v>
      </c>
      <c r="M47" s="285">
        <v>85</v>
      </c>
      <c r="N47" s="285">
        <v>23.9</v>
      </c>
      <c r="O47" s="278"/>
      <c r="P47" s="278"/>
      <c r="Q47" s="288"/>
      <c r="R47" s="308"/>
      <c r="S47" s="287"/>
      <c r="T47" s="278"/>
      <c r="U47" s="288" t="s">
        <v>320</v>
      </c>
      <c r="V47" s="285" t="s">
        <v>320</v>
      </c>
      <c r="W47" s="285"/>
      <c r="X47" s="278"/>
      <c r="Y47" s="278"/>
      <c r="Z47" s="278"/>
      <c r="AA47" s="278"/>
      <c r="AB47" s="278"/>
      <c r="AC47" s="278"/>
      <c r="AD47" s="285" t="s">
        <v>320</v>
      </c>
      <c r="AE47" s="285">
        <v>14</v>
      </c>
      <c r="AF47" s="278"/>
      <c r="AG47" s="278"/>
      <c r="AH47" s="285"/>
      <c r="AI47" s="278"/>
      <c r="AJ47" s="278"/>
      <c r="AK47" s="285" t="s">
        <v>320</v>
      </c>
      <c r="AL47" s="278"/>
      <c r="AM47" s="285" t="s">
        <v>320</v>
      </c>
      <c r="AN47" s="285" t="s">
        <v>320</v>
      </c>
      <c r="AO47" s="278" t="s">
        <v>361</v>
      </c>
      <c r="AP47" s="283" t="s">
        <v>325</v>
      </c>
      <c r="AQ47" s="285" t="s">
        <v>320</v>
      </c>
    </row>
    <row r="48" spans="1:45" s="320" customFormat="1" ht="13" customHeight="1" x14ac:dyDescent="0.35">
      <c r="A48" s="252"/>
      <c r="B48" s="306">
        <v>42946</v>
      </c>
      <c r="C48" s="312" t="s">
        <v>322</v>
      </c>
      <c r="D48" s="252" t="s">
        <v>373</v>
      </c>
      <c r="E48" s="252"/>
      <c r="F48" s="278" t="s">
        <v>360</v>
      </c>
      <c r="G48" s="313">
        <v>42915</v>
      </c>
      <c r="H48" s="253" t="s">
        <v>310</v>
      </c>
      <c r="I48" s="253" t="s">
        <v>309</v>
      </c>
      <c r="J48" s="253"/>
      <c r="K48" s="252" t="s">
        <v>695</v>
      </c>
      <c r="L48" s="314" t="s">
        <v>387</v>
      </c>
      <c r="M48" s="285">
        <v>119.99999999999999</v>
      </c>
      <c r="N48" s="285">
        <v>21.2</v>
      </c>
      <c r="O48" s="316" t="s">
        <v>351</v>
      </c>
      <c r="P48" s="316">
        <v>1825</v>
      </c>
      <c r="Q48" s="285">
        <v>22.499999999999996</v>
      </c>
      <c r="R48" s="316">
        <v>1825</v>
      </c>
      <c r="S48" s="285">
        <v>22.499999999999996</v>
      </c>
      <c r="T48" s="252"/>
      <c r="U48" s="318"/>
      <c r="V48" s="318"/>
      <c r="W48" s="315"/>
      <c r="X48" s="252"/>
      <c r="Y48" s="252"/>
      <c r="Z48" s="252"/>
      <c r="AA48" s="252"/>
      <c r="AB48" s="252"/>
      <c r="AC48" s="252"/>
      <c r="AD48" s="318"/>
      <c r="AE48" s="285">
        <v>14</v>
      </c>
      <c r="AF48" s="252"/>
      <c r="AG48" s="252"/>
      <c r="AH48" s="315"/>
      <c r="AI48" s="252"/>
      <c r="AJ48" s="252"/>
      <c r="AK48" s="318"/>
      <c r="AL48" s="318"/>
      <c r="AM48" s="318"/>
      <c r="AN48" s="318"/>
      <c r="AO48" s="252" t="s">
        <v>361</v>
      </c>
      <c r="AP48" s="319" t="s">
        <v>309</v>
      </c>
      <c r="AQ48" s="318"/>
      <c r="AR48" s="318"/>
      <c r="AS48" s="318"/>
    </row>
    <row r="49" spans="1:45" s="320" customFormat="1" ht="13" customHeight="1" x14ac:dyDescent="0.35">
      <c r="A49" s="252"/>
      <c r="B49" s="306">
        <v>42946</v>
      </c>
      <c r="C49" s="312" t="s">
        <v>322</v>
      </c>
      <c r="D49" s="252" t="s">
        <v>373</v>
      </c>
      <c r="E49" s="252"/>
      <c r="F49" s="278" t="s">
        <v>360</v>
      </c>
      <c r="G49" s="313">
        <v>42720</v>
      </c>
      <c r="H49" s="253" t="s">
        <v>310</v>
      </c>
      <c r="I49" s="253" t="s">
        <v>309</v>
      </c>
      <c r="J49" s="253"/>
      <c r="K49" s="252" t="s">
        <v>698</v>
      </c>
      <c r="L49" s="314" t="s">
        <v>387</v>
      </c>
      <c r="M49" s="285">
        <v>92.3</v>
      </c>
      <c r="N49" s="285">
        <v>21.563636363636363</v>
      </c>
      <c r="O49" s="252"/>
      <c r="P49" s="252"/>
      <c r="Q49" s="315"/>
      <c r="R49" s="252"/>
      <c r="S49" s="317"/>
      <c r="T49" s="252"/>
      <c r="U49" s="318"/>
      <c r="V49" s="318"/>
      <c r="W49" s="315"/>
      <c r="X49" s="252"/>
      <c r="Y49" s="252"/>
      <c r="Z49" s="252"/>
      <c r="AA49" s="252"/>
      <c r="AB49" s="252"/>
      <c r="AC49" s="252"/>
      <c r="AD49" s="318"/>
      <c r="AE49" s="285">
        <v>11.654545454545454</v>
      </c>
      <c r="AF49" s="252"/>
      <c r="AG49" s="252"/>
      <c r="AH49" s="315"/>
      <c r="AI49" s="252"/>
      <c r="AJ49" s="252"/>
      <c r="AK49" s="318"/>
      <c r="AL49" s="318"/>
      <c r="AM49" s="318"/>
      <c r="AN49" s="318"/>
      <c r="AO49" s="252" t="s">
        <v>361</v>
      </c>
      <c r="AP49" s="319" t="s">
        <v>309</v>
      </c>
      <c r="AQ49" s="318"/>
      <c r="AR49" s="318"/>
      <c r="AS49" s="318"/>
    </row>
    <row r="50" spans="1:45" ht="13" customHeight="1" x14ac:dyDescent="0.35">
      <c r="A50" s="278">
        <v>10413</v>
      </c>
      <c r="B50" s="306">
        <v>42946</v>
      </c>
      <c r="C50" s="243" t="s">
        <v>322</v>
      </c>
      <c r="D50" s="281" t="s">
        <v>373</v>
      </c>
      <c r="E50" s="241"/>
      <c r="F50" s="278" t="s">
        <v>367</v>
      </c>
      <c r="G50" s="247">
        <v>42928</v>
      </c>
      <c r="H50" s="245" t="s">
        <v>324</v>
      </c>
      <c r="I50" s="245" t="s">
        <v>325</v>
      </c>
      <c r="J50" s="245"/>
      <c r="K50" s="241" t="s">
        <v>326</v>
      </c>
      <c r="L50" s="284" t="s">
        <v>387</v>
      </c>
      <c r="M50" s="285">
        <v>95.627272727272711</v>
      </c>
      <c r="N50" s="285">
        <v>48.18181818181818</v>
      </c>
      <c r="O50" s="278"/>
      <c r="P50" s="278"/>
      <c r="Q50" s="288"/>
      <c r="R50" s="308"/>
      <c r="S50" s="287"/>
      <c r="T50" s="278"/>
      <c r="U50" s="288" t="s">
        <v>320</v>
      </c>
      <c r="V50" s="285" t="s">
        <v>320</v>
      </c>
      <c r="W50" s="285">
        <v>12.472727272727273</v>
      </c>
      <c r="X50" s="278"/>
      <c r="Y50" s="278"/>
      <c r="Z50" s="278"/>
      <c r="AA50" s="278"/>
      <c r="AB50" s="278"/>
      <c r="AC50" s="278"/>
      <c r="AD50" s="285" t="s">
        <v>320</v>
      </c>
      <c r="AE50" s="285"/>
      <c r="AF50" s="278"/>
      <c r="AG50" s="278"/>
      <c r="AH50" s="285">
        <v>19.8</v>
      </c>
      <c r="AI50" s="278"/>
      <c r="AJ50" s="278"/>
      <c r="AK50" s="285" t="s">
        <v>320</v>
      </c>
      <c r="AL50" s="278"/>
      <c r="AM50" s="285" t="s">
        <v>320</v>
      </c>
      <c r="AN50" s="285" t="s">
        <v>320</v>
      </c>
      <c r="AO50" s="278" t="s">
        <v>378</v>
      </c>
      <c r="AP50" s="283" t="s">
        <v>325</v>
      </c>
      <c r="AQ50" s="285" t="s">
        <v>529</v>
      </c>
    </row>
    <row r="51" spans="1:45" ht="13" customHeight="1" x14ac:dyDescent="0.35">
      <c r="A51" s="278">
        <v>10500</v>
      </c>
      <c r="B51" s="306">
        <v>42946</v>
      </c>
      <c r="C51" s="280" t="s">
        <v>322</v>
      </c>
      <c r="D51" s="281" t="s">
        <v>373</v>
      </c>
      <c r="E51" s="278"/>
      <c r="F51" s="278" t="s">
        <v>367</v>
      </c>
      <c r="G51" s="290">
        <v>42916</v>
      </c>
      <c r="H51" s="283" t="s">
        <v>324</v>
      </c>
      <c r="I51" s="283" t="s">
        <v>325</v>
      </c>
      <c r="J51" s="283"/>
      <c r="K51" s="278" t="s">
        <v>328</v>
      </c>
      <c r="L51" s="284" t="s">
        <v>387</v>
      </c>
      <c r="M51" s="285">
        <v>95.999999999999986</v>
      </c>
      <c r="N51" s="285">
        <v>45.8</v>
      </c>
      <c r="O51" s="278"/>
      <c r="P51" s="278"/>
      <c r="Q51" s="288"/>
      <c r="R51" s="308"/>
      <c r="S51" s="287"/>
      <c r="T51" s="278"/>
      <c r="U51" s="288" t="s">
        <v>320</v>
      </c>
      <c r="V51" s="285" t="s">
        <v>320</v>
      </c>
      <c r="W51" s="285">
        <v>13.736363636363635</v>
      </c>
      <c r="X51" s="278"/>
      <c r="Y51" s="278"/>
      <c r="Z51" s="278"/>
      <c r="AA51" s="278"/>
      <c r="AB51" s="278"/>
      <c r="AC51" s="278"/>
      <c r="AD51" s="285" t="s">
        <v>320</v>
      </c>
      <c r="AE51" s="285"/>
      <c r="AF51" s="278"/>
      <c r="AG51" s="278"/>
      <c r="AH51" s="285">
        <v>19.418181818181814</v>
      </c>
      <c r="AI51" s="278"/>
      <c r="AJ51" s="278"/>
      <c r="AK51" s="285" t="s">
        <v>320</v>
      </c>
      <c r="AL51" s="278"/>
      <c r="AM51" s="285" t="s">
        <v>320</v>
      </c>
      <c r="AN51" s="285" t="s">
        <v>320</v>
      </c>
      <c r="AO51" s="278" t="s">
        <v>378</v>
      </c>
      <c r="AP51" s="283" t="s">
        <v>325</v>
      </c>
      <c r="AQ51" s="285" t="s">
        <v>629</v>
      </c>
    </row>
    <row r="52" spans="1:45" ht="13" customHeight="1" x14ac:dyDescent="0.35">
      <c r="A52" s="278">
        <v>4653</v>
      </c>
      <c r="B52" s="306">
        <v>42946</v>
      </c>
      <c r="C52" s="280" t="s">
        <v>322</v>
      </c>
      <c r="D52" s="281" t="s">
        <v>373</v>
      </c>
      <c r="E52" s="278"/>
      <c r="F52" s="278" t="s">
        <v>367</v>
      </c>
      <c r="G52" s="290">
        <v>42916</v>
      </c>
      <c r="H52" s="283" t="s">
        <v>324</v>
      </c>
      <c r="I52" s="283" t="s">
        <v>325</v>
      </c>
      <c r="J52" s="283"/>
      <c r="K52" s="278" t="s">
        <v>331</v>
      </c>
      <c r="L52" s="284" t="s">
        <v>387</v>
      </c>
      <c r="M52" s="285">
        <v>72</v>
      </c>
      <c r="N52" s="285">
        <v>44.29999999999999</v>
      </c>
      <c r="O52" s="278"/>
      <c r="P52" s="278"/>
      <c r="Q52" s="288"/>
      <c r="R52" s="308"/>
      <c r="S52" s="287"/>
      <c r="T52" s="278"/>
      <c r="U52" s="288" t="s">
        <v>320</v>
      </c>
      <c r="V52" s="285" t="s">
        <v>320</v>
      </c>
      <c r="W52" s="285">
        <v>13.499999999999998</v>
      </c>
      <c r="X52" s="278"/>
      <c r="Y52" s="278"/>
      <c r="Z52" s="278"/>
      <c r="AA52" s="278"/>
      <c r="AB52" s="278"/>
      <c r="AC52" s="278"/>
      <c r="AD52" s="285" t="s">
        <v>320</v>
      </c>
      <c r="AE52" s="285"/>
      <c r="AF52" s="278"/>
      <c r="AG52" s="278"/>
      <c r="AH52" s="285">
        <v>19.554545454545455</v>
      </c>
      <c r="AI52" s="278"/>
      <c r="AJ52" s="278"/>
      <c r="AK52" s="285" t="s">
        <v>320</v>
      </c>
      <c r="AL52" s="278"/>
      <c r="AM52" s="285" t="s">
        <v>320</v>
      </c>
      <c r="AN52" s="285" t="s">
        <v>320</v>
      </c>
      <c r="AO52" s="278" t="s">
        <v>378</v>
      </c>
      <c r="AP52" s="283" t="s">
        <v>325</v>
      </c>
      <c r="AQ52" s="285" t="s">
        <v>708</v>
      </c>
    </row>
    <row r="53" spans="1:45" ht="13" customHeight="1" x14ac:dyDescent="0.35">
      <c r="A53" s="278">
        <v>1442</v>
      </c>
      <c r="B53" s="306">
        <v>42946</v>
      </c>
      <c r="C53" s="280" t="s">
        <v>322</v>
      </c>
      <c r="D53" s="281" t="s">
        <v>373</v>
      </c>
      <c r="E53" s="278"/>
      <c r="F53" s="278" t="s">
        <v>367</v>
      </c>
      <c r="G53" s="290">
        <v>42916</v>
      </c>
      <c r="H53" s="283" t="s">
        <v>324</v>
      </c>
      <c r="I53" s="283" t="s">
        <v>325</v>
      </c>
      <c r="J53" s="283"/>
      <c r="K53" s="278" t="s">
        <v>479</v>
      </c>
      <c r="L53" s="284" t="s">
        <v>387</v>
      </c>
      <c r="M53" s="285">
        <v>104.5</v>
      </c>
      <c r="N53" s="285">
        <v>47.999999999999993</v>
      </c>
      <c r="O53" s="278" t="s">
        <v>533</v>
      </c>
      <c r="P53" s="278">
        <v>1020</v>
      </c>
      <c r="Q53" s="285">
        <v>49.5</v>
      </c>
      <c r="R53" s="308">
        <v>1020</v>
      </c>
      <c r="S53" s="285">
        <v>49.5</v>
      </c>
      <c r="T53" s="278"/>
      <c r="U53" s="288" t="s">
        <v>320</v>
      </c>
      <c r="V53" s="285" t="s">
        <v>320</v>
      </c>
      <c r="W53" s="285">
        <v>16.999999999999996</v>
      </c>
      <c r="X53" s="278"/>
      <c r="Y53" s="278"/>
      <c r="Z53" s="278"/>
      <c r="AA53" s="278"/>
      <c r="AB53" s="278"/>
      <c r="AC53" s="278"/>
      <c r="AD53" s="285" t="s">
        <v>320</v>
      </c>
      <c r="AE53" s="285"/>
      <c r="AF53" s="278"/>
      <c r="AG53" s="278"/>
      <c r="AH53" s="285">
        <v>24.999999999999996</v>
      </c>
      <c r="AI53" s="278"/>
      <c r="AJ53" s="278"/>
      <c r="AK53" s="285" t="s">
        <v>320</v>
      </c>
      <c r="AL53" s="278"/>
      <c r="AM53" s="285" t="s">
        <v>320</v>
      </c>
      <c r="AN53" s="285" t="s">
        <v>320</v>
      </c>
      <c r="AO53" s="278" t="s">
        <v>378</v>
      </c>
      <c r="AP53" s="283" t="s">
        <v>325</v>
      </c>
      <c r="AQ53" s="285" t="s">
        <v>732</v>
      </c>
    </row>
    <row r="54" spans="1:45" ht="13" customHeight="1" x14ac:dyDescent="0.35">
      <c r="A54" s="278">
        <v>1484</v>
      </c>
      <c r="B54" s="306">
        <v>42946</v>
      </c>
      <c r="C54" s="243" t="s">
        <v>322</v>
      </c>
      <c r="D54" s="281" t="s">
        <v>373</v>
      </c>
      <c r="E54" s="241"/>
      <c r="F54" s="278" t="s">
        <v>367</v>
      </c>
      <c r="G54" s="248">
        <v>42916</v>
      </c>
      <c r="H54" s="283" t="s">
        <v>324</v>
      </c>
      <c r="I54" s="283" t="s">
        <v>325</v>
      </c>
      <c r="J54" s="283"/>
      <c r="K54" s="278" t="s">
        <v>397</v>
      </c>
      <c r="L54" s="284" t="s">
        <v>387</v>
      </c>
      <c r="M54" s="285">
        <v>109.99999999999999</v>
      </c>
      <c r="N54" s="285">
        <v>37.999999999999993</v>
      </c>
      <c r="O54" s="278"/>
      <c r="P54" s="278"/>
      <c r="Q54" s="288"/>
      <c r="R54" s="308"/>
      <c r="S54" s="288"/>
      <c r="T54" s="278"/>
      <c r="U54" s="288" t="s">
        <v>320</v>
      </c>
      <c r="V54" s="285" t="s">
        <v>320</v>
      </c>
      <c r="W54" s="285">
        <v>15.199999999999998</v>
      </c>
      <c r="X54" s="278"/>
      <c r="Y54" s="278"/>
      <c r="Z54" s="278"/>
      <c r="AA54" s="278"/>
      <c r="AB54" s="278"/>
      <c r="AC54" s="278"/>
      <c r="AD54" s="285" t="s">
        <v>320</v>
      </c>
      <c r="AE54" s="285"/>
      <c r="AF54" s="278"/>
      <c r="AG54" s="278"/>
      <c r="AH54" s="285">
        <v>17.399999999999999</v>
      </c>
      <c r="AI54" s="278"/>
      <c r="AJ54" s="278"/>
      <c r="AK54" s="285" t="s">
        <v>320</v>
      </c>
      <c r="AL54" s="278"/>
      <c r="AM54" s="285" t="s">
        <v>320</v>
      </c>
      <c r="AN54" s="285" t="s">
        <v>320</v>
      </c>
      <c r="AO54" s="278" t="s">
        <v>378</v>
      </c>
      <c r="AP54" s="283" t="s">
        <v>325</v>
      </c>
      <c r="AQ54" s="285" t="s">
        <v>535</v>
      </c>
    </row>
    <row r="55" spans="1:45" ht="13" customHeight="1" x14ac:dyDescent="0.35">
      <c r="A55" s="278">
        <v>10263</v>
      </c>
      <c r="B55" s="306">
        <v>42946</v>
      </c>
      <c r="C55" s="280" t="s">
        <v>322</v>
      </c>
      <c r="D55" s="281" t="s">
        <v>373</v>
      </c>
      <c r="E55" s="278"/>
      <c r="F55" s="278" t="s">
        <v>367</v>
      </c>
      <c r="G55" s="248">
        <v>42916</v>
      </c>
      <c r="H55" s="283" t="s">
        <v>324</v>
      </c>
      <c r="I55" s="283" t="s">
        <v>325</v>
      </c>
      <c r="J55" s="283"/>
      <c r="K55" s="278" t="s">
        <v>340</v>
      </c>
      <c r="L55" s="284" t="s">
        <v>387</v>
      </c>
      <c r="M55" s="285">
        <v>89.899999999999991</v>
      </c>
      <c r="N55" s="285">
        <v>48.063636363636355</v>
      </c>
      <c r="O55" s="278"/>
      <c r="P55" s="278"/>
      <c r="Q55" s="288"/>
      <c r="R55" s="278"/>
      <c r="S55" s="288"/>
      <c r="T55" s="278"/>
      <c r="U55" s="288" t="s">
        <v>320</v>
      </c>
      <c r="V55" s="285" t="s">
        <v>320</v>
      </c>
      <c r="W55" s="285">
        <v>16.09090909090909</v>
      </c>
      <c r="X55" s="278"/>
      <c r="Y55" s="278"/>
      <c r="Z55" s="278"/>
      <c r="AA55" s="278"/>
      <c r="AB55" s="278"/>
      <c r="AC55" s="278"/>
      <c r="AD55" s="285" t="s">
        <v>320</v>
      </c>
      <c r="AE55" s="285"/>
      <c r="AF55" s="278"/>
      <c r="AG55" s="278"/>
      <c r="AH55" s="285">
        <v>22.954545454545453</v>
      </c>
      <c r="AI55" s="278"/>
      <c r="AJ55" s="278"/>
      <c r="AK55" s="285" t="s">
        <v>320</v>
      </c>
      <c r="AL55" s="278"/>
      <c r="AM55" s="285" t="s">
        <v>320</v>
      </c>
      <c r="AN55" s="285" t="s">
        <v>320</v>
      </c>
      <c r="AO55" s="278" t="s">
        <v>378</v>
      </c>
      <c r="AP55" s="283" t="s">
        <v>325</v>
      </c>
      <c r="AQ55" s="285" t="s">
        <v>536</v>
      </c>
    </row>
    <row r="56" spans="1:45" ht="13" customHeight="1" x14ac:dyDescent="0.35">
      <c r="A56" s="278">
        <v>5639</v>
      </c>
      <c r="B56" s="306">
        <v>42946</v>
      </c>
      <c r="C56" s="280" t="s">
        <v>322</v>
      </c>
      <c r="D56" s="281" t="s">
        <v>373</v>
      </c>
      <c r="E56" s="278"/>
      <c r="F56" s="278" t="s">
        <v>367</v>
      </c>
      <c r="G56" s="248">
        <v>42916</v>
      </c>
      <c r="H56" s="283" t="s">
        <v>324</v>
      </c>
      <c r="I56" s="283" t="s">
        <v>325</v>
      </c>
      <c r="J56" s="283"/>
      <c r="K56" s="278" t="s">
        <v>401</v>
      </c>
      <c r="L56" s="284" t="s">
        <v>387</v>
      </c>
      <c r="M56" s="285">
        <v>94.372727272727261</v>
      </c>
      <c r="N56" s="285">
        <v>41.463636363636361</v>
      </c>
      <c r="O56" s="278"/>
      <c r="P56" s="278"/>
      <c r="Q56" s="288"/>
      <c r="R56" s="278"/>
      <c r="S56" s="288"/>
      <c r="T56" s="278"/>
      <c r="U56" s="288" t="s">
        <v>320</v>
      </c>
      <c r="V56" s="285" t="s">
        <v>320</v>
      </c>
      <c r="W56" s="285">
        <v>19.7</v>
      </c>
      <c r="X56" s="278"/>
      <c r="Y56" s="278"/>
      <c r="Z56" s="278"/>
      <c r="AA56" s="278"/>
      <c r="AB56" s="278"/>
      <c r="AC56" s="278"/>
      <c r="AD56" s="285" t="s">
        <v>320</v>
      </c>
      <c r="AE56" s="285"/>
      <c r="AF56" s="278"/>
      <c r="AG56" s="278"/>
      <c r="AH56" s="285">
        <v>21.709090909090907</v>
      </c>
      <c r="AI56" s="278"/>
      <c r="AJ56" s="278"/>
      <c r="AK56" s="285" t="s">
        <v>320</v>
      </c>
      <c r="AL56" s="278"/>
      <c r="AM56" s="285" t="s">
        <v>320</v>
      </c>
      <c r="AN56" s="285" t="s">
        <v>320</v>
      </c>
      <c r="AO56" s="278" t="s">
        <v>378</v>
      </c>
      <c r="AP56" s="283" t="s">
        <v>325</v>
      </c>
      <c r="AQ56" s="285" t="s">
        <v>712</v>
      </c>
    </row>
    <row r="57" spans="1:45" ht="13" customHeight="1" x14ac:dyDescent="0.35">
      <c r="A57" s="278">
        <v>4374</v>
      </c>
      <c r="B57" s="306">
        <v>42946</v>
      </c>
      <c r="C57" s="280" t="s">
        <v>322</v>
      </c>
      <c r="D57" s="281" t="s">
        <v>373</v>
      </c>
      <c r="E57" s="278"/>
      <c r="F57" s="278" t="s">
        <v>367</v>
      </c>
      <c r="G57" s="290">
        <v>42916</v>
      </c>
      <c r="H57" s="283" t="s">
        <v>324</v>
      </c>
      <c r="I57" s="283" t="s">
        <v>325</v>
      </c>
      <c r="J57" s="283"/>
      <c r="K57" s="278" t="s">
        <v>403</v>
      </c>
      <c r="L57" s="284" t="s">
        <v>387</v>
      </c>
      <c r="M57" s="285">
        <v>89.781818181818181</v>
      </c>
      <c r="N57" s="285">
        <v>35.590909090909086</v>
      </c>
      <c r="O57" s="278"/>
      <c r="P57" s="278"/>
      <c r="Q57" s="288"/>
      <c r="R57" s="278"/>
      <c r="S57" s="288"/>
      <c r="T57" s="278"/>
      <c r="U57" s="288" t="s">
        <v>320</v>
      </c>
      <c r="V57" s="285" t="s">
        <v>320</v>
      </c>
      <c r="W57" s="285">
        <v>18.736363636363635</v>
      </c>
      <c r="X57" s="278"/>
      <c r="Y57" s="278"/>
      <c r="Z57" s="278"/>
      <c r="AA57" s="278"/>
      <c r="AB57" s="278"/>
      <c r="AC57" s="278"/>
      <c r="AD57" s="285" t="s">
        <v>320</v>
      </c>
      <c r="AE57" s="285"/>
      <c r="AF57" s="278"/>
      <c r="AG57" s="278"/>
      <c r="AH57" s="285">
        <v>22.2</v>
      </c>
      <c r="AI57" s="278"/>
      <c r="AJ57" s="278"/>
      <c r="AK57" s="285" t="s">
        <v>320</v>
      </c>
      <c r="AL57" s="278"/>
      <c r="AM57" s="285" t="s">
        <v>320</v>
      </c>
      <c r="AN57" s="285" t="s">
        <v>320</v>
      </c>
      <c r="AO57" s="278" t="s">
        <v>378</v>
      </c>
      <c r="AP57" s="283" t="s">
        <v>325</v>
      </c>
      <c r="AQ57" s="285" t="s">
        <v>641</v>
      </c>
    </row>
    <row r="58" spans="1:45" ht="13" customHeight="1" x14ac:dyDescent="0.35">
      <c r="A58" s="278">
        <v>10524</v>
      </c>
      <c r="B58" s="306">
        <v>42946</v>
      </c>
      <c r="C58" s="280" t="s">
        <v>322</v>
      </c>
      <c r="D58" s="281" t="s">
        <v>373</v>
      </c>
      <c r="E58" s="278"/>
      <c r="F58" s="278" t="s">
        <v>367</v>
      </c>
      <c r="G58" s="290">
        <v>42916</v>
      </c>
      <c r="H58" s="283" t="s">
        <v>324</v>
      </c>
      <c r="I58" s="283" t="s">
        <v>325</v>
      </c>
      <c r="J58" s="283"/>
      <c r="K58" s="278" t="s">
        <v>348</v>
      </c>
      <c r="L58" s="284" t="s">
        <v>387</v>
      </c>
      <c r="M58" s="285">
        <v>91.149999999999991</v>
      </c>
      <c r="N58" s="285">
        <v>47.749999999999993</v>
      </c>
      <c r="O58" s="278"/>
      <c r="P58" s="278"/>
      <c r="Q58" s="288"/>
      <c r="R58" s="278"/>
      <c r="S58" s="288"/>
      <c r="T58" s="278"/>
      <c r="U58" s="288" t="s">
        <v>320</v>
      </c>
      <c r="V58" s="285" t="s">
        <v>320</v>
      </c>
      <c r="W58" s="285">
        <v>12.84</v>
      </c>
      <c r="X58" s="278"/>
      <c r="Y58" s="278"/>
      <c r="Z58" s="278"/>
      <c r="AA58" s="278"/>
      <c r="AB58" s="278"/>
      <c r="AC58" s="278"/>
      <c r="AD58" s="285" t="s">
        <v>320</v>
      </c>
      <c r="AE58" s="285"/>
      <c r="AF58" s="278"/>
      <c r="AG58" s="278"/>
      <c r="AH58" s="285">
        <v>20.139999999999997</v>
      </c>
      <c r="AI58" s="278"/>
      <c r="AJ58" s="278"/>
      <c r="AK58" s="285" t="s">
        <v>320</v>
      </c>
      <c r="AL58" s="278"/>
      <c r="AM58" s="285" t="s">
        <v>320</v>
      </c>
      <c r="AN58" s="285" t="s">
        <v>320</v>
      </c>
      <c r="AO58" s="278" t="s">
        <v>378</v>
      </c>
      <c r="AP58" s="283" t="s">
        <v>325</v>
      </c>
      <c r="AQ58" s="285" t="s">
        <v>645</v>
      </c>
    </row>
    <row r="59" spans="1:45" ht="13" customHeight="1" x14ac:dyDescent="0.35">
      <c r="A59" s="278">
        <v>10333</v>
      </c>
      <c r="B59" s="306">
        <v>42946</v>
      </c>
      <c r="C59" s="280" t="s">
        <v>322</v>
      </c>
      <c r="D59" s="281" t="s">
        <v>373</v>
      </c>
      <c r="E59" s="278"/>
      <c r="F59" s="278" t="s">
        <v>367</v>
      </c>
      <c r="G59" s="290">
        <v>42916</v>
      </c>
      <c r="H59" s="283" t="s">
        <v>324</v>
      </c>
      <c r="I59" s="283" t="s">
        <v>325</v>
      </c>
      <c r="J59" s="283"/>
      <c r="K59" s="278" t="s">
        <v>406</v>
      </c>
      <c r="L59" s="284" t="s">
        <v>387</v>
      </c>
      <c r="M59" s="285">
        <v>95.627272727272711</v>
      </c>
      <c r="N59" s="285">
        <v>48.18181818181818</v>
      </c>
      <c r="O59" s="278"/>
      <c r="P59" s="278"/>
      <c r="Q59" s="288"/>
      <c r="R59" s="278"/>
      <c r="S59" s="287"/>
      <c r="T59" s="278"/>
      <c r="U59" s="288" t="s">
        <v>320</v>
      </c>
      <c r="V59" s="285" t="s">
        <v>320</v>
      </c>
      <c r="W59" s="285">
        <v>12.472727272727273</v>
      </c>
      <c r="X59" s="278"/>
      <c r="Y59" s="278"/>
      <c r="Z59" s="278"/>
      <c r="AA59" s="278"/>
      <c r="AB59" s="278"/>
      <c r="AC59" s="278"/>
      <c r="AD59" s="285" t="s">
        <v>320</v>
      </c>
      <c r="AE59" s="285"/>
      <c r="AF59" s="278"/>
      <c r="AG59" s="278"/>
      <c r="AH59" s="285">
        <v>19.8</v>
      </c>
      <c r="AI59" s="278"/>
      <c r="AJ59" s="278"/>
      <c r="AK59" s="285" t="s">
        <v>320</v>
      </c>
      <c r="AL59" s="278"/>
      <c r="AM59" s="285" t="s">
        <v>320</v>
      </c>
      <c r="AN59" s="285" t="s">
        <v>320</v>
      </c>
      <c r="AO59" s="278" t="s">
        <v>378</v>
      </c>
      <c r="AP59" s="283" t="s">
        <v>325</v>
      </c>
      <c r="AQ59" s="285" t="s">
        <v>647</v>
      </c>
    </row>
    <row r="60" spans="1:45" ht="13" customHeight="1" x14ac:dyDescent="0.35">
      <c r="A60" s="278">
        <v>10668</v>
      </c>
      <c r="B60" s="306">
        <v>42946</v>
      </c>
      <c r="C60" s="280" t="s">
        <v>322</v>
      </c>
      <c r="D60" s="281" t="s">
        <v>373</v>
      </c>
      <c r="E60" s="278"/>
      <c r="F60" s="278" t="s">
        <v>367</v>
      </c>
      <c r="G60" s="290">
        <v>42916</v>
      </c>
      <c r="H60" s="283" t="s">
        <v>324</v>
      </c>
      <c r="I60" s="283" t="s">
        <v>325</v>
      </c>
      <c r="J60" s="283"/>
      <c r="K60" s="278" t="s">
        <v>408</v>
      </c>
      <c r="L60" s="284" t="s">
        <v>387</v>
      </c>
      <c r="M60" s="285">
        <v>99.999999999999986</v>
      </c>
      <c r="N60" s="285">
        <v>32</v>
      </c>
      <c r="O60" s="278"/>
      <c r="P60" s="278"/>
      <c r="Q60" s="288"/>
      <c r="R60" s="278"/>
      <c r="S60" s="288"/>
      <c r="T60" s="278"/>
      <c r="U60" s="288" t="s">
        <v>320</v>
      </c>
      <c r="V60" s="285"/>
      <c r="W60" s="285">
        <v>14.999999999999998</v>
      </c>
      <c r="X60" s="278"/>
      <c r="Y60" s="278"/>
      <c r="Z60" s="278"/>
      <c r="AA60" s="278"/>
      <c r="AB60" s="278"/>
      <c r="AC60" s="278"/>
      <c r="AD60" s="285" t="s">
        <v>320</v>
      </c>
      <c r="AE60" s="285"/>
      <c r="AF60" s="278"/>
      <c r="AG60" s="278"/>
      <c r="AH60" s="285">
        <v>23.999999999999996</v>
      </c>
      <c r="AI60" s="278"/>
      <c r="AJ60" s="278"/>
      <c r="AK60" s="285" t="s">
        <v>320</v>
      </c>
      <c r="AL60" s="278"/>
      <c r="AM60" s="285" t="s">
        <v>320</v>
      </c>
      <c r="AN60" s="285" t="s">
        <v>320</v>
      </c>
      <c r="AO60" s="281" t="s">
        <v>381</v>
      </c>
      <c r="AP60" s="283" t="s">
        <v>325</v>
      </c>
      <c r="AQ60" s="285" t="s">
        <v>649</v>
      </c>
    </row>
    <row r="61" spans="1:45" ht="13" customHeight="1" x14ac:dyDescent="0.35">
      <c r="A61" s="278">
        <v>1389</v>
      </c>
      <c r="B61" s="306">
        <v>42946</v>
      </c>
      <c r="C61" s="280" t="s">
        <v>322</v>
      </c>
      <c r="D61" s="281" t="s">
        <v>373</v>
      </c>
      <c r="E61" s="278"/>
      <c r="F61" s="278" t="s">
        <v>367</v>
      </c>
      <c r="G61" s="290">
        <v>42916</v>
      </c>
      <c r="H61" s="283" t="s">
        <v>324</v>
      </c>
      <c r="I61" s="283" t="s">
        <v>325</v>
      </c>
      <c r="J61" s="283"/>
      <c r="K61" s="278" t="s">
        <v>410</v>
      </c>
      <c r="L61" s="284" t="s">
        <v>387</v>
      </c>
      <c r="M61" s="285">
        <v>92.3</v>
      </c>
      <c r="N61" s="285">
        <v>23.490909090909089</v>
      </c>
      <c r="O61" s="281"/>
      <c r="P61" s="278"/>
      <c r="Q61" s="288"/>
      <c r="R61" s="288"/>
      <c r="S61" s="288"/>
      <c r="T61" s="278"/>
      <c r="U61" s="288" t="s">
        <v>320</v>
      </c>
      <c r="V61" s="285" t="s">
        <v>320</v>
      </c>
      <c r="W61" s="285">
        <v>23.490909090909089</v>
      </c>
      <c r="X61" s="278"/>
      <c r="Y61" s="278"/>
      <c r="Z61" s="278"/>
      <c r="AA61" s="278"/>
      <c r="AB61" s="278"/>
      <c r="AC61" s="278"/>
      <c r="AD61" s="285" t="s">
        <v>320</v>
      </c>
      <c r="AE61" s="285"/>
      <c r="AF61" s="278"/>
      <c r="AG61" s="278"/>
      <c r="AH61" s="285">
        <v>23.490909090909089</v>
      </c>
      <c r="AI61" s="278"/>
      <c r="AJ61" s="278"/>
      <c r="AK61" s="285" t="s">
        <v>320</v>
      </c>
      <c r="AL61" s="278"/>
      <c r="AM61" s="285" t="s">
        <v>320</v>
      </c>
      <c r="AN61" s="285" t="s">
        <v>320</v>
      </c>
      <c r="AO61" s="278" t="s">
        <v>378</v>
      </c>
      <c r="AP61" s="283" t="s">
        <v>325</v>
      </c>
      <c r="AQ61" s="285" t="s">
        <v>654</v>
      </c>
    </row>
    <row r="62" spans="1:45" ht="13" customHeight="1" x14ac:dyDescent="0.35">
      <c r="A62" s="278">
        <v>3596</v>
      </c>
      <c r="B62" s="306">
        <v>42946</v>
      </c>
      <c r="C62" s="280" t="s">
        <v>322</v>
      </c>
      <c r="D62" s="281" t="s">
        <v>373</v>
      </c>
      <c r="E62" s="278"/>
      <c r="F62" s="278" t="s">
        <v>367</v>
      </c>
      <c r="G62" s="290">
        <v>42916</v>
      </c>
      <c r="H62" s="283" t="s">
        <v>324</v>
      </c>
      <c r="I62" s="283" t="s">
        <v>325</v>
      </c>
      <c r="J62" s="283"/>
      <c r="K62" s="278" t="s">
        <v>412</v>
      </c>
      <c r="L62" s="284" t="s">
        <v>387</v>
      </c>
      <c r="M62" s="285">
        <v>89</v>
      </c>
      <c r="N62" s="285">
        <v>38.999999999999993</v>
      </c>
      <c r="O62" s="241"/>
      <c r="P62" s="241"/>
      <c r="Q62" s="246"/>
      <c r="R62" s="241"/>
      <c r="S62" s="244"/>
      <c r="T62" s="241"/>
      <c r="U62" s="246" t="s">
        <v>320</v>
      </c>
      <c r="V62" s="246" t="s">
        <v>320</v>
      </c>
      <c r="W62" s="285">
        <v>18.899999999999999</v>
      </c>
      <c r="X62" s="241"/>
      <c r="Y62" s="241"/>
      <c r="Z62" s="241"/>
      <c r="AA62" s="241"/>
      <c r="AB62" s="241"/>
      <c r="AC62" s="241"/>
      <c r="AD62" s="246" t="s">
        <v>320</v>
      </c>
      <c r="AE62" s="246"/>
      <c r="AF62" s="241"/>
      <c r="AG62" s="241"/>
      <c r="AH62" s="285">
        <v>23.536363636363635</v>
      </c>
      <c r="AI62" s="241"/>
      <c r="AJ62" s="241"/>
      <c r="AK62" s="246" t="s">
        <v>320</v>
      </c>
      <c r="AL62" s="241"/>
      <c r="AM62" s="246" t="s">
        <v>320</v>
      </c>
      <c r="AN62" s="246" t="s">
        <v>320</v>
      </c>
      <c r="AO62" s="241" t="s">
        <v>377</v>
      </c>
      <c r="AP62" s="245" t="s">
        <v>227</v>
      </c>
      <c r="AQ62" s="246" t="s">
        <v>664</v>
      </c>
    </row>
    <row r="63" spans="1:45" ht="13" customHeight="1" x14ac:dyDescent="0.35">
      <c r="A63" s="278">
        <v>10371</v>
      </c>
      <c r="B63" s="306">
        <v>42946</v>
      </c>
      <c r="C63" s="280" t="s">
        <v>322</v>
      </c>
      <c r="D63" s="281" t="s">
        <v>373</v>
      </c>
      <c r="E63" s="278"/>
      <c r="F63" s="278" t="s">
        <v>367</v>
      </c>
      <c r="G63" s="290">
        <v>42916</v>
      </c>
      <c r="H63" s="283" t="s">
        <v>310</v>
      </c>
      <c r="I63" s="283" t="s">
        <v>309</v>
      </c>
      <c r="J63" s="283"/>
      <c r="K63" s="278" t="s">
        <v>374</v>
      </c>
      <c r="L63" s="284" t="s">
        <v>387</v>
      </c>
      <c r="M63" s="285">
        <v>99.999999999999986</v>
      </c>
      <c r="N63" s="285">
        <v>38.599999999999994</v>
      </c>
      <c r="O63" s="278"/>
      <c r="P63" s="278"/>
      <c r="Q63" s="288"/>
      <c r="R63" s="278"/>
      <c r="S63" s="287"/>
      <c r="T63" s="278"/>
      <c r="U63" s="288" t="s">
        <v>320</v>
      </c>
      <c r="V63" s="285" t="s">
        <v>320</v>
      </c>
      <c r="W63" s="285">
        <v>14.299999999999999</v>
      </c>
      <c r="X63" s="278"/>
      <c r="Y63" s="278"/>
      <c r="Z63" s="278"/>
      <c r="AA63" s="278"/>
      <c r="AB63" s="278"/>
      <c r="AC63" s="278"/>
      <c r="AD63" s="285" t="s">
        <v>320</v>
      </c>
      <c r="AE63" s="285"/>
      <c r="AF63" s="278"/>
      <c r="AG63" s="278"/>
      <c r="AH63" s="285">
        <v>17.899999999999999</v>
      </c>
      <c r="AI63" s="278"/>
      <c r="AJ63" s="278"/>
      <c r="AK63" s="285" t="s">
        <v>320</v>
      </c>
      <c r="AL63" s="278"/>
      <c r="AM63" s="285" t="s">
        <v>320</v>
      </c>
      <c r="AN63" s="285" t="s">
        <v>320</v>
      </c>
      <c r="AO63" s="278" t="s">
        <v>378</v>
      </c>
      <c r="AP63" s="283" t="s">
        <v>325</v>
      </c>
      <c r="AQ63" s="285" t="s">
        <v>672</v>
      </c>
    </row>
    <row r="64" spans="1:45" ht="13" customHeight="1" x14ac:dyDescent="0.35">
      <c r="A64" s="278"/>
      <c r="B64" s="306">
        <v>42946</v>
      </c>
      <c r="C64" s="280" t="s">
        <v>322</v>
      </c>
      <c r="D64" s="281" t="s">
        <v>373</v>
      </c>
      <c r="E64" s="278"/>
      <c r="F64" s="278" t="s">
        <v>367</v>
      </c>
      <c r="G64" s="293">
        <v>42928</v>
      </c>
      <c r="H64" s="296" t="s">
        <v>309</v>
      </c>
      <c r="I64" s="296" t="s">
        <v>355</v>
      </c>
      <c r="J64" s="283"/>
      <c r="K64" s="281" t="s">
        <v>388</v>
      </c>
      <c r="L64" s="284" t="s">
        <v>387</v>
      </c>
      <c r="M64" s="285">
        <v>79.090909090909079</v>
      </c>
      <c r="N64" s="285">
        <v>22.636363636363633</v>
      </c>
      <c r="O64" s="278"/>
      <c r="P64" s="278"/>
      <c r="Q64" s="288"/>
      <c r="R64" s="278"/>
      <c r="S64" s="287"/>
      <c r="T64" s="278"/>
      <c r="U64" s="288" t="s">
        <v>320</v>
      </c>
      <c r="V64" s="285" t="s">
        <v>320</v>
      </c>
      <c r="W64" s="285">
        <v>22.636363636363633</v>
      </c>
      <c r="X64" s="278"/>
      <c r="Y64" s="278"/>
      <c r="Z64" s="278"/>
      <c r="AA64" s="278"/>
      <c r="AB64" s="278"/>
      <c r="AC64" s="278"/>
      <c r="AD64" s="285" t="s">
        <v>320</v>
      </c>
      <c r="AE64" s="285"/>
      <c r="AF64" s="278"/>
      <c r="AG64" s="278"/>
      <c r="AH64" s="285">
        <v>22.636363636363633</v>
      </c>
      <c r="AI64" s="278"/>
      <c r="AJ64" s="278"/>
      <c r="AK64" s="285" t="s">
        <v>320</v>
      </c>
      <c r="AL64" s="278"/>
      <c r="AM64" s="285" t="s">
        <v>320</v>
      </c>
      <c r="AN64" s="285" t="s">
        <v>320</v>
      </c>
      <c r="AO64" s="278" t="s">
        <v>378</v>
      </c>
      <c r="AP64" s="283" t="s">
        <v>325</v>
      </c>
      <c r="AQ64" s="285" t="s">
        <v>718</v>
      </c>
    </row>
    <row r="65" spans="1:43" ht="13" customHeight="1" x14ac:dyDescent="0.35">
      <c r="A65" s="278"/>
      <c r="B65" s="306">
        <v>42946</v>
      </c>
      <c r="C65" s="280" t="s">
        <v>322</v>
      </c>
      <c r="D65" s="281" t="s">
        <v>373</v>
      </c>
      <c r="E65" s="278"/>
      <c r="F65" s="278" t="s">
        <v>367</v>
      </c>
      <c r="G65" s="290">
        <v>42916</v>
      </c>
      <c r="H65" s="296" t="s">
        <v>310</v>
      </c>
      <c r="I65" s="296" t="s">
        <v>309</v>
      </c>
      <c r="J65" s="283"/>
      <c r="K65" s="281" t="s">
        <v>420</v>
      </c>
      <c r="L65" s="284" t="s">
        <v>387</v>
      </c>
      <c r="M65" s="285">
        <v>67.272727272727266</v>
      </c>
      <c r="N65" s="285">
        <v>45.099999999999994</v>
      </c>
      <c r="O65" s="278"/>
      <c r="P65" s="278"/>
      <c r="Q65" s="288"/>
      <c r="R65" s="278"/>
      <c r="S65" s="287"/>
      <c r="T65" s="278"/>
      <c r="U65" s="288" t="s">
        <v>320</v>
      </c>
      <c r="V65" s="285" t="s">
        <v>320</v>
      </c>
      <c r="W65" s="285">
        <v>15.227272727272727</v>
      </c>
      <c r="X65" s="278"/>
      <c r="Y65" s="278"/>
      <c r="Z65" s="278"/>
      <c r="AA65" s="278"/>
      <c r="AB65" s="278"/>
      <c r="AC65" s="278"/>
      <c r="AD65" s="285" t="s">
        <v>320</v>
      </c>
      <c r="AE65" s="285"/>
      <c r="AF65" s="278"/>
      <c r="AG65" s="278"/>
      <c r="AH65" s="285">
        <v>18.654545454545453</v>
      </c>
      <c r="AI65" s="278"/>
      <c r="AJ65" s="278"/>
      <c r="AK65" s="285" t="s">
        <v>320</v>
      </c>
      <c r="AL65" s="278"/>
      <c r="AM65" s="285" t="s">
        <v>320</v>
      </c>
      <c r="AN65" s="285" t="s">
        <v>320</v>
      </c>
      <c r="AO65" s="278" t="s">
        <v>378</v>
      </c>
      <c r="AP65" s="283" t="s">
        <v>325</v>
      </c>
      <c r="AQ65" s="285" t="s">
        <v>721</v>
      </c>
    </row>
    <row r="66" spans="1:43" ht="13" customHeight="1" x14ac:dyDescent="0.35">
      <c r="A66" s="278"/>
      <c r="B66" s="306">
        <v>42946</v>
      </c>
      <c r="C66" s="280" t="s">
        <v>322</v>
      </c>
      <c r="D66" s="281" t="s">
        <v>373</v>
      </c>
      <c r="E66" s="278"/>
      <c r="F66" s="278" t="s">
        <v>367</v>
      </c>
      <c r="G66" s="293">
        <v>42936</v>
      </c>
      <c r="H66" s="296" t="s">
        <v>309</v>
      </c>
      <c r="I66" s="296" t="s">
        <v>355</v>
      </c>
      <c r="J66" s="283"/>
      <c r="K66" s="281" t="s">
        <v>424</v>
      </c>
      <c r="L66" s="284" t="s">
        <v>387</v>
      </c>
      <c r="M66" s="285">
        <v>91.199999999999989</v>
      </c>
      <c r="N66" s="285">
        <v>50.3</v>
      </c>
      <c r="O66" s="278"/>
      <c r="P66" s="278"/>
      <c r="Q66" s="288"/>
      <c r="R66" s="278"/>
      <c r="S66" s="287"/>
      <c r="T66" s="278"/>
      <c r="U66" s="288" t="s">
        <v>320</v>
      </c>
      <c r="V66" s="285" t="s">
        <v>320</v>
      </c>
      <c r="W66" s="285">
        <v>13.899999999999999</v>
      </c>
      <c r="X66" s="278"/>
      <c r="Y66" s="278"/>
      <c r="Z66" s="278"/>
      <c r="AA66" s="278"/>
      <c r="AB66" s="278"/>
      <c r="AC66" s="278"/>
      <c r="AD66" s="285" t="s">
        <v>320</v>
      </c>
      <c r="AE66" s="285"/>
      <c r="AF66" s="278"/>
      <c r="AG66" s="278"/>
      <c r="AH66" s="285">
        <v>23.2</v>
      </c>
      <c r="AI66" s="278"/>
      <c r="AJ66" s="278"/>
      <c r="AK66" s="285" t="s">
        <v>320</v>
      </c>
      <c r="AL66" s="278"/>
      <c r="AM66" s="285" t="s">
        <v>320</v>
      </c>
      <c r="AN66" s="285" t="s">
        <v>320</v>
      </c>
      <c r="AO66" s="278" t="s">
        <v>378</v>
      </c>
      <c r="AP66" s="283" t="s">
        <v>325</v>
      </c>
      <c r="AQ66" s="285" t="s">
        <v>724</v>
      </c>
    </row>
    <row r="67" spans="1:43" ht="13" customHeight="1" x14ac:dyDescent="0.35">
      <c r="A67" s="278"/>
      <c r="B67" s="306">
        <v>42946</v>
      </c>
      <c r="C67" s="280" t="s">
        <v>322</v>
      </c>
      <c r="D67" s="281" t="s">
        <v>373</v>
      </c>
      <c r="E67" s="278"/>
      <c r="F67" s="278" t="s">
        <v>367</v>
      </c>
      <c r="G67" s="293">
        <v>42916</v>
      </c>
      <c r="H67" s="296" t="s">
        <v>310</v>
      </c>
      <c r="I67" s="296" t="s">
        <v>309</v>
      </c>
      <c r="J67" s="283"/>
      <c r="K67" s="281" t="s">
        <v>501</v>
      </c>
      <c r="L67" s="284" t="s">
        <v>387</v>
      </c>
      <c r="M67" s="285">
        <v>104.99999999999999</v>
      </c>
      <c r="N67" s="285">
        <v>36.9</v>
      </c>
      <c r="O67" s="278"/>
      <c r="P67" s="278"/>
      <c r="Q67" s="288"/>
      <c r="R67" s="278"/>
      <c r="S67" s="287"/>
      <c r="T67" s="278"/>
      <c r="U67" s="288" t="s">
        <v>320</v>
      </c>
      <c r="V67" s="285" t="s">
        <v>320</v>
      </c>
      <c r="W67" s="285">
        <v>16.818181818181817</v>
      </c>
      <c r="X67" s="278"/>
      <c r="Y67" s="278"/>
      <c r="Z67" s="278"/>
      <c r="AA67" s="278"/>
      <c r="AB67" s="278"/>
      <c r="AC67" s="278"/>
      <c r="AD67" s="285" t="s">
        <v>320</v>
      </c>
      <c r="AE67" s="285"/>
      <c r="AF67" s="278"/>
      <c r="AG67" s="278"/>
      <c r="AH67" s="285">
        <v>20</v>
      </c>
      <c r="AI67" s="278"/>
      <c r="AJ67" s="278"/>
      <c r="AK67" s="285" t="s">
        <v>320</v>
      </c>
      <c r="AL67" s="278"/>
      <c r="AM67" s="285" t="s">
        <v>320</v>
      </c>
      <c r="AN67" s="285" t="s">
        <v>320</v>
      </c>
      <c r="AO67" s="278" t="s">
        <v>378</v>
      </c>
      <c r="AP67" s="283" t="s">
        <v>325</v>
      </c>
      <c r="AQ67" s="285" t="s">
        <v>727</v>
      </c>
    </row>
    <row r="68" spans="1:43" ht="13" customHeight="1" x14ac:dyDescent="0.35">
      <c r="A68" s="278"/>
      <c r="B68" s="306">
        <v>42946</v>
      </c>
      <c r="C68" s="280" t="s">
        <v>322</v>
      </c>
      <c r="D68" s="281" t="s">
        <v>373</v>
      </c>
      <c r="E68" s="278"/>
      <c r="F68" s="278" t="s">
        <v>367</v>
      </c>
      <c r="G68" s="293">
        <v>42916</v>
      </c>
      <c r="H68" s="296" t="s">
        <v>310</v>
      </c>
      <c r="I68" s="296" t="s">
        <v>309</v>
      </c>
      <c r="J68" s="283"/>
      <c r="K68" s="304" t="s">
        <v>503</v>
      </c>
      <c r="L68" s="284" t="s">
        <v>387</v>
      </c>
      <c r="M68" s="285">
        <v>85.1</v>
      </c>
      <c r="N68" s="285">
        <v>26.999999999999996</v>
      </c>
      <c r="O68" s="278"/>
      <c r="P68" s="278"/>
      <c r="Q68" s="288"/>
      <c r="R68" s="278"/>
      <c r="S68" s="287"/>
      <c r="T68" s="278"/>
      <c r="U68" s="288" t="s">
        <v>320</v>
      </c>
      <c r="V68" s="285" t="s">
        <v>320</v>
      </c>
      <c r="W68" s="285">
        <v>21.999999999999996</v>
      </c>
      <c r="X68" s="278"/>
      <c r="Y68" s="278"/>
      <c r="Z68" s="278"/>
      <c r="AA68" s="278"/>
      <c r="AB68" s="278"/>
      <c r="AC68" s="278"/>
      <c r="AD68" s="285" t="s">
        <v>320</v>
      </c>
      <c r="AE68" s="285"/>
      <c r="AF68" s="278"/>
      <c r="AG68" s="278"/>
      <c r="AH68" s="285">
        <v>24.499999999999996</v>
      </c>
      <c r="AI68" s="278"/>
      <c r="AJ68" s="278"/>
      <c r="AK68" s="285" t="s">
        <v>320</v>
      </c>
      <c r="AL68" s="278"/>
      <c r="AM68" s="285" t="s">
        <v>320</v>
      </c>
      <c r="AN68" s="285" t="s">
        <v>320</v>
      </c>
      <c r="AO68" s="278" t="s">
        <v>378</v>
      </c>
      <c r="AP68" s="283" t="s">
        <v>325</v>
      </c>
      <c r="AQ68" s="285" t="s">
        <v>729</v>
      </c>
    </row>
  </sheetData>
  <sheetProtection algorithmName="SHA-512" hashValue="eFsVIBU9cW0Sv300s5bsSG4l6x0/Nl+Ki9CTjk2BZrqgcGNU7eNZ5M+TSbj9Ws8DqSCS1norRfYPblwULncRDA==" saltValue="cBMA29di9ePiRLhHFzYanQ==" spinCount="100000" sheet="1" objects="1" scenarios="1"/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8D929-7345-8D41-8C97-59CA03D4230D}">
  <sheetPr codeName="Sheet57"/>
  <dimension ref="A1:AS62"/>
  <sheetViews>
    <sheetView topLeftCell="A4"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" bestFit="1" customWidth="1"/>
    <col min="12" max="12" width="22" bestFit="1" customWidth="1"/>
    <col min="13" max="13" width="12.3046875" bestFit="1" customWidth="1"/>
    <col min="38" max="38" width="15.84375" customWidth="1"/>
  </cols>
  <sheetData>
    <row r="1" spans="1:43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s="1" customFormat="1" ht="13" customHeight="1" x14ac:dyDescent="0.3">
      <c r="A2" s="155">
        <v>10416</v>
      </c>
      <c r="B2" s="306">
        <v>42946</v>
      </c>
      <c r="C2" s="243" t="s">
        <v>322</v>
      </c>
      <c r="D2" s="227" t="s">
        <v>382</v>
      </c>
      <c r="E2" s="241"/>
      <c r="F2" s="241" t="s">
        <v>323</v>
      </c>
      <c r="G2" s="247">
        <v>42928</v>
      </c>
      <c r="H2" s="156" t="s">
        <v>324</v>
      </c>
      <c r="I2" s="156" t="s">
        <v>325</v>
      </c>
      <c r="J2" s="156"/>
      <c r="K2" s="155" t="s">
        <v>326</v>
      </c>
      <c r="L2" s="227" t="s">
        <v>387</v>
      </c>
      <c r="M2" s="305">
        <v>94.336363636363629</v>
      </c>
      <c r="N2" s="305">
        <v>22.818181818181817</v>
      </c>
      <c r="O2" s="155"/>
      <c r="P2" s="155"/>
      <c r="Q2" s="155"/>
      <c r="R2" s="155"/>
      <c r="S2" s="227"/>
      <c r="T2" s="155"/>
      <c r="U2" s="305" t="s">
        <v>320</v>
      </c>
      <c r="V2" s="305" t="s">
        <v>320</v>
      </c>
      <c r="W2" s="305"/>
      <c r="X2" s="155"/>
      <c r="Y2" s="155"/>
      <c r="Z2" s="155"/>
      <c r="AA2" s="155"/>
      <c r="AB2" s="155"/>
      <c r="AC2" s="155"/>
      <c r="AD2" s="305" t="s">
        <v>320</v>
      </c>
      <c r="AE2" s="305"/>
      <c r="AF2" s="155"/>
      <c r="AG2" s="155"/>
      <c r="AH2" s="305"/>
      <c r="AI2" s="155"/>
      <c r="AJ2" s="155"/>
      <c r="AK2" s="305" t="s">
        <v>320</v>
      </c>
      <c r="AL2" s="155"/>
      <c r="AM2" s="305" t="s">
        <v>320</v>
      </c>
      <c r="AN2" s="305" t="s">
        <v>320</v>
      </c>
      <c r="AO2" s="155" t="s">
        <v>327</v>
      </c>
      <c r="AP2" s="156" t="s">
        <v>325</v>
      </c>
      <c r="AQ2" s="305" t="s">
        <v>553</v>
      </c>
    </row>
    <row r="3" spans="1:43" s="1" customFormat="1" ht="13" customHeight="1" x14ac:dyDescent="0.3">
      <c r="A3" s="155">
        <v>10501</v>
      </c>
      <c r="B3" s="306">
        <v>42946</v>
      </c>
      <c r="C3" s="154" t="s">
        <v>322</v>
      </c>
      <c r="D3" s="227" t="s">
        <v>382</v>
      </c>
      <c r="E3" s="155"/>
      <c r="F3" s="155" t="s">
        <v>323</v>
      </c>
      <c r="G3" s="164">
        <v>42916</v>
      </c>
      <c r="H3" s="156" t="s">
        <v>324</v>
      </c>
      <c r="I3" s="156" t="s">
        <v>325</v>
      </c>
      <c r="J3" s="156"/>
      <c r="K3" s="155" t="s">
        <v>328</v>
      </c>
      <c r="L3" s="227" t="s">
        <v>387</v>
      </c>
      <c r="M3" s="305">
        <v>82.999999999999986</v>
      </c>
      <c r="N3" s="305">
        <v>23.636363636363633</v>
      </c>
      <c r="O3" s="155"/>
      <c r="P3" s="155"/>
      <c r="Q3" s="155"/>
      <c r="R3" s="155"/>
      <c r="S3" s="227"/>
      <c r="T3" s="155"/>
      <c r="U3" s="305" t="s">
        <v>320</v>
      </c>
      <c r="V3" s="305" t="s">
        <v>320</v>
      </c>
      <c r="W3" s="305"/>
      <c r="X3" s="155"/>
      <c r="Y3" s="155"/>
      <c r="Z3" s="155"/>
      <c r="AA3" s="155"/>
      <c r="AB3" s="155"/>
      <c r="AC3" s="155"/>
      <c r="AD3" s="305" t="s">
        <v>320</v>
      </c>
      <c r="AE3" s="305"/>
      <c r="AF3" s="155"/>
      <c r="AG3" s="155"/>
      <c r="AH3" s="305"/>
      <c r="AI3" s="155"/>
      <c r="AJ3" s="155"/>
      <c r="AK3" s="305" t="s">
        <v>320</v>
      </c>
      <c r="AL3" s="155"/>
      <c r="AM3" s="305" t="s">
        <v>320</v>
      </c>
      <c r="AN3" s="305" t="s">
        <v>320</v>
      </c>
      <c r="AO3" s="155" t="s">
        <v>327</v>
      </c>
      <c r="AP3" s="156" t="s">
        <v>325</v>
      </c>
      <c r="AQ3" s="305" t="s">
        <v>630</v>
      </c>
    </row>
    <row r="4" spans="1:43" s="1" customFormat="1" ht="13" customHeight="1" x14ac:dyDescent="0.3">
      <c r="A4" s="155">
        <v>4654</v>
      </c>
      <c r="B4" s="306">
        <v>42946</v>
      </c>
      <c r="C4" s="154" t="s">
        <v>322</v>
      </c>
      <c r="D4" s="227" t="s">
        <v>382</v>
      </c>
      <c r="E4" s="155"/>
      <c r="F4" s="155" t="s">
        <v>323</v>
      </c>
      <c r="G4" s="164">
        <v>42916</v>
      </c>
      <c r="H4" s="156" t="s">
        <v>324</v>
      </c>
      <c r="I4" s="156" t="s">
        <v>325</v>
      </c>
      <c r="J4" s="156"/>
      <c r="K4" s="155" t="s">
        <v>331</v>
      </c>
      <c r="L4" s="227" t="s">
        <v>387</v>
      </c>
      <c r="M4" s="305">
        <v>59.999999999999993</v>
      </c>
      <c r="N4" s="305">
        <v>25.118181818181814</v>
      </c>
      <c r="O4" s="155"/>
      <c r="P4" s="155"/>
      <c r="Q4" s="305"/>
      <c r="R4" s="155"/>
      <c r="S4" s="227"/>
      <c r="T4" s="155"/>
      <c r="U4" s="305" t="s">
        <v>320</v>
      </c>
      <c r="V4" s="305" t="s">
        <v>320</v>
      </c>
      <c r="W4" s="305"/>
      <c r="X4" s="155"/>
      <c r="Y4" s="155"/>
      <c r="Z4" s="155"/>
      <c r="AA4" s="155"/>
      <c r="AB4" s="155"/>
      <c r="AC4" s="155"/>
      <c r="AD4" s="305" t="s">
        <v>320</v>
      </c>
      <c r="AE4" s="305"/>
      <c r="AF4" s="155"/>
      <c r="AG4" s="155"/>
      <c r="AH4" s="305"/>
      <c r="AI4" s="155"/>
      <c r="AJ4" s="155"/>
      <c r="AK4" s="305" t="s">
        <v>320</v>
      </c>
      <c r="AL4" s="155"/>
      <c r="AM4" s="305" t="s">
        <v>320</v>
      </c>
      <c r="AN4" s="305" t="s">
        <v>320</v>
      </c>
      <c r="AO4" s="155" t="s">
        <v>327</v>
      </c>
      <c r="AP4" s="156" t="s">
        <v>325</v>
      </c>
      <c r="AQ4" s="305" t="s">
        <v>320</v>
      </c>
    </row>
    <row r="5" spans="1:43" s="1" customFormat="1" ht="13" customHeight="1" x14ac:dyDescent="0.3">
      <c r="A5" s="155">
        <v>1445</v>
      </c>
      <c r="B5" s="306">
        <v>42946</v>
      </c>
      <c r="C5" s="154" t="s">
        <v>322</v>
      </c>
      <c r="D5" s="227" t="s">
        <v>382</v>
      </c>
      <c r="E5" s="155"/>
      <c r="F5" s="155" t="s">
        <v>323</v>
      </c>
      <c r="G5" s="164">
        <v>42916</v>
      </c>
      <c r="H5" s="156" t="s">
        <v>324</v>
      </c>
      <c r="I5" s="156" t="s">
        <v>325</v>
      </c>
      <c r="J5" s="156"/>
      <c r="K5" s="155" t="s">
        <v>479</v>
      </c>
      <c r="L5" s="227" t="s">
        <v>387</v>
      </c>
      <c r="M5" s="305">
        <v>80</v>
      </c>
      <c r="N5" s="305">
        <v>23.599999999999998</v>
      </c>
      <c r="O5" s="155"/>
      <c r="P5" s="155"/>
      <c r="Q5" s="305"/>
      <c r="R5" s="155"/>
      <c r="S5" s="227"/>
      <c r="T5" s="155"/>
      <c r="U5" s="305" t="s">
        <v>320</v>
      </c>
      <c r="V5" s="305" t="s">
        <v>320</v>
      </c>
      <c r="W5" s="305"/>
      <c r="X5" s="155"/>
      <c r="Y5" s="155"/>
      <c r="Z5" s="155"/>
      <c r="AA5" s="155"/>
      <c r="AB5" s="155"/>
      <c r="AC5" s="155"/>
      <c r="AD5" s="305" t="s">
        <v>320</v>
      </c>
      <c r="AE5" s="305"/>
      <c r="AF5" s="155"/>
      <c r="AG5" s="155"/>
      <c r="AH5" s="305"/>
      <c r="AI5" s="155"/>
      <c r="AJ5" s="155"/>
      <c r="AK5" s="305" t="s">
        <v>320</v>
      </c>
      <c r="AL5" s="155"/>
      <c r="AM5" s="305" t="s">
        <v>320</v>
      </c>
      <c r="AN5" s="305" t="s">
        <v>320</v>
      </c>
      <c r="AO5" s="155" t="s">
        <v>327</v>
      </c>
      <c r="AP5" s="156" t="s">
        <v>325</v>
      </c>
      <c r="AQ5" s="305" t="s">
        <v>320</v>
      </c>
    </row>
    <row r="6" spans="1:43" s="1" customFormat="1" ht="13" customHeight="1" x14ac:dyDescent="0.3">
      <c r="A6" s="155">
        <v>1485</v>
      </c>
      <c r="B6" s="306">
        <v>42946</v>
      </c>
      <c r="C6" s="154" t="s">
        <v>322</v>
      </c>
      <c r="D6" s="227" t="s">
        <v>382</v>
      </c>
      <c r="E6" s="155"/>
      <c r="F6" s="155" t="s">
        <v>323</v>
      </c>
      <c r="G6" s="153">
        <v>42916</v>
      </c>
      <c r="H6" s="156" t="s">
        <v>324</v>
      </c>
      <c r="I6" s="156" t="s">
        <v>325</v>
      </c>
      <c r="J6" s="156"/>
      <c r="K6" s="155" t="s">
        <v>397</v>
      </c>
      <c r="L6" s="227" t="s">
        <v>387</v>
      </c>
      <c r="M6" s="305">
        <v>104.99999999999999</v>
      </c>
      <c r="N6" s="305">
        <v>21.499999999999996</v>
      </c>
      <c r="O6" s="155"/>
      <c r="P6" s="155"/>
      <c r="Q6" s="305"/>
      <c r="R6" s="155"/>
      <c r="S6" s="227"/>
      <c r="T6" s="155"/>
      <c r="U6" s="305" t="s">
        <v>320</v>
      </c>
      <c r="V6" s="305" t="s">
        <v>320</v>
      </c>
      <c r="W6" s="305"/>
      <c r="X6" s="155"/>
      <c r="Y6" s="155"/>
      <c r="Z6" s="155"/>
      <c r="AA6" s="155"/>
      <c r="AB6" s="155"/>
      <c r="AC6" s="155"/>
      <c r="AD6" s="305" t="s">
        <v>320</v>
      </c>
      <c r="AE6" s="305"/>
      <c r="AF6" s="155"/>
      <c r="AG6" s="155"/>
      <c r="AH6" s="305"/>
      <c r="AI6" s="155"/>
      <c r="AJ6" s="155"/>
      <c r="AK6" s="305" t="s">
        <v>320</v>
      </c>
      <c r="AL6" s="155"/>
      <c r="AM6" s="305" t="s">
        <v>320</v>
      </c>
      <c r="AN6" s="305" t="s">
        <v>320</v>
      </c>
      <c r="AO6" s="155" t="s">
        <v>327</v>
      </c>
      <c r="AP6" s="156" t="s">
        <v>325</v>
      </c>
      <c r="AQ6" s="305" t="s">
        <v>558</v>
      </c>
    </row>
    <row r="7" spans="1:43" s="1" customFormat="1" ht="13" customHeight="1" x14ac:dyDescent="0.3">
      <c r="A7" s="155">
        <v>10270</v>
      </c>
      <c r="B7" s="306">
        <v>42946</v>
      </c>
      <c r="C7" s="154" t="s">
        <v>322</v>
      </c>
      <c r="D7" s="227" t="s">
        <v>382</v>
      </c>
      <c r="E7" s="155"/>
      <c r="F7" s="155" t="s">
        <v>323</v>
      </c>
      <c r="G7" s="153">
        <v>42916</v>
      </c>
      <c r="H7" s="156" t="s">
        <v>324</v>
      </c>
      <c r="I7" s="156" t="s">
        <v>325</v>
      </c>
      <c r="J7" s="156"/>
      <c r="K7" s="155" t="s">
        <v>340</v>
      </c>
      <c r="L7" s="227" t="s">
        <v>387</v>
      </c>
      <c r="M7" s="305">
        <v>79</v>
      </c>
      <c r="N7" s="305">
        <v>23.963636363636361</v>
      </c>
      <c r="O7" s="155"/>
      <c r="P7" s="155"/>
      <c r="Q7" s="305"/>
      <c r="R7" s="155"/>
      <c r="S7" s="227"/>
      <c r="T7" s="155"/>
      <c r="U7" s="305" t="s">
        <v>320</v>
      </c>
      <c r="V7" s="305" t="s">
        <v>320</v>
      </c>
      <c r="W7" s="305"/>
      <c r="X7" s="155"/>
      <c r="Y7" s="155"/>
      <c r="Z7" s="155"/>
      <c r="AA7" s="155"/>
      <c r="AB7" s="155"/>
      <c r="AC7" s="155"/>
      <c r="AD7" s="305" t="s">
        <v>320</v>
      </c>
      <c r="AE7" s="305"/>
      <c r="AF7" s="155"/>
      <c r="AG7" s="155"/>
      <c r="AH7" s="305"/>
      <c r="AI7" s="155"/>
      <c r="AJ7" s="155"/>
      <c r="AK7" s="305" t="s">
        <v>320</v>
      </c>
      <c r="AL7" s="155"/>
      <c r="AM7" s="305" t="s">
        <v>320</v>
      </c>
      <c r="AN7" s="305" t="s">
        <v>320</v>
      </c>
      <c r="AO7" s="155" t="s">
        <v>327</v>
      </c>
      <c r="AP7" s="156" t="s">
        <v>325</v>
      </c>
      <c r="AQ7" s="305" t="s">
        <v>559</v>
      </c>
    </row>
    <row r="8" spans="1:43" s="1" customFormat="1" ht="13" customHeight="1" x14ac:dyDescent="0.3">
      <c r="A8" s="155">
        <v>5644</v>
      </c>
      <c r="B8" s="306">
        <v>42946</v>
      </c>
      <c r="C8" s="154" t="s">
        <v>322</v>
      </c>
      <c r="D8" s="227" t="s">
        <v>382</v>
      </c>
      <c r="E8" s="155"/>
      <c r="F8" s="155" t="s">
        <v>323</v>
      </c>
      <c r="G8" s="153">
        <v>42916</v>
      </c>
      <c r="H8" s="156" t="s">
        <v>324</v>
      </c>
      <c r="I8" s="156" t="s">
        <v>325</v>
      </c>
      <c r="J8" s="156"/>
      <c r="K8" s="155" t="s">
        <v>401</v>
      </c>
      <c r="L8" s="227" t="s">
        <v>387</v>
      </c>
      <c r="M8" s="305">
        <v>96.436363636363623</v>
      </c>
      <c r="N8" s="305">
        <v>22.66363636363636</v>
      </c>
      <c r="O8" s="155"/>
      <c r="P8" s="155"/>
      <c r="Q8" s="305"/>
      <c r="R8" s="155"/>
      <c r="S8" s="227"/>
      <c r="T8" s="155"/>
      <c r="U8" s="305" t="s">
        <v>320</v>
      </c>
      <c r="V8" s="305" t="s">
        <v>320</v>
      </c>
      <c r="W8" s="305"/>
      <c r="X8" s="155"/>
      <c r="Y8" s="155"/>
      <c r="Z8" s="155"/>
      <c r="AA8" s="155"/>
      <c r="AB8" s="155"/>
      <c r="AC8" s="155"/>
      <c r="AD8" s="305" t="s">
        <v>320</v>
      </c>
      <c r="AE8" s="305"/>
      <c r="AF8" s="155"/>
      <c r="AG8" s="155"/>
      <c r="AH8" s="305"/>
      <c r="AI8" s="155"/>
      <c r="AJ8" s="155"/>
      <c r="AK8" s="305" t="s">
        <v>320</v>
      </c>
      <c r="AL8" s="155"/>
      <c r="AM8" s="305" t="s">
        <v>320</v>
      </c>
      <c r="AN8" s="305" t="s">
        <v>320</v>
      </c>
      <c r="AO8" s="155" t="s">
        <v>327</v>
      </c>
      <c r="AP8" s="156" t="s">
        <v>325</v>
      </c>
      <c r="AQ8" s="305" t="s">
        <v>320</v>
      </c>
    </row>
    <row r="9" spans="1:43" s="1" customFormat="1" ht="13" customHeight="1" x14ac:dyDescent="0.3">
      <c r="A9" s="155">
        <v>4375</v>
      </c>
      <c r="B9" s="306">
        <v>42946</v>
      </c>
      <c r="C9" s="154" t="s">
        <v>322</v>
      </c>
      <c r="D9" s="227" t="s">
        <v>382</v>
      </c>
      <c r="E9" s="155"/>
      <c r="F9" s="155" t="s">
        <v>323</v>
      </c>
      <c r="G9" s="153">
        <v>42916</v>
      </c>
      <c r="H9" s="156" t="s">
        <v>324</v>
      </c>
      <c r="I9" s="156" t="s">
        <v>325</v>
      </c>
      <c r="J9" s="156"/>
      <c r="K9" s="155" t="s">
        <v>403</v>
      </c>
      <c r="L9" s="227" t="s">
        <v>387</v>
      </c>
      <c r="M9" s="305">
        <v>96.772727272727266</v>
      </c>
      <c r="N9" s="305">
        <v>22.636363636363633</v>
      </c>
      <c r="O9" s="155"/>
      <c r="P9" s="155"/>
      <c r="Q9" s="305"/>
      <c r="R9" s="155"/>
      <c r="S9" s="227"/>
      <c r="T9" s="155"/>
      <c r="U9" s="305" t="s">
        <v>320</v>
      </c>
      <c r="V9" s="305" t="s">
        <v>320</v>
      </c>
      <c r="W9" s="305"/>
      <c r="X9" s="155"/>
      <c r="Y9" s="155"/>
      <c r="Z9" s="155"/>
      <c r="AA9" s="155"/>
      <c r="AB9" s="155"/>
      <c r="AC9" s="155"/>
      <c r="AD9" s="305" t="s">
        <v>320</v>
      </c>
      <c r="AE9" s="305"/>
      <c r="AF9" s="155"/>
      <c r="AG9" s="155"/>
      <c r="AH9" s="305"/>
      <c r="AI9" s="155"/>
      <c r="AJ9" s="155"/>
      <c r="AK9" s="305" t="s">
        <v>320</v>
      </c>
      <c r="AL9" s="155"/>
      <c r="AM9" s="305" t="s">
        <v>320</v>
      </c>
      <c r="AN9" s="305" t="s">
        <v>320</v>
      </c>
      <c r="AO9" s="155" t="s">
        <v>327</v>
      </c>
      <c r="AP9" s="156" t="s">
        <v>325</v>
      </c>
      <c r="AQ9" s="305" t="s">
        <v>643</v>
      </c>
    </row>
    <row r="10" spans="1:43" s="1" customFormat="1" ht="13" customHeight="1" x14ac:dyDescent="0.3">
      <c r="A10" s="155">
        <v>10525</v>
      </c>
      <c r="B10" s="306">
        <v>42946</v>
      </c>
      <c r="C10" s="154" t="s">
        <v>322</v>
      </c>
      <c r="D10" s="227" t="s">
        <v>382</v>
      </c>
      <c r="E10" s="155"/>
      <c r="F10" s="155" t="s">
        <v>323</v>
      </c>
      <c r="G10" s="153">
        <v>42916</v>
      </c>
      <c r="H10" s="156" t="s">
        <v>324</v>
      </c>
      <c r="I10" s="156" t="s">
        <v>325</v>
      </c>
      <c r="J10" s="156"/>
      <c r="K10" s="155" t="s">
        <v>348</v>
      </c>
      <c r="L10" s="227" t="s">
        <v>387</v>
      </c>
      <c r="M10" s="305">
        <v>82.95</v>
      </c>
      <c r="N10" s="305">
        <v>23.669999999999998</v>
      </c>
      <c r="O10" s="155"/>
      <c r="P10" s="155"/>
      <c r="Q10" s="305"/>
      <c r="R10" s="155"/>
      <c r="S10" s="227"/>
      <c r="T10" s="155"/>
      <c r="U10" s="305" t="s">
        <v>320</v>
      </c>
      <c r="V10" s="305" t="s">
        <v>320</v>
      </c>
      <c r="W10" s="305"/>
      <c r="X10" s="155"/>
      <c r="Y10" s="155"/>
      <c r="Z10" s="155"/>
      <c r="AA10" s="155"/>
      <c r="AB10" s="155"/>
      <c r="AC10" s="155"/>
      <c r="AD10" s="305" t="s">
        <v>320</v>
      </c>
      <c r="AE10" s="305"/>
      <c r="AF10" s="155"/>
      <c r="AG10" s="155"/>
      <c r="AH10" s="305"/>
      <c r="AI10" s="155"/>
      <c r="AJ10" s="155"/>
      <c r="AK10" s="305" t="s">
        <v>320</v>
      </c>
      <c r="AL10" s="155"/>
      <c r="AM10" s="305" t="s">
        <v>320</v>
      </c>
      <c r="AN10" s="305" t="s">
        <v>320</v>
      </c>
      <c r="AO10" s="155" t="s">
        <v>327</v>
      </c>
      <c r="AP10" s="156" t="s">
        <v>325</v>
      </c>
      <c r="AQ10" s="305" t="s">
        <v>646</v>
      </c>
    </row>
    <row r="11" spans="1:43" s="1" customFormat="1" ht="13" customHeight="1" x14ac:dyDescent="0.3">
      <c r="A11" s="155">
        <v>10324</v>
      </c>
      <c r="B11" s="306">
        <v>42946</v>
      </c>
      <c r="C11" s="154" t="s">
        <v>322</v>
      </c>
      <c r="D11" s="227" t="s">
        <v>382</v>
      </c>
      <c r="E11" s="155"/>
      <c r="F11" s="155" t="s">
        <v>323</v>
      </c>
      <c r="G11" s="153">
        <v>42916</v>
      </c>
      <c r="H11" s="156" t="s">
        <v>324</v>
      </c>
      <c r="I11" s="156" t="s">
        <v>325</v>
      </c>
      <c r="J11" s="156"/>
      <c r="K11" s="155" t="s">
        <v>406</v>
      </c>
      <c r="L11" s="227" t="s">
        <v>387</v>
      </c>
      <c r="M11" s="305">
        <v>94.336363636363629</v>
      </c>
      <c r="N11" s="305">
        <v>22.818181818181817</v>
      </c>
      <c r="O11" s="155"/>
      <c r="P11" s="155"/>
      <c r="Q11" s="305"/>
      <c r="R11" s="155"/>
      <c r="S11" s="227"/>
      <c r="T11" s="155"/>
      <c r="U11" s="305" t="s">
        <v>320</v>
      </c>
      <c r="V11" s="305" t="s">
        <v>320</v>
      </c>
      <c r="W11" s="305"/>
      <c r="X11" s="155"/>
      <c r="Y11" s="155"/>
      <c r="Z11" s="155"/>
      <c r="AA11" s="155"/>
      <c r="AB11" s="155"/>
      <c r="AC11" s="155"/>
      <c r="AD11" s="305" t="s">
        <v>320</v>
      </c>
      <c r="AE11" s="305"/>
      <c r="AF11" s="155"/>
      <c r="AG11" s="155"/>
      <c r="AH11" s="305"/>
      <c r="AI11" s="155"/>
      <c r="AJ11" s="155"/>
      <c r="AK11" s="305" t="s">
        <v>320</v>
      </c>
      <c r="AL11" s="155"/>
      <c r="AM11" s="305" t="s">
        <v>320</v>
      </c>
      <c r="AN11" s="305" t="s">
        <v>320</v>
      </c>
      <c r="AO11" s="155" t="s">
        <v>327</v>
      </c>
      <c r="AP11" s="156" t="s">
        <v>325</v>
      </c>
      <c r="AQ11" s="305" t="s">
        <v>647</v>
      </c>
    </row>
    <row r="12" spans="1:43" s="1" customFormat="1" ht="13" customHeight="1" x14ac:dyDescent="0.3">
      <c r="A12" s="155">
        <v>10679</v>
      </c>
      <c r="B12" s="306">
        <v>42946</v>
      </c>
      <c r="C12" s="154" t="s">
        <v>322</v>
      </c>
      <c r="D12" s="227" t="s">
        <v>382</v>
      </c>
      <c r="E12" s="155"/>
      <c r="F12" s="155" t="s">
        <v>323</v>
      </c>
      <c r="G12" s="153">
        <v>42916</v>
      </c>
      <c r="H12" s="156" t="s">
        <v>324</v>
      </c>
      <c r="I12" s="156" t="s">
        <v>325</v>
      </c>
      <c r="J12" s="156"/>
      <c r="K12" s="155" t="s">
        <v>408</v>
      </c>
      <c r="L12" s="227" t="s">
        <v>387</v>
      </c>
      <c r="M12" s="305">
        <v>104.99999999999999</v>
      </c>
      <c r="N12" s="305">
        <v>21.999999999999996</v>
      </c>
      <c r="O12" s="155"/>
      <c r="P12" s="155"/>
      <c r="Q12" s="305"/>
      <c r="R12" s="155"/>
      <c r="S12" s="227"/>
      <c r="T12" s="155"/>
      <c r="U12" s="305" t="s">
        <v>320</v>
      </c>
      <c r="V12" s="305" t="s">
        <v>320</v>
      </c>
      <c r="W12" s="305"/>
      <c r="X12" s="155"/>
      <c r="Y12" s="155"/>
      <c r="Z12" s="155"/>
      <c r="AA12" s="155"/>
      <c r="AB12" s="155"/>
      <c r="AC12" s="155"/>
      <c r="AD12" s="305" t="s">
        <v>320</v>
      </c>
      <c r="AE12" s="305"/>
      <c r="AF12" s="155"/>
      <c r="AG12" s="155"/>
      <c r="AH12" s="305"/>
      <c r="AI12" s="155"/>
      <c r="AJ12" s="155"/>
      <c r="AK12" s="305" t="s">
        <v>320</v>
      </c>
      <c r="AL12" s="155"/>
      <c r="AM12" s="305" t="s">
        <v>320</v>
      </c>
      <c r="AN12" s="305" t="s">
        <v>320</v>
      </c>
      <c r="AO12" s="155" t="s">
        <v>327</v>
      </c>
      <c r="AP12" s="156" t="s">
        <v>325</v>
      </c>
      <c r="AQ12" s="305" t="s">
        <v>650</v>
      </c>
    </row>
    <row r="13" spans="1:43" s="1" customFormat="1" ht="13" customHeight="1" x14ac:dyDescent="0.3">
      <c r="A13" s="155">
        <v>1397</v>
      </c>
      <c r="B13" s="306">
        <v>42946</v>
      </c>
      <c r="C13" s="154" t="s">
        <v>322</v>
      </c>
      <c r="D13" s="227" t="s">
        <v>382</v>
      </c>
      <c r="E13" s="155"/>
      <c r="F13" s="155" t="s">
        <v>323</v>
      </c>
      <c r="G13" s="153">
        <v>42916</v>
      </c>
      <c r="H13" s="156" t="s">
        <v>324</v>
      </c>
      <c r="I13" s="156" t="s">
        <v>325</v>
      </c>
      <c r="J13" s="156"/>
      <c r="K13" s="155" t="s">
        <v>410</v>
      </c>
      <c r="L13" s="227" t="s">
        <v>387</v>
      </c>
      <c r="M13" s="305">
        <v>90.1</v>
      </c>
      <c r="N13" s="305">
        <v>22.799999999999997</v>
      </c>
      <c r="O13" s="227"/>
      <c r="P13" s="155"/>
      <c r="Q13" s="305"/>
      <c r="R13" s="155"/>
      <c r="S13" s="227"/>
      <c r="T13" s="155"/>
      <c r="U13" s="305" t="s">
        <v>320</v>
      </c>
      <c r="V13" s="305" t="s">
        <v>320</v>
      </c>
      <c r="W13" s="305"/>
      <c r="X13" s="155"/>
      <c r="Y13" s="155"/>
      <c r="Z13" s="155"/>
      <c r="AA13" s="155"/>
      <c r="AB13" s="155"/>
      <c r="AC13" s="155"/>
      <c r="AD13" s="305" t="s">
        <v>320</v>
      </c>
      <c r="AE13" s="305"/>
      <c r="AF13" s="155"/>
      <c r="AG13" s="155"/>
      <c r="AH13" s="305"/>
      <c r="AI13" s="155"/>
      <c r="AJ13" s="155"/>
      <c r="AK13" s="305" t="s">
        <v>320</v>
      </c>
      <c r="AL13" s="155"/>
      <c r="AM13" s="305" t="s">
        <v>320</v>
      </c>
      <c r="AN13" s="305" t="s">
        <v>320</v>
      </c>
      <c r="AO13" s="155" t="s">
        <v>327</v>
      </c>
      <c r="AP13" s="156" t="s">
        <v>325</v>
      </c>
      <c r="AQ13" s="305" t="s">
        <v>657</v>
      </c>
    </row>
    <row r="14" spans="1:43" s="1" customFormat="1" ht="13" customHeight="1" x14ac:dyDescent="0.3">
      <c r="A14" s="155">
        <v>3601</v>
      </c>
      <c r="B14" s="306">
        <v>42946</v>
      </c>
      <c r="C14" s="154" t="s">
        <v>322</v>
      </c>
      <c r="D14" s="227" t="s">
        <v>382</v>
      </c>
      <c r="E14" s="155"/>
      <c r="F14" s="155" t="s">
        <v>323</v>
      </c>
      <c r="G14" s="153">
        <v>42916</v>
      </c>
      <c r="H14" s="156" t="s">
        <v>324</v>
      </c>
      <c r="I14" s="156" t="s">
        <v>325</v>
      </c>
      <c r="J14" s="156"/>
      <c r="K14" s="155" t="s">
        <v>412</v>
      </c>
      <c r="L14" s="227" t="s">
        <v>387</v>
      </c>
      <c r="M14" s="305">
        <v>81.990909090909085</v>
      </c>
      <c r="N14" s="305">
        <v>23.736363636363635</v>
      </c>
      <c r="O14" s="309" t="s">
        <v>351</v>
      </c>
      <c r="P14" s="256">
        <v>1274</v>
      </c>
      <c r="Q14" s="305">
        <v>24.999999999999996</v>
      </c>
      <c r="R14" s="256">
        <v>1274</v>
      </c>
      <c r="S14" s="305">
        <v>24.999999999999996</v>
      </c>
      <c r="T14" s="155"/>
      <c r="U14" s="305" t="s">
        <v>320</v>
      </c>
      <c r="V14" s="305" t="s">
        <v>320</v>
      </c>
      <c r="W14" s="305"/>
      <c r="X14" s="155"/>
      <c r="Y14" s="155"/>
      <c r="Z14" s="155"/>
      <c r="AA14" s="155"/>
      <c r="AB14" s="155"/>
      <c r="AC14" s="155"/>
      <c r="AD14" s="305" t="s">
        <v>320</v>
      </c>
      <c r="AE14" s="305"/>
      <c r="AF14" s="155"/>
      <c r="AG14" s="155"/>
      <c r="AH14" s="305"/>
      <c r="AI14" s="155"/>
      <c r="AJ14" s="155"/>
      <c r="AK14" s="305" t="s">
        <v>320</v>
      </c>
      <c r="AL14" s="155"/>
      <c r="AM14" s="305" t="s">
        <v>320</v>
      </c>
      <c r="AN14" s="305" t="s">
        <v>320</v>
      </c>
      <c r="AO14" s="155" t="s">
        <v>327</v>
      </c>
      <c r="AP14" s="156" t="s">
        <v>325</v>
      </c>
      <c r="AQ14" s="305" t="s">
        <v>665</v>
      </c>
    </row>
    <row r="15" spans="1:43" s="1" customFormat="1" ht="13" customHeight="1" x14ac:dyDescent="0.3">
      <c r="A15" s="155">
        <v>10374</v>
      </c>
      <c r="B15" s="306">
        <v>42946</v>
      </c>
      <c r="C15" s="154" t="s">
        <v>322</v>
      </c>
      <c r="D15" s="227" t="s">
        <v>382</v>
      </c>
      <c r="E15" s="155"/>
      <c r="F15" s="155" t="s">
        <v>323</v>
      </c>
      <c r="G15" s="153">
        <v>42916</v>
      </c>
      <c r="H15" s="156" t="s">
        <v>310</v>
      </c>
      <c r="I15" s="156" t="s">
        <v>309</v>
      </c>
      <c r="J15" s="156"/>
      <c r="K15" s="155" t="s">
        <v>239</v>
      </c>
      <c r="L15" s="227" t="s">
        <v>387</v>
      </c>
      <c r="M15" s="305">
        <v>99.999999999999986</v>
      </c>
      <c r="N15" s="305">
        <v>22.354545454545452</v>
      </c>
      <c r="O15" s="155" t="s">
        <v>351</v>
      </c>
      <c r="P15" s="155">
        <v>1350</v>
      </c>
      <c r="Q15" s="305">
        <v>26.099999999999998</v>
      </c>
      <c r="R15" s="155">
        <v>1350</v>
      </c>
      <c r="S15" s="305">
        <v>26.099999999999998</v>
      </c>
      <c r="T15" s="155"/>
      <c r="U15" s="305" t="s">
        <v>320</v>
      </c>
      <c r="V15" s="305" t="s">
        <v>320</v>
      </c>
      <c r="W15" s="305"/>
      <c r="X15" s="155"/>
      <c r="Y15" s="155"/>
      <c r="Z15" s="155"/>
      <c r="AA15" s="155"/>
      <c r="AB15" s="155"/>
      <c r="AC15" s="155"/>
      <c r="AD15" s="305" t="s">
        <v>320</v>
      </c>
      <c r="AE15" s="305"/>
      <c r="AF15" s="155"/>
      <c r="AG15" s="155"/>
      <c r="AH15" s="305"/>
      <c r="AI15" s="155"/>
      <c r="AJ15" s="155"/>
      <c r="AK15" s="305" t="s">
        <v>320</v>
      </c>
      <c r="AL15" s="155"/>
      <c r="AM15" s="305" t="s">
        <v>320</v>
      </c>
      <c r="AN15" s="305" t="s">
        <v>320</v>
      </c>
      <c r="AO15" s="155" t="s">
        <v>327</v>
      </c>
      <c r="AP15" s="156" t="s">
        <v>325</v>
      </c>
      <c r="AQ15" s="305" t="s">
        <v>673</v>
      </c>
    </row>
    <row r="16" spans="1:43" s="1" customFormat="1" ht="13" customHeight="1" x14ac:dyDescent="0.3">
      <c r="A16" s="155">
        <v>9904</v>
      </c>
      <c r="B16" s="306">
        <v>42946</v>
      </c>
      <c r="C16" s="154" t="s">
        <v>322</v>
      </c>
      <c r="D16" s="227" t="s">
        <v>382</v>
      </c>
      <c r="E16" s="155"/>
      <c r="F16" s="155" t="s">
        <v>323</v>
      </c>
      <c r="G16" s="153">
        <v>42916</v>
      </c>
      <c r="H16" s="156" t="s">
        <v>309</v>
      </c>
      <c r="I16" s="156" t="s">
        <v>355</v>
      </c>
      <c r="J16" s="156"/>
      <c r="K16" s="227" t="s">
        <v>354</v>
      </c>
      <c r="L16" s="227" t="s">
        <v>387</v>
      </c>
      <c r="M16" s="305">
        <v>114.99999999999999</v>
      </c>
      <c r="N16" s="305">
        <v>21.099999999999998</v>
      </c>
      <c r="O16" s="155"/>
      <c r="P16" s="155"/>
      <c r="Q16" s="305"/>
      <c r="R16" s="155"/>
      <c r="S16" s="227"/>
      <c r="T16" s="155"/>
      <c r="U16" s="305" t="s">
        <v>320</v>
      </c>
      <c r="V16" s="305" t="s">
        <v>320</v>
      </c>
      <c r="W16" s="305"/>
      <c r="X16" s="155"/>
      <c r="Y16" s="155"/>
      <c r="Z16" s="155"/>
      <c r="AA16" s="155"/>
      <c r="AB16" s="155"/>
      <c r="AC16" s="155"/>
      <c r="AD16" s="305" t="s">
        <v>320</v>
      </c>
      <c r="AE16" s="305"/>
      <c r="AF16" s="155"/>
      <c r="AG16" s="155"/>
      <c r="AH16" s="305"/>
      <c r="AI16" s="155"/>
      <c r="AJ16" s="155"/>
      <c r="AK16" s="305" t="s">
        <v>320</v>
      </c>
      <c r="AL16" s="155"/>
      <c r="AM16" s="305" t="s">
        <v>320</v>
      </c>
      <c r="AN16" s="305" t="s">
        <v>320</v>
      </c>
      <c r="AO16" s="155" t="s">
        <v>327</v>
      </c>
      <c r="AP16" s="156" t="s">
        <v>325</v>
      </c>
      <c r="AQ16" s="305" t="s">
        <v>320</v>
      </c>
    </row>
    <row r="17" spans="1:45" s="1" customFormat="1" ht="13" customHeight="1" x14ac:dyDescent="0.3">
      <c r="A17" s="155"/>
      <c r="B17" s="306">
        <v>42978</v>
      </c>
      <c r="C17" s="154" t="s">
        <v>322</v>
      </c>
      <c r="D17" s="227" t="s">
        <v>382</v>
      </c>
      <c r="E17" s="155"/>
      <c r="F17" s="155" t="s">
        <v>323</v>
      </c>
      <c r="G17" s="153">
        <v>42978</v>
      </c>
      <c r="H17" s="223" t="s">
        <v>309</v>
      </c>
      <c r="I17" s="223" t="s">
        <v>355</v>
      </c>
      <c r="J17" s="156"/>
      <c r="K17" s="227" t="s">
        <v>388</v>
      </c>
      <c r="L17" s="227" t="s">
        <v>387</v>
      </c>
      <c r="M17" s="305">
        <v>80.909090909090907</v>
      </c>
      <c r="N17" s="305">
        <v>23.818181818181817</v>
      </c>
      <c r="O17" s="155"/>
      <c r="P17" s="155"/>
      <c r="Q17" s="305"/>
      <c r="R17" s="155"/>
      <c r="S17" s="227"/>
      <c r="T17" s="155"/>
      <c r="U17" s="305" t="s">
        <v>320</v>
      </c>
      <c r="V17" s="305" t="s">
        <v>320</v>
      </c>
      <c r="W17" s="305"/>
      <c r="X17" s="155"/>
      <c r="Y17" s="155"/>
      <c r="Z17" s="155"/>
      <c r="AA17" s="155"/>
      <c r="AB17" s="155"/>
      <c r="AC17" s="155"/>
      <c r="AD17" s="305" t="s">
        <v>320</v>
      </c>
      <c r="AE17" s="305"/>
      <c r="AF17" s="155"/>
      <c r="AG17" s="155"/>
      <c r="AH17" s="305"/>
      <c r="AI17" s="155"/>
      <c r="AJ17" s="155"/>
      <c r="AK17" s="305" t="s">
        <v>320</v>
      </c>
      <c r="AL17" s="155"/>
      <c r="AM17" s="305" t="s">
        <v>320</v>
      </c>
      <c r="AN17" s="305" t="s">
        <v>320</v>
      </c>
      <c r="AO17" s="155" t="s">
        <v>327</v>
      </c>
      <c r="AP17" s="156" t="s">
        <v>325</v>
      </c>
      <c r="AQ17" s="305" t="s">
        <v>320</v>
      </c>
    </row>
    <row r="18" spans="1:45" s="1" customFormat="1" ht="13" customHeight="1" x14ac:dyDescent="0.3">
      <c r="A18" s="155"/>
      <c r="B18" s="306">
        <v>42946</v>
      </c>
      <c r="C18" s="154" t="s">
        <v>322</v>
      </c>
      <c r="D18" s="227" t="s">
        <v>382</v>
      </c>
      <c r="E18" s="155"/>
      <c r="F18" s="155" t="s">
        <v>323</v>
      </c>
      <c r="G18" s="153">
        <v>42916</v>
      </c>
      <c r="H18" s="223" t="s">
        <v>310</v>
      </c>
      <c r="I18" s="223" t="s">
        <v>309</v>
      </c>
      <c r="J18" s="156"/>
      <c r="K18" s="227" t="s">
        <v>420</v>
      </c>
      <c r="L18" s="227" t="s">
        <v>387</v>
      </c>
      <c r="M18" s="305">
        <v>64.61818181818181</v>
      </c>
      <c r="N18" s="305">
        <v>24.781818181818181</v>
      </c>
      <c r="O18" s="155"/>
      <c r="P18" s="155"/>
      <c r="Q18" s="305"/>
      <c r="R18" s="155"/>
      <c r="S18" s="227"/>
      <c r="T18" s="155"/>
      <c r="U18" s="305" t="s">
        <v>320</v>
      </c>
      <c r="V18" s="305" t="s">
        <v>320</v>
      </c>
      <c r="W18" s="305"/>
      <c r="X18" s="155"/>
      <c r="Y18" s="155"/>
      <c r="Z18" s="155"/>
      <c r="AA18" s="155"/>
      <c r="AB18" s="155"/>
      <c r="AC18" s="155"/>
      <c r="AD18" s="305" t="s">
        <v>320</v>
      </c>
      <c r="AE18" s="305"/>
      <c r="AF18" s="155"/>
      <c r="AG18" s="155"/>
      <c r="AH18" s="305"/>
      <c r="AI18" s="155"/>
      <c r="AJ18" s="155"/>
      <c r="AK18" s="305" t="s">
        <v>320</v>
      </c>
      <c r="AL18" s="155"/>
      <c r="AM18" s="305" t="s">
        <v>320</v>
      </c>
      <c r="AN18" s="305" t="s">
        <v>320</v>
      </c>
      <c r="AO18" s="155" t="s">
        <v>327</v>
      </c>
      <c r="AP18" s="156" t="s">
        <v>325</v>
      </c>
      <c r="AQ18" s="305" t="s">
        <v>320</v>
      </c>
    </row>
    <row r="19" spans="1:45" s="1" customFormat="1" ht="13" customHeight="1" x14ac:dyDescent="0.3">
      <c r="A19" s="155"/>
      <c r="B19" s="306">
        <v>42946</v>
      </c>
      <c r="C19" s="154" t="s">
        <v>322</v>
      </c>
      <c r="D19" s="227" t="s">
        <v>382</v>
      </c>
      <c r="E19" s="155"/>
      <c r="F19" s="155" t="s">
        <v>323</v>
      </c>
      <c r="G19" s="153">
        <v>42916</v>
      </c>
      <c r="H19" s="223" t="s">
        <v>310</v>
      </c>
      <c r="I19" s="223" t="s">
        <v>309</v>
      </c>
      <c r="J19" s="156"/>
      <c r="K19" s="227" t="s">
        <v>422</v>
      </c>
      <c r="L19" s="227" t="s">
        <v>387</v>
      </c>
      <c r="M19" s="305">
        <v>91.936363636363623</v>
      </c>
      <c r="N19" s="305">
        <v>22.981818181818181</v>
      </c>
      <c r="O19" s="155"/>
      <c r="P19" s="155"/>
      <c r="Q19" s="305"/>
      <c r="R19" s="155"/>
      <c r="S19" s="227"/>
      <c r="T19" s="155"/>
      <c r="U19" s="305" t="s">
        <v>320</v>
      </c>
      <c r="V19" s="305" t="s">
        <v>320</v>
      </c>
      <c r="W19" s="305"/>
      <c r="X19" s="155"/>
      <c r="Y19" s="155"/>
      <c r="Z19" s="155"/>
      <c r="AA19" s="155"/>
      <c r="AB19" s="155"/>
      <c r="AC19" s="155"/>
      <c r="AD19" s="305" t="s">
        <v>320</v>
      </c>
      <c r="AE19" s="305"/>
      <c r="AF19" s="155"/>
      <c r="AG19" s="155"/>
      <c r="AH19" s="305"/>
      <c r="AI19" s="155"/>
      <c r="AJ19" s="155"/>
      <c r="AK19" s="305" t="s">
        <v>320</v>
      </c>
      <c r="AL19" s="155"/>
      <c r="AM19" s="305" t="s">
        <v>320</v>
      </c>
      <c r="AN19" s="305" t="s">
        <v>320</v>
      </c>
      <c r="AO19" s="155" t="s">
        <v>327</v>
      </c>
      <c r="AP19" s="156" t="s">
        <v>325</v>
      </c>
      <c r="AQ19" s="305" t="s">
        <v>320</v>
      </c>
    </row>
    <row r="20" spans="1:45" s="1" customFormat="1" ht="13" customHeight="1" x14ac:dyDescent="0.3">
      <c r="A20" s="155"/>
      <c r="B20" s="306">
        <v>42946</v>
      </c>
      <c r="C20" s="154" t="s">
        <v>322</v>
      </c>
      <c r="D20" s="227" t="s">
        <v>382</v>
      </c>
      <c r="E20" s="155"/>
      <c r="F20" s="155" t="s">
        <v>323</v>
      </c>
      <c r="G20" s="153">
        <v>42936</v>
      </c>
      <c r="H20" s="223" t="s">
        <v>309</v>
      </c>
      <c r="I20" s="223" t="s">
        <v>355</v>
      </c>
      <c r="J20" s="156"/>
      <c r="K20" s="227" t="s">
        <v>424</v>
      </c>
      <c r="L20" s="227" t="s">
        <v>387</v>
      </c>
      <c r="M20" s="305">
        <v>79.699999999999989</v>
      </c>
      <c r="N20" s="305">
        <v>23.9</v>
      </c>
      <c r="O20" s="155"/>
      <c r="P20" s="155"/>
      <c r="Q20" s="305"/>
      <c r="R20" s="155"/>
      <c r="S20" s="227"/>
      <c r="T20" s="155"/>
      <c r="U20" s="305" t="s">
        <v>320</v>
      </c>
      <c r="V20" s="305" t="s">
        <v>320</v>
      </c>
      <c r="W20" s="305"/>
      <c r="X20" s="155"/>
      <c r="Y20" s="155"/>
      <c r="Z20" s="155"/>
      <c r="AA20" s="155"/>
      <c r="AB20" s="155"/>
      <c r="AC20" s="155"/>
      <c r="AD20" s="305" t="s">
        <v>320</v>
      </c>
      <c r="AE20" s="305"/>
      <c r="AF20" s="155"/>
      <c r="AG20" s="155"/>
      <c r="AH20" s="305"/>
      <c r="AI20" s="155"/>
      <c r="AJ20" s="155"/>
      <c r="AK20" s="305" t="s">
        <v>320</v>
      </c>
      <c r="AL20" s="155"/>
      <c r="AM20" s="305" t="s">
        <v>320</v>
      </c>
      <c r="AN20" s="305" t="s">
        <v>320</v>
      </c>
      <c r="AO20" s="155" t="s">
        <v>327</v>
      </c>
      <c r="AP20" s="156" t="s">
        <v>325</v>
      </c>
      <c r="AQ20" s="305" t="s">
        <v>320</v>
      </c>
    </row>
    <row r="21" spans="1:45" s="1" customFormat="1" ht="13" customHeight="1" x14ac:dyDescent="0.3">
      <c r="A21" s="155"/>
      <c r="B21" s="306">
        <v>42946</v>
      </c>
      <c r="C21" s="154" t="s">
        <v>322</v>
      </c>
      <c r="D21" s="227" t="s">
        <v>382</v>
      </c>
      <c r="E21" s="155"/>
      <c r="F21" s="155" t="s">
        <v>323</v>
      </c>
      <c r="G21" s="153">
        <v>42916</v>
      </c>
      <c r="H21" s="223" t="s">
        <v>309</v>
      </c>
      <c r="I21" s="223" t="s">
        <v>355</v>
      </c>
      <c r="J21" s="156"/>
      <c r="K21" s="227" t="s">
        <v>430</v>
      </c>
      <c r="L21" s="227" t="s">
        <v>387</v>
      </c>
      <c r="M21" s="305">
        <v>84.1</v>
      </c>
      <c r="N21" s="305">
        <v>23.009090909090904</v>
      </c>
      <c r="O21" s="155"/>
      <c r="P21" s="155"/>
      <c r="Q21" s="305"/>
      <c r="R21" s="155"/>
      <c r="S21" s="227"/>
      <c r="T21" s="155"/>
      <c r="U21" s="305" t="s">
        <v>320</v>
      </c>
      <c r="V21" s="305" t="s">
        <v>320</v>
      </c>
      <c r="W21" s="305"/>
      <c r="X21" s="155"/>
      <c r="Y21" s="155"/>
      <c r="Z21" s="155"/>
      <c r="AA21" s="155"/>
      <c r="AB21" s="155"/>
      <c r="AC21" s="155"/>
      <c r="AD21" s="305" t="s">
        <v>320</v>
      </c>
      <c r="AE21" s="305"/>
      <c r="AF21" s="155"/>
      <c r="AG21" s="155"/>
      <c r="AH21" s="305"/>
      <c r="AI21" s="155"/>
      <c r="AJ21" s="155"/>
      <c r="AK21" s="305" t="s">
        <v>320</v>
      </c>
      <c r="AL21" s="155"/>
      <c r="AM21" s="305" t="s">
        <v>320</v>
      </c>
      <c r="AN21" s="305" t="s">
        <v>320</v>
      </c>
      <c r="AO21" s="155" t="s">
        <v>327</v>
      </c>
      <c r="AP21" s="156" t="s">
        <v>325</v>
      </c>
      <c r="AQ21" s="305" t="s">
        <v>320</v>
      </c>
    </row>
    <row r="22" spans="1:45" s="1" customFormat="1" ht="13" customHeight="1" x14ac:dyDescent="0.35">
      <c r="A22" s="155"/>
      <c r="B22" s="323">
        <v>43007</v>
      </c>
      <c r="C22" s="154" t="s">
        <v>322</v>
      </c>
      <c r="D22" s="227" t="s">
        <v>382</v>
      </c>
      <c r="E22" s="155"/>
      <c r="F22" s="155" t="s">
        <v>323</v>
      </c>
      <c r="G22" s="303">
        <v>43007</v>
      </c>
      <c r="H22" s="223" t="s">
        <v>310</v>
      </c>
      <c r="I22" s="223" t="s">
        <v>309</v>
      </c>
      <c r="J22" s="156"/>
      <c r="K22" s="227" t="s">
        <v>501</v>
      </c>
      <c r="L22" s="227" t="s">
        <v>387</v>
      </c>
      <c r="M22" s="305">
        <v>85.999999999999986</v>
      </c>
      <c r="N22" s="305">
        <v>19.100000000000001</v>
      </c>
      <c r="O22" s="155"/>
      <c r="P22" s="155"/>
      <c r="Q22" s="305"/>
      <c r="R22" s="155"/>
      <c r="S22" s="227"/>
      <c r="T22" s="155"/>
      <c r="U22" s="305" t="s">
        <v>320</v>
      </c>
      <c r="V22" s="305" t="s">
        <v>320</v>
      </c>
      <c r="W22" s="305"/>
      <c r="X22" s="155"/>
      <c r="Y22" s="155"/>
      <c r="Z22" s="155"/>
      <c r="AA22" s="155"/>
      <c r="AB22" s="155"/>
      <c r="AC22" s="155"/>
      <c r="AD22" s="305" t="s">
        <v>320</v>
      </c>
      <c r="AE22" s="305"/>
      <c r="AF22" s="155"/>
      <c r="AG22" s="155"/>
      <c r="AH22" s="305"/>
      <c r="AI22" s="155"/>
      <c r="AJ22" s="155"/>
      <c r="AK22" s="305" t="s">
        <v>320</v>
      </c>
      <c r="AL22" s="155"/>
      <c r="AM22" s="305" t="s">
        <v>320</v>
      </c>
      <c r="AN22" s="305" t="s">
        <v>320</v>
      </c>
      <c r="AO22" s="155" t="s">
        <v>327</v>
      </c>
      <c r="AP22" s="156" t="s">
        <v>325</v>
      </c>
      <c r="AQ22" s="305" t="s">
        <v>320</v>
      </c>
    </row>
    <row r="23" spans="1:45" s="1" customFormat="1" ht="13" customHeight="1" x14ac:dyDescent="0.3">
      <c r="A23" s="155"/>
      <c r="B23" s="306">
        <v>42946</v>
      </c>
      <c r="C23" s="154" t="s">
        <v>322</v>
      </c>
      <c r="D23" s="227" t="s">
        <v>382</v>
      </c>
      <c r="E23" s="155"/>
      <c r="F23" s="155" t="s">
        <v>323</v>
      </c>
      <c r="G23" s="153">
        <v>42916</v>
      </c>
      <c r="H23" s="223" t="s">
        <v>310</v>
      </c>
      <c r="I23" s="223" t="s">
        <v>309</v>
      </c>
      <c r="J23" s="156"/>
      <c r="K23" s="227" t="s">
        <v>503</v>
      </c>
      <c r="L23" s="227" t="s">
        <v>387</v>
      </c>
      <c r="M23" s="305">
        <v>91.899999999999991</v>
      </c>
      <c r="N23" s="305">
        <v>23</v>
      </c>
      <c r="O23" s="155"/>
      <c r="P23" s="155"/>
      <c r="Q23" s="305"/>
      <c r="R23" s="155"/>
      <c r="S23" s="227"/>
      <c r="T23" s="155"/>
      <c r="U23" s="305" t="s">
        <v>320</v>
      </c>
      <c r="V23" s="305" t="s">
        <v>320</v>
      </c>
      <c r="W23" s="305"/>
      <c r="X23" s="155"/>
      <c r="Y23" s="155"/>
      <c r="Z23" s="155"/>
      <c r="AA23" s="155"/>
      <c r="AB23" s="155"/>
      <c r="AC23" s="155"/>
      <c r="AD23" s="305" t="s">
        <v>320</v>
      </c>
      <c r="AE23" s="305"/>
      <c r="AF23" s="155"/>
      <c r="AG23" s="155"/>
      <c r="AH23" s="305"/>
      <c r="AI23" s="155"/>
      <c r="AJ23" s="155"/>
      <c r="AK23" s="305" t="s">
        <v>320</v>
      </c>
      <c r="AL23" s="155"/>
      <c r="AM23" s="305" t="s">
        <v>320</v>
      </c>
      <c r="AN23" s="305" t="s">
        <v>320</v>
      </c>
      <c r="AO23" s="155" t="s">
        <v>327</v>
      </c>
      <c r="AP23" s="156" t="s">
        <v>325</v>
      </c>
      <c r="AQ23" s="305" t="s">
        <v>320</v>
      </c>
    </row>
    <row r="24" spans="1:45" s="320" customFormat="1" ht="13" customHeight="1" x14ac:dyDescent="0.35">
      <c r="A24" s="252"/>
      <c r="B24" s="306">
        <v>42946</v>
      </c>
      <c r="C24" s="312" t="s">
        <v>322</v>
      </c>
      <c r="D24" s="227" t="s">
        <v>382</v>
      </c>
      <c r="E24" s="252"/>
      <c r="F24" s="321" t="s">
        <v>323</v>
      </c>
      <c r="G24" s="313">
        <v>42915</v>
      </c>
      <c r="H24" s="253" t="s">
        <v>310</v>
      </c>
      <c r="I24" s="253" t="s">
        <v>309</v>
      </c>
      <c r="J24" s="253"/>
      <c r="K24" s="252" t="s">
        <v>695</v>
      </c>
      <c r="L24" s="314" t="s">
        <v>387</v>
      </c>
      <c r="M24" s="305">
        <v>119.99999999999999</v>
      </c>
      <c r="N24" s="305">
        <v>20.9</v>
      </c>
      <c r="O24" s="316" t="s">
        <v>351</v>
      </c>
      <c r="P24" s="316">
        <v>1824</v>
      </c>
      <c r="Q24" s="305">
        <v>21.999999999999996</v>
      </c>
      <c r="R24" s="316">
        <v>1824</v>
      </c>
      <c r="S24" s="305">
        <v>21.999999999999996</v>
      </c>
      <c r="T24" s="252"/>
      <c r="U24" s="318"/>
      <c r="V24" s="318"/>
      <c r="W24" s="315"/>
      <c r="X24" s="252"/>
      <c r="Y24" s="252"/>
      <c r="Z24" s="252"/>
      <c r="AA24" s="252"/>
      <c r="AB24" s="252"/>
      <c r="AC24" s="252"/>
      <c r="AD24" s="318"/>
      <c r="AE24" s="315"/>
      <c r="AF24" s="252"/>
      <c r="AG24" s="252"/>
      <c r="AH24" s="315"/>
      <c r="AI24" s="252"/>
      <c r="AJ24" s="252"/>
      <c r="AK24" s="318"/>
      <c r="AL24" s="318"/>
      <c r="AM24" s="318"/>
      <c r="AN24" s="318"/>
      <c r="AO24" s="252" t="s">
        <v>327</v>
      </c>
      <c r="AP24" s="319" t="s">
        <v>309</v>
      </c>
      <c r="AQ24" s="318"/>
      <c r="AR24" s="318"/>
      <c r="AS24" s="318"/>
    </row>
    <row r="25" spans="1:45" s="320" customFormat="1" ht="13" customHeight="1" x14ac:dyDescent="0.35">
      <c r="A25" s="252"/>
      <c r="B25" s="324">
        <v>42973</v>
      </c>
      <c r="C25" s="312" t="s">
        <v>322</v>
      </c>
      <c r="D25" s="227" t="s">
        <v>382</v>
      </c>
      <c r="E25" s="252"/>
      <c r="F25" s="321" t="s">
        <v>323</v>
      </c>
      <c r="G25" s="322">
        <v>42973</v>
      </c>
      <c r="H25" s="253" t="s">
        <v>310</v>
      </c>
      <c r="I25" s="253" t="s">
        <v>309</v>
      </c>
      <c r="J25" s="253"/>
      <c r="K25" s="252" t="s">
        <v>698</v>
      </c>
      <c r="L25" s="314" t="s">
        <v>387</v>
      </c>
      <c r="M25" s="305">
        <v>80</v>
      </c>
      <c r="N25" s="305">
        <v>21.118181818181817</v>
      </c>
      <c r="O25" s="252"/>
      <c r="P25" s="252"/>
      <c r="Q25" s="315"/>
      <c r="R25" s="252"/>
      <c r="S25" s="317"/>
      <c r="T25" s="252"/>
      <c r="U25" s="318"/>
      <c r="V25" s="318"/>
      <c r="W25" s="315"/>
      <c r="X25" s="252"/>
      <c r="Y25" s="252"/>
      <c r="Z25" s="252"/>
      <c r="AA25" s="252"/>
      <c r="AB25" s="252"/>
      <c r="AC25" s="252"/>
      <c r="AD25" s="318"/>
      <c r="AE25" s="315"/>
      <c r="AF25" s="252"/>
      <c r="AG25" s="252"/>
      <c r="AH25" s="315"/>
      <c r="AI25" s="252"/>
      <c r="AJ25" s="252"/>
      <c r="AK25" s="318"/>
      <c r="AL25" s="318"/>
      <c r="AM25" s="318"/>
      <c r="AN25" s="318"/>
      <c r="AO25" s="252" t="s">
        <v>327</v>
      </c>
      <c r="AP25" s="319" t="s">
        <v>309</v>
      </c>
      <c r="AQ25" s="318"/>
      <c r="AR25" s="318"/>
      <c r="AS25" s="318"/>
    </row>
    <row r="26" spans="1:45" s="1" customFormat="1" ht="13" customHeight="1" x14ac:dyDescent="0.3">
      <c r="A26" s="155">
        <v>10417</v>
      </c>
      <c r="B26" s="306">
        <v>42946</v>
      </c>
      <c r="C26" s="243" t="s">
        <v>322</v>
      </c>
      <c r="D26" s="227" t="s">
        <v>382</v>
      </c>
      <c r="E26" s="241"/>
      <c r="F26" s="155" t="s">
        <v>360</v>
      </c>
      <c r="G26" s="247">
        <v>42928</v>
      </c>
      <c r="H26" s="156" t="s">
        <v>324</v>
      </c>
      <c r="I26" s="156" t="s">
        <v>325</v>
      </c>
      <c r="J26" s="156"/>
      <c r="K26" s="155" t="s">
        <v>326</v>
      </c>
      <c r="L26" s="227" t="s">
        <v>387</v>
      </c>
      <c r="M26" s="305">
        <v>100.33636363636363</v>
      </c>
      <c r="N26" s="305">
        <v>22.818181818181817</v>
      </c>
      <c r="O26" s="155"/>
      <c r="P26" s="155"/>
      <c r="Q26" s="305"/>
      <c r="R26" s="155"/>
      <c r="S26" s="227"/>
      <c r="T26" s="155"/>
      <c r="U26" s="305" t="s">
        <v>320</v>
      </c>
      <c r="V26" s="305" t="s">
        <v>320</v>
      </c>
      <c r="W26" s="305"/>
      <c r="X26" s="155"/>
      <c r="Y26" s="155"/>
      <c r="Z26" s="155"/>
      <c r="AA26" s="155"/>
      <c r="AB26" s="155"/>
      <c r="AC26" s="155"/>
      <c r="AD26" s="305" t="s">
        <v>320</v>
      </c>
      <c r="AE26" s="305">
        <v>12.536363636363635</v>
      </c>
      <c r="AF26" s="155"/>
      <c r="AG26" s="155"/>
      <c r="AH26" s="305"/>
      <c r="AI26" s="155"/>
      <c r="AJ26" s="155"/>
      <c r="AK26" s="305" t="s">
        <v>320</v>
      </c>
      <c r="AL26" s="155"/>
      <c r="AM26" s="305" t="s">
        <v>320</v>
      </c>
      <c r="AN26" s="305" t="s">
        <v>320</v>
      </c>
      <c r="AO26" s="155" t="s">
        <v>361</v>
      </c>
      <c r="AP26" s="156" t="s">
        <v>325</v>
      </c>
      <c r="AQ26" s="305" t="s">
        <v>578</v>
      </c>
    </row>
    <row r="27" spans="1:45" s="1" customFormat="1" ht="13" customHeight="1" x14ac:dyDescent="0.3">
      <c r="A27" s="155">
        <v>10502</v>
      </c>
      <c r="B27" s="306">
        <v>42946</v>
      </c>
      <c r="C27" s="154" t="s">
        <v>322</v>
      </c>
      <c r="D27" s="227" t="s">
        <v>382</v>
      </c>
      <c r="E27" s="155"/>
      <c r="F27" s="155" t="s">
        <v>360</v>
      </c>
      <c r="G27" s="164">
        <v>42916</v>
      </c>
      <c r="H27" s="156" t="s">
        <v>324</v>
      </c>
      <c r="I27" s="156" t="s">
        <v>325</v>
      </c>
      <c r="J27" s="156"/>
      <c r="K27" s="155" t="s">
        <v>328</v>
      </c>
      <c r="L27" s="227" t="s">
        <v>387</v>
      </c>
      <c r="M27" s="305">
        <v>89.136363636363626</v>
      </c>
      <c r="N27" s="305">
        <v>23.636363636363633</v>
      </c>
      <c r="O27" s="155"/>
      <c r="P27" s="155"/>
      <c r="Q27" s="305"/>
      <c r="R27" s="155"/>
      <c r="S27" s="227"/>
      <c r="T27" s="155"/>
      <c r="U27" s="305" t="s">
        <v>320</v>
      </c>
      <c r="V27" s="305" t="s">
        <v>320</v>
      </c>
      <c r="W27" s="305"/>
      <c r="X27" s="155"/>
      <c r="Y27" s="155"/>
      <c r="Z27" s="155"/>
      <c r="AA27" s="155"/>
      <c r="AB27" s="155"/>
      <c r="AC27" s="155"/>
      <c r="AD27" s="305" t="s">
        <v>320</v>
      </c>
      <c r="AE27" s="305">
        <v>10.654545454545454</v>
      </c>
      <c r="AF27" s="155"/>
      <c r="AG27" s="155"/>
      <c r="AH27" s="305"/>
      <c r="AI27" s="155"/>
      <c r="AJ27" s="155"/>
      <c r="AK27" s="305" t="s">
        <v>320</v>
      </c>
      <c r="AL27" s="155"/>
      <c r="AM27" s="305" t="s">
        <v>320</v>
      </c>
      <c r="AN27" s="305" t="s">
        <v>320</v>
      </c>
      <c r="AO27" s="155" t="s">
        <v>361</v>
      </c>
      <c r="AP27" s="156" t="s">
        <v>325</v>
      </c>
      <c r="AQ27" s="305" t="s">
        <v>631</v>
      </c>
    </row>
    <row r="28" spans="1:45" s="1" customFormat="1" ht="13" customHeight="1" x14ac:dyDescent="0.3">
      <c r="A28" s="155">
        <v>4655</v>
      </c>
      <c r="B28" s="306">
        <v>42946</v>
      </c>
      <c r="C28" s="154" t="s">
        <v>322</v>
      </c>
      <c r="D28" s="227" t="s">
        <v>382</v>
      </c>
      <c r="E28" s="155"/>
      <c r="F28" s="155" t="s">
        <v>360</v>
      </c>
      <c r="G28" s="164">
        <v>42916</v>
      </c>
      <c r="H28" s="156" t="s">
        <v>324</v>
      </c>
      <c r="I28" s="156" t="s">
        <v>325</v>
      </c>
      <c r="J28" s="156"/>
      <c r="K28" s="155" t="s">
        <v>331</v>
      </c>
      <c r="L28" s="227" t="s">
        <v>387</v>
      </c>
      <c r="M28" s="305">
        <v>65</v>
      </c>
      <c r="N28" s="305">
        <v>25.118181818181814</v>
      </c>
      <c r="O28" s="155"/>
      <c r="P28" s="155"/>
      <c r="Q28" s="305"/>
      <c r="R28" s="155"/>
      <c r="S28" s="227"/>
      <c r="T28" s="155"/>
      <c r="U28" s="305" t="s">
        <v>320</v>
      </c>
      <c r="V28" s="305" t="s">
        <v>320</v>
      </c>
      <c r="W28" s="305"/>
      <c r="X28" s="155"/>
      <c r="Y28" s="155"/>
      <c r="Z28" s="155"/>
      <c r="AA28" s="155"/>
      <c r="AB28" s="155"/>
      <c r="AC28" s="155"/>
      <c r="AD28" s="305" t="s">
        <v>320</v>
      </c>
      <c r="AE28" s="305">
        <v>10.999999999999998</v>
      </c>
      <c r="AF28" s="155"/>
      <c r="AG28" s="155"/>
      <c r="AH28" s="305"/>
      <c r="AI28" s="155"/>
      <c r="AJ28" s="155"/>
      <c r="AK28" s="305" t="s">
        <v>320</v>
      </c>
      <c r="AL28" s="155"/>
      <c r="AM28" s="305" t="s">
        <v>320</v>
      </c>
      <c r="AN28" s="305" t="s">
        <v>320</v>
      </c>
      <c r="AO28" s="155" t="s">
        <v>361</v>
      </c>
      <c r="AP28" s="156" t="s">
        <v>325</v>
      </c>
      <c r="AQ28" s="305" t="s">
        <v>320</v>
      </c>
    </row>
    <row r="29" spans="1:45" s="1" customFormat="1" ht="13" customHeight="1" x14ac:dyDescent="0.3">
      <c r="A29" s="155">
        <v>1446</v>
      </c>
      <c r="B29" s="306">
        <v>42946</v>
      </c>
      <c r="C29" s="154" t="s">
        <v>322</v>
      </c>
      <c r="D29" s="227" t="s">
        <v>382</v>
      </c>
      <c r="E29" s="155"/>
      <c r="F29" s="155" t="s">
        <v>360</v>
      </c>
      <c r="G29" s="164">
        <v>42916</v>
      </c>
      <c r="H29" s="156" t="s">
        <v>324</v>
      </c>
      <c r="I29" s="156" t="s">
        <v>325</v>
      </c>
      <c r="J29" s="156"/>
      <c r="K29" s="155" t="s">
        <v>479</v>
      </c>
      <c r="L29" s="227" t="s">
        <v>387</v>
      </c>
      <c r="M29" s="305">
        <v>84.5</v>
      </c>
      <c r="N29" s="305">
        <v>23.599999999999998</v>
      </c>
      <c r="O29" s="155"/>
      <c r="P29" s="155"/>
      <c r="Q29" s="305"/>
      <c r="R29" s="155"/>
      <c r="S29" s="227"/>
      <c r="T29" s="155"/>
      <c r="U29" s="305" t="s">
        <v>320</v>
      </c>
      <c r="V29" s="305" t="s">
        <v>320</v>
      </c>
      <c r="W29" s="305"/>
      <c r="X29" s="155"/>
      <c r="Y29" s="155"/>
      <c r="Z29" s="155"/>
      <c r="AA29" s="155"/>
      <c r="AB29" s="155"/>
      <c r="AC29" s="155"/>
      <c r="AD29" s="305" t="s">
        <v>320</v>
      </c>
      <c r="AE29" s="305">
        <v>12.454545454545453</v>
      </c>
      <c r="AF29" s="155"/>
      <c r="AG29" s="155"/>
      <c r="AH29" s="305"/>
      <c r="AI29" s="155"/>
      <c r="AJ29" s="155"/>
      <c r="AK29" s="305" t="s">
        <v>320</v>
      </c>
      <c r="AL29" s="155"/>
      <c r="AM29" s="305" t="s">
        <v>320</v>
      </c>
      <c r="AN29" s="305" t="s">
        <v>320</v>
      </c>
      <c r="AO29" s="155" t="s">
        <v>361</v>
      </c>
      <c r="AP29" s="156" t="s">
        <v>325</v>
      </c>
      <c r="AQ29" s="305" t="s">
        <v>320</v>
      </c>
    </row>
    <row r="30" spans="1:45" s="1" customFormat="1" ht="13" customHeight="1" x14ac:dyDescent="0.3">
      <c r="A30" s="155">
        <v>1486</v>
      </c>
      <c r="B30" s="306">
        <v>42946</v>
      </c>
      <c r="C30" s="154" t="s">
        <v>322</v>
      </c>
      <c r="D30" s="227" t="s">
        <v>382</v>
      </c>
      <c r="E30" s="155"/>
      <c r="F30" s="155" t="s">
        <v>360</v>
      </c>
      <c r="G30" s="153">
        <v>42916</v>
      </c>
      <c r="H30" s="156" t="s">
        <v>324</v>
      </c>
      <c r="I30" s="156" t="s">
        <v>325</v>
      </c>
      <c r="J30" s="156"/>
      <c r="K30" s="155" t="s">
        <v>397</v>
      </c>
      <c r="L30" s="227" t="s">
        <v>387</v>
      </c>
      <c r="M30" s="305">
        <v>104.99999999999999</v>
      </c>
      <c r="N30" s="305">
        <v>21.499999999999996</v>
      </c>
      <c r="O30" s="155"/>
      <c r="P30" s="155"/>
      <c r="Q30" s="305"/>
      <c r="R30" s="155"/>
      <c r="S30" s="227"/>
      <c r="T30" s="155"/>
      <c r="U30" s="305" t="s">
        <v>320</v>
      </c>
      <c r="V30" s="305" t="s">
        <v>320</v>
      </c>
      <c r="W30" s="305"/>
      <c r="X30" s="155"/>
      <c r="Y30" s="155"/>
      <c r="Z30" s="155"/>
      <c r="AA30" s="155"/>
      <c r="AB30" s="155"/>
      <c r="AC30" s="155"/>
      <c r="AD30" s="305" t="s">
        <v>320</v>
      </c>
      <c r="AE30" s="305">
        <v>14.854545454545454</v>
      </c>
      <c r="AF30" s="155"/>
      <c r="AG30" s="155"/>
      <c r="AH30" s="305"/>
      <c r="AI30" s="155"/>
      <c r="AJ30" s="155"/>
      <c r="AK30" s="305" t="s">
        <v>320</v>
      </c>
      <c r="AL30" s="155"/>
      <c r="AM30" s="305" t="s">
        <v>320</v>
      </c>
      <c r="AN30" s="305" t="s">
        <v>320</v>
      </c>
      <c r="AO30" s="155" t="s">
        <v>361</v>
      </c>
      <c r="AP30" s="156" t="s">
        <v>325</v>
      </c>
      <c r="AQ30" s="305" t="s">
        <v>583</v>
      </c>
    </row>
    <row r="31" spans="1:45" s="1" customFormat="1" ht="13" customHeight="1" x14ac:dyDescent="0.3">
      <c r="A31" s="155">
        <v>10271</v>
      </c>
      <c r="B31" s="306">
        <v>42946</v>
      </c>
      <c r="C31" s="154" t="s">
        <v>322</v>
      </c>
      <c r="D31" s="227" t="s">
        <v>382</v>
      </c>
      <c r="E31" s="155"/>
      <c r="F31" s="155" t="s">
        <v>360</v>
      </c>
      <c r="G31" s="153">
        <v>42916</v>
      </c>
      <c r="H31" s="156" t="s">
        <v>324</v>
      </c>
      <c r="I31" s="156" t="s">
        <v>325</v>
      </c>
      <c r="J31" s="156"/>
      <c r="K31" s="155" t="s">
        <v>340</v>
      </c>
      <c r="L31" s="227" t="s">
        <v>387</v>
      </c>
      <c r="M31" s="305">
        <v>80.999999999999986</v>
      </c>
      <c r="N31" s="305">
        <v>23.963636363636361</v>
      </c>
      <c r="O31" s="155"/>
      <c r="P31" s="155"/>
      <c r="Q31" s="305"/>
      <c r="R31" s="155"/>
      <c r="S31" s="227"/>
      <c r="T31" s="155"/>
      <c r="U31" s="305" t="s">
        <v>320</v>
      </c>
      <c r="V31" s="305" t="s">
        <v>320</v>
      </c>
      <c r="W31" s="305"/>
      <c r="X31" s="155"/>
      <c r="Y31" s="155"/>
      <c r="Z31" s="155"/>
      <c r="AA31" s="155"/>
      <c r="AB31" s="155"/>
      <c r="AC31" s="155"/>
      <c r="AD31" s="305" t="s">
        <v>320</v>
      </c>
      <c r="AE31" s="305">
        <v>11.736363636363636</v>
      </c>
      <c r="AF31" s="155"/>
      <c r="AG31" s="155"/>
      <c r="AH31" s="305"/>
      <c r="AI31" s="155"/>
      <c r="AJ31" s="155"/>
      <c r="AK31" s="305" t="s">
        <v>320</v>
      </c>
      <c r="AL31" s="155"/>
      <c r="AM31" s="305" t="s">
        <v>320</v>
      </c>
      <c r="AN31" s="305" t="s">
        <v>320</v>
      </c>
      <c r="AO31" s="155" t="s">
        <v>361</v>
      </c>
      <c r="AP31" s="156" t="s">
        <v>325</v>
      </c>
      <c r="AQ31" s="305" t="s">
        <v>584</v>
      </c>
    </row>
    <row r="32" spans="1:45" s="1" customFormat="1" ht="13" customHeight="1" x14ac:dyDescent="0.3">
      <c r="A32" s="155">
        <v>5645</v>
      </c>
      <c r="B32" s="306">
        <v>42946</v>
      </c>
      <c r="C32" s="154" t="s">
        <v>322</v>
      </c>
      <c r="D32" s="227" t="s">
        <v>382</v>
      </c>
      <c r="E32" s="155"/>
      <c r="F32" s="155" t="s">
        <v>360</v>
      </c>
      <c r="G32" s="153">
        <v>42916</v>
      </c>
      <c r="H32" s="156" t="s">
        <v>324</v>
      </c>
      <c r="I32" s="156" t="s">
        <v>325</v>
      </c>
      <c r="J32" s="156"/>
      <c r="K32" s="155" t="s">
        <v>401</v>
      </c>
      <c r="L32" s="227" t="s">
        <v>387</v>
      </c>
      <c r="M32" s="305">
        <v>100.16363636363636</v>
      </c>
      <c r="N32" s="305">
        <v>21.099999999999998</v>
      </c>
      <c r="O32" s="155"/>
      <c r="P32" s="155"/>
      <c r="Q32" s="305"/>
      <c r="R32" s="155"/>
      <c r="S32" s="227"/>
      <c r="T32" s="155"/>
      <c r="U32" s="305" t="s">
        <v>320</v>
      </c>
      <c r="V32" s="305" t="s">
        <v>320</v>
      </c>
      <c r="W32" s="305"/>
      <c r="X32" s="155"/>
      <c r="Y32" s="155"/>
      <c r="Z32" s="155"/>
      <c r="AA32" s="155"/>
      <c r="AB32" s="155"/>
      <c r="AC32" s="155"/>
      <c r="AD32" s="305" t="s">
        <v>320</v>
      </c>
      <c r="AE32" s="305">
        <v>16.709090909090907</v>
      </c>
      <c r="AF32" s="155"/>
      <c r="AG32" s="155"/>
      <c r="AH32" s="305"/>
      <c r="AI32" s="155"/>
      <c r="AJ32" s="155"/>
      <c r="AK32" s="305" t="s">
        <v>320</v>
      </c>
      <c r="AL32" s="155"/>
      <c r="AM32" s="305" t="s">
        <v>320</v>
      </c>
      <c r="AN32" s="305" t="s">
        <v>320</v>
      </c>
      <c r="AO32" s="155" t="s">
        <v>361</v>
      </c>
      <c r="AP32" s="156" t="s">
        <v>325</v>
      </c>
      <c r="AQ32" s="305" t="s">
        <v>320</v>
      </c>
    </row>
    <row r="33" spans="1:45" s="1" customFormat="1" ht="13" customHeight="1" x14ac:dyDescent="0.3">
      <c r="A33" s="155">
        <v>4376</v>
      </c>
      <c r="B33" s="306">
        <v>42946</v>
      </c>
      <c r="C33" s="154" t="s">
        <v>322</v>
      </c>
      <c r="D33" s="227" t="s">
        <v>382</v>
      </c>
      <c r="E33" s="155"/>
      <c r="F33" s="155" t="s">
        <v>360</v>
      </c>
      <c r="G33" s="153">
        <v>42916</v>
      </c>
      <c r="H33" s="156" t="s">
        <v>324</v>
      </c>
      <c r="I33" s="156" t="s">
        <v>325</v>
      </c>
      <c r="J33" s="156"/>
      <c r="K33" s="155" t="s">
        <v>403</v>
      </c>
      <c r="L33" s="227" t="s">
        <v>387</v>
      </c>
      <c r="M33" s="305">
        <v>100.39090909090909</v>
      </c>
      <c r="N33" s="305">
        <v>23.063636363636363</v>
      </c>
      <c r="O33" s="155"/>
      <c r="P33" s="155"/>
      <c r="Q33" s="305"/>
      <c r="R33" s="155"/>
      <c r="S33" s="227"/>
      <c r="T33" s="155"/>
      <c r="U33" s="305" t="s">
        <v>320</v>
      </c>
      <c r="V33" s="305" t="s">
        <v>320</v>
      </c>
      <c r="W33" s="305"/>
      <c r="X33" s="155"/>
      <c r="Y33" s="155"/>
      <c r="Z33" s="155"/>
      <c r="AA33" s="155"/>
      <c r="AB33" s="155"/>
      <c r="AC33" s="155"/>
      <c r="AD33" s="305" t="s">
        <v>320</v>
      </c>
      <c r="AE33" s="305">
        <v>12.036363636363635</v>
      </c>
      <c r="AF33" s="155"/>
      <c r="AG33" s="155"/>
      <c r="AH33" s="305"/>
      <c r="AI33" s="155"/>
      <c r="AJ33" s="155"/>
      <c r="AK33" s="305" t="s">
        <v>320</v>
      </c>
      <c r="AL33" s="155"/>
      <c r="AM33" s="305" t="s">
        <v>320</v>
      </c>
      <c r="AN33" s="305" t="s">
        <v>320</v>
      </c>
      <c r="AO33" s="155" t="s">
        <v>361</v>
      </c>
      <c r="AP33" s="156" t="s">
        <v>325</v>
      </c>
      <c r="AQ33" s="305" t="s">
        <v>642</v>
      </c>
    </row>
    <row r="34" spans="1:45" s="1" customFormat="1" ht="13" customHeight="1" x14ac:dyDescent="0.3">
      <c r="A34" s="155">
        <v>10526</v>
      </c>
      <c r="B34" s="306">
        <v>42946</v>
      </c>
      <c r="C34" s="154" t="s">
        <v>322</v>
      </c>
      <c r="D34" s="227" t="s">
        <v>382</v>
      </c>
      <c r="E34" s="155"/>
      <c r="F34" s="155" t="s">
        <v>360</v>
      </c>
      <c r="G34" s="153">
        <v>42916</v>
      </c>
      <c r="H34" s="156" t="s">
        <v>324</v>
      </c>
      <c r="I34" s="156" t="s">
        <v>325</v>
      </c>
      <c r="J34" s="156"/>
      <c r="K34" s="155" t="s">
        <v>348</v>
      </c>
      <c r="L34" s="227" t="s">
        <v>387</v>
      </c>
      <c r="M34" s="305">
        <v>89.281818181818167</v>
      </c>
      <c r="N34" s="305">
        <v>23.669999999999998</v>
      </c>
      <c r="O34" s="155"/>
      <c r="P34" s="155"/>
      <c r="Q34" s="305"/>
      <c r="R34" s="155"/>
      <c r="S34" s="227"/>
      <c r="T34" s="155"/>
      <c r="U34" s="305" t="s">
        <v>320</v>
      </c>
      <c r="V34" s="305" t="s">
        <v>320</v>
      </c>
      <c r="W34" s="305"/>
      <c r="X34" s="155"/>
      <c r="Y34" s="155"/>
      <c r="Z34" s="155"/>
      <c r="AA34" s="155"/>
      <c r="AB34" s="155"/>
      <c r="AC34" s="155"/>
      <c r="AD34" s="305" t="s">
        <v>320</v>
      </c>
      <c r="AE34" s="305">
        <v>12.45</v>
      </c>
      <c r="AF34" s="155"/>
      <c r="AG34" s="155"/>
      <c r="AH34" s="305"/>
      <c r="AI34" s="155"/>
      <c r="AJ34" s="155"/>
      <c r="AK34" s="305" t="s">
        <v>320</v>
      </c>
      <c r="AL34" s="155"/>
      <c r="AM34" s="305" t="s">
        <v>320</v>
      </c>
      <c r="AN34" s="305" t="s">
        <v>320</v>
      </c>
      <c r="AO34" s="155" t="s">
        <v>361</v>
      </c>
      <c r="AP34" s="156" t="s">
        <v>325</v>
      </c>
      <c r="AQ34" s="305" t="s">
        <v>646</v>
      </c>
    </row>
    <row r="35" spans="1:45" s="1" customFormat="1" ht="13" customHeight="1" x14ac:dyDescent="0.3">
      <c r="A35" s="155">
        <v>10325</v>
      </c>
      <c r="B35" s="306">
        <v>42946</v>
      </c>
      <c r="C35" s="154" t="s">
        <v>322</v>
      </c>
      <c r="D35" s="227" t="s">
        <v>382</v>
      </c>
      <c r="E35" s="155"/>
      <c r="F35" s="155" t="s">
        <v>360</v>
      </c>
      <c r="G35" s="153">
        <v>42916</v>
      </c>
      <c r="H35" s="156" t="s">
        <v>324</v>
      </c>
      <c r="I35" s="156" t="s">
        <v>325</v>
      </c>
      <c r="J35" s="156"/>
      <c r="K35" s="155" t="s">
        <v>406</v>
      </c>
      <c r="L35" s="227" t="s">
        <v>387</v>
      </c>
      <c r="M35" s="305">
        <v>100.33636363636363</v>
      </c>
      <c r="N35" s="305">
        <v>22.818181818181817</v>
      </c>
      <c r="O35" s="155"/>
      <c r="P35" s="155"/>
      <c r="Q35" s="305"/>
      <c r="R35" s="155"/>
      <c r="S35" s="227"/>
      <c r="T35" s="155"/>
      <c r="U35" s="305" t="s">
        <v>320</v>
      </c>
      <c r="V35" s="305" t="s">
        <v>320</v>
      </c>
      <c r="W35" s="305"/>
      <c r="X35" s="155"/>
      <c r="Y35" s="155"/>
      <c r="Z35" s="155"/>
      <c r="AA35" s="155"/>
      <c r="AB35" s="155"/>
      <c r="AC35" s="155"/>
      <c r="AD35" s="305" t="s">
        <v>320</v>
      </c>
      <c r="AE35" s="305">
        <v>12.536363636363635</v>
      </c>
      <c r="AF35" s="155"/>
      <c r="AG35" s="155"/>
      <c r="AH35" s="305"/>
      <c r="AI35" s="155"/>
      <c r="AJ35" s="155"/>
      <c r="AK35" s="305" t="s">
        <v>320</v>
      </c>
      <c r="AL35" s="155"/>
      <c r="AM35" s="305" t="s">
        <v>320</v>
      </c>
      <c r="AN35" s="305" t="s">
        <v>320</v>
      </c>
      <c r="AO35" s="155" t="s">
        <v>361</v>
      </c>
      <c r="AP35" s="156" t="s">
        <v>325</v>
      </c>
      <c r="AQ35" s="305" t="s">
        <v>647</v>
      </c>
    </row>
    <row r="36" spans="1:45" s="1" customFormat="1" ht="13" customHeight="1" x14ac:dyDescent="0.3">
      <c r="A36" s="155">
        <v>10680</v>
      </c>
      <c r="B36" s="306">
        <v>42946</v>
      </c>
      <c r="C36" s="154" t="s">
        <v>322</v>
      </c>
      <c r="D36" s="227" t="s">
        <v>382</v>
      </c>
      <c r="E36" s="155"/>
      <c r="F36" s="155" t="s">
        <v>360</v>
      </c>
      <c r="G36" s="153">
        <v>42916</v>
      </c>
      <c r="H36" s="156" t="s">
        <v>324</v>
      </c>
      <c r="I36" s="156" t="s">
        <v>325</v>
      </c>
      <c r="J36" s="156"/>
      <c r="K36" s="155" t="s">
        <v>408</v>
      </c>
      <c r="L36" s="227" t="s">
        <v>387</v>
      </c>
      <c r="M36" s="305">
        <v>110.99999999999999</v>
      </c>
      <c r="N36" s="305">
        <v>21.999999999999996</v>
      </c>
      <c r="O36" s="155"/>
      <c r="P36" s="155"/>
      <c r="Q36" s="305"/>
      <c r="R36" s="155"/>
      <c r="S36" s="227"/>
      <c r="T36" s="155"/>
      <c r="U36" s="305" t="s">
        <v>320</v>
      </c>
      <c r="V36" s="305" t="s">
        <v>320</v>
      </c>
      <c r="W36" s="305"/>
      <c r="X36" s="155"/>
      <c r="Y36" s="155"/>
      <c r="Z36" s="155"/>
      <c r="AA36" s="155"/>
      <c r="AB36" s="155"/>
      <c r="AC36" s="155"/>
      <c r="AD36" s="305" t="s">
        <v>320</v>
      </c>
      <c r="AE36" s="305">
        <v>11.999999999999998</v>
      </c>
      <c r="AF36" s="155"/>
      <c r="AG36" s="155"/>
      <c r="AH36" s="305"/>
      <c r="AI36" s="155"/>
      <c r="AJ36" s="155"/>
      <c r="AK36" s="305" t="s">
        <v>320</v>
      </c>
      <c r="AL36" s="155"/>
      <c r="AM36" s="305" t="s">
        <v>320</v>
      </c>
      <c r="AN36" s="305" t="s">
        <v>320</v>
      </c>
      <c r="AO36" s="155" t="s">
        <v>361</v>
      </c>
      <c r="AP36" s="156" t="s">
        <v>325</v>
      </c>
      <c r="AQ36" s="305" t="s">
        <v>650</v>
      </c>
    </row>
    <row r="37" spans="1:45" s="1" customFormat="1" ht="13" customHeight="1" x14ac:dyDescent="0.3">
      <c r="A37" s="155">
        <v>1398</v>
      </c>
      <c r="B37" s="306">
        <v>42946</v>
      </c>
      <c r="C37" s="154" t="s">
        <v>322</v>
      </c>
      <c r="D37" s="227" t="s">
        <v>382</v>
      </c>
      <c r="E37" s="155"/>
      <c r="F37" s="155" t="s">
        <v>360</v>
      </c>
      <c r="G37" s="153">
        <v>42916</v>
      </c>
      <c r="H37" s="156" t="s">
        <v>324</v>
      </c>
      <c r="I37" s="156" t="s">
        <v>325</v>
      </c>
      <c r="J37" s="156"/>
      <c r="K37" s="155" t="s">
        <v>410</v>
      </c>
      <c r="L37" s="227" t="s">
        <v>387</v>
      </c>
      <c r="M37" s="305">
        <v>90.1</v>
      </c>
      <c r="N37" s="305">
        <v>22.799999999999997</v>
      </c>
      <c r="O37" s="227"/>
      <c r="P37" s="155"/>
      <c r="Q37" s="305"/>
      <c r="R37" s="155"/>
      <c r="S37" s="227"/>
      <c r="T37" s="155"/>
      <c r="U37" s="305" t="s">
        <v>320</v>
      </c>
      <c r="V37" s="305" t="s">
        <v>320</v>
      </c>
      <c r="W37" s="305"/>
      <c r="X37" s="155"/>
      <c r="Y37" s="155"/>
      <c r="Z37" s="155"/>
      <c r="AA37" s="155"/>
      <c r="AB37" s="155"/>
      <c r="AC37" s="155"/>
      <c r="AD37" s="305" t="s">
        <v>320</v>
      </c>
      <c r="AE37" s="305">
        <v>14</v>
      </c>
      <c r="AF37" s="155"/>
      <c r="AG37" s="155"/>
      <c r="AH37" s="305"/>
      <c r="AI37" s="155"/>
      <c r="AJ37" s="155"/>
      <c r="AK37" s="305" t="s">
        <v>320</v>
      </c>
      <c r="AL37" s="155"/>
      <c r="AM37" s="305" t="s">
        <v>320</v>
      </c>
      <c r="AN37" s="305" t="s">
        <v>320</v>
      </c>
      <c r="AO37" s="155" t="s">
        <v>361</v>
      </c>
      <c r="AP37" s="156" t="s">
        <v>325</v>
      </c>
      <c r="AQ37" s="305" t="s">
        <v>658</v>
      </c>
    </row>
    <row r="38" spans="1:45" s="1" customFormat="1" ht="13" customHeight="1" x14ac:dyDescent="0.3">
      <c r="A38" s="155">
        <v>3602</v>
      </c>
      <c r="B38" s="306">
        <v>42946</v>
      </c>
      <c r="C38" s="154" t="s">
        <v>322</v>
      </c>
      <c r="D38" s="227" t="s">
        <v>382</v>
      </c>
      <c r="E38" s="155"/>
      <c r="F38" s="155" t="s">
        <v>360</v>
      </c>
      <c r="G38" s="153">
        <v>42916</v>
      </c>
      <c r="H38" s="156" t="s">
        <v>324</v>
      </c>
      <c r="I38" s="156" t="s">
        <v>325</v>
      </c>
      <c r="J38" s="156"/>
      <c r="K38" s="155" t="s">
        <v>412</v>
      </c>
      <c r="L38" s="227" t="s">
        <v>387</v>
      </c>
      <c r="M38" s="305">
        <v>85.490909090909085</v>
      </c>
      <c r="N38" s="305">
        <v>23.736363636363635</v>
      </c>
      <c r="O38" s="309" t="s">
        <v>351</v>
      </c>
      <c r="P38" s="256">
        <v>1274</v>
      </c>
      <c r="Q38" s="305">
        <v>24.999999999999996</v>
      </c>
      <c r="R38" s="256">
        <v>1274</v>
      </c>
      <c r="S38" s="305">
        <v>24.999999999999996</v>
      </c>
      <c r="T38" s="155"/>
      <c r="U38" s="305" t="s">
        <v>320</v>
      </c>
      <c r="V38" s="305" t="s">
        <v>320</v>
      </c>
      <c r="W38" s="305"/>
      <c r="X38" s="155"/>
      <c r="Y38" s="155"/>
      <c r="Z38" s="155"/>
      <c r="AA38" s="155"/>
      <c r="AB38" s="155"/>
      <c r="AC38" s="155"/>
      <c r="AD38" s="305" t="s">
        <v>320</v>
      </c>
      <c r="AE38" s="305">
        <v>12.872727272727271</v>
      </c>
      <c r="AF38" s="155"/>
      <c r="AG38" s="155"/>
      <c r="AH38" s="305"/>
      <c r="AI38" s="155"/>
      <c r="AJ38" s="155"/>
      <c r="AK38" s="305" t="s">
        <v>320</v>
      </c>
      <c r="AL38" s="155"/>
      <c r="AM38" s="305" t="s">
        <v>320</v>
      </c>
      <c r="AN38" s="305" t="s">
        <v>320</v>
      </c>
      <c r="AO38" s="155" t="s">
        <v>361</v>
      </c>
      <c r="AP38" s="156" t="s">
        <v>325</v>
      </c>
      <c r="AQ38" s="305" t="s">
        <v>666</v>
      </c>
    </row>
    <row r="39" spans="1:45" s="1" customFormat="1" ht="13" customHeight="1" x14ac:dyDescent="0.3">
      <c r="A39" s="155">
        <v>10375</v>
      </c>
      <c r="B39" s="306">
        <v>42946</v>
      </c>
      <c r="C39" s="154" t="s">
        <v>322</v>
      </c>
      <c r="D39" s="227" t="s">
        <v>382</v>
      </c>
      <c r="E39" s="155"/>
      <c r="F39" s="155" t="s">
        <v>360</v>
      </c>
      <c r="G39" s="153">
        <v>42916</v>
      </c>
      <c r="H39" s="156" t="s">
        <v>310</v>
      </c>
      <c r="I39" s="156" t="s">
        <v>309</v>
      </c>
      <c r="J39" s="156"/>
      <c r="K39" s="155" t="s">
        <v>239</v>
      </c>
      <c r="L39" s="227" t="s">
        <v>387</v>
      </c>
      <c r="M39" s="305">
        <v>104.99999999999999</v>
      </c>
      <c r="N39" s="305">
        <v>22.354545454545452</v>
      </c>
      <c r="O39" s="155" t="s">
        <v>351</v>
      </c>
      <c r="P39" s="155">
        <v>1350</v>
      </c>
      <c r="Q39" s="305">
        <v>26.099999999999998</v>
      </c>
      <c r="R39" s="155">
        <v>1350</v>
      </c>
      <c r="S39" s="305">
        <v>26.099999999999998</v>
      </c>
      <c r="T39" s="155"/>
      <c r="U39" s="305" t="s">
        <v>320</v>
      </c>
      <c r="V39" s="305" t="s">
        <v>320</v>
      </c>
      <c r="W39" s="305"/>
      <c r="X39" s="155"/>
      <c r="Y39" s="155"/>
      <c r="Z39" s="155"/>
      <c r="AA39" s="155"/>
      <c r="AB39" s="155"/>
      <c r="AC39" s="155"/>
      <c r="AD39" s="305" t="s">
        <v>320</v>
      </c>
      <c r="AE39" s="305">
        <v>11.299999999999999</v>
      </c>
      <c r="AF39" s="155"/>
      <c r="AG39" s="155"/>
      <c r="AH39" s="305"/>
      <c r="AI39" s="155"/>
      <c r="AJ39" s="155"/>
      <c r="AK39" s="305" t="s">
        <v>320</v>
      </c>
      <c r="AL39" s="155"/>
      <c r="AM39" s="305" t="s">
        <v>320</v>
      </c>
      <c r="AN39" s="305" t="s">
        <v>320</v>
      </c>
      <c r="AO39" s="155" t="s">
        <v>361</v>
      </c>
      <c r="AP39" s="156" t="s">
        <v>325</v>
      </c>
      <c r="AQ39" s="305" t="s">
        <v>674</v>
      </c>
    </row>
    <row r="40" spans="1:45" s="1" customFormat="1" ht="13" customHeight="1" x14ac:dyDescent="0.3">
      <c r="A40" s="155">
        <v>9905</v>
      </c>
      <c r="B40" s="306">
        <v>42946</v>
      </c>
      <c r="C40" s="154" t="s">
        <v>322</v>
      </c>
      <c r="D40" s="227" t="s">
        <v>382</v>
      </c>
      <c r="E40" s="155"/>
      <c r="F40" s="155" t="s">
        <v>360</v>
      </c>
      <c r="G40" s="153">
        <v>42916</v>
      </c>
      <c r="H40" s="156" t="s">
        <v>309</v>
      </c>
      <c r="I40" s="156" t="s">
        <v>355</v>
      </c>
      <c r="J40" s="156"/>
      <c r="K40" s="227" t="s">
        <v>354</v>
      </c>
      <c r="L40" s="227" t="s">
        <v>387</v>
      </c>
      <c r="M40" s="305">
        <v>96.063636363636363</v>
      </c>
      <c r="N40" s="305">
        <v>21.099999999999998</v>
      </c>
      <c r="O40" s="155"/>
      <c r="P40" s="155"/>
      <c r="Q40" s="305"/>
      <c r="R40" s="155"/>
      <c r="S40" s="227"/>
      <c r="T40" s="155"/>
      <c r="U40" s="305" t="s">
        <v>320</v>
      </c>
      <c r="V40" s="305" t="s">
        <v>320</v>
      </c>
      <c r="W40" s="305"/>
      <c r="X40" s="155"/>
      <c r="Y40" s="155"/>
      <c r="Z40" s="155"/>
      <c r="AA40" s="155"/>
      <c r="AB40" s="155"/>
      <c r="AC40" s="155"/>
      <c r="AD40" s="305" t="s">
        <v>320</v>
      </c>
      <c r="AE40" s="305">
        <v>16.999999999999996</v>
      </c>
      <c r="AF40" s="155"/>
      <c r="AG40" s="155"/>
      <c r="AH40" s="305"/>
      <c r="AI40" s="155"/>
      <c r="AJ40" s="155"/>
      <c r="AK40" s="305" t="s">
        <v>320</v>
      </c>
      <c r="AL40" s="155"/>
      <c r="AM40" s="305" t="s">
        <v>320</v>
      </c>
      <c r="AN40" s="305" t="s">
        <v>320</v>
      </c>
      <c r="AO40" s="155" t="s">
        <v>361</v>
      </c>
      <c r="AP40" s="156" t="s">
        <v>325</v>
      </c>
      <c r="AQ40" s="305" t="s">
        <v>320</v>
      </c>
    </row>
    <row r="41" spans="1:45" s="1" customFormat="1" ht="13" customHeight="1" x14ac:dyDescent="0.3">
      <c r="A41" s="155"/>
      <c r="B41" s="306">
        <v>42978</v>
      </c>
      <c r="C41" s="154" t="s">
        <v>322</v>
      </c>
      <c r="D41" s="227" t="s">
        <v>382</v>
      </c>
      <c r="E41" s="155"/>
      <c r="F41" s="155" t="s">
        <v>360</v>
      </c>
      <c r="G41" s="153">
        <v>42978</v>
      </c>
      <c r="H41" s="156" t="s">
        <v>309</v>
      </c>
      <c r="I41" s="156" t="s">
        <v>355</v>
      </c>
      <c r="J41" s="156"/>
      <c r="K41" s="227" t="s">
        <v>388</v>
      </c>
      <c r="L41" s="227" t="s">
        <v>387</v>
      </c>
      <c r="M41" s="305">
        <v>80.909090909090907</v>
      </c>
      <c r="N41" s="305">
        <v>23.818181818181817</v>
      </c>
      <c r="O41" s="155"/>
      <c r="P41" s="155"/>
      <c r="Q41" s="305"/>
      <c r="R41" s="155"/>
      <c r="S41" s="227"/>
      <c r="T41" s="155"/>
      <c r="U41" s="305" t="s">
        <v>320</v>
      </c>
      <c r="V41" s="305" t="s">
        <v>320</v>
      </c>
      <c r="W41" s="305"/>
      <c r="X41" s="155"/>
      <c r="Y41" s="155"/>
      <c r="Z41" s="155"/>
      <c r="AA41" s="155"/>
      <c r="AB41" s="155"/>
      <c r="AC41" s="155"/>
      <c r="AD41" s="305" t="s">
        <v>320</v>
      </c>
      <c r="AE41" s="305">
        <v>13.636363636363635</v>
      </c>
      <c r="AF41" s="155"/>
      <c r="AG41" s="155"/>
      <c r="AH41" s="305"/>
      <c r="AI41" s="155"/>
      <c r="AJ41" s="155"/>
      <c r="AK41" s="305" t="s">
        <v>320</v>
      </c>
      <c r="AL41" s="155"/>
      <c r="AM41" s="305" t="s">
        <v>320</v>
      </c>
      <c r="AN41" s="305" t="s">
        <v>320</v>
      </c>
      <c r="AO41" s="155" t="s">
        <v>361</v>
      </c>
      <c r="AP41" s="156" t="s">
        <v>325</v>
      </c>
      <c r="AQ41" s="305" t="s">
        <v>320</v>
      </c>
    </row>
    <row r="42" spans="1:45" s="1" customFormat="1" ht="13" customHeight="1" x14ac:dyDescent="0.3">
      <c r="A42" s="155"/>
      <c r="B42" s="306">
        <v>42946</v>
      </c>
      <c r="C42" s="154" t="s">
        <v>322</v>
      </c>
      <c r="D42" s="227" t="s">
        <v>382</v>
      </c>
      <c r="E42" s="155"/>
      <c r="F42" s="155" t="s">
        <v>360</v>
      </c>
      <c r="G42" s="153">
        <v>42916</v>
      </c>
      <c r="H42" s="156" t="s">
        <v>324</v>
      </c>
      <c r="I42" s="156" t="s">
        <v>325</v>
      </c>
      <c r="J42" s="156"/>
      <c r="K42" s="227" t="s">
        <v>420</v>
      </c>
      <c r="L42" s="227" t="s">
        <v>387</v>
      </c>
      <c r="M42" s="305">
        <v>70.13636363636364</v>
      </c>
      <c r="N42" s="305">
        <v>24.781818181818181</v>
      </c>
      <c r="O42" s="155"/>
      <c r="P42" s="155"/>
      <c r="Q42" s="305"/>
      <c r="R42" s="155"/>
      <c r="S42" s="227"/>
      <c r="T42" s="155"/>
      <c r="U42" s="305" t="s">
        <v>320</v>
      </c>
      <c r="V42" s="305" t="s">
        <v>320</v>
      </c>
      <c r="W42" s="305"/>
      <c r="X42" s="155"/>
      <c r="Y42" s="155"/>
      <c r="Z42" s="155"/>
      <c r="AA42" s="155"/>
      <c r="AB42" s="155"/>
      <c r="AC42" s="155"/>
      <c r="AD42" s="305" t="s">
        <v>320</v>
      </c>
      <c r="AE42" s="305">
        <v>12.427272727272726</v>
      </c>
      <c r="AF42" s="155"/>
      <c r="AG42" s="155"/>
      <c r="AH42" s="305"/>
      <c r="AI42" s="155"/>
      <c r="AJ42" s="155"/>
      <c r="AK42" s="305" t="s">
        <v>320</v>
      </c>
      <c r="AL42" s="155"/>
      <c r="AM42" s="305" t="s">
        <v>320</v>
      </c>
      <c r="AN42" s="305" t="s">
        <v>320</v>
      </c>
      <c r="AO42" s="155" t="s">
        <v>361</v>
      </c>
      <c r="AP42" s="156" t="s">
        <v>325</v>
      </c>
      <c r="AQ42" s="305" t="s">
        <v>320</v>
      </c>
    </row>
    <row r="43" spans="1:45" s="1" customFormat="1" ht="13" customHeight="1" x14ac:dyDescent="0.3">
      <c r="A43" s="155"/>
      <c r="B43" s="306">
        <v>42946</v>
      </c>
      <c r="C43" s="154" t="s">
        <v>322</v>
      </c>
      <c r="D43" s="227" t="s">
        <v>382</v>
      </c>
      <c r="E43" s="155"/>
      <c r="F43" s="155" t="s">
        <v>360</v>
      </c>
      <c r="G43" s="153">
        <v>42916</v>
      </c>
      <c r="H43" s="223" t="s">
        <v>310</v>
      </c>
      <c r="I43" s="223" t="s">
        <v>309</v>
      </c>
      <c r="J43" s="156"/>
      <c r="K43" s="227" t="s">
        <v>422</v>
      </c>
      <c r="L43" s="227" t="s">
        <v>387</v>
      </c>
      <c r="M43" s="305">
        <v>99.22727272727272</v>
      </c>
      <c r="N43" s="305">
        <v>22.981818181818181</v>
      </c>
      <c r="O43" s="155"/>
      <c r="P43" s="155"/>
      <c r="Q43" s="305"/>
      <c r="R43" s="155"/>
      <c r="S43" s="227"/>
      <c r="T43" s="155"/>
      <c r="U43" s="305" t="s">
        <v>320</v>
      </c>
      <c r="V43" s="305" t="s">
        <v>320</v>
      </c>
      <c r="W43" s="305"/>
      <c r="X43" s="155"/>
      <c r="Y43" s="155"/>
      <c r="Z43" s="155"/>
      <c r="AA43" s="155"/>
      <c r="AB43" s="155"/>
      <c r="AC43" s="155"/>
      <c r="AD43" s="305" t="s">
        <v>320</v>
      </c>
      <c r="AE43" s="305">
        <v>13.463636363636363</v>
      </c>
      <c r="AF43" s="155"/>
      <c r="AG43" s="155"/>
      <c r="AH43" s="305"/>
      <c r="AI43" s="155"/>
      <c r="AJ43" s="155"/>
      <c r="AK43" s="305" t="s">
        <v>320</v>
      </c>
      <c r="AL43" s="155"/>
      <c r="AM43" s="305" t="s">
        <v>320</v>
      </c>
      <c r="AN43" s="305" t="s">
        <v>320</v>
      </c>
      <c r="AO43" s="155" t="s">
        <v>361</v>
      </c>
      <c r="AP43" s="156" t="s">
        <v>325</v>
      </c>
      <c r="AQ43" s="305" t="s">
        <v>320</v>
      </c>
    </row>
    <row r="44" spans="1:45" s="1" customFormat="1" ht="13" customHeight="1" x14ac:dyDescent="0.3">
      <c r="A44" s="155"/>
      <c r="B44" s="306">
        <v>42946</v>
      </c>
      <c r="C44" s="154" t="s">
        <v>322</v>
      </c>
      <c r="D44" s="227" t="s">
        <v>382</v>
      </c>
      <c r="E44" s="155"/>
      <c r="F44" s="155" t="s">
        <v>360</v>
      </c>
      <c r="G44" s="153">
        <v>42936</v>
      </c>
      <c r="H44" s="223" t="s">
        <v>309</v>
      </c>
      <c r="I44" s="223" t="s">
        <v>355</v>
      </c>
      <c r="J44" s="156"/>
      <c r="K44" s="227" t="s">
        <v>424</v>
      </c>
      <c r="L44" s="227" t="s">
        <v>387</v>
      </c>
      <c r="M44" s="305">
        <v>79.699999999999989</v>
      </c>
      <c r="N44" s="305">
        <v>23.9</v>
      </c>
      <c r="O44" s="155"/>
      <c r="P44" s="155"/>
      <c r="Q44" s="305"/>
      <c r="R44" s="155"/>
      <c r="S44" s="227"/>
      <c r="T44" s="155"/>
      <c r="U44" s="305" t="s">
        <v>320</v>
      </c>
      <c r="V44" s="305" t="s">
        <v>320</v>
      </c>
      <c r="W44" s="305"/>
      <c r="X44" s="155"/>
      <c r="Y44" s="155"/>
      <c r="Z44" s="155"/>
      <c r="AA44" s="155"/>
      <c r="AB44" s="155"/>
      <c r="AC44" s="155"/>
      <c r="AD44" s="305" t="s">
        <v>320</v>
      </c>
      <c r="AE44" s="305">
        <v>13.499999999999998</v>
      </c>
      <c r="AF44" s="155"/>
      <c r="AG44" s="155"/>
      <c r="AH44" s="305"/>
      <c r="AI44" s="155"/>
      <c r="AJ44" s="155"/>
      <c r="AK44" s="305" t="s">
        <v>320</v>
      </c>
      <c r="AL44" s="155"/>
      <c r="AM44" s="305" t="s">
        <v>320</v>
      </c>
      <c r="AN44" s="305" t="s">
        <v>320</v>
      </c>
      <c r="AO44" s="155" t="s">
        <v>361</v>
      </c>
      <c r="AP44" s="156" t="s">
        <v>325</v>
      </c>
      <c r="AQ44" s="305" t="s">
        <v>320</v>
      </c>
    </row>
    <row r="45" spans="1:45" s="1" customFormat="1" ht="13" customHeight="1" x14ac:dyDescent="0.35">
      <c r="A45" s="155"/>
      <c r="B45" s="323">
        <v>42973</v>
      </c>
      <c r="C45" s="154" t="s">
        <v>322</v>
      </c>
      <c r="D45" s="227" t="s">
        <v>382</v>
      </c>
      <c r="E45" s="155"/>
      <c r="F45" s="155" t="s">
        <v>360</v>
      </c>
      <c r="G45" s="303">
        <v>42973</v>
      </c>
      <c r="H45" s="223" t="s">
        <v>310</v>
      </c>
      <c r="I45" s="223" t="s">
        <v>309</v>
      </c>
      <c r="J45" s="156"/>
      <c r="K45" s="227" t="s">
        <v>501</v>
      </c>
      <c r="L45" s="227" t="s">
        <v>387</v>
      </c>
      <c r="M45" s="305">
        <v>112</v>
      </c>
      <c r="N45" s="305">
        <v>21.499999999999996</v>
      </c>
      <c r="O45" s="155"/>
      <c r="P45" s="155"/>
      <c r="Q45" s="305"/>
      <c r="R45" s="155"/>
      <c r="S45" s="227"/>
      <c r="T45" s="155"/>
      <c r="U45" s="305" t="s">
        <v>320</v>
      </c>
      <c r="V45" s="305" t="s">
        <v>320</v>
      </c>
      <c r="W45" s="305"/>
      <c r="X45" s="155"/>
      <c r="Y45" s="155"/>
      <c r="Z45" s="155"/>
      <c r="AA45" s="155"/>
      <c r="AB45" s="155"/>
      <c r="AC45" s="155"/>
      <c r="AD45" s="305" t="s">
        <v>320</v>
      </c>
      <c r="AE45" s="305">
        <v>13.799999999999999</v>
      </c>
      <c r="AF45" s="155"/>
      <c r="AG45" s="155"/>
      <c r="AH45" s="305"/>
      <c r="AI45" s="155"/>
      <c r="AJ45" s="155"/>
      <c r="AK45" s="305" t="s">
        <v>320</v>
      </c>
      <c r="AL45" s="155"/>
      <c r="AM45" s="305" t="s">
        <v>320</v>
      </c>
      <c r="AN45" s="305" t="s">
        <v>320</v>
      </c>
      <c r="AO45" s="155" t="s">
        <v>361</v>
      </c>
      <c r="AP45" s="156" t="s">
        <v>325</v>
      </c>
      <c r="AQ45" s="305" t="s">
        <v>320</v>
      </c>
    </row>
    <row r="46" spans="1:45" s="1" customFormat="1" ht="13" customHeight="1" x14ac:dyDescent="0.3">
      <c r="A46" s="155"/>
      <c r="B46" s="306">
        <v>42946</v>
      </c>
      <c r="C46" s="154" t="s">
        <v>322</v>
      </c>
      <c r="D46" s="227" t="s">
        <v>382</v>
      </c>
      <c r="E46" s="155"/>
      <c r="F46" s="155" t="s">
        <v>360</v>
      </c>
      <c r="G46" s="153">
        <v>42916</v>
      </c>
      <c r="H46" s="223" t="s">
        <v>310</v>
      </c>
      <c r="I46" s="223" t="s">
        <v>309</v>
      </c>
      <c r="J46" s="156"/>
      <c r="K46" s="227" t="s">
        <v>503</v>
      </c>
      <c r="L46" s="227" t="s">
        <v>387</v>
      </c>
      <c r="M46" s="305">
        <v>90.499999999999986</v>
      </c>
      <c r="N46" s="305">
        <v>22.499999999999996</v>
      </c>
      <c r="O46" s="155"/>
      <c r="P46" s="155"/>
      <c r="Q46" s="305"/>
      <c r="R46" s="155"/>
      <c r="S46" s="227"/>
      <c r="T46" s="155"/>
      <c r="U46" s="305" t="s">
        <v>320</v>
      </c>
      <c r="V46" s="305" t="s">
        <v>320</v>
      </c>
      <c r="W46" s="305"/>
      <c r="X46" s="155"/>
      <c r="Y46" s="155"/>
      <c r="Z46" s="155"/>
      <c r="AA46" s="155"/>
      <c r="AB46" s="155"/>
      <c r="AC46" s="155"/>
      <c r="AD46" s="305" t="s">
        <v>320</v>
      </c>
      <c r="AE46" s="305">
        <v>14.999999999999998</v>
      </c>
      <c r="AF46" s="155"/>
      <c r="AG46" s="155"/>
      <c r="AH46" s="305"/>
      <c r="AI46" s="155"/>
      <c r="AJ46" s="155"/>
      <c r="AK46" s="305" t="s">
        <v>320</v>
      </c>
      <c r="AL46" s="155"/>
      <c r="AM46" s="305" t="s">
        <v>320</v>
      </c>
      <c r="AN46" s="305" t="s">
        <v>320</v>
      </c>
      <c r="AO46" s="155" t="s">
        <v>361</v>
      </c>
      <c r="AP46" s="156" t="s">
        <v>325</v>
      </c>
      <c r="AQ46" s="305" t="s">
        <v>320</v>
      </c>
    </row>
    <row r="47" spans="1:45" s="320" customFormat="1" ht="13" customHeight="1" x14ac:dyDescent="0.35">
      <c r="A47" s="252"/>
      <c r="B47" s="306">
        <v>42946</v>
      </c>
      <c r="C47" s="312" t="s">
        <v>322</v>
      </c>
      <c r="D47" s="227" t="s">
        <v>382</v>
      </c>
      <c r="E47" s="252"/>
      <c r="F47" s="155" t="s">
        <v>360</v>
      </c>
      <c r="G47" s="313">
        <v>42915</v>
      </c>
      <c r="H47" s="253" t="s">
        <v>310</v>
      </c>
      <c r="I47" s="253" t="s">
        <v>309</v>
      </c>
      <c r="J47" s="253"/>
      <c r="K47" s="252" t="s">
        <v>695</v>
      </c>
      <c r="L47" s="314" t="s">
        <v>387</v>
      </c>
      <c r="M47" s="305">
        <v>119.99999999999999</v>
      </c>
      <c r="N47" s="305">
        <v>20.9</v>
      </c>
      <c r="O47" s="316" t="s">
        <v>351</v>
      </c>
      <c r="P47" s="316">
        <v>1824</v>
      </c>
      <c r="Q47" s="305">
        <v>21.999999999999996</v>
      </c>
      <c r="R47" s="316">
        <v>1824</v>
      </c>
      <c r="S47" s="305">
        <v>21.999999999999996</v>
      </c>
      <c r="T47" s="252"/>
      <c r="U47" s="318"/>
      <c r="V47" s="318"/>
      <c r="W47" s="315"/>
      <c r="X47" s="252"/>
      <c r="Y47" s="252"/>
      <c r="Z47" s="252"/>
      <c r="AA47" s="252"/>
      <c r="AB47" s="252"/>
      <c r="AC47" s="252"/>
      <c r="AD47" s="318"/>
      <c r="AE47" s="305">
        <v>13.899999999999999</v>
      </c>
      <c r="AF47" s="252"/>
      <c r="AG47" s="252"/>
      <c r="AH47" s="315"/>
      <c r="AI47" s="252"/>
      <c r="AJ47" s="252"/>
      <c r="AK47" s="318"/>
      <c r="AL47" s="318"/>
      <c r="AM47" s="318"/>
      <c r="AN47" s="318"/>
      <c r="AO47" s="252" t="s">
        <v>361</v>
      </c>
      <c r="AP47" s="319" t="s">
        <v>309</v>
      </c>
      <c r="AQ47" s="318"/>
      <c r="AR47" s="318"/>
      <c r="AS47" s="318"/>
    </row>
    <row r="48" spans="1:45" s="320" customFormat="1" ht="13" customHeight="1" x14ac:dyDescent="0.35">
      <c r="A48" s="252"/>
      <c r="B48" s="324">
        <v>42973</v>
      </c>
      <c r="C48" s="312" t="s">
        <v>322</v>
      </c>
      <c r="D48" s="227" t="s">
        <v>382</v>
      </c>
      <c r="E48" s="252"/>
      <c r="F48" s="155" t="s">
        <v>360</v>
      </c>
      <c r="G48" s="322">
        <v>42973</v>
      </c>
      <c r="H48" s="253" t="s">
        <v>310</v>
      </c>
      <c r="I48" s="253" t="s">
        <v>309</v>
      </c>
      <c r="J48" s="253"/>
      <c r="K48" s="252" t="s">
        <v>698</v>
      </c>
      <c r="L48" s="314" t="s">
        <v>387</v>
      </c>
      <c r="M48" s="305">
        <v>86.4</v>
      </c>
      <c r="N48" s="305">
        <v>21.118181818181817</v>
      </c>
      <c r="O48" s="252"/>
      <c r="P48" s="252"/>
      <c r="Q48" s="315"/>
      <c r="R48" s="252"/>
      <c r="S48" s="317"/>
      <c r="T48" s="252"/>
      <c r="U48" s="318"/>
      <c r="V48" s="318"/>
      <c r="W48" s="315"/>
      <c r="X48" s="252"/>
      <c r="Y48" s="252"/>
      <c r="Z48" s="252"/>
      <c r="AA48" s="252"/>
      <c r="AB48" s="252"/>
      <c r="AC48" s="252"/>
      <c r="AD48" s="318"/>
      <c r="AE48" s="305">
        <v>14.999999999999998</v>
      </c>
      <c r="AF48" s="252"/>
      <c r="AG48" s="252"/>
      <c r="AH48" s="315"/>
      <c r="AI48" s="252"/>
      <c r="AJ48" s="252"/>
      <c r="AK48" s="318"/>
      <c r="AL48" s="318"/>
      <c r="AM48" s="318"/>
      <c r="AN48" s="318"/>
      <c r="AO48" s="252" t="s">
        <v>361</v>
      </c>
      <c r="AP48" s="319" t="s">
        <v>309</v>
      </c>
      <c r="AQ48" s="318"/>
      <c r="AR48" s="318"/>
      <c r="AS48" s="318"/>
    </row>
    <row r="49" spans="1:45" s="1" customFormat="1" ht="13" customHeight="1" x14ac:dyDescent="0.3">
      <c r="A49" s="155">
        <v>10419</v>
      </c>
      <c r="B49" s="306">
        <v>42946</v>
      </c>
      <c r="C49" s="243" t="s">
        <v>322</v>
      </c>
      <c r="D49" s="227" t="s">
        <v>382</v>
      </c>
      <c r="E49" s="241"/>
      <c r="F49" s="155" t="s">
        <v>367</v>
      </c>
      <c r="G49" s="247">
        <v>42928</v>
      </c>
      <c r="H49" s="156" t="s">
        <v>324</v>
      </c>
      <c r="I49" s="156" t="s">
        <v>325</v>
      </c>
      <c r="J49" s="156"/>
      <c r="K49" s="155" t="s">
        <v>326</v>
      </c>
      <c r="L49" s="227" t="s">
        <v>387</v>
      </c>
      <c r="M49" s="305">
        <v>96.390909090909091</v>
      </c>
      <c r="N49" s="305">
        <v>34.18181818181818</v>
      </c>
      <c r="O49" s="155"/>
      <c r="P49" s="155"/>
      <c r="Q49" s="305"/>
      <c r="R49" s="155"/>
      <c r="S49" s="227"/>
      <c r="T49" s="155"/>
      <c r="U49" s="305" t="s">
        <v>320</v>
      </c>
      <c r="V49" s="305" t="s">
        <v>320</v>
      </c>
      <c r="W49" s="305">
        <v>14.59090909090909</v>
      </c>
      <c r="X49" s="155"/>
      <c r="Y49" s="155"/>
      <c r="Z49" s="155"/>
      <c r="AA49" s="155"/>
      <c r="AB49" s="155"/>
      <c r="AC49" s="155"/>
      <c r="AD49" s="305" t="s">
        <v>320</v>
      </c>
      <c r="AE49" s="305"/>
      <c r="AF49" s="155"/>
      <c r="AG49" s="155"/>
      <c r="AH49" s="305">
        <v>28.836363636363632</v>
      </c>
      <c r="AI49" s="155"/>
      <c r="AJ49" s="155"/>
      <c r="AK49" s="305" t="s">
        <v>320</v>
      </c>
      <c r="AL49" s="155"/>
      <c r="AM49" s="305" t="s">
        <v>320</v>
      </c>
      <c r="AN49" s="305" t="s">
        <v>320</v>
      </c>
      <c r="AO49" s="155" t="s">
        <v>384</v>
      </c>
      <c r="AP49" s="156" t="s">
        <v>325</v>
      </c>
      <c r="AQ49" s="305" t="s">
        <v>602</v>
      </c>
    </row>
    <row r="50" spans="1:45" s="1" customFormat="1" ht="13" customHeight="1" x14ac:dyDescent="0.3">
      <c r="A50" s="155">
        <v>10504</v>
      </c>
      <c r="B50" s="306">
        <v>42946</v>
      </c>
      <c r="C50" s="154" t="s">
        <v>322</v>
      </c>
      <c r="D50" s="227" t="s">
        <v>382</v>
      </c>
      <c r="E50" s="155"/>
      <c r="F50" s="155" t="s">
        <v>367</v>
      </c>
      <c r="G50" s="164">
        <v>42916</v>
      </c>
      <c r="H50" s="156" t="s">
        <v>324</v>
      </c>
      <c r="I50" s="156" t="s">
        <v>325</v>
      </c>
      <c r="J50" s="156"/>
      <c r="K50" s="155" t="s">
        <v>328</v>
      </c>
      <c r="L50" s="227" t="s">
        <v>387</v>
      </c>
      <c r="M50" s="305">
        <v>95.999999999999986</v>
      </c>
      <c r="N50" s="305">
        <v>28.272727272727273</v>
      </c>
      <c r="O50" s="155"/>
      <c r="P50" s="155"/>
      <c r="Q50" s="305"/>
      <c r="R50" s="155"/>
      <c r="S50" s="227"/>
      <c r="T50" s="155"/>
      <c r="U50" s="305" t="s">
        <v>320</v>
      </c>
      <c r="V50" s="305" t="s">
        <v>320</v>
      </c>
      <c r="W50" s="305">
        <v>15.963636363636361</v>
      </c>
      <c r="X50" s="155"/>
      <c r="Y50" s="155"/>
      <c r="Z50" s="155"/>
      <c r="AA50" s="155"/>
      <c r="AB50" s="155"/>
      <c r="AC50" s="155"/>
      <c r="AD50" s="305" t="s">
        <v>320</v>
      </c>
      <c r="AE50" s="305"/>
      <c r="AF50" s="155"/>
      <c r="AG50" s="155"/>
      <c r="AH50" s="305">
        <v>24.172727272727272</v>
      </c>
      <c r="AI50" s="155"/>
      <c r="AJ50" s="155"/>
      <c r="AK50" s="305" t="s">
        <v>320</v>
      </c>
      <c r="AL50" s="155"/>
      <c r="AM50" s="305" t="s">
        <v>320</v>
      </c>
      <c r="AN50" s="305" t="s">
        <v>320</v>
      </c>
      <c r="AO50" s="155" t="s">
        <v>384</v>
      </c>
      <c r="AP50" s="156" t="s">
        <v>325</v>
      </c>
      <c r="AQ50" s="305" t="s">
        <v>632</v>
      </c>
    </row>
    <row r="51" spans="1:45" s="1" customFormat="1" ht="13" customHeight="1" x14ac:dyDescent="0.3">
      <c r="A51" s="155">
        <v>4657</v>
      </c>
      <c r="B51" s="306">
        <v>42946</v>
      </c>
      <c r="C51" s="154" t="s">
        <v>322</v>
      </c>
      <c r="D51" s="227" t="s">
        <v>382</v>
      </c>
      <c r="E51" s="155"/>
      <c r="F51" s="155" t="s">
        <v>367</v>
      </c>
      <c r="G51" s="164">
        <v>42916</v>
      </c>
      <c r="H51" s="156" t="s">
        <v>324</v>
      </c>
      <c r="I51" s="156" t="s">
        <v>325</v>
      </c>
      <c r="J51" s="156"/>
      <c r="K51" s="155" t="s">
        <v>331</v>
      </c>
      <c r="L51" s="227" t="s">
        <v>387</v>
      </c>
      <c r="M51" s="305">
        <v>89.999999999999986</v>
      </c>
      <c r="N51" s="305">
        <v>28.099999999999998</v>
      </c>
      <c r="O51" s="155"/>
      <c r="P51" s="155"/>
      <c r="Q51" s="305"/>
      <c r="R51" s="155"/>
      <c r="S51" s="227"/>
      <c r="T51" s="155"/>
      <c r="U51" s="305" t="s">
        <v>320</v>
      </c>
      <c r="V51" s="305" t="s">
        <v>320</v>
      </c>
      <c r="W51" s="305">
        <v>20.663636363636364</v>
      </c>
      <c r="X51" s="155"/>
      <c r="Y51" s="155"/>
      <c r="Z51" s="155"/>
      <c r="AA51" s="155"/>
      <c r="AB51" s="155"/>
      <c r="AC51" s="155"/>
      <c r="AD51" s="305" t="s">
        <v>320</v>
      </c>
      <c r="AE51" s="305"/>
      <c r="AF51" s="155"/>
      <c r="AG51" s="155"/>
      <c r="AH51" s="305">
        <v>22.809090909090909</v>
      </c>
      <c r="AI51" s="155"/>
      <c r="AJ51" s="155"/>
      <c r="AK51" s="305" t="s">
        <v>320</v>
      </c>
      <c r="AL51" s="155"/>
      <c r="AM51" s="305" t="s">
        <v>320</v>
      </c>
      <c r="AN51" s="305" t="s">
        <v>320</v>
      </c>
      <c r="AO51" s="155" t="s">
        <v>384</v>
      </c>
      <c r="AP51" s="156" t="s">
        <v>325</v>
      </c>
      <c r="AQ51" s="305" t="s">
        <v>320</v>
      </c>
    </row>
    <row r="52" spans="1:45" s="1" customFormat="1" ht="13" customHeight="1" x14ac:dyDescent="0.35">
      <c r="A52" s="155">
        <v>1448</v>
      </c>
      <c r="B52" s="306">
        <v>42946</v>
      </c>
      <c r="C52" s="154" t="s">
        <v>322</v>
      </c>
      <c r="D52" s="227" t="s">
        <v>382</v>
      </c>
      <c r="E52" s="155"/>
      <c r="F52" s="155" t="s">
        <v>367</v>
      </c>
      <c r="G52" s="164">
        <v>42916</v>
      </c>
      <c r="H52" s="156" t="s">
        <v>324</v>
      </c>
      <c r="I52" s="156" t="s">
        <v>325</v>
      </c>
      <c r="J52" s="156"/>
      <c r="K52" s="155" t="s">
        <v>479</v>
      </c>
      <c r="L52" s="227" t="s">
        <v>387</v>
      </c>
      <c r="M52" s="305">
        <v>104.99999999999999</v>
      </c>
      <c r="N52" s="305">
        <v>32.999999999999993</v>
      </c>
      <c r="O52" s="316" t="s">
        <v>351</v>
      </c>
      <c r="P52" s="155">
        <v>1020</v>
      </c>
      <c r="Q52" s="305">
        <v>36</v>
      </c>
      <c r="R52" s="155">
        <v>1020</v>
      </c>
      <c r="S52" s="305">
        <v>36</v>
      </c>
      <c r="T52" s="155"/>
      <c r="U52" s="305" t="s">
        <v>320</v>
      </c>
      <c r="V52" s="305" t="s">
        <v>320</v>
      </c>
      <c r="W52" s="305">
        <v>15.4</v>
      </c>
      <c r="X52" s="155"/>
      <c r="Y52" s="155"/>
      <c r="Z52" s="155"/>
      <c r="AA52" s="155"/>
      <c r="AB52" s="155"/>
      <c r="AC52" s="155"/>
      <c r="AD52" s="305" t="s">
        <v>320</v>
      </c>
      <c r="AE52" s="305"/>
      <c r="AF52" s="155"/>
      <c r="AG52" s="155"/>
      <c r="AH52" s="305">
        <v>23</v>
      </c>
      <c r="AI52" s="155"/>
      <c r="AJ52" s="155"/>
      <c r="AK52" s="305" t="s">
        <v>320</v>
      </c>
      <c r="AL52" s="155"/>
      <c r="AM52" s="305" t="s">
        <v>320</v>
      </c>
      <c r="AN52" s="305" t="s">
        <v>320</v>
      </c>
      <c r="AO52" s="155" t="s">
        <v>384</v>
      </c>
      <c r="AP52" s="156" t="s">
        <v>325</v>
      </c>
      <c r="AQ52" s="305" t="s">
        <v>320</v>
      </c>
    </row>
    <row r="53" spans="1:45" s="1" customFormat="1" ht="13" customHeight="1" x14ac:dyDescent="0.3">
      <c r="A53" s="155">
        <v>1488</v>
      </c>
      <c r="B53" s="306">
        <v>42946</v>
      </c>
      <c r="C53" s="154" t="s">
        <v>322</v>
      </c>
      <c r="D53" s="227" t="s">
        <v>382</v>
      </c>
      <c r="E53" s="155"/>
      <c r="F53" s="155" t="s">
        <v>367</v>
      </c>
      <c r="G53" s="153">
        <v>42916</v>
      </c>
      <c r="H53" s="156" t="s">
        <v>324</v>
      </c>
      <c r="I53" s="156" t="s">
        <v>325</v>
      </c>
      <c r="J53" s="156"/>
      <c r="K53" s="155" t="s">
        <v>397</v>
      </c>
      <c r="L53" s="227" t="s">
        <v>387</v>
      </c>
      <c r="M53" s="305">
        <v>99.5</v>
      </c>
      <c r="N53" s="305">
        <v>25.309090909090909</v>
      </c>
      <c r="O53" s="155"/>
      <c r="P53" s="155"/>
      <c r="Q53" s="305"/>
      <c r="R53" s="155"/>
      <c r="S53" s="305"/>
      <c r="T53" s="155"/>
      <c r="U53" s="305" t="s">
        <v>320</v>
      </c>
      <c r="V53" s="305" t="s">
        <v>320</v>
      </c>
      <c r="W53" s="305">
        <v>20.327272727272724</v>
      </c>
      <c r="X53" s="155"/>
      <c r="Y53" s="155"/>
      <c r="Z53" s="155"/>
      <c r="AA53" s="155"/>
      <c r="AB53" s="155"/>
      <c r="AC53" s="155"/>
      <c r="AD53" s="305" t="s">
        <v>320</v>
      </c>
      <c r="AE53" s="305"/>
      <c r="AF53" s="155"/>
      <c r="AG53" s="155"/>
      <c r="AH53" s="305">
        <v>20.809090909090909</v>
      </c>
      <c r="AI53" s="155"/>
      <c r="AJ53" s="155"/>
      <c r="AK53" s="305" t="s">
        <v>320</v>
      </c>
      <c r="AL53" s="155"/>
      <c r="AM53" s="305" t="s">
        <v>320</v>
      </c>
      <c r="AN53" s="305" t="s">
        <v>320</v>
      </c>
      <c r="AO53" s="155" t="s">
        <v>384</v>
      </c>
      <c r="AP53" s="156" t="s">
        <v>325</v>
      </c>
      <c r="AQ53" s="305" t="s">
        <v>607</v>
      </c>
    </row>
    <row r="54" spans="1:45" s="1" customFormat="1" ht="13" customHeight="1" x14ac:dyDescent="0.3">
      <c r="A54" s="155">
        <v>10528</v>
      </c>
      <c r="B54" s="306">
        <v>42946</v>
      </c>
      <c r="C54" s="154" t="s">
        <v>322</v>
      </c>
      <c r="D54" s="227" t="s">
        <v>382</v>
      </c>
      <c r="E54" s="155"/>
      <c r="F54" s="155" t="s">
        <v>367</v>
      </c>
      <c r="G54" s="153">
        <v>42916</v>
      </c>
      <c r="H54" s="156" t="s">
        <v>324</v>
      </c>
      <c r="I54" s="156" t="s">
        <v>325</v>
      </c>
      <c r="J54" s="156"/>
      <c r="K54" s="155" t="s">
        <v>348</v>
      </c>
      <c r="L54" s="227" t="s">
        <v>387</v>
      </c>
      <c r="M54" s="305">
        <v>98.659999999999982</v>
      </c>
      <c r="N54" s="305">
        <v>33.200000000000003</v>
      </c>
      <c r="O54" s="155"/>
      <c r="P54" s="155"/>
      <c r="Q54" s="305"/>
      <c r="R54" s="155"/>
      <c r="S54" s="305"/>
      <c r="T54" s="155"/>
      <c r="U54" s="305" t="s">
        <v>320</v>
      </c>
      <c r="V54" s="305" t="s">
        <v>320</v>
      </c>
      <c r="W54" s="305">
        <v>15.37</v>
      </c>
      <c r="X54" s="155"/>
      <c r="Y54" s="155"/>
      <c r="Z54" s="155"/>
      <c r="AA54" s="155"/>
      <c r="AB54" s="155"/>
      <c r="AC54" s="155"/>
      <c r="AD54" s="305" t="s">
        <v>320</v>
      </c>
      <c r="AE54" s="305"/>
      <c r="AF54" s="155"/>
      <c r="AG54" s="155"/>
      <c r="AH54" s="305">
        <v>25.939999999999998</v>
      </c>
      <c r="AI54" s="155"/>
      <c r="AJ54" s="155"/>
      <c r="AK54" s="305" t="s">
        <v>320</v>
      </c>
      <c r="AL54" s="155"/>
      <c r="AM54" s="305" t="s">
        <v>320</v>
      </c>
      <c r="AN54" s="305" t="s">
        <v>320</v>
      </c>
      <c r="AO54" s="155" t="s">
        <v>384</v>
      </c>
      <c r="AP54" s="156" t="s">
        <v>325</v>
      </c>
      <c r="AQ54" s="305" t="s">
        <v>646</v>
      </c>
    </row>
    <row r="55" spans="1:45" s="1" customFormat="1" ht="13" customHeight="1" x14ac:dyDescent="0.3">
      <c r="A55" s="155">
        <v>10327</v>
      </c>
      <c r="B55" s="306">
        <v>42946</v>
      </c>
      <c r="C55" s="154" t="s">
        <v>322</v>
      </c>
      <c r="D55" s="227" t="s">
        <v>382</v>
      </c>
      <c r="E55" s="155"/>
      <c r="F55" s="155" t="s">
        <v>367</v>
      </c>
      <c r="G55" s="153">
        <v>42916</v>
      </c>
      <c r="H55" s="156" t="s">
        <v>324</v>
      </c>
      <c r="I55" s="156" t="s">
        <v>325</v>
      </c>
      <c r="J55" s="156"/>
      <c r="K55" s="155" t="s">
        <v>406</v>
      </c>
      <c r="L55" s="227" t="s">
        <v>387</v>
      </c>
      <c r="M55" s="305">
        <v>96.390909090909091</v>
      </c>
      <c r="N55" s="305">
        <v>34.18181818181818</v>
      </c>
      <c r="O55" s="155"/>
      <c r="P55" s="155"/>
      <c r="Q55" s="305"/>
      <c r="R55" s="155"/>
      <c r="S55" s="227"/>
      <c r="T55" s="155"/>
      <c r="U55" s="305" t="s">
        <v>320</v>
      </c>
      <c r="V55" s="305" t="s">
        <v>320</v>
      </c>
      <c r="W55" s="305">
        <v>14.59090909090909</v>
      </c>
      <c r="X55" s="155"/>
      <c r="Y55" s="155"/>
      <c r="Z55" s="155"/>
      <c r="AA55" s="155"/>
      <c r="AB55" s="155"/>
      <c r="AC55" s="155"/>
      <c r="AD55" s="305" t="s">
        <v>320</v>
      </c>
      <c r="AE55" s="305"/>
      <c r="AF55" s="155"/>
      <c r="AG55" s="155"/>
      <c r="AH55" s="305">
        <v>28.836363636363632</v>
      </c>
      <c r="AI55" s="155"/>
      <c r="AJ55" s="155"/>
      <c r="AK55" s="305" t="s">
        <v>320</v>
      </c>
      <c r="AL55" s="155"/>
      <c r="AM55" s="305" t="s">
        <v>320</v>
      </c>
      <c r="AN55" s="305" t="s">
        <v>320</v>
      </c>
      <c r="AO55" s="155" t="s">
        <v>384</v>
      </c>
      <c r="AP55" s="156" t="s">
        <v>325</v>
      </c>
      <c r="AQ55" s="305" t="s">
        <v>647</v>
      </c>
    </row>
    <row r="56" spans="1:45" s="1" customFormat="1" ht="13" customHeight="1" x14ac:dyDescent="0.3">
      <c r="A56" s="155">
        <v>10682</v>
      </c>
      <c r="B56" s="306">
        <v>42946</v>
      </c>
      <c r="C56" s="154" t="s">
        <v>322</v>
      </c>
      <c r="D56" s="227" t="s">
        <v>382</v>
      </c>
      <c r="E56" s="155"/>
      <c r="F56" s="155" t="s">
        <v>367</v>
      </c>
      <c r="G56" s="153">
        <v>42916</v>
      </c>
      <c r="H56" s="156" t="s">
        <v>324</v>
      </c>
      <c r="I56" s="156" t="s">
        <v>325</v>
      </c>
      <c r="J56" s="156"/>
      <c r="K56" s="155" t="s">
        <v>408</v>
      </c>
      <c r="L56" s="227" t="s">
        <v>387</v>
      </c>
      <c r="M56" s="305">
        <v>114.99999999999999</v>
      </c>
      <c r="N56" s="305">
        <v>23</v>
      </c>
      <c r="O56" s="155"/>
      <c r="P56" s="155"/>
      <c r="Q56" s="305"/>
      <c r="R56" s="155"/>
      <c r="S56" s="305"/>
      <c r="T56" s="155"/>
      <c r="U56" s="305" t="s">
        <v>320</v>
      </c>
      <c r="V56" s="305" t="s">
        <v>320</v>
      </c>
      <c r="W56" s="305">
        <v>18.999999999999996</v>
      </c>
      <c r="X56" s="155"/>
      <c r="Y56" s="155"/>
      <c r="Z56" s="155"/>
      <c r="AA56" s="155"/>
      <c r="AB56" s="155"/>
      <c r="AC56" s="155"/>
      <c r="AD56" s="305" t="s">
        <v>320</v>
      </c>
      <c r="AE56" s="305"/>
      <c r="AF56" s="155"/>
      <c r="AG56" s="155"/>
      <c r="AH56" s="305">
        <v>20</v>
      </c>
      <c r="AI56" s="155"/>
      <c r="AJ56" s="155"/>
      <c r="AK56" s="305" t="s">
        <v>320</v>
      </c>
      <c r="AL56" s="155"/>
      <c r="AM56" s="305" t="s">
        <v>320</v>
      </c>
      <c r="AN56" s="305" t="s">
        <v>320</v>
      </c>
      <c r="AO56" s="155" t="s">
        <v>384</v>
      </c>
      <c r="AP56" s="156" t="s">
        <v>325</v>
      </c>
      <c r="AQ56" s="305" t="s">
        <v>650</v>
      </c>
    </row>
    <row r="57" spans="1:45" s="1" customFormat="1" ht="13" customHeight="1" x14ac:dyDescent="0.3">
      <c r="A57" s="155">
        <v>3604</v>
      </c>
      <c r="B57" s="306">
        <v>42946</v>
      </c>
      <c r="C57" s="154" t="s">
        <v>322</v>
      </c>
      <c r="D57" s="227" t="s">
        <v>382</v>
      </c>
      <c r="E57" s="155"/>
      <c r="F57" s="155" t="s">
        <v>367</v>
      </c>
      <c r="G57" s="153">
        <v>42916</v>
      </c>
      <c r="H57" s="156" t="s">
        <v>324</v>
      </c>
      <c r="I57" s="156" t="s">
        <v>325</v>
      </c>
      <c r="J57" s="156"/>
      <c r="K57" s="155" t="s">
        <v>412</v>
      </c>
      <c r="L57" s="227" t="s">
        <v>387</v>
      </c>
      <c r="M57" s="305">
        <v>83.354545454545445</v>
      </c>
      <c r="N57" s="305">
        <v>26.999999999999996</v>
      </c>
      <c r="O57" s="155"/>
      <c r="P57" s="155"/>
      <c r="Q57" s="305"/>
      <c r="R57" s="155"/>
      <c r="S57" s="227"/>
      <c r="T57" s="155"/>
      <c r="U57" s="305" t="s">
        <v>320</v>
      </c>
      <c r="V57" s="305" t="s">
        <v>320</v>
      </c>
      <c r="W57" s="305">
        <v>21.818181818181817</v>
      </c>
      <c r="X57" s="155"/>
      <c r="Y57" s="155"/>
      <c r="Z57" s="155"/>
      <c r="AA57" s="155"/>
      <c r="AB57" s="155"/>
      <c r="AC57" s="155"/>
      <c r="AD57" s="305" t="s">
        <v>320</v>
      </c>
      <c r="AE57" s="305"/>
      <c r="AF57" s="155"/>
      <c r="AG57" s="155"/>
      <c r="AH57" s="305">
        <v>23.7</v>
      </c>
      <c r="AI57" s="155"/>
      <c r="AJ57" s="155"/>
      <c r="AK57" s="305" t="s">
        <v>320</v>
      </c>
      <c r="AL57" s="155"/>
      <c r="AM57" s="305" t="s">
        <v>320</v>
      </c>
      <c r="AN57" s="305" t="s">
        <v>320</v>
      </c>
      <c r="AO57" s="155" t="s">
        <v>384</v>
      </c>
      <c r="AP57" s="156" t="s">
        <v>325</v>
      </c>
      <c r="AQ57" s="305" t="s">
        <v>667</v>
      </c>
    </row>
    <row r="58" spans="1:45" s="1" customFormat="1" ht="13" customHeight="1" x14ac:dyDescent="0.3">
      <c r="A58" s="155">
        <v>10377</v>
      </c>
      <c r="B58" s="306">
        <v>42946</v>
      </c>
      <c r="C58" s="154" t="s">
        <v>322</v>
      </c>
      <c r="D58" s="227" t="s">
        <v>382</v>
      </c>
      <c r="E58" s="155"/>
      <c r="F58" s="155" t="s">
        <v>367</v>
      </c>
      <c r="G58" s="153">
        <v>42916</v>
      </c>
      <c r="H58" s="156" t="s">
        <v>310</v>
      </c>
      <c r="I58" s="156" t="s">
        <v>309</v>
      </c>
      <c r="J58" s="156"/>
      <c r="K58" s="155" t="s">
        <v>239</v>
      </c>
      <c r="L58" s="227" t="s">
        <v>387</v>
      </c>
      <c r="M58" s="305">
        <v>130</v>
      </c>
      <c r="N58" s="305">
        <v>22.599999999999998</v>
      </c>
      <c r="O58" s="155"/>
      <c r="P58" s="155"/>
      <c r="Q58" s="305"/>
      <c r="R58" s="155"/>
      <c r="S58" s="227"/>
      <c r="T58" s="155"/>
      <c r="U58" s="305" t="s">
        <v>320</v>
      </c>
      <c r="V58" s="305" t="s">
        <v>320</v>
      </c>
      <c r="W58" s="305">
        <v>17.099999999999998</v>
      </c>
      <c r="X58" s="155"/>
      <c r="Y58" s="155"/>
      <c r="Z58" s="155"/>
      <c r="AA58" s="155"/>
      <c r="AB58" s="155"/>
      <c r="AC58" s="155"/>
      <c r="AD58" s="305" t="s">
        <v>320</v>
      </c>
      <c r="AE58" s="305"/>
      <c r="AF58" s="155"/>
      <c r="AG58" s="155"/>
      <c r="AH58" s="305">
        <v>19.899999999999999</v>
      </c>
      <c r="AI58" s="155"/>
      <c r="AJ58" s="155"/>
      <c r="AK58" s="305" t="s">
        <v>320</v>
      </c>
      <c r="AL58" s="155"/>
      <c r="AM58" s="305" t="s">
        <v>320</v>
      </c>
      <c r="AN58" s="305" t="s">
        <v>320</v>
      </c>
      <c r="AO58" s="155" t="s">
        <v>384</v>
      </c>
      <c r="AP58" s="156" t="s">
        <v>325</v>
      </c>
      <c r="AQ58" s="305" t="s">
        <v>675</v>
      </c>
    </row>
    <row r="59" spans="1:45" s="1" customFormat="1" ht="13" customHeight="1" x14ac:dyDescent="0.3">
      <c r="A59" s="155"/>
      <c r="B59" s="306">
        <v>42978</v>
      </c>
      <c r="C59" s="154" t="s">
        <v>322</v>
      </c>
      <c r="D59" s="227" t="s">
        <v>382</v>
      </c>
      <c r="E59" s="155"/>
      <c r="F59" s="155" t="s">
        <v>367</v>
      </c>
      <c r="G59" s="302">
        <v>42978</v>
      </c>
      <c r="H59" s="156" t="s">
        <v>310</v>
      </c>
      <c r="I59" s="156" t="s">
        <v>309</v>
      </c>
      <c r="J59" s="156"/>
      <c r="K59" s="155" t="s">
        <v>388</v>
      </c>
      <c r="L59" s="227" t="s">
        <v>387</v>
      </c>
      <c r="M59" s="305">
        <v>80.909090909090907</v>
      </c>
      <c r="N59" s="305">
        <v>23.818181818181817</v>
      </c>
      <c r="O59" s="155"/>
      <c r="P59" s="155"/>
      <c r="Q59" s="305"/>
      <c r="R59" s="155"/>
      <c r="S59" s="227"/>
      <c r="T59" s="155"/>
      <c r="U59" s="305" t="s">
        <v>320</v>
      </c>
      <c r="V59" s="305" t="s">
        <v>320</v>
      </c>
      <c r="W59" s="305">
        <v>23.818181818181817</v>
      </c>
      <c r="X59" s="155"/>
      <c r="Y59" s="155"/>
      <c r="Z59" s="155"/>
      <c r="AA59" s="155"/>
      <c r="AB59" s="155"/>
      <c r="AC59" s="155"/>
      <c r="AD59" s="305" t="s">
        <v>320</v>
      </c>
      <c r="AE59" s="305"/>
      <c r="AF59" s="155"/>
      <c r="AG59" s="155"/>
      <c r="AH59" s="305">
        <v>23.818181818181817</v>
      </c>
      <c r="AI59" s="155"/>
      <c r="AJ59" s="155"/>
      <c r="AK59" s="305" t="s">
        <v>320</v>
      </c>
      <c r="AL59" s="155"/>
      <c r="AM59" s="305" t="s">
        <v>320</v>
      </c>
      <c r="AN59" s="305" t="s">
        <v>320</v>
      </c>
      <c r="AO59" s="155" t="s">
        <v>384</v>
      </c>
      <c r="AP59" s="156" t="s">
        <v>325</v>
      </c>
      <c r="AQ59" s="305" t="s">
        <v>320</v>
      </c>
    </row>
    <row r="60" spans="1:45" s="1" customFormat="1" ht="13" customHeight="1" x14ac:dyDescent="0.3">
      <c r="A60" s="155"/>
      <c r="B60" s="306">
        <v>42946</v>
      </c>
      <c r="C60" s="154" t="s">
        <v>322</v>
      </c>
      <c r="D60" s="227" t="s">
        <v>382</v>
      </c>
      <c r="E60" s="155"/>
      <c r="F60" s="155" t="s">
        <v>367</v>
      </c>
      <c r="G60" s="153">
        <v>42916</v>
      </c>
      <c r="H60" s="156" t="s">
        <v>310</v>
      </c>
      <c r="I60" s="156" t="s">
        <v>309</v>
      </c>
      <c r="J60" s="156"/>
      <c r="K60" s="155" t="s">
        <v>501</v>
      </c>
      <c r="L60" s="227" t="s">
        <v>387</v>
      </c>
      <c r="M60" s="305">
        <v>114.99999999999999</v>
      </c>
      <c r="N60" s="305">
        <v>24.499999999999996</v>
      </c>
      <c r="O60" s="155"/>
      <c r="P60" s="155"/>
      <c r="Q60" s="305"/>
      <c r="R60" s="155"/>
      <c r="S60" s="227"/>
      <c r="T60" s="155"/>
      <c r="U60" s="305" t="s">
        <v>320</v>
      </c>
      <c r="V60" s="305" t="s">
        <v>320</v>
      </c>
      <c r="W60" s="305">
        <v>19.499999999999996</v>
      </c>
      <c r="X60" s="155"/>
      <c r="Y60" s="155"/>
      <c r="Z60" s="155"/>
      <c r="AA60" s="155"/>
      <c r="AB60" s="155"/>
      <c r="AC60" s="155"/>
      <c r="AD60" s="305" t="s">
        <v>320</v>
      </c>
      <c r="AE60" s="305"/>
      <c r="AF60" s="155"/>
      <c r="AG60" s="155"/>
      <c r="AH60" s="305">
        <v>20.5</v>
      </c>
      <c r="AI60" s="155"/>
      <c r="AJ60" s="155"/>
      <c r="AK60" s="305" t="s">
        <v>320</v>
      </c>
      <c r="AL60" s="155"/>
      <c r="AM60" s="305" t="s">
        <v>320</v>
      </c>
      <c r="AN60" s="305" t="s">
        <v>320</v>
      </c>
      <c r="AO60" s="155" t="s">
        <v>384</v>
      </c>
      <c r="AP60" s="156" t="s">
        <v>325</v>
      </c>
      <c r="AQ60" s="305" t="s">
        <v>320</v>
      </c>
    </row>
    <row r="61" spans="1:45" s="1" customFormat="1" ht="13" customHeight="1" x14ac:dyDescent="0.3">
      <c r="A61" s="155"/>
      <c r="B61" s="306">
        <v>42946</v>
      </c>
      <c r="C61" s="154" t="s">
        <v>322</v>
      </c>
      <c r="D61" s="227" t="s">
        <v>382</v>
      </c>
      <c r="E61" s="155"/>
      <c r="F61" s="155" t="s">
        <v>367</v>
      </c>
      <c r="G61" s="153">
        <v>42916</v>
      </c>
      <c r="H61" s="156" t="s">
        <v>310</v>
      </c>
      <c r="I61" s="156" t="s">
        <v>309</v>
      </c>
      <c r="J61" s="156"/>
      <c r="K61" s="155" t="s">
        <v>503</v>
      </c>
      <c r="L61" s="227" t="s">
        <v>387</v>
      </c>
      <c r="M61" s="305">
        <v>99.699999999999989</v>
      </c>
      <c r="N61" s="305">
        <v>26</v>
      </c>
      <c r="O61" s="155"/>
      <c r="P61" s="155"/>
      <c r="Q61" s="305"/>
      <c r="R61" s="155"/>
      <c r="S61" s="227"/>
      <c r="T61" s="155"/>
      <c r="U61" s="305" t="s">
        <v>320</v>
      </c>
      <c r="V61" s="305" t="s">
        <v>320</v>
      </c>
      <c r="W61" s="305">
        <v>20.199999999999996</v>
      </c>
      <c r="X61" s="155"/>
      <c r="Y61" s="155"/>
      <c r="Z61" s="155"/>
      <c r="AA61" s="155"/>
      <c r="AB61" s="155"/>
      <c r="AC61" s="155"/>
      <c r="AD61" s="305" t="s">
        <v>320</v>
      </c>
      <c r="AE61" s="305"/>
      <c r="AF61" s="155"/>
      <c r="AG61" s="155"/>
      <c r="AH61" s="305">
        <v>20.199999999999996</v>
      </c>
      <c r="AI61" s="155"/>
      <c r="AJ61" s="155"/>
      <c r="AK61" s="305" t="s">
        <v>320</v>
      </c>
      <c r="AL61" s="155"/>
      <c r="AM61" s="305" t="s">
        <v>320</v>
      </c>
      <c r="AN61" s="305" t="s">
        <v>320</v>
      </c>
      <c r="AO61" s="155" t="s">
        <v>384</v>
      </c>
      <c r="AP61" s="156" t="s">
        <v>325</v>
      </c>
      <c r="AQ61" s="305" t="s">
        <v>320</v>
      </c>
    </row>
    <row r="62" spans="1:45" s="320" customFormat="1" ht="13" customHeight="1" x14ac:dyDescent="0.35">
      <c r="A62" s="252"/>
      <c r="B62" s="306">
        <v>42946</v>
      </c>
      <c r="C62" s="312" t="s">
        <v>322</v>
      </c>
      <c r="D62" s="227" t="s">
        <v>382</v>
      </c>
      <c r="E62" s="252"/>
      <c r="F62" s="155" t="s">
        <v>367</v>
      </c>
      <c r="G62" s="313">
        <v>42915</v>
      </c>
      <c r="H62" s="253" t="s">
        <v>310</v>
      </c>
      <c r="I62" s="253" t="s">
        <v>309</v>
      </c>
      <c r="J62" s="253"/>
      <c r="K62" s="252" t="s">
        <v>695</v>
      </c>
      <c r="L62" s="314" t="s">
        <v>387</v>
      </c>
      <c r="M62" s="305">
        <v>119.99999999999999</v>
      </c>
      <c r="N62" s="305">
        <v>24.999999999999996</v>
      </c>
      <c r="O62" s="155"/>
      <c r="P62" s="155"/>
      <c r="Q62" s="305"/>
      <c r="R62" s="252"/>
      <c r="S62" s="317"/>
      <c r="T62" s="252"/>
      <c r="U62" s="318"/>
      <c r="V62" s="318"/>
      <c r="W62" s="305">
        <v>19.299999999999997</v>
      </c>
      <c r="X62" s="252"/>
      <c r="Y62" s="252"/>
      <c r="Z62" s="252"/>
      <c r="AA62" s="252"/>
      <c r="AB62" s="252"/>
      <c r="AC62" s="252"/>
      <c r="AD62" s="318"/>
      <c r="AE62" s="315"/>
      <c r="AF62" s="252"/>
      <c r="AG62" s="252"/>
      <c r="AH62" s="305">
        <v>19.299999999999997</v>
      </c>
      <c r="AI62" s="252"/>
      <c r="AJ62" s="252"/>
      <c r="AK62" s="318"/>
      <c r="AL62" s="318"/>
      <c r="AM62" s="318"/>
      <c r="AN62" s="318"/>
      <c r="AO62" s="155" t="s">
        <v>384</v>
      </c>
      <c r="AP62" s="319" t="s">
        <v>309</v>
      </c>
      <c r="AQ62" s="318"/>
      <c r="AR62" s="318"/>
      <c r="AS62" s="318"/>
    </row>
  </sheetData>
  <sheetProtection algorithmName="SHA-512" hashValue="uj8AlC+hwR8u6usGeZ5/LgXF935JaGRP6xNUNugnwQuM4YjNXAuAf2jUdWtHjGhFuVXxmu/nSr33bIAkVOrYIw==" saltValue="AwA/9PMEh5t93fcOu5Ax+Q==" spinCount="100000" sheet="1" objects="1" scenarios="1"/>
  <pageMargins left="0.75" right="0.75" top="1" bottom="1" header="0.5" footer="0.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03AD1-7EB8-AF4B-80D7-470E1E9BB6C5}">
  <sheetPr codeName="Sheet25"/>
  <dimension ref="A1:AY71"/>
  <sheetViews>
    <sheetView topLeftCell="A20" zoomScale="107" zoomScaleNormal="120" workbookViewId="0">
      <selection activeCell="A63" activeCellId="2" sqref="A57:XFD57 A59:XFD59 A63:XFD63"/>
    </sheetView>
  </sheetViews>
  <sheetFormatPr defaultColWidth="11" defaultRowHeight="13.5" x14ac:dyDescent="0.3"/>
  <cols>
    <col min="11" max="11" width="18" bestFit="1" customWidth="1"/>
    <col min="12" max="12" width="18.15234375" customWidth="1"/>
    <col min="13" max="13" width="7.69140625" bestFit="1" customWidth="1"/>
    <col min="23" max="23" width="12.69140625" bestFit="1" customWidth="1"/>
    <col min="41" max="41" width="13.69140625" customWidth="1"/>
  </cols>
  <sheetData>
    <row r="1" spans="1:45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  <c r="AS1" s="277" t="s">
        <v>474</v>
      </c>
    </row>
    <row r="2" spans="1:45" ht="13" customHeight="1" x14ac:dyDescent="0.35">
      <c r="A2" s="241">
        <v>10426</v>
      </c>
      <c r="B2" s="268">
        <v>42559</v>
      </c>
      <c r="C2" s="243" t="s">
        <v>322</v>
      </c>
      <c r="D2" s="244" t="s">
        <v>190</v>
      </c>
      <c r="E2" s="241"/>
      <c r="F2" s="241" t="s">
        <v>323</v>
      </c>
      <c r="G2" s="247">
        <v>42551</v>
      </c>
      <c r="H2" s="245" t="s">
        <v>324</v>
      </c>
      <c r="I2" s="245" t="s">
        <v>325</v>
      </c>
      <c r="J2" s="245"/>
      <c r="K2" s="241" t="s">
        <v>326</v>
      </c>
      <c r="L2" s="224" t="s">
        <v>391</v>
      </c>
      <c r="M2" s="246">
        <v>142.39999999999998</v>
      </c>
      <c r="N2" s="246">
        <v>27.427272727272726</v>
      </c>
      <c r="O2" s="241"/>
      <c r="P2" s="241"/>
      <c r="Q2" s="269"/>
      <c r="R2" s="241"/>
      <c r="S2" s="270"/>
      <c r="T2" s="241"/>
      <c r="U2" s="246"/>
      <c r="V2" s="246"/>
      <c r="W2" s="271"/>
      <c r="X2" s="241"/>
      <c r="Y2" s="241"/>
      <c r="Z2" s="241"/>
      <c r="AA2" s="241"/>
      <c r="AB2" s="241"/>
      <c r="AC2" s="241"/>
      <c r="AD2" s="246"/>
      <c r="AE2" s="271"/>
      <c r="AF2" s="241"/>
      <c r="AG2" s="241"/>
      <c r="AH2" s="271"/>
      <c r="AI2" s="241"/>
      <c r="AJ2" s="241"/>
      <c r="AK2" s="246"/>
      <c r="AL2" s="246"/>
      <c r="AM2" s="246"/>
      <c r="AN2" s="246"/>
      <c r="AO2" s="241" t="s">
        <v>327</v>
      </c>
      <c r="AP2" s="272" t="s">
        <v>309</v>
      </c>
      <c r="AQ2" s="246"/>
      <c r="AR2" s="246"/>
      <c r="AS2" s="273" t="s">
        <v>392</v>
      </c>
    </row>
    <row r="3" spans="1:45" ht="13" customHeight="1" x14ac:dyDescent="0.35">
      <c r="A3" s="241">
        <v>10505</v>
      </c>
      <c r="B3" s="268">
        <v>42559</v>
      </c>
      <c r="C3" s="243" t="s">
        <v>322</v>
      </c>
      <c r="D3" s="244" t="s">
        <v>190</v>
      </c>
      <c r="E3" s="241"/>
      <c r="F3" s="241" t="s">
        <v>323</v>
      </c>
      <c r="G3" s="247">
        <v>42551</v>
      </c>
      <c r="H3" s="245" t="s">
        <v>324</v>
      </c>
      <c r="I3" s="245" t="s">
        <v>325</v>
      </c>
      <c r="J3" s="245"/>
      <c r="K3" s="241" t="s">
        <v>328</v>
      </c>
      <c r="L3" s="224" t="s">
        <v>391</v>
      </c>
      <c r="M3" s="246">
        <v>141.5</v>
      </c>
      <c r="N3" s="246">
        <v>27.499999999999996</v>
      </c>
      <c r="O3" s="241"/>
      <c r="P3" s="241"/>
      <c r="Q3" s="269"/>
      <c r="R3" s="241"/>
      <c r="S3" s="270"/>
      <c r="T3" s="241"/>
      <c r="U3" s="246"/>
      <c r="V3" s="246"/>
      <c r="W3" s="271"/>
      <c r="X3" s="241"/>
      <c r="Y3" s="241"/>
      <c r="Z3" s="241"/>
      <c r="AA3" s="241"/>
      <c r="AB3" s="241"/>
      <c r="AC3" s="241"/>
      <c r="AD3" s="246"/>
      <c r="AE3" s="271"/>
      <c r="AF3" s="241"/>
      <c r="AG3" s="241"/>
      <c r="AH3" s="271"/>
      <c r="AI3" s="241"/>
      <c r="AJ3" s="241"/>
      <c r="AK3" s="246"/>
      <c r="AL3" s="246"/>
      <c r="AM3" s="246"/>
      <c r="AN3" s="246"/>
      <c r="AO3" s="241" t="s">
        <v>327</v>
      </c>
      <c r="AP3" s="272" t="s">
        <v>309</v>
      </c>
      <c r="AQ3" s="246"/>
      <c r="AR3" s="246"/>
      <c r="AS3" s="273" t="s">
        <v>393</v>
      </c>
    </row>
    <row r="4" spans="1:45" ht="13" customHeight="1" x14ac:dyDescent="0.35">
      <c r="A4" s="241">
        <v>10605</v>
      </c>
      <c r="B4" s="268">
        <v>42559</v>
      </c>
      <c r="C4" s="243" t="s">
        <v>322</v>
      </c>
      <c r="D4" s="244" t="s">
        <v>190</v>
      </c>
      <c r="E4" s="241"/>
      <c r="F4" s="241" t="s">
        <v>323</v>
      </c>
      <c r="G4" s="247">
        <v>42551</v>
      </c>
      <c r="H4" s="245" t="s">
        <v>310</v>
      </c>
      <c r="I4" s="245" t="s">
        <v>309</v>
      </c>
      <c r="J4" s="245"/>
      <c r="K4" s="241" t="s">
        <v>329</v>
      </c>
      <c r="L4" s="224" t="s">
        <v>387</v>
      </c>
      <c r="M4" s="246">
        <v>136.99999999999997</v>
      </c>
      <c r="N4" s="246">
        <v>27.86363636363636</v>
      </c>
      <c r="O4" s="241"/>
      <c r="P4" s="241"/>
      <c r="Q4" s="269"/>
      <c r="R4" s="241"/>
      <c r="S4" s="270"/>
      <c r="T4" s="241"/>
      <c r="U4" s="246"/>
      <c r="V4" s="246"/>
      <c r="W4" s="271"/>
      <c r="X4" s="241"/>
      <c r="Y4" s="241"/>
      <c r="Z4" s="241"/>
      <c r="AA4" s="241"/>
      <c r="AB4" s="241"/>
      <c r="AC4" s="241"/>
      <c r="AD4" s="246"/>
      <c r="AE4" s="271"/>
      <c r="AF4" s="241"/>
      <c r="AG4" s="241"/>
      <c r="AH4" s="271"/>
      <c r="AI4" s="241"/>
      <c r="AJ4" s="241"/>
      <c r="AK4" s="246"/>
      <c r="AL4" s="246"/>
      <c r="AM4" s="246"/>
      <c r="AN4" s="246"/>
      <c r="AO4" s="241" t="s">
        <v>327</v>
      </c>
      <c r="AP4" s="272" t="s">
        <v>309</v>
      </c>
      <c r="AQ4" s="246"/>
      <c r="AR4" s="246"/>
      <c r="AS4" s="273" t="s">
        <v>394</v>
      </c>
    </row>
    <row r="5" spans="1:45" ht="13" customHeight="1" x14ac:dyDescent="0.35">
      <c r="A5" s="241">
        <v>1477</v>
      </c>
      <c r="B5" s="268">
        <v>42559</v>
      </c>
      <c r="C5" s="243" t="s">
        <v>322</v>
      </c>
      <c r="D5" s="244" t="s">
        <v>190</v>
      </c>
      <c r="E5" s="241"/>
      <c r="F5" s="241" t="s">
        <v>323</v>
      </c>
      <c r="G5" s="247">
        <v>42551</v>
      </c>
      <c r="H5" s="245" t="s">
        <v>324</v>
      </c>
      <c r="I5" s="245" t="s">
        <v>325</v>
      </c>
      <c r="J5" s="245"/>
      <c r="K5" s="241" t="s">
        <v>330</v>
      </c>
      <c r="L5" s="224" t="s">
        <v>387</v>
      </c>
      <c r="M5" s="246">
        <v>139.38181818181818</v>
      </c>
      <c r="N5" s="246">
        <v>27.654545454545453</v>
      </c>
      <c r="O5" s="241"/>
      <c r="P5" s="241"/>
      <c r="Q5" s="269"/>
      <c r="R5" s="241"/>
      <c r="S5" s="270"/>
      <c r="T5" s="241"/>
      <c r="U5" s="246"/>
      <c r="V5" s="246"/>
      <c r="W5" s="271"/>
      <c r="X5" s="241"/>
      <c r="Y5" s="241"/>
      <c r="Z5" s="241"/>
      <c r="AA5" s="241"/>
      <c r="AB5" s="241"/>
      <c r="AC5" s="241"/>
      <c r="AD5" s="246"/>
      <c r="AE5" s="271"/>
      <c r="AF5" s="241"/>
      <c r="AG5" s="241"/>
      <c r="AH5" s="271"/>
      <c r="AI5" s="241"/>
      <c r="AJ5" s="241"/>
      <c r="AK5" s="246"/>
      <c r="AL5" s="246"/>
      <c r="AM5" s="246"/>
      <c r="AN5" s="246"/>
      <c r="AO5" s="241" t="s">
        <v>327</v>
      </c>
      <c r="AP5" s="272" t="s">
        <v>309</v>
      </c>
      <c r="AQ5" s="246"/>
      <c r="AR5" s="246"/>
      <c r="AS5" s="273" t="s">
        <v>395</v>
      </c>
    </row>
    <row r="6" spans="1:45" ht="13" customHeight="1" x14ac:dyDescent="0.3">
      <c r="A6" s="241">
        <v>4658</v>
      </c>
      <c r="B6" s="268">
        <v>42559</v>
      </c>
      <c r="C6" s="243" t="s">
        <v>322</v>
      </c>
      <c r="D6" s="244" t="s">
        <v>190</v>
      </c>
      <c r="E6" s="241"/>
      <c r="F6" s="241" t="s">
        <v>323</v>
      </c>
      <c r="G6" s="247">
        <v>42551</v>
      </c>
      <c r="H6" s="245" t="s">
        <v>324</v>
      </c>
      <c r="I6" s="245" t="s">
        <v>325</v>
      </c>
      <c r="J6" s="245"/>
      <c r="K6" s="241" t="s">
        <v>331</v>
      </c>
      <c r="L6" s="224" t="s">
        <v>387</v>
      </c>
      <c r="M6" s="246">
        <v>165</v>
      </c>
      <c r="N6" s="246">
        <v>24.999999999999996</v>
      </c>
      <c r="O6" s="241"/>
      <c r="P6" s="241"/>
      <c r="Q6" s="271"/>
      <c r="R6" s="241"/>
      <c r="S6" s="270"/>
      <c r="T6" s="241"/>
      <c r="U6" s="246"/>
      <c r="V6" s="246"/>
      <c r="W6" s="271"/>
      <c r="X6" s="241"/>
      <c r="Y6" s="241"/>
      <c r="Z6" s="241"/>
      <c r="AA6" s="241"/>
      <c r="AB6" s="241"/>
      <c r="AC6" s="241"/>
      <c r="AD6" s="246"/>
      <c r="AE6" s="271"/>
      <c r="AF6" s="241"/>
      <c r="AG6" s="241"/>
      <c r="AH6" s="271"/>
      <c r="AI6" s="241"/>
      <c r="AJ6" s="241"/>
      <c r="AK6" s="246"/>
      <c r="AL6" s="246"/>
      <c r="AM6" s="246"/>
      <c r="AN6" s="246"/>
      <c r="AO6" s="241" t="s">
        <v>327</v>
      </c>
      <c r="AP6" s="272" t="s">
        <v>309</v>
      </c>
      <c r="AQ6" s="246"/>
      <c r="AR6" s="246"/>
      <c r="AS6" s="273" t="s">
        <v>396</v>
      </c>
    </row>
    <row r="7" spans="1:45" ht="13" customHeight="1" x14ac:dyDescent="0.3">
      <c r="A7" s="241">
        <v>1489</v>
      </c>
      <c r="B7" s="268">
        <v>42559</v>
      </c>
      <c r="C7" s="243" t="s">
        <v>322</v>
      </c>
      <c r="D7" s="244" t="s">
        <v>190</v>
      </c>
      <c r="E7" s="241"/>
      <c r="F7" s="241" t="s">
        <v>323</v>
      </c>
      <c r="G7" s="248">
        <v>42551</v>
      </c>
      <c r="H7" s="245" t="s">
        <v>324</v>
      </c>
      <c r="I7" s="245" t="s">
        <v>325</v>
      </c>
      <c r="J7" s="245"/>
      <c r="K7" s="241" t="s">
        <v>397</v>
      </c>
      <c r="L7" s="224" t="s">
        <v>387</v>
      </c>
      <c r="M7" s="246">
        <v>139.38181818181818</v>
      </c>
      <c r="N7" s="246">
        <v>27.654545454545453</v>
      </c>
      <c r="O7" s="241"/>
      <c r="P7" s="241"/>
      <c r="Q7" s="271"/>
      <c r="R7" s="241"/>
      <c r="S7" s="270"/>
      <c r="T7" s="241"/>
      <c r="U7" s="246"/>
      <c r="V7" s="246"/>
      <c r="W7" s="271"/>
      <c r="X7" s="241"/>
      <c r="Y7" s="241"/>
      <c r="Z7" s="241"/>
      <c r="AA7" s="241"/>
      <c r="AB7" s="241"/>
      <c r="AC7" s="241"/>
      <c r="AD7" s="246"/>
      <c r="AE7" s="271"/>
      <c r="AF7" s="241"/>
      <c r="AG7" s="241"/>
      <c r="AH7" s="271"/>
      <c r="AI7" s="241"/>
      <c r="AJ7" s="241"/>
      <c r="AK7" s="246"/>
      <c r="AL7" s="246"/>
      <c r="AM7" s="246"/>
      <c r="AN7" s="246"/>
      <c r="AO7" s="241" t="s">
        <v>327</v>
      </c>
      <c r="AP7" s="272" t="s">
        <v>309</v>
      </c>
      <c r="AQ7" s="246"/>
      <c r="AR7" s="246"/>
      <c r="AS7" s="273" t="s">
        <v>398</v>
      </c>
    </row>
    <row r="8" spans="1:45" ht="13" customHeight="1" x14ac:dyDescent="0.3">
      <c r="A8" s="241">
        <v>10274</v>
      </c>
      <c r="B8" s="268">
        <v>42559</v>
      </c>
      <c r="C8" s="243" t="s">
        <v>322</v>
      </c>
      <c r="D8" s="244" t="s">
        <v>190</v>
      </c>
      <c r="E8" s="241"/>
      <c r="F8" s="241" t="s">
        <v>323</v>
      </c>
      <c r="G8" s="248">
        <v>42551</v>
      </c>
      <c r="H8" s="245" t="s">
        <v>324</v>
      </c>
      <c r="I8" s="245" t="s">
        <v>325</v>
      </c>
      <c r="J8" s="245"/>
      <c r="K8" s="241" t="s">
        <v>340</v>
      </c>
      <c r="L8" s="224" t="s">
        <v>399</v>
      </c>
      <c r="M8" s="246">
        <v>128</v>
      </c>
      <c r="N8" s="246">
        <v>28.581818181818182</v>
      </c>
      <c r="O8" s="241"/>
      <c r="P8" s="241"/>
      <c r="Q8" s="271"/>
      <c r="R8" s="241"/>
      <c r="S8" s="270"/>
      <c r="T8" s="241"/>
      <c r="U8" s="246"/>
      <c r="V8" s="246"/>
      <c r="W8" s="271"/>
      <c r="X8" s="241"/>
      <c r="Y8" s="241"/>
      <c r="Z8" s="241"/>
      <c r="AA8" s="241"/>
      <c r="AB8" s="241"/>
      <c r="AC8" s="241"/>
      <c r="AD8" s="246"/>
      <c r="AE8" s="271"/>
      <c r="AF8" s="241"/>
      <c r="AG8" s="241"/>
      <c r="AH8" s="271"/>
      <c r="AI8" s="241"/>
      <c r="AJ8" s="241"/>
      <c r="AK8" s="246"/>
      <c r="AL8" s="246"/>
      <c r="AM8" s="246"/>
      <c r="AN8" s="246"/>
      <c r="AO8" s="241" t="s">
        <v>327</v>
      </c>
      <c r="AP8" s="272" t="s">
        <v>309</v>
      </c>
      <c r="AQ8" s="246"/>
      <c r="AR8" s="246"/>
      <c r="AS8" s="273" t="s">
        <v>400</v>
      </c>
    </row>
    <row r="9" spans="1:45" ht="13" customHeight="1" x14ac:dyDescent="0.3">
      <c r="A9" s="241">
        <v>5660</v>
      </c>
      <c r="B9" s="274">
        <v>42564</v>
      </c>
      <c r="C9" s="243" t="s">
        <v>322</v>
      </c>
      <c r="D9" s="244" t="s">
        <v>190</v>
      </c>
      <c r="E9" s="241"/>
      <c r="F9" s="241" t="s">
        <v>323</v>
      </c>
      <c r="G9" s="248">
        <v>42553</v>
      </c>
      <c r="H9" s="245" t="s">
        <v>324</v>
      </c>
      <c r="I9" s="245" t="s">
        <v>325</v>
      </c>
      <c r="J9" s="245"/>
      <c r="K9" s="241" t="s">
        <v>401</v>
      </c>
      <c r="L9" s="224" t="s">
        <v>387</v>
      </c>
      <c r="M9" s="246">
        <v>143.13636363636363</v>
      </c>
      <c r="N9" s="246">
        <v>27.372727272727271</v>
      </c>
      <c r="O9" s="241"/>
      <c r="P9" s="241"/>
      <c r="Q9" s="271"/>
      <c r="R9" s="241"/>
      <c r="S9" s="270"/>
      <c r="T9" s="241"/>
      <c r="U9" s="246"/>
      <c r="V9" s="246"/>
      <c r="W9" s="271"/>
      <c r="X9" s="241"/>
      <c r="Y9" s="241"/>
      <c r="Z9" s="241"/>
      <c r="AA9" s="241"/>
      <c r="AB9" s="241"/>
      <c r="AC9" s="241"/>
      <c r="AD9" s="246"/>
      <c r="AE9" s="271"/>
      <c r="AF9" s="241"/>
      <c r="AG9" s="241"/>
      <c r="AH9" s="271"/>
      <c r="AI9" s="241"/>
      <c r="AJ9" s="241"/>
      <c r="AK9" s="246"/>
      <c r="AL9" s="246"/>
      <c r="AM9" s="246"/>
      <c r="AN9" s="246"/>
      <c r="AO9" s="241" t="s">
        <v>327</v>
      </c>
      <c r="AP9" s="272" t="s">
        <v>309</v>
      </c>
      <c r="AQ9" s="246"/>
      <c r="AR9" s="246"/>
      <c r="AS9" s="159" t="s">
        <v>402</v>
      </c>
    </row>
    <row r="10" spans="1:45" ht="13" customHeight="1" x14ac:dyDescent="0.3">
      <c r="A10" s="241">
        <v>4379</v>
      </c>
      <c r="B10" s="268">
        <v>42559</v>
      </c>
      <c r="C10" s="243" t="s">
        <v>322</v>
      </c>
      <c r="D10" s="244" t="s">
        <v>190</v>
      </c>
      <c r="E10" s="241"/>
      <c r="F10" s="241" t="s">
        <v>323</v>
      </c>
      <c r="G10" s="248">
        <v>42551</v>
      </c>
      <c r="H10" s="245" t="s">
        <v>324</v>
      </c>
      <c r="I10" s="245" t="s">
        <v>325</v>
      </c>
      <c r="J10" s="245"/>
      <c r="K10" s="241" t="s">
        <v>403</v>
      </c>
      <c r="L10" s="224" t="s">
        <v>391</v>
      </c>
      <c r="M10" s="246">
        <v>105.52727272727272</v>
      </c>
      <c r="N10" s="246">
        <v>30.36363636363636</v>
      </c>
      <c r="O10" s="241"/>
      <c r="P10" s="241"/>
      <c r="Q10" s="271"/>
      <c r="R10" s="241"/>
      <c r="S10" s="270"/>
      <c r="T10" s="241"/>
      <c r="U10" s="246"/>
      <c r="V10" s="246"/>
      <c r="W10" s="271"/>
      <c r="X10" s="241"/>
      <c r="Y10" s="241"/>
      <c r="Z10" s="241"/>
      <c r="AA10" s="241"/>
      <c r="AB10" s="241"/>
      <c r="AC10" s="241"/>
      <c r="AD10" s="246"/>
      <c r="AE10" s="271"/>
      <c r="AF10" s="241"/>
      <c r="AG10" s="241"/>
      <c r="AH10" s="271"/>
      <c r="AI10" s="241"/>
      <c r="AJ10" s="241"/>
      <c r="AK10" s="246"/>
      <c r="AL10" s="246"/>
      <c r="AM10" s="246"/>
      <c r="AN10" s="246"/>
      <c r="AO10" s="241" t="s">
        <v>327</v>
      </c>
      <c r="AP10" s="272" t="s">
        <v>309</v>
      </c>
      <c r="AQ10" s="246"/>
      <c r="AR10" s="246"/>
      <c r="AS10" s="273" t="s">
        <v>404</v>
      </c>
    </row>
    <row r="11" spans="1:45" ht="13" customHeight="1" x14ac:dyDescent="0.3">
      <c r="A11" s="241">
        <v>10529</v>
      </c>
      <c r="B11" s="268">
        <v>42559</v>
      </c>
      <c r="C11" s="243" t="s">
        <v>322</v>
      </c>
      <c r="D11" s="244" t="s">
        <v>190</v>
      </c>
      <c r="E11" s="241"/>
      <c r="F11" s="241" t="s">
        <v>323</v>
      </c>
      <c r="G11" s="248">
        <v>42551</v>
      </c>
      <c r="H11" s="245" t="s">
        <v>324</v>
      </c>
      <c r="I11" s="245" t="s">
        <v>325</v>
      </c>
      <c r="J11" s="245"/>
      <c r="K11" s="241" t="s">
        <v>348</v>
      </c>
      <c r="L11" s="224" t="s">
        <v>391</v>
      </c>
      <c r="M11" s="246">
        <v>137.72727272727272</v>
      </c>
      <c r="N11" s="246">
        <v>27.809090909090905</v>
      </c>
      <c r="O11" s="241"/>
      <c r="P11" s="241"/>
      <c r="Q11" s="271"/>
      <c r="R11" s="241"/>
      <c r="S11" s="270"/>
      <c r="T11" s="241"/>
      <c r="U11" s="246"/>
      <c r="V11" s="246"/>
      <c r="W11" s="271"/>
      <c r="X11" s="241"/>
      <c r="Y11" s="241"/>
      <c r="Z11" s="241"/>
      <c r="AA11" s="241"/>
      <c r="AB11" s="241"/>
      <c r="AC11" s="241"/>
      <c r="AD11" s="246"/>
      <c r="AE11" s="271"/>
      <c r="AF11" s="241"/>
      <c r="AG11" s="241"/>
      <c r="AH11" s="271"/>
      <c r="AI11" s="241"/>
      <c r="AJ11" s="241"/>
      <c r="AK11" s="246"/>
      <c r="AL11" s="246"/>
      <c r="AM11" s="246"/>
      <c r="AN11" s="246"/>
      <c r="AO11" s="241" t="s">
        <v>327</v>
      </c>
      <c r="AP11" s="272" t="s">
        <v>309</v>
      </c>
      <c r="AQ11" s="246"/>
      <c r="AR11" s="246"/>
      <c r="AS11" s="273" t="s">
        <v>405</v>
      </c>
    </row>
    <row r="12" spans="1:45" ht="13" customHeight="1" x14ac:dyDescent="0.3">
      <c r="A12" s="241">
        <v>10345</v>
      </c>
      <c r="B12" s="268">
        <v>42559</v>
      </c>
      <c r="C12" s="243" t="s">
        <v>322</v>
      </c>
      <c r="D12" s="244" t="s">
        <v>190</v>
      </c>
      <c r="E12" s="241"/>
      <c r="F12" s="241" t="s">
        <v>323</v>
      </c>
      <c r="G12" s="248">
        <v>42551</v>
      </c>
      <c r="H12" s="245" t="s">
        <v>324</v>
      </c>
      <c r="I12" s="245" t="s">
        <v>325</v>
      </c>
      <c r="J12" s="245"/>
      <c r="K12" s="241" t="s">
        <v>406</v>
      </c>
      <c r="L12" s="224" t="s">
        <v>222</v>
      </c>
      <c r="M12" s="246">
        <v>142.39999999999998</v>
      </c>
      <c r="N12" s="246">
        <v>27.429999999999996</v>
      </c>
      <c r="O12" s="241"/>
      <c r="P12" s="241"/>
      <c r="Q12" s="271"/>
      <c r="R12" s="241"/>
      <c r="S12" s="270"/>
      <c r="T12" s="241"/>
      <c r="U12" s="246"/>
      <c r="V12" s="246"/>
      <c r="W12" s="271"/>
      <c r="X12" s="241"/>
      <c r="Y12" s="241"/>
      <c r="Z12" s="241"/>
      <c r="AA12" s="241"/>
      <c r="AB12" s="241"/>
      <c r="AC12" s="241"/>
      <c r="AD12" s="246"/>
      <c r="AE12" s="271"/>
      <c r="AF12" s="241"/>
      <c r="AG12" s="241"/>
      <c r="AH12" s="271"/>
      <c r="AI12" s="241"/>
      <c r="AJ12" s="241"/>
      <c r="AK12" s="246"/>
      <c r="AL12" s="246"/>
      <c r="AM12" s="246"/>
      <c r="AN12" s="246"/>
      <c r="AO12" s="241" t="s">
        <v>327</v>
      </c>
      <c r="AP12" s="272" t="s">
        <v>309</v>
      </c>
      <c r="AQ12" s="246"/>
      <c r="AR12" s="246"/>
      <c r="AS12" s="159" t="s">
        <v>407</v>
      </c>
    </row>
    <row r="13" spans="1:45" ht="13" customHeight="1" x14ac:dyDescent="0.3">
      <c r="A13" s="241">
        <v>10687</v>
      </c>
      <c r="B13" s="268">
        <v>42559</v>
      </c>
      <c r="C13" s="243" t="s">
        <v>322</v>
      </c>
      <c r="D13" s="244" t="s">
        <v>190</v>
      </c>
      <c r="E13" s="241"/>
      <c r="F13" s="241" t="s">
        <v>323</v>
      </c>
      <c r="G13" s="248">
        <v>42551</v>
      </c>
      <c r="H13" s="245" t="s">
        <v>324</v>
      </c>
      <c r="I13" s="245" t="s">
        <v>325</v>
      </c>
      <c r="J13" s="245"/>
      <c r="K13" s="241" t="s">
        <v>408</v>
      </c>
      <c r="L13" s="224" t="s">
        <v>391</v>
      </c>
      <c r="M13" s="246">
        <v>148.45454545454544</v>
      </c>
      <c r="N13" s="246">
        <v>25.772727272727273</v>
      </c>
      <c r="O13" s="241"/>
      <c r="P13" s="241"/>
      <c r="Q13" s="271"/>
      <c r="R13" s="241"/>
      <c r="S13" s="270"/>
      <c r="T13" s="241"/>
      <c r="U13" s="246"/>
      <c r="V13" s="246"/>
      <c r="W13" s="271"/>
      <c r="X13" s="241"/>
      <c r="Y13" s="241"/>
      <c r="Z13" s="241"/>
      <c r="AA13" s="241"/>
      <c r="AB13" s="241"/>
      <c r="AC13" s="241"/>
      <c r="AD13" s="246"/>
      <c r="AE13" s="271"/>
      <c r="AF13" s="241"/>
      <c r="AG13" s="241"/>
      <c r="AH13" s="271"/>
      <c r="AI13" s="241"/>
      <c r="AJ13" s="241"/>
      <c r="AK13" s="246"/>
      <c r="AL13" s="246"/>
      <c r="AM13" s="246"/>
      <c r="AN13" s="246"/>
      <c r="AO13" s="241" t="s">
        <v>327</v>
      </c>
      <c r="AP13" s="272" t="s">
        <v>309</v>
      </c>
      <c r="AQ13" s="246"/>
      <c r="AR13" s="246"/>
      <c r="AS13" s="273" t="s">
        <v>409</v>
      </c>
    </row>
    <row r="14" spans="1:45" ht="13" customHeight="1" x14ac:dyDescent="0.3">
      <c r="A14" s="241">
        <v>1409</v>
      </c>
      <c r="B14" s="268">
        <v>42559</v>
      </c>
      <c r="C14" s="243" t="s">
        <v>322</v>
      </c>
      <c r="D14" s="244" t="s">
        <v>190</v>
      </c>
      <c r="E14" s="241"/>
      <c r="F14" s="241" t="s">
        <v>323</v>
      </c>
      <c r="G14" s="248">
        <v>42551</v>
      </c>
      <c r="H14" s="245" t="s">
        <v>324</v>
      </c>
      <c r="I14" s="245" t="s">
        <v>325</v>
      </c>
      <c r="J14" s="245"/>
      <c r="K14" s="241" t="s">
        <v>410</v>
      </c>
      <c r="L14" s="224" t="s">
        <v>391</v>
      </c>
      <c r="M14" s="246">
        <v>145.6</v>
      </c>
      <c r="N14" s="246">
        <v>27.099999999999998</v>
      </c>
      <c r="O14" s="244"/>
      <c r="P14" s="241"/>
      <c r="Q14" s="271"/>
      <c r="R14" s="241"/>
      <c r="S14" s="270"/>
      <c r="T14" s="241"/>
      <c r="U14" s="246"/>
      <c r="V14" s="246"/>
      <c r="W14" s="271"/>
      <c r="X14" s="241"/>
      <c r="Y14" s="241"/>
      <c r="Z14" s="241"/>
      <c r="AA14" s="241"/>
      <c r="AB14" s="241"/>
      <c r="AC14" s="241"/>
      <c r="AD14" s="246"/>
      <c r="AE14" s="271"/>
      <c r="AF14" s="241"/>
      <c r="AG14" s="241"/>
      <c r="AH14" s="271"/>
      <c r="AI14" s="241"/>
      <c r="AJ14" s="241"/>
      <c r="AK14" s="246"/>
      <c r="AL14" s="246"/>
      <c r="AM14" s="246"/>
      <c r="AN14" s="246"/>
      <c r="AO14" s="241" t="s">
        <v>327</v>
      </c>
      <c r="AP14" s="272" t="s">
        <v>309</v>
      </c>
      <c r="AQ14" s="246"/>
      <c r="AR14" s="246"/>
      <c r="AS14" s="273" t="s">
        <v>411</v>
      </c>
    </row>
    <row r="15" spans="1:45" ht="13" customHeight="1" x14ac:dyDescent="0.3">
      <c r="A15" s="241">
        <v>3609</v>
      </c>
      <c r="B15" s="268">
        <v>42559</v>
      </c>
      <c r="C15" s="243" t="s">
        <v>322</v>
      </c>
      <c r="D15" s="244" t="s">
        <v>190</v>
      </c>
      <c r="E15" s="241"/>
      <c r="F15" s="241" t="s">
        <v>323</v>
      </c>
      <c r="G15" s="248">
        <v>42551</v>
      </c>
      <c r="H15" s="245" t="s">
        <v>324</v>
      </c>
      <c r="I15" s="245" t="s">
        <v>325</v>
      </c>
      <c r="J15" s="245"/>
      <c r="K15" s="241" t="s">
        <v>412</v>
      </c>
      <c r="L15" s="224" t="s">
        <v>391</v>
      </c>
      <c r="M15" s="246">
        <v>137.05454545454543</v>
      </c>
      <c r="N15" s="246">
        <v>27.86363636363636</v>
      </c>
      <c r="O15" s="241"/>
      <c r="P15" s="241"/>
      <c r="Q15" s="271"/>
      <c r="R15" s="241"/>
      <c r="S15" s="270"/>
      <c r="T15" s="241"/>
      <c r="U15" s="246"/>
      <c r="V15" s="246"/>
      <c r="W15" s="271"/>
      <c r="X15" s="241"/>
      <c r="Y15" s="241"/>
      <c r="Z15" s="241"/>
      <c r="AA15" s="241"/>
      <c r="AB15" s="241"/>
      <c r="AC15" s="241"/>
      <c r="AD15" s="246"/>
      <c r="AE15" s="271"/>
      <c r="AF15" s="241"/>
      <c r="AG15" s="241"/>
      <c r="AH15" s="271"/>
      <c r="AI15" s="241"/>
      <c r="AJ15" s="241"/>
      <c r="AK15" s="246"/>
      <c r="AL15" s="246"/>
      <c r="AM15" s="246"/>
      <c r="AN15" s="246"/>
      <c r="AO15" s="241" t="s">
        <v>327</v>
      </c>
      <c r="AP15" s="272" t="s">
        <v>309</v>
      </c>
      <c r="AQ15" s="246"/>
      <c r="AR15" s="246"/>
      <c r="AS15" s="273" t="s">
        <v>413</v>
      </c>
    </row>
    <row r="16" spans="1:45" ht="13" customHeight="1" x14ac:dyDescent="0.3">
      <c r="A16" s="241">
        <v>10380</v>
      </c>
      <c r="B16" s="268">
        <v>42559</v>
      </c>
      <c r="C16" s="243" t="s">
        <v>322</v>
      </c>
      <c r="D16" s="244" t="s">
        <v>190</v>
      </c>
      <c r="E16" s="241"/>
      <c r="F16" s="241" t="s">
        <v>323</v>
      </c>
      <c r="G16" s="247">
        <v>42551</v>
      </c>
      <c r="H16" s="245" t="s">
        <v>310</v>
      </c>
      <c r="I16" s="245" t="s">
        <v>309</v>
      </c>
      <c r="J16" s="245"/>
      <c r="K16" s="241" t="s">
        <v>239</v>
      </c>
      <c r="L16" s="224" t="s">
        <v>391</v>
      </c>
      <c r="M16" s="246">
        <v>165</v>
      </c>
      <c r="N16" s="246">
        <v>25.5</v>
      </c>
      <c r="O16" s="241" t="s">
        <v>351</v>
      </c>
      <c r="P16" s="241">
        <v>1350</v>
      </c>
      <c r="Q16" s="246">
        <v>29.299999999999994</v>
      </c>
      <c r="R16" s="275">
        <v>1350</v>
      </c>
      <c r="S16" s="246">
        <v>29.299999999999994</v>
      </c>
      <c r="T16" s="241"/>
      <c r="U16" s="246"/>
      <c r="V16" s="246"/>
      <c r="W16" s="271"/>
      <c r="X16" s="241"/>
      <c r="Y16" s="241"/>
      <c r="Z16" s="241"/>
      <c r="AA16" s="241"/>
      <c r="AB16" s="241"/>
      <c r="AC16" s="241"/>
      <c r="AD16" s="246"/>
      <c r="AE16" s="271"/>
      <c r="AF16" s="241"/>
      <c r="AG16" s="241"/>
      <c r="AH16" s="271"/>
      <c r="AI16" s="241"/>
      <c r="AJ16" s="241"/>
      <c r="AK16" s="246" t="s">
        <v>320</v>
      </c>
      <c r="AL16" s="246"/>
      <c r="AM16" s="246"/>
      <c r="AN16" s="246"/>
      <c r="AO16" s="241" t="s">
        <v>327</v>
      </c>
      <c r="AP16" s="272" t="s">
        <v>309</v>
      </c>
      <c r="AQ16" s="246"/>
      <c r="AR16" s="246"/>
      <c r="AS16" s="273" t="s">
        <v>414</v>
      </c>
    </row>
    <row r="17" spans="1:45" ht="13" customHeight="1" x14ac:dyDescent="0.3">
      <c r="A17" s="241">
        <v>9682</v>
      </c>
      <c r="B17" s="268">
        <v>42559</v>
      </c>
      <c r="C17" s="243" t="s">
        <v>322</v>
      </c>
      <c r="D17" s="244" t="s">
        <v>190</v>
      </c>
      <c r="E17" s="241"/>
      <c r="F17" s="241" t="s">
        <v>323</v>
      </c>
      <c r="G17" s="248">
        <v>42551</v>
      </c>
      <c r="H17" s="245" t="s">
        <v>310</v>
      </c>
      <c r="I17" s="245" t="s">
        <v>309</v>
      </c>
      <c r="J17" s="245"/>
      <c r="K17" s="241" t="s">
        <v>307</v>
      </c>
      <c r="L17" s="224" t="s">
        <v>387</v>
      </c>
      <c r="M17" s="246">
        <v>136.99999999999997</v>
      </c>
      <c r="N17" s="246">
        <v>27.86363636363636</v>
      </c>
      <c r="O17" s="241"/>
      <c r="P17" s="241"/>
      <c r="Q17" s="271"/>
      <c r="R17" s="241"/>
      <c r="S17" s="270"/>
      <c r="T17" s="241"/>
      <c r="U17" s="246"/>
      <c r="V17" s="246"/>
      <c r="W17" s="271"/>
      <c r="X17" s="241"/>
      <c r="Y17" s="241"/>
      <c r="Z17" s="241"/>
      <c r="AA17" s="241"/>
      <c r="AB17" s="241"/>
      <c r="AC17" s="241"/>
      <c r="AD17" s="246"/>
      <c r="AE17" s="271"/>
      <c r="AF17" s="241"/>
      <c r="AG17" s="241"/>
      <c r="AH17" s="271"/>
      <c r="AI17" s="241"/>
      <c r="AJ17" s="241"/>
      <c r="AK17" s="246" t="s">
        <v>320</v>
      </c>
      <c r="AL17" s="246"/>
      <c r="AM17" s="246"/>
      <c r="AN17" s="246"/>
      <c r="AO17" s="241" t="s">
        <v>327</v>
      </c>
      <c r="AP17" s="272" t="s">
        <v>309</v>
      </c>
      <c r="AQ17" s="246"/>
      <c r="AR17" s="246"/>
      <c r="AS17" s="273" t="s">
        <v>415</v>
      </c>
    </row>
    <row r="18" spans="1:45" ht="13" customHeight="1" x14ac:dyDescent="0.3">
      <c r="A18" s="241">
        <v>9908</v>
      </c>
      <c r="B18" s="268">
        <v>42559</v>
      </c>
      <c r="C18" s="243" t="s">
        <v>322</v>
      </c>
      <c r="D18" s="244" t="s">
        <v>190</v>
      </c>
      <c r="E18" s="241"/>
      <c r="F18" s="241" t="s">
        <v>323</v>
      </c>
      <c r="G18" s="248">
        <v>42551</v>
      </c>
      <c r="H18" s="245" t="s">
        <v>324</v>
      </c>
      <c r="I18" s="245" t="s">
        <v>325</v>
      </c>
      <c r="J18" s="245"/>
      <c r="K18" s="244" t="s">
        <v>354</v>
      </c>
      <c r="L18" s="224" t="s">
        <v>222</v>
      </c>
      <c r="M18" s="246">
        <v>195.81818181818181</v>
      </c>
      <c r="N18" s="246">
        <v>23</v>
      </c>
      <c r="O18" s="241"/>
      <c r="P18" s="241"/>
      <c r="Q18" s="271"/>
      <c r="R18" s="241"/>
      <c r="S18" s="270"/>
      <c r="T18" s="241"/>
      <c r="U18" s="246"/>
      <c r="V18" s="246"/>
      <c r="W18" s="271"/>
      <c r="X18" s="241"/>
      <c r="Y18" s="241"/>
      <c r="Z18" s="241"/>
      <c r="AA18" s="241"/>
      <c r="AB18" s="241"/>
      <c r="AC18" s="241"/>
      <c r="AD18" s="246"/>
      <c r="AE18" s="271"/>
      <c r="AF18" s="241"/>
      <c r="AG18" s="241"/>
      <c r="AH18" s="271"/>
      <c r="AI18" s="241"/>
      <c r="AJ18" s="241"/>
      <c r="AK18" s="246" t="s">
        <v>320</v>
      </c>
      <c r="AL18" s="246"/>
      <c r="AM18" s="246"/>
      <c r="AN18" s="246"/>
      <c r="AO18" s="241" t="s">
        <v>327</v>
      </c>
      <c r="AP18" s="272" t="s">
        <v>309</v>
      </c>
      <c r="AQ18" s="246"/>
      <c r="AR18" s="246"/>
      <c r="AS18" s="273" t="s">
        <v>416</v>
      </c>
    </row>
    <row r="19" spans="1:45" ht="13" customHeight="1" x14ac:dyDescent="0.3">
      <c r="A19" s="241">
        <v>10034</v>
      </c>
      <c r="B19" s="274">
        <v>42564</v>
      </c>
      <c r="C19" s="243" t="s">
        <v>322</v>
      </c>
      <c r="D19" s="244" t="s">
        <v>190</v>
      </c>
      <c r="E19" s="241"/>
      <c r="F19" s="241" t="s">
        <v>323</v>
      </c>
      <c r="G19" s="248">
        <v>42552</v>
      </c>
      <c r="H19" s="249" t="s">
        <v>309</v>
      </c>
      <c r="I19" s="249" t="s">
        <v>355</v>
      </c>
      <c r="J19" s="245"/>
      <c r="K19" s="244" t="s">
        <v>417</v>
      </c>
      <c r="L19" s="224" t="s">
        <v>387</v>
      </c>
      <c r="M19" s="246">
        <v>154.58181818181816</v>
      </c>
      <c r="N19" s="246">
        <v>26.472727272727273</v>
      </c>
      <c r="O19" s="241"/>
      <c r="P19" s="241"/>
      <c r="Q19" s="271"/>
      <c r="R19" s="241"/>
      <c r="S19" s="270"/>
      <c r="T19" s="241"/>
      <c r="U19" s="246"/>
      <c r="V19" s="246"/>
      <c r="W19" s="271"/>
      <c r="X19" s="241"/>
      <c r="Y19" s="241"/>
      <c r="Z19" s="241"/>
      <c r="AA19" s="241"/>
      <c r="AB19" s="241"/>
      <c r="AC19" s="241"/>
      <c r="AD19" s="246"/>
      <c r="AE19" s="271"/>
      <c r="AF19" s="241"/>
      <c r="AG19" s="241"/>
      <c r="AH19" s="271"/>
      <c r="AI19" s="241"/>
      <c r="AJ19" s="241"/>
      <c r="AK19" s="246" t="s">
        <v>320</v>
      </c>
      <c r="AL19" s="246"/>
      <c r="AM19" s="246"/>
      <c r="AN19" s="246"/>
      <c r="AO19" s="241" t="s">
        <v>327</v>
      </c>
      <c r="AP19" s="272" t="s">
        <v>309</v>
      </c>
      <c r="AQ19" s="246"/>
      <c r="AR19" s="246"/>
      <c r="AS19" s="159" t="s">
        <v>418</v>
      </c>
    </row>
    <row r="20" spans="1:45" ht="13" customHeight="1" x14ac:dyDescent="0.3">
      <c r="A20" s="241">
        <v>5191</v>
      </c>
      <c r="B20" s="268">
        <v>42559</v>
      </c>
      <c r="C20" s="243" t="s">
        <v>322</v>
      </c>
      <c r="D20" s="244" t="s">
        <v>190</v>
      </c>
      <c r="E20" s="241"/>
      <c r="F20" s="241" t="s">
        <v>323</v>
      </c>
      <c r="G20" s="248">
        <v>42551</v>
      </c>
      <c r="H20" s="245" t="s">
        <v>324</v>
      </c>
      <c r="I20" s="245" t="s">
        <v>325</v>
      </c>
      <c r="J20" s="245"/>
      <c r="K20" s="241" t="s">
        <v>358</v>
      </c>
      <c r="L20" s="224" t="s">
        <v>391</v>
      </c>
      <c r="M20" s="246">
        <v>168</v>
      </c>
      <c r="N20" s="246">
        <v>23.999999999999996</v>
      </c>
      <c r="O20" s="241"/>
      <c r="P20" s="241"/>
      <c r="Q20" s="271"/>
      <c r="R20" s="241"/>
      <c r="S20" s="270"/>
      <c r="T20" s="241"/>
      <c r="U20" s="246"/>
      <c r="V20" s="246"/>
      <c r="W20" s="271"/>
      <c r="X20" s="241"/>
      <c r="Y20" s="241"/>
      <c r="Z20" s="241"/>
      <c r="AA20" s="241"/>
      <c r="AB20" s="241"/>
      <c r="AC20" s="241"/>
      <c r="AD20" s="246"/>
      <c r="AE20" s="271"/>
      <c r="AF20" s="241"/>
      <c r="AG20" s="241"/>
      <c r="AH20" s="271"/>
      <c r="AI20" s="241"/>
      <c r="AJ20" s="241"/>
      <c r="AK20" s="246" t="s">
        <v>320</v>
      </c>
      <c r="AL20" s="246"/>
      <c r="AM20" s="246"/>
      <c r="AN20" s="246"/>
      <c r="AO20" s="241" t="s">
        <v>327</v>
      </c>
      <c r="AP20" s="272" t="s">
        <v>309</v>
      </c>
      <c r="AQ20" s="246"/>
      <c r="AR20" s="246"/>
      <c r="AS20" s="273" t="s">
        <v>419</v>
      </c>
    </row>
    <row r="21" spans="1:45" x14ac:dyDescent="0.3">
      <c r="A21" s="241"/>
      <c r="B21" s="268">
        <v>42559</v>
      </c>
      <c r="C21" s="243" t="s">
        <v>322</v>
      </c>
      <c r="D21" s="244" t="s">
        <v>190</v>
      </c>
      <c r="E21" s="241"/>
      <c r="F21" s="241" t="s">
        <v>323</v>
      </c>
      <c r="G21" s="248">
        <v>42551</v>
      </c>
      <c r="H21" s="245" t="s">
        <v>310</v>
      </c>
      <c r="I21" s="245" t="s">
        <v>309</v>
      </c>
      <c r="J21" s="245"/>
      <c r="K21" s="241" t="s">
        <v>420</v>
      </c>
      <c r="L21" s="224" t="s">
        <v>391</v>
      </c>
      <c r="M21" s="246">
        <v>135</v>
      </c>
      <c r="N21" s="246">
        <v>28.018181818181816</v>
      </c>
      <c r="O21" s="241"/>
      <c r="P21" s="241"/>
      <c r="Q21" s="271"/>
      <c r="R21" s="241"/>
      <c r="S21" s="270"/>
      <c r="T21" s="241"/>
      <c r="U21" s="246"/>
      <c r="V21" s="246"/>
      <c r="W21" s="271"/>
      <c r="X21" s="241"/>
      <c r="Y21" s="241"/>
      <c r="Z21" s="241"/>
      <c r="AA21" s="241"/>
      <c r="AB21" s="241"/>
      <c r="AC21" s="241"/>
      <c r="AD21" s="246"/>
      <c r="AE21" s="271"/>
      <c r="AF21" s="241"/>
      <c r="AG21" s="241"/>
      <c r="AH21" s="271"/>
      <c r="AI21" s="241"/>
      <c r="AJ21" s="241"/>
      <c r="AK21" s="246"/>
      <c r="AL21" s="246"/>
      <c r="AM21" s="246"/>
      <c r="AN21" s="246"/>
      <c r="AO21" s="241" t="s">
        <v>327</v>
      </c>
      <c r="AP21" s="272" t="s">
        <v>309</v>
      </c>
      <c r="AQ21" s="246"/>
      <c r="AR21" s="246"/>
      <c r="AS21" s="273" t="s">
        <v>421</v>
      </c>
    </row>
    <row r="22" spans="1:45" x14ac:dyDescent="0.3">
      <c r="A22" s="241"/>
      <c r="B22" s="268">
        <v>42559</v>
      </c>
      <c r="C22" s="243" t="s">
        <v>322</v>
      </c>
      <c r="D22" s="244" t="s">
        <v>190</v>
      </c>
      <c r="E22" s="241"/>
      <c r="F22" s="241" t="s">
        <v>323</v>
      </c>
      <c r="G22" s="248">
        <v>42494</v>
      </c>
      <c r="H22" s="245" t="s">
        <v>310</v>
      </c>
      <c r="I22" s="245" t="s">
        <v>309</v>
      </c>
      <c r="J22" s="245"/>
      <c r="K22" s="241" t="s">
        <v>422</v>
      </c>
      <c r="L22" s="224" t="s">
        <v>391</v>
      </c>
      <c r="M22" s="246">
        <v>141.69999999999999</v>
      </c>
      <c r="N22" s="246">
        <v>27.427272727272726</v>
      </c>
      <c r="O22" s="241"/>
      <c r="P22" s="241"/>
      <c r="Q22" s="271"/>
      <c r="R22" s="241"/>
      <c r="S22" s="270"/>
      <c r="T22" s="241"/>
      <c r="U22" s="246"/>
      <c r="V22" s="246"/>
      <c r="W22" s="271"/>
      <c r="X22" s="241"/>
      <c r="Y22" s="241"/>
      <c r="Z22" s="241"/>
      <c r="AA22" s="241"/>
      <c r="AB22" s="241"/>
      <c r="AC22" s="241"/>
      <c r="AD22" s="246"/>
      <c r="AE22" s="271"/>
      <c r="AF22" s="241"/>
      <c r="AG22" s="241"/>
      <c r="AH22" s="271"/>
      <c r="AI22" s="241"/>
      <c r="AJ22" s="241"/>
      <c r="AK22" s="246"/>
      <c r="AL22" s="246"/>
      <c r="AM22" s="246"/>
      <c r="AN22" s="246"/>
      <c r="AO22" s="241" t="s">
        <v>327</v>
      </c>
      <c r="AP22" s="272" t="s">
        <v>309</v>
      </c>
      <c r="AQ22" s="246"/>
      <c r="AR22" s="246"/>
      <c r="AS22" s="273" t="s">
        <v>423</v>
      </c>
    </row>
    <row r="23" spans="1:45" x14ac:dyDescent="0.3">
      <c r="A23" s="241"/>
      <c r="B23" s="268">
        <v>42559</v>
      </c>
      <c r="C23" s="243" t="s">
        <v>322</v>
      </c>
      <c r="D23" s="244" t="s">
        <v>190</v>
      </c>
      <c r="E23" s="241"/>
      <c r="F23" s="241" t="s">
        <v>323</v>
      </c>
      <c r="G23" s="248">
        <v>42551</v>
      </c>
      <c r="H23" s="245" t="s">
        <v>309</v>
      </c>
      <c r="I23" s="245" t="s">
        <v>355</v>
      </c>
      <c r="J23" s="245"/>
      <c r="K23" s="241" t="s">
        <v>424</v>
      </c>
      <c r="L23" s="224" t="s">
        <v>391</v>
      </c>
      <c r="M23" s="246">
        <v>145.30000000000001</v>
      </c>
      <c r="N23" s="246">
        <v>27.2</v>
      </c>
      <c r="O23" s="241"/>
      <c r="P23" s="241"/>
      <c r="Q23" s="271"/>
      <c r="R23" s="241"/>
      <c r="S23" s="270"/>
      <c r="T23" s="241"/>
      <c r="U23" s="246"/>
      <c r="V23" s="246"/>
      <c r="W23" s="271"/>
      <c r="X23" s="241"/>
      <c r="Y23" s="241"/>
      <c r="Z23" s="241"/>
      <c r="AA23" s="241"/>
      <c r="AB23" s="241"/>
      <c r="AC23" s="241"/>
      <c r="AD23" s="246"/>
      <c r="AE23" s="271"/>
      <c r="AF23" s="241"/>
      <c r="AG23" s="241"/>
      <c r="AH23" s="271"/>
      <c r="AI23" s="241"/>
      <c r="AJ23" s="241"/>
      <c r="AK23" s="246"/>
      <c r="AL23" s="246"/>
      <c r="AM23" s="246"/>
      <c r="AN23" s="246"/>
      <c r="AO23" s="241" t="s">
        <v>327</v>
      </c>
      <c r="AP23" s="272" t="s">
        <v>309</v>
      </c>
      <c r="AQ23" s="246"/>
      <c r="AR23" s="246"/>
      <c r="AS23" s="273" t="s">
        <v>425</v>
      </c>
    </row>
    <row r="24" spans="1:45" x14ac:dyDescent="0.3">
      <c r="A24" s="241"/>
      <c r="B24" s="268">
        <v>42559</v>
      </c>
      <c r="C24" s="243" t="s">
        <v>322</v>
      </c>
      <c r="D24" s="244" t="s">
        <v>190</v>
      </c>
      <c r="E24" s="241"/>
      <c r="F24" s="241" t="s">
        <v>323</v>
      </c>
      <c r="G24" s="248">
        <v>42551</v>
      </c>
      <c r="H24" s="245" t="s">
        <v>309</v>
      </c>
      <c r="I24" s="245" t="s">
        <v>355</v>
      </c>
      <c r="J24" s="245"/>
      <c r="K24" s="241" t="s">
        <v>426</v>
      </c>
      <c r="L24" s="224" t="s">
        <v>391</v>
      </c>
      <c r="M24" s="246">
        <v>143.13636363636363</v>
      </c>
      <c r="N24" s="246">
        <v>27.372727272727271</v>
      </c>
      <c r="O24" s="241"/>
      <c r="P24" s="241"/>
      <c r="Q24" s="271"/>
      <c r="R24" s="241"/>
      <c r="S24" s="270"/>
      <c r="T24" s="241"/>
      <c r="U24" s="246"/>
      <c r="V24" s="246"/>
      <c r="W24" s="271"/>
      <c r="X24" s="241"/>
      <c r="Y24" s="241"/>
      <c r="Z24" s="241"/>
      <c r="AA24" s="241"/>
      <c r="AB24" s="241"/>
      <c r="AC24" s="241"/>
      <c r="AD24" s="246"/>
      <c r="AE24" s="271"/>
      <c r="AF24" s="241"/>
      <c r="AG24" s="241"/>
      <c r="AH24" s="271"/>
      <c r="AI24" s="241"/>
      <c r="AJ24" s="241"/>
      <c r="AK24" s="246"/>
      <c r="AL24" s="246"/>
      <c r="AM24" s="246"/>
      <c r="AN24" s="246"/>
      <c r="AO24" s="241" t="s">
        <v>327</v>
      </c>
      <c r="AP24" s="272" t="s">
        <v>309</v>
      </c>
      <c r="AQ24" s="246"/>
      <c r="AR24" s="246"/>
      <c r="AS24" s="273" t="s">
        <v>427</v>
      </c>
    </row>
    <row r="25" spans="1:45" x14ac:dyDescent="0.3">
      <c r="A25" s="241"/>
      <c r="B25" s="268">
        <v>42559</v>
      </c>
      <c r="C25" s="243" t="s">
        <v>322</v>
      </c>
      <c r="D25" s="244" t="s">
        <v>190</v>
      </c>
      <c r="E25" s="241"/>
      <c r="F25" s="241" t="s">
        <v>323</v>
      </c>
      <c r="G25" s="248">
        <v>42551</v>
      </c>
      <c r="H25" s="245" t="s">
        <v>310</v>
      </c>
      <c r="I25" s="245" t="s">
        <v>309</v>
      </c>
      <c r="J25" s="245"/>
      <c r="K25" s="241" t="s">
        <v>428</v>
      </c>
      <c r="L25" s="224" t="s">
        <v>391</v>
      </c>
      <c r="M25" s="246">
        <v>137.93636363636361</v>
      </c>
      <c r="N25" s="246">
        <v>23.436363636363634</v>
      </c>
      <c r="O25" s="241"/>
      <c r="P25" s="241"/>
      <c r="Q25" s="271"/>
      <c r="R25" s="241"/>
      <c r="S25" s="270"/>
      <c r="T25" s="241"/>
      <c r="U25" s="246"/>
      <c r="V25" s="246"/>
      <c r="W25" s="271"/>
      <c r="X25" s="241"/>
      <c r="Y25" s="241"/>
      <c r="Z25" s="241"/>
      <c r="AA25" s="241"/>
      <c r="AB25" s="241"/>
      <c r="AC25" s="241"/>
      <c r="AD25" s="246"/>
      <c r="AE25" s="271"/>
      <c r="AF25" s="241"/>
      <c r="AG25" s="241"/>
      <c r="AH25" s="271"/>
      <c r="AI25" s="241"/>
      <c r="AJ25" s="241"/>
      <c r="AK25" s="246"/>
      <c r="AL25" s="246"/>
      <c r="AM25" s="246"/>
      <c r="AN25" s="246"/>
      <c r="AO25" s="241" t="s">
        <v>327</v>
      </c>
      <c r="AP25" s="272" t="s">
        <v>309</v>
      </c>
      <c r="AQ25" s="246"/>
      <c r="AR25" s="246"/>
      <c r="AS25" s="273" t="s">
        <v>429</v>
      </c>
    </row>
    <row r="26" spans="1:45" x14ac:dyDescent="0.3">
      <c r="A26" s="241"/>
      <c r="B26" s="268">
        <v>42559</v>
      </c>
      <c r="C26" s="243" t="s">
        <v>322</v>
      </c>
      <c r="D26" s="244" t="s">
        <v>190</v>
      </c>
      <c r="E26" s="241"/>
      <c r="F26" s="241" t="s">
        <v>323</v>
      </c>
      <c r="G26" s="248">
        <v>42551</v>
      </c>
      <c r="H26" s="245" t="s">
        <v>309</v>
      </c>
      <c r="I26" s="245" t="s">
        <v>355</v>
      </c>
      <c r="J26" s="245"/>
      <c r="K26" s="241" t="s">
        <v>430</v>
      </c>
      <c r="L26" s="224" t="s">
        <v>391</v>
      </c>
      <c r="M26" s="246">
        <v>140</v>
      </c>
      <c r="N26" s="246">
        <v>24.499999999999996</v>
      </c>
      <c r="O26" s="241"/>
      <c r="P26" s="241"/>
      <c r="Q26" s="271"/>
      <c r="R26" s="241"/>
      <c r="S26" s="270"/>
      <c r="T26" s="241"/>
      <c r="U26" s="246"/>
      <c r="V26" s="246"/>
      <c r="W26" s="271"/>
      <c r="X26" s="241"/>
      <c r="Y26" s="241"/>
      <c r="Z26" s="241"/>
      <c r="AA26" s="241"/>
      <c r="AB26" s="241"/>
      <c r="AC26" s="241"/>
      <c r="AD26" s="246"/>
      <c r="AE26" s="271"/>
      <c r="AF26" s="241"/>
      <c r="AG26" s="241"/>
      <c r="AH26" s="271"/>
      <c r="AI26" s="241"/>
      <c r="AJ26" s="241"/>
      <c r="AK26" s="246"/>
      <c r="AL26" s="246"/>
      <c r="AM26" s="246"/>
      <c r="AN26" s="246"/>
      <c r="AO26" s="241" t="s">
        <v>327</v>
      </c>
      <c r="AP26" s="272" t="s">
        <v>309</v>
      </c>
      <c r="AQ26" s="246"/>
      <c r="AR26" s="246"/>
      <c r="AS26" s="273" t="s">
        <v>431</v>
      </c>
    </row>
    <row r="27" spans="1:45" x14ac:dyDescent="0.3">
      <c r="A27" s="241">
        <v>10427</v>
      </c>
      <c r="B27" s="268">
        <v>42559</v>
      </c>
      <c r="C27" s="243" t="s">
        <v>322</v>
      </c>
      <c r="D27" s="244" t="s">
        <v>190</v>
      </c>
      <c r="E27" s="241"/>
      <c r="F27" s="241" t="s">
        <v>360</v>
      </c>
      <c r="G27" s="242">
        <v>42551</v>
      </c>
      <c r="H27" s="245" t="s">
        <v>324</v>
      </c>
      <c r="I27" s="245" t="s">
        <v>325</v>
      </c>
      <c r="J27" s="245"/>
      <c r="K27" s="241" t="s">
        <v>326</v>
      </c>
      <c r="L27" s="224" t="s">
        <v>391</v>
      </c>
      <c r="M27" s="246">
        <v>154.26363636363635</v>
      </c>
      <c r="N27" s="246">
        <v>27.427272727272726</v>
      </c>
      <c r="O27" s="241"/>
      <c r="P27" s="241"/>
      <c r="Q27" s="271"/>
      <c r="R27" s="241"/>
      <c r="S27" s="270"/>
      <c r="T27" s="241"/>
      <c r="U27" s="246"/>
      <c r="V27" s="246"/>
      <c r="W27" s="271"/>
      <c r="X27" s="241"/>
      <c r="Y27" s="241"/>
      <c r="Z27" s="241"/>
      <c r="AA27" s="241"/>
      <c r="AB27" s="241"/>
      <c r="AC27" s="241"/>
      <c r="AD27" s="246"/>
      <c r="AE27" s="246">
        <v>15.799999999999997</v>
      </c>
      <c r="AF27" s="241"/>
      <c r="AG27" s="241"/>
      <c r="AH27" s="271"/>
      <c r="AI27" s="241"/>
      <c r="AJ27" s="241"/>
      <c r="AK27" s="246" t="s">
        <v>320</v>
      </c>
      <c r="AL27" s="246"/>
      <c r="AM27" s="246"/>
      <c r="AN27" s="246"/>
      <c r="AO27" s="241" t="s">
        <v>361</v>
      </c>
      <c r="AP27" s="272" t="s">
        <v>309</v>
      </c>
      <c r="AQ27" s="246"/>
      <c r="AR27" s="246"/>
      <c r="AS27" s="273" t="s">
        <v>432</v>
      </c>
    </row>
    <row r="28" spans="1:45" x14ac:dyDescent="0.3">
      <c r="A28" s="241">
        <v>10506</v>
      </c>
      <c r="B28" s="268">
        <v>42559</v>
      </c>
      <c r="C28" s="243" t="s">
        <v>322</v>
      </c>
      <c r="D28" s="244" t="s">
        <v>190</v>
      </c>
      <c r="E28" s="241"/>
      <c r="F28" s="241" t="s">
        <v>360</v>
      </c>
      <c r="G28" s="247">
        <v>42551</v>
      </c>
      <c r="H28" s="245" t="s">
        <v>324</v>
      </c>
      <c r="I28" s="245" t="s">
        <v>325</v>
      </c>
      <c r="J28" s="245"/>
      <c r="K28" s="241" t="s">
        <v>328</v>
      </c>
      <c r="L28" s="224" t="s">
        <v>391</v>
      </c>
      <c r="M28" s="246">
        <v>153.49999999999997</v>
      </c>
      <c r="N28" s="246">
        <v>27.499999999999996</v>
      </c>
      <c r="O28" s="241"/>
      <c r="P28" s="241"/>
      <c r="Q28" s="271"/>
      <c r="R28" s="241"/>
      <c r="S28" s="270"/>
      <c r="T28" s="241"/>
      <c r="U28" s="246"/>
      <c r="V28" s="246"/>
      <c r="W28" s="271"/>
      <c r="X28" s="241"/>
      <c r="Y28" s="241"/>
      <c r="Z28" s="241"/>
      <c r="AA28" s="241"/>
      <c r="AB28" s="241"/>
      <c r="AC28" s="241"/>
      <c r="AD28" s="246"/>
      <c r="AE28" s="246">
        <v>15.799999999999997</v>
      </c>
      <c r="AF28" s="241"/>
      <c r="AG28" s="241"/>
      <c r="AH28" s="271"/>
      <c r="AI28" s="241"/>
      <c r="AJ28" s="241"/>
      <c r="AK28" s="246" t="s">
        <v>320</v>
      </c>
      <c r="AL28" s="246"/>
      <c r="AM28" s="246"/>
      <c r="AN28" s="246"/>
      <c r="AO28" s="241" t="s">
        <v>361</v>
      </c>
      <c r="AP28" s="272" t="s">
        <v>309</v>
      </c>
      <c r="AQ28" s="246"/>
      <c r="AR28" s="246"/>
      <c r="AS28" s="273" t="s">
        <v>393</v>
      </c>
    </row>
    <row r="29" spans="1:45" x14ac:dyDescent="0.3">
      <c r="A29" s="241">
        <v>10606</v>
      </c>
      <c r="B29" s="268">
        <v>42559</v>
      </c>
      <c r="C29" s="243" t="s">
        <v>322</v>
      </c>
      <c r="D29" s="244" t="s">
        <v>190</v>
      </c>
      <c r="E29" s="241"/>
      <c r="F29" s="241" t="s">
        <v>360</v>
      </c>
      <c r="G29" s="247">
        <v>42551</v>
      </c>
      <c r="H29" s="245" t="s">
        <v>310</v>
      </c>
      <c r="I29" s="245" t="s">
        <v>309</v>
      </c>
      <c r="J29" s="245"/>
      <c r="K29" s="241" t="s">
        <v>329</v>
      </c>
      <c r="L29" s="224" t="s">
        <v>387</v>
      </c>
      <c r="M29" s="246">
        <v>136.99999999999997</v>
      </c>
      <c r="N29" s="246">
        <v>27.86363636363636</v>
      </c>
      <c r="O29" s="241"/>
      <c r="P29" s="241"/>
      <c r="Q29" s="271"/>
      <c r="R29" s="241"/>
      <c r="S29" s="270"/>
      <c r="T29" s="241"/>
      <c r="U29" s="246"/>
      <c r="V29" s="246"/>
      <c r="W29" s="271"/>
      <c r="X29" s="241"/>
      <c r="Y29" s="241"/>
      <c r="Z29" s="241"/>
      <c r="AA29" s="241"/>
      <c r="AB29" s="241"/>
      <c r="AC29" s="241"/>
      <c r="AD29" s="246"/>
      <c r="AE29" s="246">
        <v>18</v>
      </c>
      <c r="AF29" s="241"/>
      <c r="AG29" s="241"/>
      <c r="AH29" s="271"/>
      <c r="AI29" s="241"/>
      <c r="AJ29" s="241"/>
      <c r="AK29" s="246" t="s">
        <v>320</v>
      </c>
      <c r="AL29" s="246"/>
      <c r="AM29" s="246"/>
      <c r="AN29" s="246"/>
      <c r="AO29" s="241" t="s">
        <v>361</v>
      </c>
      <c r="AP29" s="272" t="s">
        <v>309</v>
      </c>
      <c r="AQ29" s="246"/>
      <c r="AR29" s="246"/>
      <c r="AS29" s="273" t="s">
        <v>433</v>
      </c>
    </row>
    <row r="30" spans="1:45" x14ac:dyDescent="0.3">
      <c r="A30" s="241">
        <v>1478</v>
      </c>
      <c r="B30" s="268">
        <v>42559</v>
      </c>
      <c r="C30" s="243" t="s">
        <v>322</v>
      </c>
      <c r="D30" s="244" t="s">
        <v>190</v>
      </c>
      <c r="E30" s="241"/>
      <c r="F30" s="241" t="s">
        <v>360</v>
      </c>
      <c r="G30" s="247">
        <v>42551</v>
      </c>
      <c r="H30" s="245" t="s">
        <v>324</v>
      </c>
      <c r="I30" s="245" t="s">
        <v>325</v>
      </c>
      <c r="J30" s="245"/>
      <c r="K30" s="241" t="s">
        <v>330</v>
      </c>
      <c r="L30" s="224" t="s">
        <v>387</v>
      </c>
      <c r="M30" s="246">
        <v>148.18181818181816</v>
      </c>
      <c r="N30" s="246">
        <v>27.654545454545453</v>
      </c>
      <c r="O30" s="241"/>
      <c r="P30" s="241"/>
      <c r="Q30" s="271"/>
      <c r="R30" s="241"/>
      <c r="S30" s="270"/>
      <c r="T30" s="241"/>
      <c r="U30" s="246"/>
      <c r="V30" s="246"/>
      <c r="W30" s="271"/>
      <c r="X30" s="241"/>
      <c r="Y30" s="241"/>
      <c r="Z30" s="241"/>
      <c r="AA30" s="241"/>
      <c r="AB30" s="241"/>
      <c r="AC30" s="241"/>
      <c r="AD30" s="246"/>
      <c r="AE30" s="246">
        <v>16.40909090909091</v>
      </c>
      <c r="AF30" s="241"/>
      <c r="AG30" s="241"/>
      <c r="AH30" s="271"/>
      <c r="AI30" s="241"/>
      <c r="AJ30" s="241"/>
      <c r="AK30" s="246" t="s">
        <v>320</v>
      </c>
      <c r="AL30" s="246"/>
      <c r="AM30" s="246"/>
      <c r="AN30" s="246"/>
      <c r="AO30" s="241" t="s">
        <v>361</v>
      </c>
      <c r="AP30" s="272" t="s">
        <v>309</v>
      </c>
      <c r="AQ30" s="246"/>
      <c r="AR30" s="246"/>
      <c r="AS30" s="273" t="s">
        <v>434</v>
      </c>
    </row>
    <row r="31" spans="1:45" x14ac:dyDescent="0.3">
      <c r="A31" s="241">
        <v>4659</v>
      </c>
      <c r="B31" s="268">
        <v>42559</v>
      </c>
      <c r="C31" s="243" t="s">
        <v>322</v>
      </c>
      <c r="D31" s="244" t="s">
        <v>190</v>
      </c>
      <c r="E31" s="241"/>
      <c r="F31" s="241" t="s">
        <v>360</v>
      </c>
      <c r="G31" s="247">
        <v>42551</v>
      </c>
      <c r="H31" s="245" t="s">
        <v>324</v>
      </c>
      <c r="I31" s="245" t="s">
        <v>325</v>
      </c>
      <c r="J31" s="245"/>
      <c r="K31" s="241" t="s">
        <v>331</v>
      </c>
      <c r="L31" s="224" t="s">
        <v>387</v>
      </c>
      <c r="M31" s="246">
        <v>165</v>
      </c>
      <c r="N31" s="246">
        <v>24.999999999999996</v>
      </c>
      <c r="O31" s="241"/>
      <c r="P31" s="241"/>
      <c r="Q31" s="271"/>
      <c r="R31" s="241"/>
      <c r="S31" s="270"/>
      <c r="T31" s="241"/>
      <c r="U31" s="246"/>
      <c r="V31" s="246"/>
      <c r="W31" s="271"/>
      <c r="X31" s="241"/>
      <c r="Y31" s="241"/>
      <c r="Z31" s="241"/>
      <c r="AA31" s="241"/>
      <c r="AB31" s="241"/>
      <c r="AC31" s="241"/>
      <c r="AD31" s="246"/>
      <c r="AE31" s="246">
        <v>16.999999999999996</v>
      </c>
      <c r="AF31" s="241"/>
      <c r="AG31" s="241"/>
      <c r="AH31" s="271"/>
      <c r="AI31" s="241"/>
      <c r="AJ31" s="241"/>
      <c r="AK31" s="246" t="s">
        <v>320</v>
      </c>
      <c r="AL31" s="246"/>
      <c r="AM31" s="246"/>
      <c r="AN31" s="246"/>
      <c r="AO31" s="241" t="s">
        <v>361</v>
      </c>
      <c r="AP31" s="272" t="s">
        <v>309</v>
      </c>
      <c r="AQ31" s="246"/>
      <c r="AR31" s="246"/>
      <c r="AS31" s="273" t="s">
        <v>435</v>
      </c>
    </row>
    <row r="32" spans="1:45" x14ac:dyDescent="0.3">
      <c r="A32" s="241">
        <v>1490</v>
      </c>
      <c r="B32" s="268">
        <v>42559</v>
      </c>
      <c r="C32" s="243" t="s">
        <v>322</v>
      </c>
      <c r="D32" s="244" t="s">
        <v>190</v>
      </c>
      <c r="E32" s="241"/>
      <c r="F32" s="241" t="s">
        <v>360</v>
      </c>
      <c r="G32" s="248">
        <v>42551</v>
      </c>
      <c r="H32" s="245" t="s">
        <v>324</v>
      </c>
      <c r="I32" s="245" t="s">
        <v>325</v>
      </c>
      <c r="J32" s="245"/>
      <c r="K32" s="241" t="s">
        <v>397</v>
      </c>
      <c r="L32" s="224" t="s">
        <v>387</v>
      </c>
      <c r="M32" s="246">
        <v>148.18181818181816</v>
      </c>
      <c r="N32" s="246">
        <v>27.654545454545453</v>
      </c>
      <c r="O32" s="241"/>
      <c r="P32" s="241"/>
      <c r="Q32" s="271"/>
      <c r="R32" s="241"/>
      <c r="S32" s="270"/>
      <c r="T32" s="241"/>
      <c r="U32" s="246"/>
      <c r="V32" s="246"/>
      <c r="W32" s="271"/>
      <c r="X32" s="241"/>
      <c r="Y32" s="241"/>
      <c r="Z32" s="241"/>
      <c r="AA32" s="241"/>
      <c r="AB32" s="241"/>
      <c r="AC32" s="241"/>
      <c r="AD32" s="246"/>
      <c r="AE32" s="246">
        <v>16.40909090909091</v>
      </c>
      <c r="AF32" s="241"/>
      <c r="AG32" s="241"/>
      <c r="AH32" s="271"/>
      <c r="AI32" s="241"/>
      <c r="AJ32" s="241"/>
      <c r="AK32" s="246" t="s">
        <v>320</v>
      </c>
      <c r="AL32" s="246"/>
      <c r="AM32" s="246"/>
      <c r="AN32" s="246"/>
      <c r="AO32" s="241" t="s">
        <v>361</v>
      </c>
      <c r="AP32" s="272" t="s">
        <v>309</v>
      </c>
      <c r="AQ32" s="246"/>
      <c r="AR32" s="246"/>
      <c r="AS32" s="273" t="s">
        <v>436</v>
      </c>
    </row>
    <row r="33" spans="1:45" x14ac:dyDescent="0.3">
      <c r="A33" s="241">
        <v>10275</v>
      </c>
      <c r="B33" s="268">
        <v>42559</v>
      </c>
      <c r="C33" s="243" t="s">
        <v>322</v>
      </c>
      <c r="D33" s="244" t="s">
        <v>190</v>
      </c>
      <c r="E33" s="241"/>
      <c r="F33" s="241" t="s">
        <v>360</v>
      </c>
      <c r="G33" s="248">
        <v>42551</v>
      </c>
      <c r="H33" s="245" t="s">
        <v>324</v>
      </c>
      <c r="I33" s="245" t="s">
        <v>325</v>
      </c>
      <c r="J33" s="245"/>
      <c r="K33" s="241" t="s">
        <v>340</v>
      </c>
      <c r="L33" s="224" t="s">
        <v>399</v>
      </c>
      <c r="M33" s="246">
        <v>135</v>
      </c>
      <c r="N33" s="246">
        <v>28.581818181818182</v>
      </c>
      <c r="O33" s="241"/>
      <c r="P33" s="241"/>
      <c r="Q33" s="271"/>
      <c r="R33" s="241"/>
      <c r="S33" s="270"/>
      <c r="T33" s="241"/>
      <c r="U33" s="246"/>
      <c r="V33" s="246"/>
      <c r="W33" s="271"/>
      <c r="X33" s="241"/>
      <c r="Y33" s="241"/>
      <c r="Z33" s="241"/>
      <c r="AA33" s="241"/>
      <c r="AB33" s="241"/>
      <c r="AC33" s="241"/>
      <c r="AD33" s="246"/>
      <c r="AE33" s="246">
        <v>15.227272727272727</v>
      </c>
      <c r="AF33" s="241"/>
      <c r="AG33" s="241"/>
      <c r="AH33" s="271"/>
      <c r="AI33" s="241"/>
      <c r="AJ33" s="241"/>
      <c r="AK33" s="246" t="s">
        <v>320</v>
      </c>
      <c r="AL33" s="246"/>
      <c r="AM33" s="246"/>
      <c r="AN33" s="246"/>
      <c r="AO33" s="241" t="s">
        <v>361</v>
      </c>
      <c r="AP33" s="272" t="s">
        <v>309</v>
      </c>
      <c r="AQ33" s="246"/>
      <c r="AR33" s="246"/>
      <c r="AS33" s="273" t="s">
        <v>437</v>
      </c>
    </row>
    <row r="34" spans="1:45" x14ac:dyDescent="0.3">
      <c r="A34" s="241">
        <v>5661</v>
      </c>
      <c r="B34" s="274">
        <v>42564</v>
      </c>
      <c r="C34" s="243" t="s">
        <v>322</v>
      </c>
      <c r="D34" s="244" t="s">
        <v>190</v>
      </c>
      <c r="E34" s="241"/>
      <c r="F34" s="241" t="s">
        <v>360</v>
      </c>
      <c r="G34" s="248">
        <v>42553</v>
      </c>
      <c r="H34" s="245" t="s">
        <v>324</v>
      </c>
      <c r="I34" s="245" t="s">
        <v>325</v>
      </c>
      <c r="J34" s="245"/>
      <c r="K34" s="241" t="s">
        <v>401</v>
      </c>
      <c r="L34" s="224" t="s">
        <v>387</v>
      </c>
      <c r="M34" s="246">
        <v>146.75454545454545</v>
      </c>
      <c r="N34" s="246">
        <v>27.77272727272727</v>
      </c>
      <c r="O34" s="241"/>
      <c r="P34" s="241"/>
      <c r="Q34" s="271"/>
      <c r="R34" s="241"/>
      <c r="S34" s="270"/>
      <c r="T34" s="241"/>
      <c r="U34" s="246"/>
      <c r="V34" s="246"/>
      <c r="W34" s="271"/>
      <c r="X34" s="241"/>
      <c r="Y34" s="241"/>
      <c r="Z34" s="241"/>
      <c r="AA34" s="241"/>
      <c r="AB34" s="241"/>
      <c r="AC34" s="241"/>
      <c r="AD34" s="246"/>
      <c r="AE34" s="246">
        <v>16.427272727272726</v>
      </c>
      <c r="AF34" s="241"/>
      <c r="AG34" s="241"/>
      <c r="AH34" s="271"/>
      <c r="AI34" s="241"/>
      <c r="AJ34" s="241"/>
      <c r="AK34" s="246" t="s">
        <v>320</v>
      </c>
      <c r="AL34" s="246"/>
      <c r="AM34" s="246"/>
      <c r="AN34" s="246"/>
      <c r="AO34" s="241" t="s">
        <v>361</v>
      </c>
      <c r="AP34" s="272" t="s">
        <v>309</v>
      </c>
      <c r="AQ34" s="246"/>
      <c r="AR34" s="246"/>
      <c r="AS34" s="159" t="s">
        <v>438</v>
      </c>
    </row>
    <row r="35" spans="1:45" x14ac:dyDescent="0.3">
      <c r="A35" s="241">
        <v>4380</v>
      </c>
      <c r="B35" s="268">
        <v>42559</v>
      </c>
      <c r="C35" s="243" t="s">
        <v>322</v>
      </c>
      <c r="D35" s="244" t="s">
        <v>190</v>
      </c>
      <c r="E35" s="241"/>
      <c r="F35" s="241" t="s">
        <v>360</v>
      </c>
      <c r="G35" s="248">
        <v>42551</v>
      </c>
      <c r="H35" s="245" t="s">
        <v>324</v>
      </c>
      <c r="I35" s="245" t="s">
        <v>325</v>
      </c>
      <c r="J35" s="245"/>
      <c r="K35" s="241" t="s">
        <v>403</v>
      </c>
      <c r="L35" s="224" t="s">
        <v>391</v>
      </c>
      <c r="M35" s="246">
        <v>118.53636363636362</v>
      </c>
      <c r="N35" s="246">
        <v>31.209090909090904</v>
      </c>
      <c r="O35" s="241"/>
      <c r="P35" s="241"/>
      <c r="Q35" s="271"/>
      <c r="R35" s="241"/>
      <c r="S35" s="270"/>
      <c r="T35" s="241"/>
      <c r="U35" s="246"/>
      <c r="V35" s="246"/>
      <c r="W35" s="271"/>
      <c r="X35" s="241"/>
      <c r="Y35" s="241"/>
      <c r="Z35" s="241"/>
      <c r="AA35" s="241"/>
      <c r="AB35" s="241"/>
      <c r="AC35" s="241"/>
      <c r="AD35" s="246"/>
      <c r="AE35" s="246">
        <v>13.67272727272727</v>
      </c>
      <c r="AF35" s="241"/>
      <c r="AG35" s="241"/>
      <c r="AH35" s="271"/>
      <c r="AI35" s="241"/>
      <c r="AJ35" s="241"/>
      <c r="AK35" s="246" t="s">
        <v>320</v>
      </c>
      <c r="AL35" s="246"/>
      <c r="AM35" s="246"/>
      <c r="AN35" s="246"/>
      <c r="AO35" s="241" t="s">
        <v>361</v>
      </c>
      <c r="AP35" s="272" t="s">
        <v>309</v>
      </c>
      <c r="AQ35" s="246"/>
      <c r="AR35" s="246"/>
      <c r="AS35" s="273" t="s">
        <v>439</v>
      </c>
    </row>
    <row r="36" spans="1:45" x14ac:dyDescent="0.3">
      <c r="A36" s="241">
        <v>10530</v>
      </c>
      <c r="B36" s="268">
        <v>42559</v>
      </c>
      <c r="C36" s="243" t="s">
        <v>322</v>
      </c>
      <c r="D36" s="244" t="s">
        <v>190</v>
      </c>
      <c r="E36" s="241"/>
      <c r="F36" s="241" t="s">
        <v>360</v>
      </c>
      <c r="G36" s="248">
        <v>42551</v>
      </c>
      <c r="H36" s="245" t="s">
        <v>324</v>
      </c>
      <c r="I36" s="245" t="s">
        <v>325</v>
      </c>
      <c r="J36" s="245"/>
      <c r="K36" s="241" t="s">
        <v>348</v>
      </c>
      <c r="L36" s="224" t="s">
        <v>391</v>
      </c>
      <c r="M36" s="246">
        <v>151.22727272727272</v>
      </c>
      <c r="N36" s="246">
        <v>27.809090909090905</v>
      </c>
      <c r="O36" s="241"/>
      <c r="P36" s="241"/>
      <c r="Q36" s="271"/>
      <c r="R36" s="241"/>
      <c r="S36" s="270"/>
      <c r="T36" s="241"/>
      <c r="U36" s="246"/>
      <c r="V36" s="246"/>
      <c r="W36" s="271"/>
      <c r="X36" s="241"/>
      <c r="Y36" s="241"/>
      <c r="Z36" s="241"/>
      <c r="AA36" s="241"/>
      <c r="AB36" s="241"/>
      <c r="AC36" s="241"/>
      <c r="AD36" s="246"/>
      <c r="AE36" s="246">
        <v>14</v>
      </c>
      <c r="AF36" s="241"/>
      <c r="AG36" s="241"/>
      <c r="AH36" s="271"/>
      <c r="AI36" s="241"/>
      <c r="AJ36" s="241"/>
      <c r="AK36" s="246" t="s">
        <v>320</v>
      </c>
      <c r="AL36" s="246"/>
      <c r="AM36" s="246"/>
      <c r="AN36" s="246"/>
      <c r="AO36" s="241" t="s">
        <v>361</v>
      </c>
      <c r="AP36" s="272" t="s">
        <v>309</v>
      </c>
      <c r="AQ36" s="246"/>
      <c r="AR36" s="246"/>
      <c r="AS36" s="273" t="s">
        <v>440</v>
      </c>
    </row>
    <row r="37" spans="1:45" x14ac:dyDescent="0.3">
      <c r="A37" s="241">
        <v>10346</v>
      </c>
      <c r="B37" s="268">
        <v>42559</v>
      </c>
      <c r="C37" s="243" t="s">
        <v>322</v>
      </c>
      <c r="D37" s="244" t="s">
        <v>190</v>
      </c>
      <c r="E37" s="241"/>
      <c r="F37" s="241" t="s">
        <v>360</v>
      </c>
      <c r="G37" s="248">
        <v>42551</v>
      </c>
      <c r="H37" s="245" t="s">
        <v>324</v>
      </c>
      <c r="I37" s="245" t="s">
        <v>325</v>
      </c>
      <c r="J37" s="245"/>
      <c r="K37" s="241" t="s">
        <v>406</v>
      </c>
      <c r="L37" s="224" t="s">
        <v>222</v>
      </c>
      <c r="M37" s="246">
        <v>154.25999999999996</v>
      </c>
      <c r="N37" s="246">
        <v>24.936363636363634</v>
      </c>
      <c r="O37" s="241"/>
      <c r="P37" s="241"/>
      <c r="Q37" s="271"/>
      <c r="R37" s="241"/>
      <c r="S37" s="270"/>
      <c r="T37" s="241"/>
      <c r="U37" s="246"/>
      <c r="V37" s="246"/>
      <c r="W37" s="271"/>
      <c r="X37" s="241"/>
      <c r="Y37" s="241"/>
      <c r="Z37" s="241"/>
      <c r="AA37" s="241"/>
      <c r="AB37" s="241"/>
      <c r="AC37" s="241"/>
      <c r="AD37" s="246"/>
      <c r="AE37" s="246">
        <v>14.363636363636363</v>
      </c>
      <c r="AF37" s="241"/>
      <c r="AG37" s="241"/>
      <c r="AH37" s="271"/>
      <c r="AI37" s="241"/>
      <c r="AJ37" s="241"/>
      <c r="AK37" s="246" t="s">
        <v>320</v>
      </c>
      <c r="AL37" s="246"/>
      <c r="AM37" s="246"/>
      <c r="AN37" s="246"/>
      <c r="AO37" s="241" t="s">
        <v>361</v>
      </c>
      <c r="AP37" s="272" t="s">
        <v>309</v>
      </c>
      <c r="AQ37" s="246"/>
      <c r="AR37" s="246"/>
      <c r="AS37" s="159" t="s">
        <v>407</v>
      </c>
    </row>
    <row r="38" spans="1:45" x14ac:dyDescent="0.3">
      <c r="A38" s="241">
        <v>10688</v>
      </c>
      <c r="B38" s="268">
        <v>42559</v>
      </c>
      <c r="C38" s="243" t="s">
        <v>322</v>
      </c>
      <c r="D38" s="244" t="s">
        <v>190</v>
      </c>
      <c r="E38" s="241"/>
      <c r="F38" s="241" t="s">
        <v>360</v>
      </c>
      <c r="G38" s="248">
        <v>42551</v>
      </c>
      <c r="H38" s="245" t="s">
        <v>324</v>
      </c>
      <c r="I38" s="245" t="s">
        <v>325</v>
      </c>
      <c r="J38" s="245"/>
      <c r="K38" s="241" t="s">
        <v>408</v>
      </c>
      <c r="L38" s="224" t="s">
        <v>391</v>
      </c>
      <c r="M38" s="246">
        <v>163.87272727272727</v>
      </c>
      <c r="N38" s="246">
        <v>25.772727272727273</v>
      </c>
      <c r="O38" s="241"/>
      <c r="P38" s="250"/>
      <c r="Q38" s="271"/>
      <c r="R38" s="241"/>
      <c r="S38" s="270"/>
      <c r="T38" s="241"/>
      <c r="U38" s="246"/>
      <c r="V38" s="246"/>
      <c r="W38" s="271"/>
      <c r="X38" s="241"/>
      <c r="Y38" s="241"/>
      <c r="Z38" s="241"/>
      <c r="AA38" s="241"/>
      <c r="AB38" s="241"/>
      <c r="AC38" s="241"/>
      <c r="AD38" s="246"/>
      <c r="AE38" s="246">
        <v>12.2</v>
      </c>
      <c r="AF38" s="241"/>
      <c r="AG38" s="241"/>
      <c r="AH38" s="271"/>
      <c r="AI38" s="241"/>
      <c r="AJ38" s="241"/>
      <c r="AK38" s="246" t="s">
        <v>320</v>
      </c>
      <c r="AL38" s="246"/>
      <c r="AM38" s="246"/>
      <c r="AN38" s="246"/>
      <c r="AO38" s="241" t="s">
        <v>361</v>
      </c>
      <c r="AP38" s="272" t="s">
        <v>309</v>
      </c>
      <c r="AQ38" s="246"/>
      <c r="AR38" s="246"/>
      <c r="AS38" s="273" t="s">
        <v>441</v>
      </c>
    </row>
    <row r="39" spans="1:45" x14ac:dyDescent="0.3">
      <c r="A39" s="241">
        <v>1410</v>
      </c>
      <c r="B39" s="268">
        <v>42559</v>
      </c>
      <c r="C39" s="243" t="s">
        <v>322</v>
      </c>
      <c r="D39" s="244" t="s">
        <v>190</v>
      </c>
      <c r="E39" s="241"/>
      <c r="F39" s="241" t="s">
        <v>360</v>
      </c>
      <c r="G39" s="248">
        <v>42551</v>
      </c>
      <c r="H39" s="245" t="s">
        <v>324</v>
      </c>
      <c r="I39" s="245" t="s">
        <v>325</v>
      </c>
      <c r="J39" s="245"/>
      <c r="K39" s="241" t="s">
        <v>410</v>
      </c>
      <c r="L39" s="224" t="s">
        <v>391</v>
      </c>
      <c r="M39" s="246">
        <v>145.6</v>
      </c>
      <c r="N39" s="246">
        <v>27.099999999999998</v>
      </c>
      <c r="O39" s="244"/>
      <c r="P39" s="241"/>
      <c r="Q39" s="271"/>
      <c r="R39" s="241"/>
      <c r="S39" s="270"/>
      <c r="T39" s="241"/>
      <c r="U39" s="246"/>
      <c r="V39" s="246"/>
      <c r="W39" s="271"/>
      <c r="X39" s="241"/>
      <c r="Y39" s="241"/>
      <c r="Z39" s="241"/>
      <c r="AA39" s="241"/>
      <c r="AB39" s="241"/>
      <c r="AC39" s="241"/>
      <c r="AD39" s="246"/>
      <c r="AE39" s="246">
        <v>17.799999999999997</v>
      </c>
      <c r="AF39" s="241"/>
      <c r="AG39" s="241"/>
      <c r="AH39" s="271"/>
      <c r="AI39" s="241"/>
      <c r="AJ39" s="241"/>
      <c r="AK39" s="246" t="s">
        <v>320</v>
      </c>
      <c r="AL39" s="246"/>
      <c r="AM39" s="246"/>
      <c r="AN39" s="246"/>
      <c r="AO39" s="241" t="s">
        <v>361</v>
      </c>
      <c r="AP39" s="272" t="s">
        <v>309</v>
      </c>
      <c r="AQ39" s="246"/>
      <c r="AR39" s="246"/>
      <c r="AS39" s="273" t="s">
        <v>442</v>
      </c>
    </row>
    <row r="40" spans="1:45" x14ac:dyDescent="0.3">
      <c r="A40" s="241">
        <v>3610</v>
      </c>
      <c r="B40" s="268">
        <v>42559</v>
      </c>
      <c r="C40" s="243" t="s">
        <v>322</v>
      </c>
      <c r="D40" s="244" t="s">
        <v>190</v>
      </c>
      <c r="E40" s="241"/>
      <c r="F40" s="241" t="s">
        <v>360</v>
      </c>
      <c r="G40" s="248">
        <v>42551</v>
      </c>
      <c r="H40" s="245" t="s">
        <v>324</v>
      </c>
      <c r="I40" s="245" t="s">
        <v>325</v>
      </c>
      <c r="J40" s="245"/>
      <c r="K40" s="241" t="s">
        <v>412</v>
      </c>
      <c r="L40" s="224" t="s">
        <v>391</v>
      </c>
      <c r="M40" s="246">
        <v>148.78181818181815</v>
      </c>
      <c r="N40" s="246">
        <v>27.86363636363636</v>
      </c>
      <c r="O40" s="241"/>
      <c r="P40" s="241"/>
      <c r="Q40" s="271"/>
      <c r="R40" s="241"/>
      <c r="S40" s="270"/>
      <c r="T40" s="241"/>
      <c r="U40" s="246"/>
      <c r="V40" s="246"/>
      <c r="W40" s="271"/>
      <c r="X40" s="241"/>
      <c r="Y40" s="241"/>
      <c r="Z40" s="241"/>
      <c r="AA40" s="241"/>
      <c r="AB40" s="241"/>
      <c r="AC40" s="241"/>
      <c r="AD40" s="246"/>
      <c r="AE40" s="246">
        <v>15.863636363636362</v>
      </c>
      <c r="AF40" s="241"/>
      <c r="AG40" s="241"/>
      <c r="AH40" s="271"/>
      <c r="AI40" s="241"/>
      <c r="AJ40" s="241"/>
      <c r="AK40" s="246" t="s">
        <v>320</v>
      </c>
      <c r="AL40" s="246"/>
      <c r="AM40" s="246"/>
      <c r="AN40" s="246"/>
      <c r="AO40" s="241" t="s">
        <v>361</v>
      </c>
      <c r="AP40" s="272" t="s">
        <v>309</v>
      </c>
      <c r="AQ40" s="246"/>
      <c r="AR40" s="246"/>
      <c r="AS40" s="273" t="s">
        <v>443</v>
      </c>
    </row>
    <row r="41" spans="1:45" x14ac:dyDescent="0.3">
      <c r="A41" s="241">
        <v>10381</v>
      </c>
      <c r="B41" s="268">
        <v>42559</v>
      </c>
      <c r="C41" s="243" t="s">
        <v>322</v>
      </c>
      <c r="D41" s="244" t="s">
        <v>190</v>
      </c>
      <c r="E41" s="241"/>
      <c r="F41" s="241" t="s">
        <v>360</v>
      </c>
      <c r="G41" s="247">
        <v>42551</v>
      </c>
      <c r="H41" s="245" t="s">
        <v>310</v>
      </c>
      <c r="I41" s="245" t="s">
        <v>309</v>
      </c>
      <c r="J41" s="245"/>
      <c r="K41" s="241" t="s">
        <v>239</v>
      </c>
      <c r="L41" s="224" t="s">
        <v>391</v>
      </c>
      <c r="M41" s="246">
        <v>178</v>
      </c>
      <c r="N41" s="246">
        <v>25.5</v>
      </c>
      <c r="O41" s="241" t="s">
        <v>351</v>
      </c>
      <c r="P41" s="241">
        <v>1350</v>
      </c>
      <c r="Q41" s="246">
        <v>29.299999999999994</v>
      </c>
      <c r="R41" s="275">
        <v>1350</v>
      </c>
      <c r="S41" s="246">
        <v>29.299999999999994</v>
      </c>
      <c r="T41" s="241"/>
      <c r="U41" s="246"/>
      <c r="V41" s="246"/>
      <c r="W41" s="271"/>
      <c r="X41" s="241"/>
      <c r="Y41" s="241"/>
      <c r="Z41" s="241"/>
      <c r="AA41" s="241"/>
      <c r="AB41" s="241"/>
      <c r="AC41" s="241"/>
      <c r="AD41" s="246"/>
      <c r="AE41" s="246">
        <v>12.599999999999998</v>
      </c>
      <c r="AF41" s="241"/>
      <c r="AG41" s="241"/>
      <c r="AH41" s="271"/>
      <c r="AI41" s="241"/>
      <c r="AJ41" s="241"/>
      <c r="AK41" s="246" t="s">
        <v>320</v>
      </c>
      <c r="AL41" s="246"/>
      <c r="AM41" s="246"/>
      <c r="AN41" s="246"/>
      <c r="AO41" s="241" t="s">
        <v>361</v>
      </c>
      <c r="AP41" s="272" t="s">
        <v>309</v>
      </c>
      <c r="AQ41" s="246"/>
      <c r="AR41" s="246"/>
      <c r="AS41" s="273" t="s">
        <v>444</v>
      </c>
    </row>
    <row r="42" spans="1:45" x14ac:dyDescent="0.3">
      <c r="A42" s="241">
        <v>9683</v>
      </c>
      <c r="B42" s="268">
        <v>42559</v>
      </c>
      <c r="C42" s="243" t="s">
        <v>322</v>
      </c>
      <c r="D42" s="244" t="s">
        <v>190</v>
      </c>
      <c r="E42" s="241"/>
      <c r="F42" s="241" t="s">
        <v>360</v>
      </c>
      <c r="G42" s="247">
        <v>42551</v>
      </c>
      <c r="H42" s="245" t="s">
        <v>310</v>
      </c>
      <c r="I42" s="245" t="s">
        <v>309</v>
      </c>
      <c r="J42" s="245"/>
      <c r="K42" s="241" t="s">
        <v>307</v>
      </c>
      <c r="L42" s="224" t="s">
        <v>387</v>
      </c>
      <c r="M42" s="246">
        <v>136.99999999999997</v>
      </c>
      <c r="N42" s="246">
        <v>27.86363636363636</v>
      </c>
      <c r="O42" s="241"/>
      <c r="P42" s="241"/>
      <c r="Q42" s="271"/>
      <c r="R42" s="241"/>
      <c r="S42" s="270"/>
      <c r="T42" s="241"/>
      <c r="U42" s="246"/>
      <c r="V42" s="246"/>
      <c r="W42" s="271"/>
      <c r="X42" s="241"/>
      <c r="Y42" s="241"/>
      <c r="Z42" s="241"/>
      <c r="AA42" s="241"/>
      <c r="AB42" s="241"/>
      <c r="AC42" s="241"/>
      <c r="AD42" s="246"/>
      <c r="AE42" s="246">
        <v>18</v>
      </c>
      <c r="AF42" s="241"/>
      <c r="AG42" s="241"/>
      <c r="AH42" s="271"/>
      <c r="AI42" s="241"/>
      <c r="AJ42" s="241"/>
      <c r="AK42" s="246" t="s">
        <v>320</v>
      </c>
      <c r="AL42" s="246"/>
      <c r="AM42" s="246"/>
      <c r="AN42" s="246"/>
      <c r="AO42" s="241" t="s">
        <v>361</v>
      </c>
      <c r="AP42" s="272" t="s">
        <v>309</v>
      </c>
      <c r="AQ42" s="246"/>
      <c r="AR42" s="246"/>
      <c r="AS42" s="273" t="s">
        <v>445</v>
      </c>
    </row>
    <row r="43" spans="1:45" x14ac:dyDescent="0.3">
      <c r="A43" s="241">
        <v>9909</v>
      </c>
      <c r="B43" s="268">
        <v>42559</v>
      </c>
      <c r="C43" s="243" t="s">
        <v>322</v>
      </c>
      <c r="D43" s="244" t="s">
        <v>190</v>
      </c>
      <c r="E43" s="241"/>
      <c r="F43" s="241" t="s">
        <v>360</v>
      </c>
      <c r="G43" s="247">
        <v>42551</v>
      </c>
      <c r="H43" s="245" t="s">
        <v>324</v>
      </c>
      <c r="I43" s="245" t="s">
        <v>325</v>
      </c>
      <c r="J43" s="245"/>
      <c r="K43" s="244" t="s">
        <v>354</v>
      </c>
      <c r="L43" s="224" t="s">
        <v>222</v>
      </c>
      <c r="M43" s="246">
        <v>195.81818181818181</v>
      </c>
      <c r="N43" s="246">
        <v>23</v>
      </c>
      <c r="O43" s="241"/>
      <c r="P43" s="241"/>
      <c r="Q43" s="271"/>
      <c r="R43" s="241"/>
      <c r="S43" s="270"/>
      <c r="T43" s="241"/>
      <c r="U43" s="246"/>
      <c r="V43" s="246"/>
      <c r="W43" s="271"/>
      <c r="X43" s="241"/>
      <c r="Y43" s="241"/>
      <c r="Z43" s="241"/>
      <c r="AA43" s="241"/>
      <c r="AB43" s="241"/>
      <c r="AC43" s="241"/>
      <c r="AD43" s="246" t="s">
        <v>320</v>
      </c>
      <c r="AE43" s="246">
        <v>18</v>
      </c>
      <c r="AF43" s="241"/>
      <c r="AG43" s="241"/>
      <c r="AH43" s="271"/>
      <c r="AI43" s="241"/>
      <c r="AJ43" s="241"/>
      <c r="AK43" s="246" t="s">
        <v>320</v>
      </c>
      <c r="AL43" s="246"/>
      <c r="AM43" s="246"/>
      <c r="AN43" s="246"/>
      <c r="AO43" s="241" t="s">
        <v>361</v>
      </c>
      <c r="AP43" s="272" t="s">
        <v>309</v>
      </c>
      <c r="AQ43" s="246"/>
      <c r="AR43" s="246"/>
      <c r="AS43" s="273" t="s">
        <v>446</v>
      </c>
    </row>
    <row r="44" spans="1:45" x14ac:dyDescent="0.3">
      <c r="A44" s="241">
        <v>5192</v>
      </c>
      <c r="B44" s="268">
        <v>42559</v>
      </c>
      <c r="C44" s="243" t="s">
        <v>322</v>
      </c>
      <c r="D44" s="244" t="s">
        <v>190</v>
      </c>
      <c r="E44" s="241"/>
      <c r="F44" s="241" t="s">
        <v>360</v>
      </c>
      <c r="G44" s="248">
        <v>42551</v>
      </c>
      <c r="H44" s="245" t="s">
        <v>324</v>
      </c>
      <c r="I44" s="245" t="s">
        <v>325</v>
      </c>
      <c r="J44" s="245"/>
      <c r="K44" s="241" t="s">
        <v>358</v>
      </c>
      <c r="L44" s="224" t="s">
        <v>391</v>
      </c>
      <c r="M44" s="246">
        <v>182</v>
      </c>
      <c r="N44" s="246">
        <v>23.999999999999996</v>
      </c>
      <c r="O44" s="241"/>
      <c r="P44" s="241"/>
      <c r="Q44" s="271"/>
      <c r="R44" s="241"/>
      <c r="S44" s="270"/>
      <c r="T44" s="241"/>
      <c r="U44" s="246"/>
      <c r="V44" s="246"/>
      <c r="W44" s="271"/>
      <c r="X44" s="241"/>
      <c r="Y44" s="241"/>
      <c r="Z44" s="241"/>
      <c r="AA44" s="241"/>
      <c r="AB44" s="241"/>
      <c r="AC44" s="241"/>
      <c r="AD44" s="246" t="s">
        <v>320</v>
      </c>
      <c r="AE44" s="246">
        <v>14.499999999999998</v>
      </c>
      <c r="AF44" s="241"/>
      <c r="AG44" s="241"/>
      <c r="AH44" s="271"/>
      <c r="AI44" s="241"/>
      <c r="AJ44" s="241"/>
      <c r="AK44" s="246" t="s">
        <v>320</v>
      </c>
      <c r="AL44" s="246"/>
      <c r="AM44" s="246"/>
      <c r="AN44" s="246"/>
      <c r="AO44" s="241" t="s">
        <v>361</v>
      </c>
      <c r="AP44" s="272" t="s">
        <v>309</v>
      </c>
      <c r="AQ44" s="246"/>
      <c r="AR44" s="246"/>
      <c r="AS44" s="273" t="s">
        <v>447</v>
      </c>
    </row>
    <row r="45" spans="1:45" x14ac:dyDescent="0.3">
      <c r="A45" s="241"/>
      <c r="B45" s="268">
        <v>42559</v>
      </c>
      <c r="C45" s="243" t="s">
        <v>322</v>
      </c>
      <c r="D45" s="244" t="s">
        <v>190</v>
      </c>
      <c r="E45" s="241"/>
      <c r="F45" s="241" t="s">
        <v>360</v>
      </c>
      <c r="G45" s="248">
        <v>42551</v>
      </c>
      <c r="H45" s="245" t="s">
        <v>324</v>
      </c>
      <c r="I45" s="245" t="s">
        <v>325</v>
      </c>
      <c r="J45" s="245"/>
      <c r="K45" s="241" t="s">
        <v>420</v>
      </c>
      <c r="L45" s="224" t="s">
        <v>391</v>
      </c>
      <c r="M45" s="246">
        <v>147.24545454545452</v>
      </c>
      <c r="N45" s="246">
        <v>28.018181818181816</v>
      </c>
      <c r="O45" s="241"/>
      <c r="P45" s="241"/>
      <c r="Q45" s="271"/>
      <c r="R45" s="241"/>
      <c r="S45" s="270"/>
      <c r="T45" s="241"/>
      <c r="U45" s="246"/>
      <c r="V45" s="246"/>
      <c r="W45" s="271"/>
      <c r="X45" s="241"/>
      <c r="Y45" s="241"/>
      <c r="Z45" s="241"/>
      <c r="AA45" s="241"/>
      <c r="AB45" s="241"/>
      <c r="AC45" s="241"/>
      <c r="AD45" s="246"/>
      <c r="AE45" s="246">
        <v>15.754545454545452</v>
      </c>
      <c r="AF45" s="241"/>
      <c r="AG45" s="241"/>
      <c r="AH45" s="271"/>
      <c r="AI45" s="241"/>
      <c r="AJ45" s="241"/>
      <c r="AK45" s="246"/>
      <c r="AL45" s="246"/>
      <c r="AM45" s="246"/>
      <c r="AN45" s="246"/>
      <c r="AO45" s="241" t="s">
        <v>361</v>
      </c>
      <c r="AP45" s="272" t="s">
        <v>309</v>
      </c>
      <c r="AQ45" s="246"/>
      <c r="AR45" s="246"/>
      <c r="AS45" s="273" t="s">
        <v>448</v>
      </c>
    </row>
    <row r="46" spans="1:45" x14ac:dyDescent="0.3">
      <c r="A46" s="241"/>
      <c r="B46" s="268">
        <v>42559</v>
      </c>
      <c r="C46" s="243" t="s">
        <v>322</v>
      </c>
      <c r="D46" s="244" t="s">
        <v>190</v>
      </c>
      <c r="E46" s="241"/>
      <c r="F46" s="241" t="s">
        <v>360</v>
      </c>
      <c r="G46" s="248">
        <v>42494</v>
      </c>
      <c r="H46" s="245" t="s">
        <v>324</v>
      </c>
      <c r="I46" s="245" t="s">
        <v>325</v>
      </c>
      <c r="J46" s="245"/>
      <c r="K46" s="241" t="s">
        <v>422</v>
      </c>
      <c r="L46" s="224" t="s">
        <v>391</v>
      </c>
      <c r="M46" s="246">
        <v>155.39999999999998</v>
      </c>
      <c r="N46" s="246">
        <v>27.427272727272726</v>
      </c>
      <c r="O46" s="241"/>
      <c r="P46" s="241"/>
      <c r="Q46" s="271"/>
      <c r="R46" s="241"/>
      <c r="S46" s="270"/>
      <c r="T46" s="241"/>
      <c r="U46" s="246"/>
      <c r="V46" s="246"/>
      <c r="W46" s="271"/>
      <c r="X46" s="241"/>
      <c r="Y46" s="241"/>
      <c r="Z46" s="241"/>
      <c r="AA46" s="241"/>
      <c r="AB46" s="241"/>
      <c r="AC46" s="241"/>
      <c r="AD46" s="246"/>
      <c r="AE46" s="246">
        <v>16.499999999999996</v>
      </c>
      <c r="AF46" s="241"/>
      <c r="AG46" s="241"/>
      <c r="AH46" s="271"/>
      <c r="AI46" s="241"/>
      <c r="AJ46" s="241"/>
      <c r="AK46" s="246"/>
      <c r="AL46" s="246"/>
      <c r="AM46" s="246"/>
      <c r="AN46" s="246"/>
      <c r="AO46" s="241" t="s">
        <v>361</v>
      </c>
      <c r="AP46" s="272" t="s">
        <v>309</v>
      </c>
      <c r="AQ46" s="246"/>
      <c r="AR46" s="246"/>
      <c r="AS46" s="273" t="s">
        <v>449</v>
      </c>
    </row>
    <row r="47" spans="1:45" x14ac:dyDescent="0.3">
      <c r="A47" s="241"/>
      <c r="B47" s="268">
        <v>42559</v>
      </c>
      <c r="C47" s="243" t="s">
        <v>322</v>
      </c>
      <c r="D47" s="244" t="s">
        <v>190</v>
      </c>
      <c r="E47" s="241"/>
      <c r="F47" s="241" t="s">
        <v>360</v>
      </c>
      <c r="G47" s="248">
        <v>42551</v>
      </c>
      <c r="H47" s="245" t="s">
        <v>309</v>
      </c>
      <c r="I47" s="245" t="s">
        <v>355</v>
      </c>
      <c r="J47" s="245"/>
      <c r="K47" s="241" t="s">
        <v>424</v>
      </c>
      <c r="L47" s="224" t="s">
        <v>391</v>
      </c>
      <c r="M47" s="246">
        <v>145.30000000000001</v>
      </c>
      <c r="N47" s="246">
        <v>27.2</v>
      </c>
      <c r="O47" s="241"/>
      <c r="P47" s="241"/>
      <c r="Q47" s="271"/>
      <c r="R47" s="241"/>
      <c r="S47" s="270"/>
      <c r="T47" s="241"/>
      <c r="U47" s="246"/>
      <c r="V47" s="246"/>
      <c r="W47" s="271"/>
      <c r="X47" s="241"/>
      <c r="Y47" s="241"/>
      <c r="Z47" s="241"/>
      <c r="AA47" s="241"/>
      <c r="AB47" s="241"/>
      <c r="AC47" s="241"/>
      <c r="AD47" s="246"/>
      <c r="AE47" s="246">
        <v>17.5</v>
      </c>
      <c r="AF47" s="241"/>
      <c r="AG47" s="241"/>
      <c r="AH47" s="271"/>
      <c r="AI47" s="241"/>
      <c r="AJ47" s="241"/>
      <c r="AK47" s="246"/>
      <c r="AL47" s="246"/>
      <c r="AM47" s="246"/>
      <c r="AN47" s="246"/>
      <c r="AO47" s="241" t="s">
        <v>361</v>
      </c>
      <c r="AP47" s="272" t="s">
        <v>309</v>
      </c>
      <c r="AQ47" s="246"/>
      <c r="AR47" s="246"/>
      <c r="AS47" s="273" t="s">
        <v>450</v>
      </c>
    </row>
    <row r="48" spans="1:45" x14ac:dyDescent="0.3">
      <c r="A48" s="241"/>
      <c r="B48" s="268">
        <v>42559</v>
      </c>
      <c r="C48" s="243" t="s">
        <v>322</v>
      </c>
      <c r="D48" s="244" t="s">
        <v>190</v>
      </c>
      <c r="E48" s="241"/>
      <c r="F48" s="241" t="s">
        <v>360</v>
      </c>
      <c r="G48" s="248">
        <v>42551</v>
      </c>
      <c r="H48" s="245" t="s">
        <v>309</v>
      </c>
      <c r="I48" s="245" t="s">
        <v>355</v>
      </c>
      <c r="J48" s="245"/>
      <c r="K48" s="241" t="s">
        <v>426</v>
      </c>
      <c r="L48" s="224" t="s">
        <v>391</v>
      </c>
      <c r="M48" s="246">
        <v>146.75454545454545</v>
      </c>
      <c r="N48" s="246">
        <v>27.77272727272727</v>
      </c>
      <c r="O48" s="241"/>
      <c r="P48" s="241"/>
      <c r="Q48" s="271"/>
      <c r="R48" s="241"/>
      <c r="S48" s="270"/>
      <c r="T48" s="241"/>
      <c r="U48" s="246"/>
      <c r="V48" s="246"/>
      <c r="W48" s="271"/>
      <c r="X48" s="241"/>
      <c r="Y48" s="241"/>
      <c r="Z48" s="241"/>
      <c r="AA48" s="241"/>
      <c r="AB48" s="241"/>
      <c r="AC48" s="241"/>
      <c r="AD48" s="246"/>
      <c r="AE48" s="246">
        <v>16.427272727272726</v>
      </c>
      <c r="AF48" s="241"/>
      <c r="AG48" s="241"/>
      <c r="AH48" s="271"/>
      <c r="AI48" s="241"/>
      <c r="AJ48" s="241"/>
      <c r="AK48" s="246"/>
      <c r="AL48" s="246"/>
      <c r="AM48" s="246"/>
      <c r="AN48" s="246"/>
      <c r="AO48" s="241" t="s">
        <v>361</v>
      </c>
      <c r="AP48" s="272" t="s">
        <v>309</v>
      </c>
      <c r="AQ48" s="246"/>
      <c r="AR48" s="246"/>
      <c r="AS48" s="273" t="s">
        <v>451</v>
      </c>
    </row>
    <row r="49" spans="1:51" x14ac:dyDescent="0.3">
      <c r="A49" s="241"/>
      <c r="B49" s="268">
        <v>42559</v>
      </c>
      <c r="C49" s="243" t="s">
        <v>322</v>
      </c>
      <c r="D49" s="244" t="s">
        <v>190</v>
      </c>
      <c r="E49" s="241"/>
      <c r="F49" s="241" t="s">
        <v>360</v>
      </c>
      <c r="G49" s="248">
        <v>42551</v>
      </c>
      <c r="H49" s="245" t="s">
        <v>310</v>
      </c>
      <c r="I49" s="245" t="s">
        <v>309</v>
      </c>
      <c r="J49" s="245"/>
      <c r="K49" s="241" t="s">
        <v>428</v>
      </c>
      <c r="L49" s="224" t="s">
        <v>391</v>
      </c>
      <c r="M49" s="246">
        <v>137.93636363636361</v>
      </c>
      <c r="N49" s="246">
        <v>23.436363636363634</v>
      </c>
      <c r="O49" s="241"/>
      <c r="P49" s="241"/>
      <c r="Q49" s="271"/>
      <c r="R49" s="241"/>
      <c r="S49" s="270"/>
      <c r="T49" s="241"/>
      <c r="U49" s="246"/>
      <c r="V49" s="246"/>
      <c r="W49" s="271"/>
      <c r="X49" s="241"/>
      <c r="Y49" s="241"/>
      <c r="Z49" s="241"/>
      <c r="AA49" s="241"/>
      <c r="AB49" s="241"/>
      <c r="AC49" s="241"/>
      <c r="AD49" s="246"/>
      <c r="AE49" s="246">
        <v>13.945454545454544</v>
      </c>
      <c r="AF49" s="241"/>
      <c r="AG49" s="241"/>
      <c r="AH49" s="271"/>
      <c r="AI49" s="241"/>
      <c r="AJ49" s="241"/>
      <c r="AK49" s="246"/>
      <c r="AL49" s="246"/>
      <c r="AM49" s="246"/>
      <c r="AN49" s="246"/>
      <c r="AO49" s="241" t="s">
        <v>361</v>
      </c>
      <c r="AP49" s="272" t="s">
        <v>309</v>
      </c>
      <c r="AQ49" s="246"/>
      <c r="AR49" s="246"/>
      <c r="AS49" s="273" t="s">
        <v>452</v>
      </c>
    </row>
    <row r="50" spans="1:51" x14ac:dyDescent="0.3">
      <c r="A50" s="241">
        <v>10429</v>
      </c>
      <c r="B50" s="268">
        <v>42559</v>
      </c>
      <c r="C50" s="243" t="s">
        <v>322</v>
      </c>
      <c r="D50" s="244" t="s">
        <v>190</v>
      </c>
      <c r="E50" s="241"/>
      <c r="F50" s="241" t="s">
        <v>367</v>
      </c>
      <c r="G50" s="242">
        <v>42551</v>
      </c>
      <c r="H50" s="245" t="s">
        <v>324</v>
      </c>
      <c r="I50" s="245" t="s">
        <v>325</v>
      </c>
      <c r="J50" s="245"/>
      <c r="K50" s="241" t="s">
        <v>326</v>
      </c>
      <c r="L50" s="224" t="s">
        <v>391</v>
      </c>
      <c r="M50" s="246">
        <v>142.39999999999998</v>
      </c>
      <c r="N50" s="246">
        <v>35.527272727272724</v>
      </c>
      <c r="O50" s="241"/>
      <c r="P50" s="241"/>
      <c r="Q50" s="271"/>
      <c r="R50" s="241"/>
      <c r="S50" s="270"/>
      <c r="T50" s="241"/>
      <c r="U50" s="246"/>
      <c r="V50" s="246"/>
      <c r="W50" s="246">
        <v>19.354545454545452</v>
      </c>
      <c r="X50" s="241"/>
      <c r="Y50" s="241"/>
      <c r="Z50" s="241"/>
      <c r="AA50" s="241"/>
      <c r="AB50" s="241"/>
      <c r="AC50" s="241"/>
      <c r="AD50" s="246"/>
      <c r="AE50" s="271"/>
      <c r="AF50" s="241"/>
      <c r="AG50" s="241"/>
      <c r="AH50" s="246">
        <v>34.581818181818178</v>
      </c>
      <c r="AI50" s="241"/>
      <c r="AJ50" s="241"/>
      <c r="AK50" s="246" t="s">
        <v>320</v>
      </c>
      <c r="AL50" s="246"/>
      <c r="AM50" s="246"/>
      <c r="AN50" s="246"/>
      <c r="AO50" s="241" t="s">
        <v>368</v>
      </c>
      <c r="AP50" s="272" t="s">
        <v>309</v>
      </c>
      <c r="AQ50" s="246"/>
      <c r="AR50" s="246"/>
      <c r="AS50" s="273" t="s">
        <v>453</v>
      </c>
    </row>
    <row r="51" spans="1:51" x14ac:dyDescent="0.3">
      <c r="A51" s="241">
        <v>10508</v>
      </c>
      <c r="B51" s="268">
        <v>42559</v>
      </c>
      <c r="C51" s="243" t="s">
        <v>322</v>
      </c>
      <c r="D51" s="244" t="s">
        <v>190</v>
      </c>
      <c r="E51" s="241"/>
      <c r="F51" s="241" t="s">
        <v>367</v>
      </c>
      <c r="G51" s="247">
        <v>42551</v>
      </c>
      <c r="H51" s="245" t="s">
        <v>324</v>
      </c>
      <c r="I51" s="245" t="s">
        <v>325</v>
      </c>
      <c r="J51" s="245"/>
      <c r="K51" s="241" t="s">
        <v>328</v>
      </c>
      <c r="L51" s="224" t="s">
        <v>391</v>
      </c>
      <c r="M51" s="246">
        <v>140</v>
      </c>
      <c r="N51" s="246">
        <v>36</v>
      </c>
      <c r="O51" s="241"/>
      <c r="P51" s="241"/>
      <c r="Q51" s="271"/>
      <c r="R51" s="241"/>
      <c r="S51" s="270"/>
      <c r="T51" s="241"/>
      <c r="U51" s="246"/>
      <c r="V51" s="246"/>
      <c r="W51" s="246">
        <v>19.98</v>
      </c>
      <c r="X51" s="241"/>
      <c r="Y51" s="241"/>
      <c r="Z51" s="241"/>
      <c r="AA51" s="241"/>
      <c r="AB51" s="241"/>
      <c r="AC51" s="241"/>
      <c r="AD51" s="246"/>
      <c r="AE51" s="271"/>
      <c r="AF51" s="241"/>
      <c r="AG51" s="241"/>
      <c r="AH51" s="246">
        <v>33.999999999999993</v>
      </c>
      <c r="AI51" s="241"/>
      <c r="AJ51" s="241"/>
      <c r="AK51" s="246" t="s">
        <v>320</v>
      </c>
      <c r="AL51" s="246"/>
      <c r="AM51" s="246"/>
      <c r="AN51" s="246"/>
      <c r="AO51" s="241" t="s">
        <v>368</v>
      </c>
      <c r="AP51" s="272" t="s">
        <v>309</v>
      </c>
      <c r="AQ51" s="246"/>
      <c r="AR51" s="246"/>
      <c r="AS51" s="273" t="s">
        <v>393</v>
      </c>
    </row>
    <row r="52" spans="1:51" x14ac:dyDescent="0.3">
      <c r="A52" s="241">
        <v>10608</v>
      </c>
      <c r="B52" s="268">
        <v>42559</v>
      </c>
      <c r="C52" s="243" t="s">
        <v>322</v>
      </c>
      <c r="D52" s="244" t="s">
        <v>190</v>
      </c>
      <c r="E52" s="241"/>
      <c r="F52" s="241" t="s">
        <v>367</v>
      </c>
      <c r="G52" s="247">
        <v>42551</v>
      </c>
      <c r="H52" s="245" t="s">
        <v>310</v>
      </c>
      <c r="I52" s="245" t="s">
        <v>309</v>
      </c>
      <c r="J52" s="245"/>
      <c r="K52" s="241" t="s">
        <v>329</v>
      </c>
      <c r="L52" s="224" t="s">
        <v>387</v>
      </c>
      <c r="M52" s="246">
        <v>136.99999999999997</v>
      </c>
      <c r="N52" s="246">
        <v>35</v>
      </c>
      <c r="O52" s="241"/>
      <c r="P52" s="241"/>
      <c r="Q52" s="271"/>
      <c r="R52" s="241"/>
      <c r="S52" s="270"/>
      <c r="T52" s="241"/>
      <c r="U52" s="246"/>
      <c r="V52" s="246"/>
      <c r="W52" s="246">
        <v>22.954545454545453</v>
      </c>
      <c r="X52" s="241"/>
      <c r="Y52" s="241"/>
      <c r="Z52" s="241"/>
      <c r="AA52" s="241"/>
      <c r="AB52" s="241"/>
      <c r="AC52" s="241"/>
      <c r="AD52" s="246"/>
      <c r="AE52" s="271"/>
      <c r="AF52" s="241"/>
      <c r="AG52" s="241"/>
      <c r="AH52" s="246">
        <v>31</v>
      </c>
      <c r="AI52" s="241"/>
      <c r="AJ52" s="241"/>
      <c r="AK52" s="246" t="s">
        <v>320</v>
      </c>
      <c r="AL52" s="246"/>
      <c r="AM52" s="246"/>
      <c r="AN52" s="246"/>
      <c r="AO52" s="241" t="s">
        <v>368</v>
      </c>
      <c r="AP52" s="272" t="s">
        <v>309</v>
      </c>
      <c r="AQ52" s="246"/>
      <c r="AR52" s="246"/>
      <c r="AS52" s="273" t="s">
        <v>454</v>
      </c>
    </row>
    <row r="53" spans="1:51" x14ac:dyDescent="0.3">
      <c r="A53" s="241">
        <v>1480</v>
      </c>
      <c r="B53" s="268">
        <v>42559</v>
      </c>
      <c r="C53" s="243" t="s">
        <v>322</v>
      </c>
      <c r="D53" s="244" t="s">
        <v>190</v>
      </c>
      <c r="E53" s="241"/>
      <c r="F53" s="241" t="s">
        <v>367</v>
      </c>
      <c r="G53" s="247">
        <v>42551</v>
      </c>
      <c r="H53" s="245" t="s">
        <v>324</v>
      </c>
      <c r="I53" s="245" t="s">
        <v>325</v>
      </c>
      <c r="J53" s="245"/>
      <c r="K53" s="241" t="s">
        <v>330</v>
      </c>
      <c r="L53" s="224" t="s">
        <v>387</v>
      </c>
      <c r="M53" s="246">
        <v>147.6</v>
      </c>
      <c r="N53" s="246">
        <v>32.836363636363629</v>
      </c>
      <c r="O53" s="241"/>
      <c r="P53" s="241"/>
      <c r="Q53" s="271"/>
      <c r="R53" s="241"/>
      <c r="S53" s="270"/>
      <c r="T53" s="241"/>
      <c r="U53" s="246"/>
      <c r="V53" s="246"/>
      <c r="W53" s="246">
        <v>20.199999999999996</v>
      </c>
      <c r="X53" s="241"/>
      <c r="Y53" s="241"/>
      <c r="Z53" s="241"/>
      <c r="AA53" s="241"/>
      <c r="AB53" s="241"/>
      <c r="AC53" s="241"/>
      <c r="AD53" s="246"/>
      <c r="AE53" s="271"/>
      <c r="AF53" s="241"/>
      <c r="AG53" s="241"/>
      <c r="AH53" s="246">
        <v>31.063636363636363</v>
      </c>
      <c r="AI53" s="241"/>
      <c r="AJ53" s="241"/>
      <c r="AK53" s="246" t="s">
        <v>320</v>
      </c>
      <c r="AL53" s="246"/>
      <c r="AM53" s="246"/>
      <c r="AN53" s="246"/>
      <c r="AO53" s="241" t="s">
        <v>368</v>
      </c>
      <c r="AP53" s="272" t="s">
        <v>309</v>
      </c>
      <c r="AQ53" s="246"/>
      <c r="AR53" s="246"/>
      <c r="AS53" s="273" t="s">
        <v>455</v>
      </c>
    </row>
    <row r="54" spans="1:51" x14ac:dyDescent="0.3">
      <c r="A54" s="241">
        <v>4661</v>
      </c>
      <c r="B54" s="268">
        <v>42559</v>
      </c>
      <c r="C54" s="243" t="s">
        <v>322</v>
      </c>
      <c r="D54" s="244" t="s">
        <v>190</v>
      </c>
      <c r="E54" s="241"/>
      <c r="F54" s="241" t="s">
        <v>367</v>
      </c>
      <c r="G54" s="247">
        <v>42551</v>
      </c>
      <c r="H54" s="245" t="s">
        <v>324</v>
      </c>
      <c r="I54" s="245" t="s">
        <v>325</v>
      </c>
      <c r="J54" s="245"/>
      <c r="K54" s="241" t="s">
        <v>331</v>
      </c>
      <c r="L54" s="224" t="s">
        <v>387</v>
      </c>
      <c r="M54" s="246">
        <v>150</v>
      </c>
      <c r="N54" s="246">
        <v>32</v>
      </c>
      <c r="O54" s="241"/>
      <c r="P54" s="241"/>
      <c r="Q54" s="271"/>
      <c r="R54" s="241"/>
      <c r="S54" s="270"/>
      <c r="T54" s="241"/>
      <c r="U54" s="246"/>
      <c r="V54" s="246"/>
      <c r="W54" s="246">
        <v>20.5</v>
      </c>
      <c r="X54" s="241"/>
      <c r="Y54" s="241"/>
      <c r="Z54" s="241"/>
      <c r="AA54" s="241"/>
      <c r="AB54" s="241"/>
      <c r="AC54" s="241"/>
      <c r="AD54" s="246"/>
      <c r="AE54" s="271"/>
      <c r="AF54" s="241"/>
      <c r="AG54" s="241"/>
      <c r="AH54" s="246">
        <v>30.499999999999996</v>
      </c>
      <c r="AI54" s="241"/>
      <c r="AJ54" s="241"/>
      <c r="AK54" s="246" t="s">
        <v>320</v>
      </c>
      <c r="AL54" s="246"/>
      <c r="AM54" s="246"/>
      <c r="AN54" s="246"/>
      <c r="AO54" s="241" t="s">
        <v>368</v>
      </c>
      <c r="AP54" s="272" t="s">
        <v>309</v>
      </c>
      <c r="AQ54" s="246"/>
      <c r="AR54" s="246"/>
      <c r="AS54" s="273" t="s">
        <v>456</v>
      </c>
    </row>
    <row r="55" spans="1:51" x14ac:dyDescent="0.3">
      <c r="A55" s="241">
        <v>1492</v>
      </c>
      <c r="B55" s="268">
        <v>42559</v>
      </c>
      <c r="C55" s="243" t="s">
        <v>322</v>
      </c>
      <c r="D55" s="244" t="s">
        <v>190</v>
      </c>
      <c r="E55" s="241"/>
      <c r="F55" s="241" t="s">
        <v>367</v>
      </c>
      <c r="G55" s="247">
        <v>42551</v>
      </c>
      <c r="H55" s="245" t="s">
        <v>324</v>
      </c>
      <c r="I55" s="245" t="s">
        <v>325</v>
      </c>
      <c r="J55" s="245"/>
      <c r="K55" s="241" t="s">
        <v>397</v>
      </c>
      <c r="L55" s="224" t="s">
        <v>387</v>
      </c>
      <c r="M55" s="246">
        <v>147.6</v>
      </c>
      <c r="N55" s="246">
        <v>32.836363636363629</v>
      </c>
      <c r="O55" s="241"/>
      <c r="P55" s="241"/>
      <c r="Q55" s="271"/>
      <c r="R55" s="241"/>
      <c r="S55" s="271"/>
      <c r="T55" s="241"/>
      <c r="U55" s="246" t="s">
        <v>320</v>
      </c>
      <c r="V55" s="246" t="s">
        <v>320</v>
      </c>
      <c r="W55" s="246">
        <v>20.199999999999996</v>
      </c>
      <c r="X55" s="241"/>
      <c r="Y55" s="241"/>
      <c r="Z55" s="241"/>
      <c r="AA55" s="241"/>
      <c r="AB55" s="241"/>
      <c r="AC55" s="241"/>
      <c r="AD55" s="246"/>
      <c r="AE55" s="271"/>
      <c r="AF55" s="241"/>
      <c r="AG55" s="241"/>
      <c r="AH55" s="246">
        <v>31.063636363636363</v>
      </c>
      <c r="AI55" s="241"/>
      <c r="AJ55" s="241"/>
      <c r="AK55" s="246" t="s">
        <v>320</v>
      </c>
      <c r="AL55" s="246"/>
      <c r="AM55" s="246"/>
      <c r="AN55" s="246"/>
      <c r="AO55" s="241" t="s">
        <v>368</v>
      </c>
      <c r="AP55" s="272" t="s">
        <v>309</v>
      </c>
      <c r="AQ55" s="246"/>
      <c r="AR55" s="246"/>
      <c r="AS55" s="273" t="s">
        <v>457</v>
      </c>
    </row>
    <row r="56" spans="1:51" x14ac:dyDescent="0.3">
      <c r="A56" s="241">
        <v>10277</v>
      </c>
      <c r="B56" s="268">
        <v>42559</v>
      </c>
      <c r="C56" s="243" t="s">
        <v>322</v>
      </c>
      <c r="D56" s="244" t="s">
        <v>190</v>
      </c>
      <c r="E56" s="241"/>
      <c r="F56" s="241" t="s">
        <v>367</v>
      </c>
      <c r="G56" s="247">
        <v>42551</v>
      </c>
      <c r="H56" s="245" t="s">
        <v>324</v>
      </c>
      <c r="I56" s="245" t="s">
        <v>325</v>
      </c>
      <c r="J56" s="245"/>
      <c r="K56" s="241" t="s">
        <v>340</v>
      </c>
      <c r="L56" s="224" t="s">
        <v>399</v>
      </c>
      <c r="M56" s="246">
        <v>144.79999999999998</v>
      </c>
      <c r="N56" s="246">
        <v>37.218181818181812</v>
      </c>
      <c r="O56" s="241"/>
      <c r="P56" s="241"/>
      <c r="Q56" s="271"/>
      <c r="R56" s="241"/>
      <c r="S56" s="270"/>
      <c r="T56" s="241"/>
      <c r="U56" s="246" t="s">
        <v>320</v>
      </c>
      <c r="V56" s="246" t="s">
        <v>320</v>
      </c>
      <c r="W56" s="246">
        <v>19.618181818181814</v>
      </c>
      <c r="X56" s="241"/>
      <c r="Y56" s="241"/>
      <c r="Z56" s="241"/>
      <c r="AA56" s="241"/>
      <c r="AB56" s="241"/>
      <c r="AC56" s="241"/>
      <c r="AD56" s="246"/>
      <c r="AE56" s="271"/>
      <c r="AF56" s="241"/>
      <c r="AG56" s="241"/>
      <c r="AH56" s="246">
        <v>23.599999999999998</v>
      </c>
      <c r="AI56" s="241"/>
      <c r="AJ56" s="241"/>
      <c r="AK56" s="246" t="s">
        <v>320</v>
      </c>
      <c r="AL56" s="246"/>
      <c r="AM56" s="246"/>
      <c r="AN56" s="246"/>
      <c r="AO56" s="241" t="s">
        <v>368</v>
      </c>
      <c r="AP56" s="272" t="s">
        <v>309</v>
      </c>
      <c r="AQ56" s="246"/>
      <c r="AR56" s="246"/>
      <c r="AS56" s="273" t="s">
        <v>458</v>
      </c>
    </row>
    <row r="57" spans="1:51" x14ac:dyDescent="0.3">
      <c r="A57" s="241">
        <v>5663</v>
      </c>
      <c r="B57" s="274">
        <v>42564</v>
      </c>
      <c r="C57" s="243" t="s">
        <v>322</v>
      </c>
      <c r="D57" s="244" t="s">
        <v>190</v>
      </c>
      <c r="E57" s="241"/>
      <c r="F57" s="241" t="s">
        <v>367</v>
      </c>
      <c r="G57" s="248">
        <v>42553</v>
      </c>
      <c r="H57" s="245" t="s">
        <v>324</v>
      </c>
      <c r="I57" s="245" t="s">
        <v>325</v>
      </c>
      <c r="J57" s="245"/>
      <c r="K57" s="241" t="s">
        <v>401</v>
      </c>
      <c r="L57" s="224" t="s">
        <v>391</v>
      </c>
      <c r="M57" s="246">
        <v>151.53636363636363</v>
      </c>
      <c r="N57" s="246">
        <v>40.072727272727271</v>
      </c>
      <c r="O57" s="241"/>
      <c r="P57" s="241"/>
      <c r="Q57" s="271"/>
      <c r="R57" s="241"/>
      <c r="S57" s="271"/>
      <c r="T57" s="241"/>
      <c r="U57" s="246" t="s">
        <v>320</v>
      </c>
      <c r="V57" s="246" t="s">
        <v>320</v>
      </c>
      <c r="W57" s="246">
        <v>20.027272727272727</v>
      </c>
      <c r="X57" s="241"/>
      <c r="Y57" s="241"/>
      <c r="Z57" s="241"/>
      <c r="AA57" s="241"/>
      <c r="AB57" s="241"/>
      <c r="AC57" s="241"/>
      <c r="AD57" s="246"/>
      <c r="AE57" s="271"/>
      <c r="AF57" s="241"/>
      <c r="AG57" s="241"/>
      <c r="AH57" s="246">
        <v>24.490909090909089</v>
      </c>
      <c r="AI57" s="241"/>
      <c r="AJ57" s="241"/>
      <c r="AK57" s="246" t="s">
        <v>320</v>
      </c>
      <c r="AL57" s="246"/>
      <c r="AM57" s="246"/>
      <c r="AN57" s="246"/>
      <c r="AO57" s="241" t="s">
        <v>368</v>
      </c>
      <c r="AP57" s="272" t="s">
        <v>309</v>
      </c>
      <c r="AQ57" s="246"/>
      <c r="AR57" s="246"/>
      <c r="AS57" s="159" t="s">
        <v>459</v>
      </c>
    </row>
    <row r="58" spans="1:51" x14ac:dyDescent="0.3">
      <c r="A58" s="241">
        <v>4382</v>
      </c>
      <c r="B58" s="268">
        <v>42559</v>
      </c>
      <c r="C58" s="243" t="s">
        <v>322</v>
      </c>
      <c r="D58" s="244" t="s">
        <v>190</v>
      </c>
      <c r="E58" s="241"/>
      <c r="F58" s="241" t="s">
        <v>367</v>
      </c>
      <c r="G58" s="248">
        <v>42551</v>
      </c>
      <c r="H58" s="245" t="s">
        <v>324</v>
      </c>
      <c r="I58" s="245" t="s">
        <v>325</v>
      </c>
      <c r="J58" s="245"/>
      <c r="K58" s="241" t="s">
        <v>403</v>
      </c>
      <c r="L58" s="224" t="s">
        <v>391</v>
      </c>
      <c r="M58" s="246">
        <v>105.52727272727272</v>
      </c>
      <c r="N58" s="246">
        <v>38.627272727272725</v>
      </c>
      <c r="O58" s="241"/>
      <c r="P58" s="241"/>
      <c r="Q58" s="271"/>
      <c r="R58" s="271"/>
      <c r="S58" s="271"/>
      <c r="T58" s="241"/>
      <c r="U58" s="246" t="s">
        <v>320</v>
      </c>
      <c r="V58" s="246" t="s">
        <v>320</v>
      </c>
      <c r="W58" s="246">
        <v>15.509090909090906</v>
      </c>
      <c r="X58" s="241"/>
      <c r="Y58" s="241"/>
      <c r="Z58" s="241"/>
      <c r="AA58" s="241"/>
      <c r="AB58" s="241"/>
      <c r="AC58" s="241"/>
      <c r="AD58" s="246"/>
      <c r="AE58" s="271"/>
      <c r="AF58" s="241"/>
      <c r="AG58" s="241"/>
      <c r="AH58" s="246">
        <v>33.654545454545456</v>
      </c>
      <c r="AI58" s="241"/>
      <c r="AJ58" s="241"/>
      <c r="AK58" s="246" t="s">
        <v>320</v>
      </c>
      <c r="AL58" s="246"/>
      <c r="AM58" s="246"/>
      <c r="AN58" s="246"/>
      <c r="AO58" s="241" t="s">
        <v>368</v>
      </c>
      <c r="AP58" s="272" t="s">
        <v>309</v>
      </c>
      <c r="AQ58" s="246"/>
      <c r="AR58" s="246"/>
      <c r="AS58" s="273" t="s">
        <v>460</v>
      </c>
    </row>
    <row r="59" spans="1:51" x14ac:dyDescent="0.3">
      <c r="A59" s="241">
        <v>10532</v>
      </c>
      <c r="B59" s="274">
        <v>42564</v>
      </c>
      <c r="C59" s="243" t="s">
        <v>322</v>
      </c>
      <c r="D59" s="244" t="s">
        <v>190</v>
      </c>
      <c r="E59" s="241"/>
      <c r="F59" s="241" t="s">
        <v>367</v>
      </c>
      <c r="G59" s="248">
        <v>42551</v>
      </c>
      <c r="H59" s="245" t="s">
        <v>324</v>
      </c>
      <c r="I59" s="245" t="s">
        <v>325</v>
      </c>
      <c r="J59" s="245"/>
      <c r="K59" s="241" t="s">
        <v>348</v>
      </c>
      <c r="L59" s="224" t="s">
        <v>391</v>
      </c>
      <c r="M59" s="246">
        <v>137.5</v>
      </c>
      <c r="N59" s="246">
        <v>34.209090909090911</v>
      </c>
      <c r="O59" s="241"/>
      <c r="P59" s="241"/>
      <c r="Q59" s="246"/>
      <c r="R59" s="241"/>
      <c r="S59" s="244"/>
      <c r="T59" s="241"/>
      <c r="U59" s="246" t="s">
        <v>320</v>
      </c>
      <c r="V59" s="246" t="s">
        <v>320</v>
      </c>
      <c r="W59" s="246">
        <v>18.718181818181815</v>
      </c>
      <c r="X59" s="241"/>
      <c r="Y59" s="241"/>
      <c r="Z59" s="241"/>
      <c r="AA59" s="241"/>
      <c r="AB59" s="241"/>
      <c r="AC59" s="241"/>
      <c r="AD59" s="246" t="s">
        <v>320</v>
      </c>
      <c r="AE59" s="246"/>
      <c r="AF59" s="241"/>
      <c r="AG59" s="241"/>
      <c r="AH59" s="246">
        <v>32.627272727272725</v>
      </c>
      <c r="AI59" s="241"/>
      <c r="AJ59" s="241"/>
      <c r="AK59" s="246" t="s">
        <v>320</v>
      </c>
      <c r="AL59" s="246"/>
      <c r="AM59" s="246"/>
      <c r="AN59" s="246"/>
      <c r="AO59" s="241" t="s">
        <v>368</v>
      </c>
      <c r="AP59" s="272" t="s">
        <v>309</v>
      </c>
      <c r="AQ59" s="246"/>
      <c r="AR59" s="246"/>
      <c r="AS59" s="241" t="s">
        <v>461</v>
      </c>
      <c r="AT59" s="276"/>
      <c r="AU59" s="246"/>
      <c r="AV59" s="241"/>
      <c r="AW59" s="245"/>
      <c r="AX59" s="245"/>
      <c r="AY59" s="245"/>
    </row>
    <row r="60" spans="1:51" x14ac:dyDescent="0.3">
      <c r="A60" s="241">
        <v>10348</v>
      </c>
      <c r="B60" s="268">
        <v>42559</v>
      </c>
      <c r="C60" s="243" t="s">
        <v>322</v>
      </c>
      <c r="D60" s="244" t="s">
        <v>190</v>
      </c>
      <c r="E60" s="241"/>
      <c r="F60" s="241" t="s">
        <v>367</v>
      </c>
      <c r="G60" s="248">
        <v>42551</v>
      </c>
      <c r="H60" s="245" t="s">
        <v>324</v>
      </c>
      <c r="I60" s="245" t="s">
        <v>325</v>
      </c>
      <c r="J60" s="245"/>
      <c r="K60" s="241" t="s">
        <v>406</v>
      </c>
      <c r="L60" s="224" t="s">
        <v>391</v>
      </c>
      <c r="M60" s="246">
        <v>142.39999999999998</v>
      </c>
      <c r="N60" s="246">
        <v>35.529999999999994</v>
      </c>
      <c r="O60" s="241"/>
      <c r="P60" s="241"/>
      <c r="Q60" s="271"/>
      <c r="R60" s="241"/>
      <c r="S60" s="270"/>
      <c r="T60" s="241"/>
      <c r="U60" s="246" t="s">
        <v>320</v>
      </c>
      <c r="V60" s="246" t="s">
        <v>320</v>
      </c>
      <c r="W60" s="246">
        <v>19.349999999999998</v>
      </c>
      <c r="X60" s="241"/>
      <c r="Y60" s="241"/>
      <c r="Z60" s="241"/>
      <c r="AA60" s="241"/>
      <c r="AB60" s="241"/>
      <c r="AC60" s="241"/>
      <c r="AD60" s="246"/>
      <c r="AE60" s="271"/>
      <c r="AF60" s="241"/>
      <c r="AG60" s="241"/>
      <c r="AH60" s="246">
        <v>34.579999999999991</v>
      </c>
      <c r="AI60" s="241"/>
      <c r="AJ60" s="241"/>
      <c r="AK60" s="246" t="s">
        <v>320</v>
      </c>
      <c r="AL60" s="246"/>
      <c r="AM60" s="246"/>
      <c r="AN60" s="246"/>
      <c r="AO60" s="241" t="s">
        <v>368</v>
      </c>
      <c r="AP60" s="272" t="s">
        <v>309</v>
      </c>
      <c r="AQ60" s="246"/>
      <c r="AR60" s="246"/>
      <c r="AS60" s="159" t="s">
        <v>407</v>
      </c>
    </row>
    <row r="61" spans="1:51" x14ac:dyDescent="0.3">
      <c r="A61" s="241">
        <v>10690</v>
      </c>
      <c r="B61" s="268">
        <v>42559</v>
      </c>
      <c r="C61" s="243" t="s">
        <v>322</v>
      </c>
      <c r="D61" s="244" t="s">
        <v>190</v>
      </c>
      <c r="E61" s="241"/>
      <c r="F61" s="241" t="s">
        <v>367</v>
      </c>
      <c r="G61" s="248">
        <v>42551</v>
      </c>
      <c r="H61" s="245" t="s">
        <v>324</v>
      </c>
      <c r="I61" s="245" t="s">
        <v>325</v>
      </c>
      <c r="J61" s="245"/>
      <c r="K61" s="241" t="s">
        <v>408</v>
      </c>
      <c r="L61" s="224" t="s">
        <v>391</v>
      </c>
      <c r="M61" s="246">
        <v>151.89090909090908</v>
      </c>
      <c r="N61" s="246">
        <v>33.200000000000003</v>
      </c>
      <c r="O61" s="241"/>
      <c r="P61" s="241"/>
      <c r="Q61" s="271"/>
      <c r="R61" s="241"/>
      <c r="S61" s="270"/>
      <c r="T61" s="241"/>
      <c r="U61" s="246" t="s">
        <v>320</v>
      </c>
      <c r="V61" s="246" t="s">
        <v>320</v>
      </c>
      <c r="W61" s="246">
        <v>18.763636363636362</v>
      </c>
      <c r="X61" s="241"/>
      <c r="Y61" s="241"/>
      <c r="Z61" s="241"/>
      <c r="AA61" s="241"/>
      <c r="AB61" s="241"/>
      <c r="AC61" s="241"/>
      <c r="AD61" s="246"/>
      <c r="AE61" s="271"/>
      <c r="AF61" s="241"/>
      <c r="AG61" s="241"/>
      <c r="AH61" s="246">
        <v>28.327272727272724</v>
      </c>
      <c r="AI61" s="241"/>
      <c r="AJ61" s="241"/>
      <c r="AK61" s="246" t="s">
        <v>320</v>
      </c>
      <c r="AL61" s="246"/>
      <c r="AM61" s="246"/>
      <c r="AN61" s="246"/>
      <c r="AO61" s="241" t="s">
        <v>368</v>
      </c>
      <c r="AP61" s="272" t="s">
        <v>309</v>
      </c>
      <c r="AQ61" s="246"/>
      <c r="AR61" s="246"/>
      <c r="AS61" s="273" t="s">
        <v>462</v>
      </c>
    </row>
    <row r="62" spans="1:51" x14ac:dyDescent="0.3">
      <c r="A62" s="241">
        <v>1412</v>
      </c>
      <c r="B62" s="268">
        <v>42559</v>
      </c>
      <c r="C62" s="243" t="s">
        <v>322</v>
      </c>
      <c r="D62" s="244" t="s">
        <v>190</v>
      </c>
      <c r="E62" s="241"/>
      <c r="F62" s="241" t="s">
        <v>367</v>
      </c>
      <c r="G62" s="248">
        <v>42551</v>
      </c>
      <c r="H62" s="245" t="s">
        <v>324</v>
      </c>
      <c r="I62" s="245" t="s">
        <v>325</v>
      </c>
      <c r="J62" s="245"/>
      <c r="K62" s="241" t="s">
        <v>410</v>
      </c>
      <c r="L62" s="224" t="s">
        <v>391</v>
      </c>
      <c r="M62" s="246">
        <v>168</v>
      </c>
      <c r="N62" s="246">
        <v>36.799999999999997</v>
      </c>
      <c r="O62" s="244"/>
      <c r="P62" s="241"/>
      <c r="Q62" s="271"/>
      <c r="R62" s="241"/>
      <c r="S62" s="270"/>
      <c r="T62" s="241"/>
      <c r="U62" s="246" t="s">
        <v>320</v>
      </c>
      <c r="V62" s="246" t="s">
        <v>320</v>
      </c>
      <c r="W62" s="246">
        <v>19.899999999999999</v>
      </c>
      <c r="X62" s="241"/>
      <c r="Y62" s="241"/>
      <c r="Z62" s="241"/>
      <c r="AA62" s="241"/>
      <c r="AB62" s="241"/>
      <c r="AC62" s="241"/>
      <c r="AD62" s="246"/>
      <c r="AE62" s="271"/>
      <c r="AF62" s="241"/>
      <c r="AG62" s="241"/>
      <c r="AH62" s="246">
        <v>26.999999999999996</v>
      </c>
      <c r="AI62" s="241"/>
      <c r="AJ62" s="241"/>
      <c r="AK62" s="246" t="s">
        <v>320</v>
      </c>
      <c r="AL62" s="246"/>
      <c r="AM62" s="246"/>
      <c r="AN62" s="246"/>
      <c r="AO62" s="241" t="s">
        <v>368</v>
      </c>
      <c r="AP62" s="272" t="s">
        <v>309</v>
      </c>
      <c r="AQ62" s="246"/>
      <c r="AR62" s="246"/>
      <c r="AS62" s="273" t="s">
        <v>463</v>
      </c>
    </row>
    <row r="63" spans="1:51" x14ac:dyDescent="0.3">
      <c r="A63" s="241">
        <v>3612</v>
      </c>
      <c r="B63" s="274">
        <v>42564</v>
      </c>
      <c r="C63" s="243" t="s">
        <v>322</v>
      </c>
      <c r="D63" s="244" t="s">
        <v>190</v>
      </c>
      <c r="E63" s="241"/>
      <c r="F63" s="241" t="s">
        <v>367</v>
      </c>
      <c r="G63" s="248">
        <v>42551</v>
      </c>
      <c r="H63" s="245" t="s">
        <v>324</v>
      </c>
      <c r="I63" s="245" t="s">
        <v>325</v>
      </c>
      <c r="J63" s="245"/>
      <c r="K63" s="241" t="s">
        <v>412</v>
      </c>
      <c r="L63" s="224" t="s">
        <v>391</v>
      </c>
      <c r="M63" s="246">
        <v>137.05454545454543</v>
      </c>
      <c r="N63" s="246">
        <v>36.081818181818178</v>
      </c>
      <c r="O63" s="241"/>
      <c r="P63" s="241"/>
      <c r="Q63" s="271"/>
      <c r="R63" s="241"/>
      <c r="S63" s="270"/>
      <c r="T63" s="241"/>
      <c r="U63" s="246" t="s">
        <v>320</v>
      </c>
      <c r="V63" s="246" t="s">
        <v>320</v>
      </c>
      <c r="W63" s="246">
        <v>20</v>
      </c>
      <c r="X63" s="241"/>
      <c r="Y63" s="241"/>
      <c r="Z63" s="241"/>
      <c r="AA63" s="241"/>
      <c r="AB63" s="241"/>
      <c r="AC63" s="241"/>
      <c r="AD63" s="246"/>
      <c r="AE63" s="271"/>
      <c r="AF63" s="241"/>
      <c r="AG63" s="241"/>
      <c r="AH63" s="246">
        <v>34.618181818181817</v>
      </c>
      <c r="AI63" s="241"/>
      <c r="AJ63" s="241"/>
      <c r="AK63" s="246" t="s">
        <v>320</v>
      </c>
      <c r="AL63" s="246"/>
      <c r="AM63" s="246"/>
      <c r="AN63" s="246"/>
      <c r="AO63" s="241" t="s">
        <v>368</v>
      </c>
      <c r="AP63" s="272" t="s">
        <v>309</v>
      </c>
      <c r="AQ63" s="246"/>
      <c r="AR63" s="246"/>
      <c r="AS63" s="159" t="s">
        <v>464</v>
      </c>
    </row>
    <row r="64" spans="1:51" x14ac:dyDescent="0.3">
      <c r="A64" s="241">
        <v>10383</v>
      </c>
      <c r="B64" s="268">
        <v>42559</v>
      </c>
      <c r="C64" s="243" t="s">
        <v>322</v>
      </c>
      <c r="D64" s="244" t="s">
        <v>190</v>
      </c>
      <c r="E64" s="241"/>
      <c r="F64" s="241" t="s">
        <v>367</v>
      </c>
      <c r="G64" s="247">
        <v>42551</v>
      </c>
      <c r="H64" s="245" t="s">
        <v>310</v>
      </c>
      <c r="I64" s="245" t="s">
        <v>309</v>
      </c>
      <c r="J64" s="245"/>
      <c r="K64" s="241" t="s">
        <v>239</v>
      </c>
      <c r="L64" s="224" t="s">
        <v>391</v>
      </c>
      <c r="M64" s="246">
        <v>165</v>
      </c>
      <c r="N64" s="246">
        <v>30.299999999999997</v>
      </c>
      <c r="O64" s="241"/>
      <c r="P64" s="241"/>
      <c r="Q64" s="271"/>
      <c r="R64" s="241"/>
      <c r="S64" s="270"/>
      <c r="T64" s="241"/>
      <c r="U64" s="246" t="s">
        <v>320</v>
      </c>
      <c r="V64" s="246" t="s">
        <v>320</v>
      </c>
      <c r="W64" s="246">
        <v>18.7</v>
      </c>
      <c r="X64" s="241"/>
      <c r="Y64" s="241"/>
      <c r="Z64" s="241"/>
      <c r="AA64" s="241"/>
      <c r="AB64" s="241"/>
      <c r="AC64" s="241"/>
      <c r="AD64" s="246"/>
      <c r="AE64" s="271"/>
      <c r="AF64" s="241"/>
      <c r="AG64" s="241"/>
      <c r="AH64" s="246">
        <v>26.999999999999996</v>
      </c>
      <c r="AI64" s="241"/>
      <c r="AJ64" s="241"/>
      <c r="AK64" s="246" t="s">
        <v>320</v>
      </c>
      <c r="AL64" s="246"/>
      <c r="AM64" s="246"/>
      <c r="AN64" s="246"/>
      <c r="AO64" s="241" t="s">
        <v>368</v>
      </c>
      <c r="AP64" s="272" t="s">
        <v>309</v>
      </c>
      <c r="AQ64" s="246"/>
      <c r="AR64" s="246"/>
      <c r="AS64" s="273" t="s">
        <v>465</v>
      </c>
    </row>
    <row r="65" spans="1:45" x14ac:dyDescent="0.3">
      <c r="A65" s="241">
        <v>9685</v>
      </c>
      <c r="B65" s="268">
        <v>42559</v>
      </c>
      <c r="C65" s="243" t="s">
        <v>322</v>
      </c>
      <c r="D65" s="244" t="s">
        <v>190</v>
      </c>
      <c r="E65" s="241"/>
      <c r="F65" s="241" t="s">
        <v>367</v>
      </c>
      <c r="G65" s="247">
        <v>42551</v>
      </c>
      <c r="H65" s="245" t="s">
        <v>310</v>
      </c>
      <c r="I65" s="245" t="s">
        <v>309</v>
      </c>
      <c r="J65" s="245"/>
      <c r="K65" s="241" t="s">
        <v>307</v>
      </c>
      <c r="L65" s="224" t="s">
        <v>387</v>
      </c>
      <c r="M65" s="246">
        <v>136.99999999999997</v>
      </c>
      <c r="N65" s="246">
        <v>35</v>
      </c>
      <c r="O65" s="241"/>
      <c r="P65" s="241"/>
      <c r="Q65" s="271"/>
      <c r="R65" s="241"/>
      <c r="S65" s="270"/>
      <c r="T65" s="241"/>
      <c r="U65" s="246" t="s">
        <v>320</v>
      </c>
      <c r="V65" s="246" t="s">
        <v>320</v>
      </c>
      <c r="W65" s="246">
        <v>22.954545454545453</v>
      </c>
      <c r="X65" s="241"/>
      <c r="Y65" s="241"/>
      <c r="Z65" s="241"/>
      <c r="AA65" s="241"/>
      <c r="AB65" s="241"/>
      <c r="AC65" s="241"/>
      <c r="AD65" s="246"/>
      <c r="AE65" s="271"/>
      <c r="AF65" s="241"/>
      <c r="AG65" s="241"/>
      <c r="AH65" s="246">
        <v>31</v>
      </c>
      <c r="AI65" s="241"/>
      <c r="AJ65" s="241"/>
      <c r="AK65" s="246" t="s">
        <v>320</v>
      </c>
      <c r="AL65" s="246"/>
      <c r="AM65" s="246"/>
      <c r="AN65" s="246"/>
      <c r="AO65" s="241" t="s">
        <v>368</v>
      </c>
      <c r="AP65" s="272" t="s">
        <v>309</v>
      </c>
      <c r="AQ65" s="246"/>
      <c r="AR65" s="246"/>
      <c r="AS65" s="273" t="s">
        <v>466</v>
      </c>
    </row>
    <row r="66" spans="1:45" x14ac:dyDescent="0.3">
      <c r="A66" s="241">
        <v>5194</v>
      </c>
      <c r="B66" s="268">
        <v>42559</v>
      </c>
      <c r="C66" s="243" t="s">
        <v>322</v>
      </c>
      <c r="D66" s="244" t="s">
        <v>190</v>
      </c>
      <c r="E66" s="241"/>
      <c r="F66" s="241" t="s">
        <v>367</v>
      </c>
      <c r="G66" s="247">
        <v>42551</v>
      </c>
      <c r="H66" s="245" t="s">
        <v>324</v>
      </c>
      <c r="I66" s="245" t="s">
        <v>325</v>
      </c>
      <c r="J66" s="245"/>
      <c r="K66" s="241" t="s">
        <v>358</v>
      </c>
      <c r="L66" s="224" t="s">
        <v>391</v>
      </c>
      <c r="M66" s="246">
        <v>168</v>
      </c>
      <c r="N66" s="246">
        <v>23.999999999999996</v>
      </c>
      <c r="O66" s="241"/>
      <c r="P66" s="241"/>
      <c r="Q66" s="271"/>
      <c r="R66" s="241"/>
      <c r="S66" s="270"/>
      <c r="T66" s="241"/>
      <c r="U66" s="246" t="s">
        <v>320</v>
      </c>
      <c r="V66" s="246" t="s">
        <v>320</v>
      </c>
      <c r="W66" s="246">
        <v>23.999999999999996</v>
      </c>
      <c r="X66" s="241"/>
      <c r="Y66" s="241"/>
      <c r="Z66" s="241"/>
      <c r="AA66" s="241"/>
      <c r="AB66" s="241"/>
      <c r="AC66" s="241"/>
      <c r="AD66" s="246"/>
      <c r="AE66" s="271"/>
      <c r="AF66" s="241"/>
      <c r="AG66" s="241"/>
      <c r="AH66" s="246">
        <v>23.999999999999996</v>
      </c>
      <c r="AI66" s="241"/>
      <c r="AJ66" s="241"/>
      <c r="AK66" s="246" t="s">
        <v>320</v>
      </c>
      <c r="AL66" s="246"/>
      <c r="AM66" s="246"/>
      <c r="AN66" s="246"/>
      <c r="AO66" s="241" t="s">
        <v>368</v>
      </c>
      <c r="AP66" s="272" t="s">
        <v>309</v>
      </c>
      <c r="AQ66" s="246"/>
      <c r="AR66" s="246"/>
      <c r="AS66" s="273" t="s">
        <v>467</v>
      </c>
    </row>
    <row r="67" spans="1:45" x14ac:dyDescent="0.3">
      <c r="A67" s="241"/>
      <c r="B67" s="268">
        <v>42559</v>
      </c>
      <c r="C67" s="243" t="s">
        <v>322</v>
      </c>
      <c r="D67" s="244" t="s">
        <v>190</v>
      </c>
      <c r="E67" s="241"/>
      <c r="F67" s="241" t="s">
        <v>367</v>
      </c>
      <c r="G67" s="248">
        <v>42551</v>
      </c>
      <c r="H67" s="245" t="s">
        <v>310</v>
      </c>
      <c r="I67" s="245" t="s">
        <v>309</v>
      </c>
      <c r="J67" s="245"/>
      <c r="K67" s="241" t="s">
        <v>420</v>
      </c>
      <c r="L67" s="224" t="s">
        <v>391</v>
      </c>
      <c r="M67" s="246">
        <v>140</v>
      </c>
      <c r="N67" s="246">
        <v>31</v>
      </c>
      <c r="O67" s="241"/>
      <c r="P67" s="241"/>
      <c r="Q67" s="271"/>
      <c r="R67" s="241"/>
      <c r="S67" s="270"/>
      <c r="T67" s="241"/>
      <c r="U67" s="246"/>
      <c r="V67" s="246"/>
      <c r="W67" s="246">
        <v>19.399999999999999</v>
      </c>
      <c r="X67" s="241"/>
      <c r="Y67" s="241"/>
      <c r="Z67" s="241"/>
      <c r="AA67" s="241"/>
      <c r="AB67" s="241"/>
      <c r="AC67" s="241"/>
      <c r="AD67" s="246"/>
      <c r="AE67" s="271"/>
      <c r="AF67" s="241"/>
      <c r="AG67" s="241"/>
      <c r="AH67" s="246">
        <v>30.454545454545453</v>
      </c>
      <c r="AI67" s="241"/>
      <c r="AJ67" s="241"/>
      <c r="AK67" s="246"/>
      <c r="AL67" s="246"/>
      <c r="AM67" s="246"/>
      <c r="AN67" s="246"/>
      <c r="AO67" s="241" t="s">
        <v>368</v>
      </c>
      <c r="AP67" s="272" t="s">
        <v>309</v>
      </c>
      <c r="AQ67" s="246"/>
      <c r="AR67" s="246"/>
      <c r="AS67" s="273" t="s">
        <v>468</v>
      </c>
    </row>
    <row r="68" spans="1:45" x14ac:dyDescent="0.3">
      <c r="A68" s="241"/>
      <c r="B68" s="268">
        <v>42559</v>
      </c>
      <c r="C68" s="243" t="s">
        <v>322</v>
      </c>
      <c r="D68" s="244" t="s">
        <v>190</v>
      </c>
      <c r="E68" s="241"/>
      <c r="F68" s="241" t="s">
        <v>367</v>
      </c>
      <c r="G68" s="248">
        <v>42494</v>
      </c>
      <c r="H68" s="245" t="s">
        <v>310</v>
      </c>
      <c r="I68" s="245" t="s">
        <v>309</v>
      </c>
      <c r="J68" s="245"/>
      <c r="K68" s="241" t="s">
        <v>422</v>
      </c>
      <c r="L68" s="224" t="s">
        <v>391</v>
      </c>
      <c r="M68" s="246">
        <v>117.85454545454543</v>
      </c>
      <c r="N68" s="246">
        <v>30.945454545454542</v>
      </c>
      <c r="O68" s="241"/>
      <c r="P68" s="241"/>
      <c r="Q68" s="271"/>
      <c r="R68" s="241"/>
      <c r="S68" s="270"/>
      <c r="T68" s="241"/>
      <c r="U68" s="246"/>
      <c r="V68" s="246"/>
      <c r="W68" s="246">
        <v>20.536363636363635</v>
      </c>
      <c r="X68" s="241"/>
      <c r="Y68" s="241"/>
      <c r="Z68" s="241"/>
      <c r="AA68" s="241"/>
      <c r="AB68" s="241"/>
      <c r="AC68" s="241"/>
      <c r="AD68" s="246"/>
      <c r="AE68" s="271"/>
      <c r="AF68" s="241"/>
      <c r="AG68" s="241"/>
      <c r="AH68" s="246">
        <v>25.627272727272725</v>
      </c>
      <c r="AI68" s="241"/>
      <c r="AJ68" s="241"/>
      <c r="AK68" s="246"/>
      <c r="AL68" s="246"/>
      <c r="AM68" s="246"/>
      <c r="AN68" s="246"/>
      <c r="AO68" s="241" t="s">
        <v>368</v>
      </c>
      <c r="AP68" s="272" t="s">
        <v>309</v>
      </c>
      <c r="AQ68" s="246"/>
      <c r="AR68" s="246"/>
      <c r="AS68" s="273" t="s">
        <v>469</v>
      </c>
    </row>
    <row r="69" spans="1:45" x14ac:dyDescent="0.3">
      <c r="A69" s="241"/>
      <c r="B69" s="268">
        <v>42559</v>
      </c>
      <c r="C69" s="243" t="s">
        <v>322</v>
      </c>
      <c r="D69" s="244" t="s">
        <v>190</v>
      </c>
      <c r="E69" s="241"/>
      <c r="F69" s="241" t="s">
        <v>367</v>
      </c>
      <c r="G69" s="248">
        <v>42551</v>
      </c>
      <c r="H69" s="245" t="s">
        <v>309</v>
      </c>
      <c r="I69" s="245" t="s">
        <v>355</v>
      </c>
      <c r="J69" s="245"/>
      <c r="K69" s="241" t="s">
        <v>424</v>
      </c>
      <c r="L69" s="224" t="s">
        <v>391</v>
      </c>
      <c r="M69" s="246">
        <v>145.30000000000001</v>
      </c>
      <c r="N69" s="246">
        <v>33.6</v>
      </c>
      <c r="O69" s="241"/>
      <c r="P69" s="241"/>
      <c r="Q69" s="271"/>
      <c r="R69" s="241"/>
      <c r="S69" s="270"/>
      <c r="T69" s="241"/>
      <c r="U69" s="246"/>
      <c r="V69" s="246"/>
      <c r="W69" s="246">
        <v>18.099999999999998</v>
      </c>
      <c r="X69" s="241"/>
      <c r="Y69" s="241"/>
      <c r="Z69" s="241"/>
      <c r="AA69" s="241"/>
      <c r="AB69" s="241"/>
      <c r="AC69" s="241"/>
      <c r="AD69" s="246"/>
      <c r="AE69" s="271"/>
      <c r="AF69" s="241"/>
      <c r="AG69" s="241"/>
      <c r="AH69" s="246">
        <v>32.599999999999994</v>
      </c>
      <c r="AI69" s="241"/>
      <c r="AJ69" s="241"/>
      <c r="AK69" s="246"/>
      <c r="AL69" s="246"/>
      <c r="AM69" s="246"/>
      <c r="AN69" s="246"/>
      <c r="AO69" s="241" t="s">
        <v>368</v>
      </c>
      <c r="AP69" s="272" t="s">
        <v>309</v>
      </c>
      <c r="AQ69" s="246"/>
      <c r="AR69" s="246"/>
      <c r="AS69" s="273" t="s">
        <v>470</v>
      </c>
    </row>
    <row r="70" spans="1:45" x14ac:dyDescent="0.3">
      <c r="A70" s="241"/>
      <c r="B70" s="268">
        <v>42559</v>
      </c>
      <c r="C70" s="243" t="s">
        <v>322</v>
      </c>
      <c r="D70" s="244" t="s">
        <v>190</v>
      </c>
      <c r="E70" s="241"/>
      <c r="F70" s="241" t="s">
        <v>367</v>
      </c>
      <c r="G70" s="248">
        <v>42551</v>
      </c>
      <c r="H70" s="245" t="s">
        <v>309</v>
      </c>
      <c r="I70" s="245" t="s">
        <v>355</v>
      </c>
      <c r="J70" s="245"/>
      <c r="K70" s="241" t="s">
        <v>426</v>
      </c>
      <c r="L70" s="224" t="s">
        <v>391</v>
      </c>
      <c r="M70" s="246">
        <v>151.53636363636363</v>
      </c>
      <c r="N70" s="246">
        <v>40.072727272727271</v>
      </c>
      <c r="O70" s="241"/>
      <c r="P70" s="241"/>
      <c r="Q70" s="271"/>
      <c r="R70" s="241"/>
      <c r="S70" s="270"/>
      <c r="T70" s="241"/>
      <c r="U70" s="246"/>
      <c r="V70" s="246"/>
      <c r="W70" s="246">
        <v>20.027272727272727</v>
      </c>
      <c r="X70" s="241"/>
      <c r="Y70" s="241"/>
      <c r="Z70" s="241"/>
      <c r="AA70" s="241"/>
      <c r="AB70" s="241"/>
      <c r="AC70" s="241"/>
      <c r="AD70" s="246"/>
      <c r="AE70" s="271"/>
      <c r="AF70" s="241"/>
      <c r="AG70" s="241"/>
      <c r="AH70" s="246">
        <v>24.490909090909089</v>
      </c>
      <c r="AI70" s="241"/>
      <c r="AJ70" s="241"/>
      <c r="AK70" s="246"/>
      <c r="AL70" s="246"/>
      <c r="AM70" s="246"/>
      <c r="AN70" s="246"/>
      <c r="AO70" s="241" t="s">
        <v>368</v>
      </c>
      <c r="AP70" s="272" t="s">
        <v>309</v>
      </c>
      <c r="AQ70" s="246"/>
      <c r="AR70" s="246"/>
      <c r="AS70" s="273" t="s">
        <v>471</v>
      </c>
    </row>
    <row r="71" spans="1:45" x14ac:dyDescent="0.3">
      <c r="A71" s="241"/>
      <c r="B71" s="268">
        <v>42559</v>
      </c>
      <c r="C71" s="243" t="s">
        <v>322</v>
      </c>
      <c r="D71" s="244" t="s">
        <v>190</v>
      </c>
      <c r="E71" s="241"/>
      <c r="F71" s="241" t="s">
        <v>367</v>
      </c>
      <c r="G71" s="248">
        <v>42551</v>
      </c>
      <c r="H71" s="245" t="s">
        <v>310</v>
      </c>
      <c r="I71" s="245" t="s">
        <v>472</v>
      </c>
      <c r="J71" s="245"/>
      <c r="K71" s="241" t="s">
        <v>428</v>
      </c>
      <c r="L71" s="224" t="s">
        <v>391</v>
      </c>
      <c r="M71" s="246">
        <v>162.26363636363635</v>
      </c>
      <c r="N71" s="246">
        <v>28.036363636363635</v>
      </c>
      <c r="O71" s="241"/>
      <c r="P71" s="241"/>
      <c r="Q71" s="271"/>
      <c r="R71" s="241"/>
      <c r="S71" s="270"/>
      <c r="T71" s="241"/>
      <c r="U71" s="246"/>
      <c r="V71" s="246"/>
      <c r="W71" s="246">
        <v>16.518181818181819</v>
      </c>
      <c r="X71" s="241"/>
      <c r="Y71" s="241"/>
      <c r="Z71" s="241"/>
      <c r="AA71" s="241"/>
      <c r="AB71" s="241"/>
      <c r="AC71" s="241"/>
      <c r="AD71" s="246"/>
      <c r="AE71" s="271"/>
      <c r="AF71" s="241"/>
      <c r="AG71" s="241"/>
      <c r="AH71" s="246">
        <v>25.299999999999997</v>
      </c>
      <c r="AI71" s="241"/>
      <c r="AJ71" s="241"/>
      <c r="AK71" s="246"/>
      <c r="AL71" s="246"/>
      <c r="AM71" s="246"/>
      <c r="AN71" s="246"/>
      <c r="AO71" s="241" t="s">
        <v>368</v>
      </c>
      <c r="AP71" s="272" t="s">
        <v>309</v>
      </c>
      <c r="AQ71" s="246"/>
      <c r="AR71" s="246"/>
      <c r="AS71" s="273" t="s">
        <v>473</v>
      </c>
    </row>
  </sheetData>
  <sheetProtection algorithmName="SHA-512" hashValue="gusD1QcaeeywZ1dK+codRa8SyEKLjomcTP8BtVaINeXJf8HqKkNQSHChXdCeq3AnXtsNRakyj62TwV7IR+/g6A==" saltValue="Qbsbsjj+H0Q98RZXXg/bzg==" spinCount="100000" sheet="1" objects="1" scenarios="1"/>
  <hyperlinks>
    <hyperlink ref="AS3" r:id="rId1" xr:uid="{47F2633A-A33B-7D4C-BF4F-8D11234E0FF2}"/>
    <hyperlink ref="AS2" r:id="rId2" xr:uid="{B16F90DE-56C3-2A4A-9E24-BF00AE594989}"/>
    <hyperlink ref="AS4" r:id="rId3" xr:uid="{DC9BF6F7-8D40-2B47-B6B5-6C6B665EF9CC}"/>
    <hyperlink ref="AS5" r:id="rId4" xr:uid="{EF1DBA19-0A13-644C-88B2-5AB0AE14FC94}"/>
    <hyperlink ref="AS6" r:id="rId5" xr:uid="{632630E9-493B-0845-BE42-071F1A1F472F}"/>
    <hyperlink ref="AS7" r:id="rId6" xr:uid="{692D74FB-C97C-D142-8CB7-2F61CA9C5B7B}"/>
    <hyperlink ref="AS16" r:id="rId7" xr:uid="{E8C43503-B1B3-BC4B-A95F-1635CAE94924}"/>
    <hyperlink ref="AS17" r:id="rId8" xr:uid="{CA98D124-87BF-8F44-8D0C-43437B4E0A0F}"/>
    <hyperlink ref="AS20" r:id="rId9" xr:uid="{8D7E85A0-3569-FF43-A0F8-9A0BAB956BBB}"/>
    <hyperlink ref="AS10" r:id="rId10" xr:uid="{84F6EA8B-C6FF-C14E-BF54-DC5D8B8599BB}"/>
    <hyperlink ref="AS11" r:id="rId11" xr:uid="{FED3E0A6-02A8-C440-B6AB-C7722420A4A3}"/>
    <hyperlink ref="AS13" r:id="rId12" xr:uid="{EBE8590C-DA83-AC49-890F-B49B6CD5ECCD}"/>
    <hyperlink ref="AS18" r:id="rId13" xr:uid="{CB44AE21-FF91-7840-8D8B-EE97DE84A987}"/>
    <hyperlink ref="AS14" r:id="rId14" xr:uid="{73B0A43D-1ED4-AB40-8F04-B8A5F28C8351}"/>
    <hyperlink ref="AS15" r:id="rId15" xr:uid="{D461DAEE-5B65-1A45-BE99-FDB195F15814}"/>
    <hyperlink ref="AS8" r:id="rId16" xr:uid="{1CEDA60D-27CA-5244-A5EC-183249295DB1}"/>
    <hyperlink ref="AS21" r:id="rId17" xr:uid="{865FF0E4-39FB-FE4A-B95B-CB2AF912D75E}"/>
    <hyperlink ref="AS22" r:id="rId18" xr:uid="{BBBE2CB2-F051-2040-BE07-DB7674222395}"/>
    <hyperlink ref="AS23" r:id="rId19" xr:uid="{CD27E165-8574-A645-BF33-709328CDD084}"/>
    <hyperlink ref="AS24" r:id="rId20" xr:uid="{EF15209E-C73A-1B4D-8FA4-DC33FF33B17E}"/>
    <hyperlink ref="AS25" r:id="rId21" xr:uid="{543C29C4-B08D-7242-996D-8D85398D51AF}"/>
    <hyperlink ref="AS26" r:id="rId22" xr:uid="{7D0CA589-557E-4E4E-B8D3-91AFC6720589}"/>
    <hyperlink ref="AS28" r:id="rId23" xr:uid="{5C29EA5F-05D7-1E42-BF5F-CFABCF317066}"/>
    <hyperlink ref="AS27" r:id="rId24" xr:uid="{C60702E1-146C-124F-8390-1F0A58019C40}"/>
    <hyperlink ref="AS29" r:id="rId25" xr:uid="{EDE55E0F-3C8E-4B4C-BD3E-825FD75342EB}"/>
    <hyperlink ref="AS30" r:id="rId26" xr:uid="{7DB21D56-CB90-AE4F-BDC3-88AE8317D4C8}"/>
    <hyperlink ref="AS31" r:id="rId27" xr:uid="{DC95F507-27B0-F842-8BDE-48F2A788D5B8}"/>
    <hyperlink ref="AS32" r:id="rId28" xr:uid="{5E62F49F-6526-E745-9BBC-98428A3DC1C6}"/>
    <hyperlink ref="AS45" r:id="rId29" xr:uid="{AB71BBF7-0A32-954A-88DB-CE2FB157D73B}"/>
    <hyperlink ref="AS41" r:id="rId30" xr:uid="{FD2BDBD9-F3D6-9D4A-A97B-9155BEF71358}"/>
    <hyperlink ref="AS42" r:id="rId31" xr:uid="{52A58FEE-864D-A84F-BB8C-C96F343098BF}"/>
    <hyperlink ref="AS44" r:id="rId32" xr:uid="{42456BCC-B2E1-5D42-92BE-C638B83C4CD2}"/>
    <hyperlink ref="AS46" r:id="rId33" xr:uid="{13B3A4A7-26E3-534B-8103-ECBA4F88443A}"/>
    <hyperlink ref="AS35" r:id="rId34" xr:uid="{CE8601E3-0BC8-DB40-8D50-4468265C97F2}"/>
    <hyperlink ref="AS47" r:id="rId35" xr:uid="{F218960F-8193-6840-A3FB-0DF34AEAC7B6}"/>
    <hyperlink ref="AS36" r:id="rId36" xr:uid="{ED520A12-7516-3043-87A2-4044717DF52E}"/>
    <hyperlink ref="AS48" r:id="rId37" xr:uid="{CABCD98C-D287-0240-AA00-948937BE4C51}"/>
    <hyperlink ref="AS38" r:id="rId38" xr:uid="{4523C733-481F-EB45-97D1-5D5B06ECE5FB}"/>
    <hyperlink ref="AS43" r:id="rId39" xr:uid="{D9E83E68-7903-B048-A6B8-0140676A6CCD}"/>
    <hyperlink ref="AS39" r:id="rId40" xr:uid="{B6945CB2-F498-C94B-ACD9-70E7666CF98C}"/>
    <hyperlink ref="AS40" r:id="rId41" xr:uid="{BB5754FF-6414-7E41-A5A9-2E3B7783B320}"/>
    <hyperlink ref="AS33" r:id="rId42" xr:uid="{031F0B2C-9596-304C-B302-122B6EBB97DC}"/>
    <hyperlink ref="AS49" r:id="rId43" xr:uid="{73D95F5A-3F17-3B43-8AB2-92387A9391E6}"/>
    <hyperlink ref="AS51" r:id="rId44" xr:uid="{CDBB0100-84A4-C247-A89E-1547C763133E}"/>
    <hyperlink ref="AS50" r:id="rId45" xr:uid="{309C5E88-4603-F547-A78A-872948E64171}"/>
    <hyperlink ref="AS52" r:id="rId46" xr:uid="{50A06FA2-01D2-4946-B557-2C11E0F818C8}"/>
    <hyperlink ref="AS53" r:id="rId47" xr:uid="{35BC2652-67CD-5D49-BAFF-B258EF831005}"/>
    <hyperlink ref="AS54" r:id="rId48" xr:uid="{42378710-2318-084E-96F1-D99FA436E588}"/>
    <hyperlink ref="AS55" r:id="rId49" xr:uid="{DAA6EB7B-89BC-A242-A614-5C64099105CE}"/>
    <hyperlink ref="AS67" r:id="rId50" xr:uid="{5BF8D314-3ED6-784D-971E-006510C4995A}"/>
    <hyperlink ref="AS64" r:id="rId51" xr:uid="{4B22B8CD-05C0-6442-A1C8-8C1FB690744B}"/>
    <hyperlink ref="AS65" r:id="rId52" xr:uid="{7BBC9750-F3B0-2B4D-A086-24B8B41B6C5B}"/>
    <hyperlink ref="AS66" r:id="rId53" xr:uid="{50949EEC-3A79-FE41-98BE-AD633158CF6A}"/>
    <hyperlink ref="AS68" r:id="rId54" xr:uid="{ACC162E3-F3E9-9A44-B90E-D12E9D33C87D}"/>
    <hyperlink ref="AS58" r:id="rId55" xr:uid="{6D914C30-57D2-DE4C-9641-5B2B691562A9}"/>
    <hyperlink ref="AS69" r:id="rId56" xr:uid="{86BA2415-00AA-2943-ADAD-631FB96CABF7}"/>
    <hyperlink ref="AS70" r:id="rId57" xr:uid="{F36A073B-383C-AC42-8A40-F80E4889D96B}"/>
    <hyperlink ref="AS61" r:id="rId58" xr:uid="{99A0FA94-613A-A747-9EEF-68013EDE0F3E}"/>
    <hyperlink ref="AS62" r:id="rId59" xr:uid="{2BC3EAD7-322C-2C4D-B3E6-668EB3B71288}"/>
    <hyperlink ref="AS56" r:id="rId60" xr:uid="{0712812A-D696-EB44-8C73-000DCEBCC656}"/>
    <hyperlink ref="AS71" r:id="rId61" xr:uid="{356AB672-6006-EE44-A5B8-BE936E6F0CF4}"/>
  </hyperlinks>
  <pageMargins left="0.75" right="0.75" top="1" bottom="1" header="0.5" footer="0.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7F9C4-2D7C-0443-9A86-CCBEAA2855B8}">
  <sheetPr codeName="Sheet26"/>
  <dimension ref="A1:AQ80"/>
  <sheetViews>
    <sheetView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.4609375" bestFit="1" customWidth="1"/>
    <col min="12" max="12" width="15.15234375" customWidth="1"/>
    <col min="31" max="31" width="12.84375" bestFit="1" customWidth="1"/>
    <col min="38" max="38" width="17.4609375" customWidth="1"/>
  </cols>
  <sheetData>
    <row r="1" spans="1:43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ht="13" customHeight="1" x14ac:dyDescent="0.35">
      <c r="A2" s="278">
        <v>10410</v>
      </c>
      <c r="B2" s="279">
        <v>42559</v>
      </c>
      <c r="C2" s="280" t="s">
        <v>322</v>
      </c>
      <c r="D2" s="281" t="s">
        <v>373</v>
      </c>
      <c r="E2" s="278"/>
      <c r="F2" s="278" t="s">
        <v>323</v>
      </c>
      <c r="G2" s="282">
        <v>42551</v>
      </c>
      <c r="H2" s="283" t="s">
        <v>324</v>
      </c>
      <c r="I2" s="283" t="s">
        <v>325</v>
      </c>
      <c r="J2" s="283"/>
      <c r="K2" s="278" t="s">
        <v>326</v>
      </c>
      <c r="L2" s="284" t="s">
        <v>391</v>
      </c>
      <c r="M2" s="285">
        <v>82.890909090909091</v>
      </c>
      <c r="N2" s="285">
        <v>26.318181818181817</v>
      </c>
      <c r="O2" s="278"/>
      <c r="P2" s="278"/>
      <c r="Q2" s="286"/>
      <c r="R2" s="278"/>
      <c r="S2" s="287"/>
      <c r="T2" s="278"/>
      <c r="U2" s="288" t="s">
        <v>320</v>
      </c>
      <c r="V2" s="285" t="s">
        <v>320</v>
      </c>
      <c r="W2" s="285"/>
      <c r="X2" s="278"/>
      <c r="Y2" s="278"/>
      <c r="Z2" s="278"/>
      <c r="AA2" s="278"/>
      <c r="AB2" s="278"/>
      <c r="AC2" s="278"/>
      <c r="AD2" s="285" t="s">
        <v>320</v>
      </c>
      <c r="AE2" s="285"/>
      <c r="AF2" s="278"/>
      <c r="AG2" s="278"/>
      <c r="AH2" s="285"/>
      <c r="AI2" s="278"/>
      <c r="AJ2" s="278"/>
      <c r="AK2" s="285" t="s">
        <v>320</v>
      </c>
      <c r="AL2" s="278"/>
      <c r="AM2" s="285" t="s">
        <v>320</v>
      </c>
      <c r="AN2" s="285" t="s">
        <v>320</v>
      </c>
      <c r="AO2" s="278" t="s">
        <v>327</v>
      </c>
      <c r="AP2" s="283" t="s">
        <v>325</v>
      </c>
      <c r="AQ2" s="289" t="s">
        <v>475</v>
      </c>
    </row>
    <row r="3" spans="1:43" ht="13" customHeight="1" x14ac:dyDescent="0.35">
      <c r="A3" s="278">
        <v>10497</v>
      </c>
      <c r="B3" s="279">
        <v>42559</v>
      </c>
      <c r="C3" s="280" t="s">
        <v>322</v>
      </c>
      <c r="D3" s="281" t="s">
        <v>373</v>
      </c>
      <c r="E3" s="278"/>
      <c r="F3" s="278" t="s">
        <v>323</v>
      </c>
      <c r="G3" s="290">
        <v>42551</v>
      </c>
      <c r="H3" s="283" t="s">
        <v>324</v>
      </c>
      <c r="I3" s="283" t="s">
        <v>325</v>
      </c>
      <c r="J3" s="283"/>
      <c r="K3" s="278" t="s">
        <v>328</v>
      </c>
      <c r="L3" s="284" t="s">
        <v>391</v>
      </c>
      <c r="M3" s="285">
        <v>82.8</v>
      </c>
      <c r="N3" s="285">
        <v>26.33</v>
      </c>
      <c r="O3" s="278"/>
      <c r="P3" s="278"/>
      <c r="Q3" s="286"/>
      <c r="R3" s="278"/>
      <c r="S3" s="287"/>
      <c r="T3" s="278"/>
      <c r="U3" s="288" t="s">
        <v>320</v>
      </c>
      <c r="V3" s="285" t="s">
        <v>320</v>
      </c>
      <c r="W3" s="285"/>
      <c r="X3" s="278"/>
      <c r="Y3" s="278"/>
      <c r="Z3" s="278"/>
      <c r="AA3" s="278"/>
      <c r="AB3" s="278"/>
      <c r="AC3" s="278"/>
      <c r="AD3" s="285" t="s">
        <v>320</v>
      </c>
      <c r="AE3" s="285"/>
      <c r="AF3" s="278"/>
      <c r="AG3" s="278"/>
      <c r="AH3" s="285"/>
      <c r="AI3" s="278"/>
      <c r="AJ3" s="278"/>
      <c r="AK3" s="285" t="s">
        <v>320</v>
      </c>
      <c r="AL3" s="278"/>
      <c r="AM3" s="285" t="s">
        <v>320</v>
      </c>
      <c r="AN3" s="285" t="s">
        <v>320</v>
      </c>
      <c r="AO3" s="278" t="s">
        <v>327</v>
      </c>
      <c r="AP3" s="283" t="s">
        <v>325</v>
      </c>
      <c r="AQ3" s="291" t="s">
        <v>393</v>
      </c>
    </row>
    <row r="4" spans="1:43" ht="13" customHeight="1" x14ac:dyDescent="0.35">
      <c r="A4" s="278">
        <v>10589</v>
      </c>
      <c r="B4" s="279">
        <v>42559</v>
      </c>
      <c r="C4" s="280" t="s">
        <v>322</v>
      </c>
      <c r="D4" s="281" t="s">
        <v>373</v>
      </c>
      <c r="E4" s="278"/>
      <c r="F4" s="278" t="s">
        <v>323</v>
      </c>
      <c r="G4" s="290">
        <v>42551</v>
      </c>
      <c r="H4" s="283" t="s">
        <v>310</v>
      </c>
      <c r="I4" s="283" t="s">
        <v>309</v>
      </c>
      <c r="J4" s="283"/>
      <c r="K4" s="278" t="s">
        <v>329</v>
      </c>
      <c r="L4" s="284" t="s">
        <v>387</v>
      </c>
      <c r="M4" s="285">
        <v>89.999999999999986</v>
      </c>
      <c r="N4" s="285">
        <v>25.654545454545453</v>
      </c>
      <c r="O4" s="278"/>
      <c r="P4" s="278"/>
      <c r="Q4" s="286"/>
      <c r="R4" s="278"/>
      <c r="S4" s="287"/>
      <c r="T4" s="278"/>
      <c r="U4" s="288" t="s">
        <v>320</v>
      </c>
      <c r="V4" s="285" t="s">
        <v>320</v>
      </c>
      <c r="W4" s="285"/>
      <c r="X4" s="278"/>
      <c r="Y4" s="278"/>
      <c r="Z4" s="278"/>
      <c r="AA4" s="278"/>
      <c r="AB4" s="278"/>
      <c r="AC4" s="278"/>
      <c r="AD4" s="285" t="s">
        <v>320</v>
      </c>
      <c r="AE4" s="285"/>
      <c r="AF4" s="278"/>
      <c r="AG4" s="278"/>
      <c r="AH4" s="285"/>
      <c r="AI4" s="278"/>
      <c r="AJ4" s="278"/>
      <c r="AK4" s="285" t="s">
        <v>320</v>
      </c>
      <c r="AL4" s="278"/>
      <c r="AM4" s="285" t="s">
        <v>320</v>
      </c>
      <c r="AN4" s="285" t="s">
        <v>320</v>
      </c>
      <c r="AO4" s="278" t="s">
        <v>327</v>
      </c>
      <c r="AP4" s="283" t="s">
        <v>325</v>
      </c>
      <c r="AQ4" s="289" t="s">
        <v>476</v>
      </c>
    </row>
    <row r="5" spans="1:43" ht="13" customHeight="1" x14ac:dyDescent="0.35">
      <c r="A5" s="278">
        <v>1469</v>
      </c>
      <c r="B5" s="279">
        <v>42559</v>
      </c>
      <c r="C5" s="280" t="s">
        <v>322</v>
      </c>
      <c r="D5" s="281" t="s">
        <v>373</v>
      </c>
      <c r="E5" s="278"/>
      <c r="F5" s="278" t="s">
        <v>323</v>
      </c>
      <c r="G5" s="290">
        <v>42551</v>
      </c>
      <c r="H5" s="283" t="s">
        <v>324</v>
      </c>
      <c r="I5" s="283" t="s">
        <v>325</v>
      </c>
      <c r="J5" s="283"/>
      <c r="K5" s="278" t="s">
        <v>330</v>
      </c>
      <c r="L5" s="284" t="s">
        <v>387</v>
      </c>
      <c r="M5" s="285">
        <v>88.72727272727272</v>
      </c>
      <c r="N5" s="285">
        <v>25.736363636363635</v>
      </c>
      <c r="O5" s="278"/>
      <c r="P5" s="278"/>
      <c r="Q5" s="288"/>
      <c r="R5" s="278"/>
      <c r="S5" s="287"/>
      <c r="T5" s="278"/>
      <c r="U5" s="288" t="s">
        <v>320</v>
      </c>
      <c r="V5" s="285" t="s">
        <v>320</v>
      </c>
      <c r="W5" s="285"/>
      <c r="X5" s="278"/>
      <c r="Y5" s="278"/>
      <c r="Z5" s="278"/>
      <c r="AA5" s="278"/>
      <c r="AB5" s="278"/>
      <c r="AC5" s="278"/>
      <c r="AD5" s="285" t="s">
        <v>320</v>
      </c>
      <c r="AE5" s="285"/>
      <c r="AF5" s="278"/>
      <c r="AG5" s="278"/>
      <c r="AH5" s="285"/>
      <c r="AI5" s="278"/>
      <c r="AJ5" s="278"/>
      <c r="AK5" s="285" t="s">
        <v>320</v>
      </c>
      <c r="AL5" s="278"/>
      <c r="AM5" s="285" t="s">
        <v>320</v>
      </c>
      <c r="AN5" s="285" t="s">
        <v>320</v>
      </c>
      <c r="AO5" s="278" t="s">
        <v>327</v>
      </c>
      <c r="AP5" s="283" t="s">
        <v>325</v>
      </c>
      <c r="AQ5" s="289" t="s">
        <v>477</v>
      </c>
    </row>
    <row r="6" spans="1:43" ht="13" customHeight="1" x14ac:dyDescent="0.35">
      <c r="A6" s="278">
        <v>4650</v>
      </c>
      <c r="B6" s="279">
        <v>42559</v>
      </c>
      <c r="C6" s="280" t="s">
        <v>322</v>
      </c>
      <c r="D6" s="281" t="s">
        <v>373</v>
      </c>
      <c r="E6" s="278"/>
      <c r="F6" s="278" t="s">
        <v>323</v>
      </c>
      <c r="G6" s="290">
        <v>42551</v>
      </c>
      <c r="H6" s="283" t="s">
        <v>324</v>
      </c>
      <c r="I6" s="283" t="s">
        <v>325</v>
      </c>
      <c r="J6" s="283"/>
      <c r="K6" s="278" t="s">
        <v>331</v>
      </c>
      <c r="L6" s="284" t="s">
        <v>387</v>
      </c>
      <c r="M6" s="285">
        <v>89</v>
      </c>
      <c r="N6" s="285">
        <v>24.999999999999996</v>
      </c>
      <c r="O6" s="278"/>
      <c r="P6" s="278"/>
      <c r="Q6" s="288"/>
      <c r="R6" s="278"/>
      <c r="S6" s="287"/>
      <c r="T6" s="278"/>
      <c r="U6" s="288" t="s">
        <v>320</v>
      </c>
      <c r="V6" s="285" t="s">
        <v>320</v>
      </c>
      <c r="W6" s="285"/>
      <c r="X6" s="278"/>
      <c r="Y6" s="278"/>
      <c r="Z6" s="278"/>
      <c r="AA6" s="278"/>
      <c r="AB6" s="278"/>
      <c r="AC6" s="278"/>
      <c r="AD6" s="285" t="s">
        <v>320</v>
      </c>
      <c r="AE6" s="285"/>
      <c r="AF6" s="278"/>
      <c r="AG6" s="278"/>
      <c r="AH6" s="285"/>
      <c r="AI6" s="278"/>
      <c r="AJ6" s="278"/>
      <c r="AK6" s="285" t="s">
        <v>320</v>
      </c>
      <c r="AL6" s="278"/>
      <c r="AM6" s="285" t="s">
        <v>320</v>
      </c>
      <c r="AN6" s="285" t="s">
        <v>320</v>
      </c>
      <c r="AO6" s="278" t="s">
        <v>327</v>
      </c>
      <c r="AP6" s="283" t="s">
        <v>325</v>
      </c>
      <c r="AQ6" s="289" t="s">
        <v>478</v>
      </c>
    </row>
    <row r="7" spans="1:43" ht="13" customHeight="1" x14ac:dyDescent="0.35">
      <c r="A7" s="278">
        <v>1439</v>
      </c>
      <c r="B7" s="274">
        <v>42564</v>
      </c>
      <c r="C7" s="280" t="s">
        <v>322</v>
      </c>
      <c r="D7" s="281" t="s">
        <v>373</v>
      </c>
      <c r="E7" s="278"/>
      <c r="F7" s="278" t="s">
        <v>323</v>
      </c>
      <c r="G7" s="290">
        <v>42551</v>
      </c>
      <c r="H7" s="283" t="s">
        <v>324</v>
      </c>
      <c r="I7" s="283" t="s">
        <v>325</v>
      </c>
      <c r="J7" s="283"/>
      <c r="K7" s="278" t="s">
        <v>479</v>
      </c>
      <c r="L7" s="284" t="s">
        <v>387</v>
      </c>
      <c r="M7" s="285">
        <v>79</v>
      </c>
      <c r="N7" s="285">
        <v>26.654545454545453</v>
      </c>
      <c r="O7" s="278"/>
      <c r="P7" s="278"/>
      <c r="Q7" s="288"/>
      <c r="R7" s="285"/>
      <c r="S7" s="287"/>
      <c r="T7" s="278"/>
      <c r="U7" s="288" t="s">
        <v>320</v>
      </c>
      <c r="V7" s="285" t="s">
        <v>320</v>
      </c>
      <c r="W7" s="285"/>
      <c r="X7" s="278"/>
      <c r="Y7" s="278"/>
      <c r="Z7" s="278"/>
      <c r="AA7" s="278"/>
      <c r="AB7" s="278"/>
      <c r="AC7" s="278"/>
      <c r="AD7" s="285" t="s">
        <v>320</v>
      </c>
      <c r="AE7" s="285"/>
      <c r="AF7" s="278"/>
      <c r="AG7" s="278"/>
      <c r="AH7" s="285"/>
      <c r="AI7" s="278"/>
      <c r="AJ7" s="278"/>
      <c r="AK7" s="285" t="s">
        <v>320</v>
      </c>
      <c r="AL7" s="278"/>
      <c r="AM7" s="285" t="s">
        <v>320</v>
      </c>
      <c r="AN7" s="285" t="s">
        <v>320</v>
      </c>
      <c r="AO7" s="278" t="s">
        <v>327</v>
      </c>
      <c r="AP7" s="283" t="s">
        <v>325</v>
      </c>
      <c r="AQ7" s="292" t="s">
        <v>480</v>
      </c>
    </row>
    <row r="8" spans="1:43" ht="13" customHeight="1" x14ac:dyDescent="0.35">
      <c r="A8" s="278">
        <v>1481</v>
      </c>
      <c r="B8" s="279">
        <v>42559</v>
      </c>
      <c r="C8" s="280" t="s">
        <v>322</v>
      </c>
      <c r="D8" s="281" t="s">
        <v>373</v>
      </c>
      <c r="E8" s="278"/>
      <c r="F8" s="278" t="s">
        <v>323</v>
      </c>
      <c r="G8" s="293">
        <v>42551</v>
      </c>
      <c r="H8" s="283" t="s">
        <v>324</v>
      </c>
      <c r="I8" s="283" t="s">
        <v>325</v>
      </c>
      <c r="J8" s="283"/>
      <c r="K8" s="278" t="s">
        <v>397</v>
      </c>
      <c r="L8" s="284" t="s">
        <v>387</v>
      </c>
      <c r="M8" s="285">
        <v>88.72727272727272</v>
      </c>
      <c r="N8" s="285">
        <v>25.736363636363635</v>
      </c>
      <c r="O8" s="278"/>
      <c r="P8" s="278"/>
      <c r="Q8" s="288"/>
      <c r="R8" s="278"/>
      <c r="S8" s="287"/>
      <c r="T8" s="278"/>
      <c r="U8" s="288" t="s">
        <v>320</v>
      </c>
      <c r="V8" s="285" t="s">
        <v>320</v>
      </c>
      <c r="W8" s="285"/>
      <c r="X8" s="278"/>
      <c r="Y8" s="278"/>
      <c r="Z8" s="278"/>
      <c r="AA8" s="278"/>
      <c r="AB8" s="278"/>
      <c r="AC8" s="278"/>
      <c r="AD8" s="285" t="s">
        <v>320</v>
      </c>
      <c r="AE8" s="285"/>
      <c r="AF8" s="278"/>
      <c r="AG8" s="278"/>
      <c r="AH8" s="285"/>
      <c r="AI8" s="278"/>
      <c r="AJ8" s="278"/>
      <c r="AK8" s="285" t="s">
        <v>320</v>
      </c>
      <c r="AL8" s="278"/>
      <c r="AM8" s="285" t="s">
        <v>320</v>
      </c>
      <c r="AN8" s="285" t="s">
        <v>320</v>
      </c>
      <c r="AO8" s="278" t="s">
        <v>327</v>
      </c>
      <c r="AP8" s="283" t="s">
        <v>325</v>
      </c>
      <c r="AQ8" s="289" t="s">
        <v>481</v>
      </c>
    </row>
    <row r="9" spans="1:43" ht="13" customHeight="1" x14ac:dyDescent="0.35">
      <c r="A9" s="278">
        <v>10260</v>
      </c>
      <c r="B9" s="279">
        <v>42559</v>
      </c>
      <c r="C9" s="280" t="s">
        <v>322</v>
      </c>
      <c r="D9" s="281" t="s">
        <v>373</v>
      </c>
      <c r="E9" s="278"/>
      <c r="F9" s="278" t="s">
        <v>323</v>
      </c>
      <c r="G9" s="293">
        <v>42551</v>
      </c>
      <c r="H9" s="283" t="s">
        <v>324</v>
      </c>
      <c r="I9" s="283" t="s">
        <v>325</v>
      </c>
      <c r="J9" s="283"/>
      <c r="K9" s="278" t="s">
        <v>340</v>
      </c>
      <c r="L9" s="284" t="s">
        <v>399</v>
      </c>
      <c r="M9" s="285">
        <v>77</v>
      </c>
      <c r="N9" s="285">
        <v>26.872727272727268</v>
      </c>
      <c r="O9" s="278"/>
      <c r="P9" s="278"/>
      <c r="Q9" s="288"/>
      <c r="R9" s="278"/>
      <c r="S9" s="287"/>
      <c r="T9" s="278"/>
      <c r="U9" s="288" t="s">
        <v>320</v>
      </c>
      <c r="V9" s="285" t="s">
        <v>320</v>
      </c>
      <c r="W9" s="285"/>
      <c r="X9" s="278"/>
      <c r="Y9" s="278"/>
      <c r="Z9" s="278"/>
      <c r="AA9" s="278"/>
      <c r="AB9" s="278"/>
      <c r="AC9" s="278"/>
      <c r="AD9" s="285" t="s">
        <v>320</v>
      </c>
      <c r="AE9" s="285"/>
      <c r="AF9" s="278"/>
      <c r="AG9" s="278"/>
      <c r="AH9" s="285"/>
      <c r="AI9" s="278"/>
      <c r="AJ9" s="278"/>
      <c r="AK9" s="285" t="s">
        <v>320</v>
      </c>
      <c r="AL9" s="278"/>
      <c r="AM9" s="285" t="s">
        <v>320</v>
      </c>
      <c r="AN9" s="285" t="s">
        <v>320</v>
      </c>
      <c r="AO9" s="278" t="s">
        <v>327</v>
      </c>
      <c r="AP9" s="283" t="s">
        <v>325</v>
      </c>
      <c r="AQ9" s="289" t="s">
        <v>482</v>
      </c>
    </row>
    <row r="10" spans="1:43" ht="13" customHeight="1" x14ac:dyDescent="0.35">
      <c r="A10" s="278">
        <v>5636</v>
      </c>
      <c r="B10" s="274">
        <v>42564</v>
      </c>
      <c r="C10" s="280" t="s">
        <v>322</v>
      </c>
      <c r="D10" s="281" t="s">
        <v>373</v>
      </c>
      <c r="E10" s="278"/>
      <c r="F10" s="278" t="s">
        <v>323</v>
      </c>
      <c r="G10" s="293">
        <v>42553</v>
      </c>
      <c r="H10" s="283" t="s">
        <v>324</v>
      </c>
      <c r="I10" s="283" t="s">
        <v>325</v>
      </c>
      <c r="J10" s="283"/>
      <c r="K10" s="278" t="s">
        <v>401</v>
      </c>
      <c r="L10" s="284" t="s">
        <v>387</v>
      </c>
      <c r="M10" s="285">
        <v>94.372727272727261</v>
      </c>
      <c r="N10" s="285">
        <v>25.236363636363635</v>
      </c>
      <c r="O10" s="278"/>
      <c r="P10" s="278"/>
      <c r="Q10" s="288"/>
      <c r="R10" s="278"/>
      <c r="S10" s="287"/>
      <c r="T10" s="278"/>
      <c r="U10" s="288" t="s">
        <v>320</v>
      </c>
      <c r="V10" s="285" t="s">
        <v>320</v>
      </c>
      <c r="W10" s="285"/>
      <c r="X10" s="278"/>
      <c r="Y10" s="278"/>
      <c r="Z10" s="278"/>
      <c r="AA10" s="278"/>
      <c r="AB10" s="278"/>
      <c r="AC10" s="278"/>
      <c r="AD10" s="285" t="s">
        <v>320</v>
      </c>
      <c r="AE10" s="285"/>
      <c r="AF10" s="278"/>
      <c r="AG10" s="278"/>
      <c r="AH10" s="285"/>
      <c r="AI10" s="278"/>
      <c r="AJ10" s="278"/>
      <c r="AK10" s="285" t="s">
        <v>320</v>
      </c>
      <c r="AL10" s="278"/>
      <c r="AM10" s="285" t="s">
        <v>320</v>
      </c>
      <c r="AN10" s="285" t="s">
        <v>320</v>
      </c>
      <c r="AO10" s="278" t="s">
        <v>327</v>
      </c>
      <c r="AP10" s="283" t="s">
        <v>325</v>
      </c>
      <c r="AQ10" s="292" t="s">
        <v>483</v>
      </c>
    </row>
    <row r="11" spans="1:43" ht="13" customHeight="1" x14ac:dyDescent="0.35">
      <c r="A11" s="278">
        <v>4371</v>
      </c>
      <c r="B11" s="279">
        <v>42559</v>
      </c>
      <c r="C11" s="280" t="s">
        <v>322</v>
      </c>
      <c r="D11" s="281" t="s">
        <v>373</v>
      </c>
      <c r="E11" s="278"/>
      <c r="F11" s="278" t="s">
        <v>323</v>
      </c>
      <c r="G11" s="290">
        <v>42551</v>
      </c>
      <c r="H11" s="283" t="s">
        <v>324</v>
      </c>
      <c r="I11" s="283" t="s">
        <v>325</v>
      </c>
      <c r="J11" s="283"/>
      <c r="K11" s="278" t="s">
        <v>403</v>
      </c>
      <c r="L11" s="284" t="s">
        <v>391</v>
      </c>
      <c r="M11" s="285">
        <v>88.009090909090901</v>
      </c>
      <c r="N11" s="285">
        <v>25.836363636363636</v>
      </c>
      <c r="O11" s="278"/>
      <c r="P11" s="278"/>
      <c r="Q11" s="288"/>
      <c r="R11" s="294"/>
      <c r="S11" s="287"/>
      <c r="T11" s="278"/>
      <c r="U11" s="288" t="s">
        <v>320</v>
      </c>
      <c r="V11" s="285" t="s">
        <v>320</v>
      </c>
      <c r="W11" s="285"/>
      <c r="X11" s="278"/>
      <c r="Y11" s="278"/>
      <c r="Z11" s="278"/>
      <c r="AA11" s="278"/>
      <c r="AB11" s="278"/>
      <c r="AC11" s="278"/>
      <c r="AD11" s="285" t="s">
        <v>320</v>
      </c>
      <c r="AE11" s="285"/>
      <c r="AF11" s="278"/>
      <c r="AG11" s="278"/>
      <c r="AH11" s="285"/>
      <c r="AI11" s="278"/>
      <c r="AJ11" s="278"/>
      <c r="AK11" s="285" t="s">
        <v>320</v>
      </c>
      <c r="AL11" s="278"/>
      <c r="AM11" s="285" t="s">
        <v>320</v>
      </c>
      <c r="AN11" s="285" t="s">
        <v>320</v>
      </c>
      <c r="AO11" s="278" t="s">
        <v>327</v>
      </c>
      <c r="AP11" s="283" t="s">
        <v>325</v>
      </c>
      <c r="AQ11" s="289" t="s">
        <v>484</v>
      </c>
    </row>
    <row r="12" spans="1:43" ht="13" customHeight="1" x14ac:dyDescent="0.35">
      <c r="A12" s="278">
        <v>10521</v>
      </c>
      <c r="B12" s="279">
        <v>42559</v>
      </c>
      <c r="C12" s="280" t="s">
        <v>322</v>
      </c>
      <c r="D12" s="281" t="s">
        <v>373</v>
      </c>
      <c r="E12" s="278"/>
      <c r="F12" s="278" t="s">
        <v>323</v>
      </c>
      <c r="G12" s="290">
        <v>42551</v>
      </c>
      <c r="H12" s="283" t="s">
        <v>324</v>
      </c>
      <c r="I12" s="283" t="s">
        <v>325</v>
      </c>
      <c r="J12" s="283"/>
      <c r="K12" s="278" t="s">
        <v>348</v>
      </c>
      <c r="L12" s="284" t="s">
        <v>391</v>
      </c>
      <c r="M12" s="285">
        <v>78.272727272727266</v>
      </c>
      <c r="N12" s="285">
        <v>26.75454545454545</v>
      </c>
      <c r="O12" s="278"/>
      <c r="P12" s="278"/>
      <c r="Q12" s="288"/>
      <c r="R12" s="278"/>
      <c r="S12" s="287"/>
      <c r="T12" s="278"/>
      <c r="U12" s="288" t="s">
        <v>320</v>
      </c>
      <c r="V12" s="285" t="s">
        <v>320</v>
      </c>
      <c r="W12" s="285"/>
      <c r="X12" s="278"/>
      <c r="Y12" s="278"/>
      <c r="Z12" s="278"/>
      <c r="AA12" s="278"/>
      <c r="AB12" s="278"/>
      <c r="AC12" s="278"/>
      <c r="AD12" s="285" t="s">
        <v>320</v>
      </c>
      <c r="AE12" s="285"/>
      <c r="AF12" s="278"/>
      <c r="AG12" s="278"/>
      <c r="AH12" s="285"/>
      <c r="AI12" s="278"/>
      <c r="AJ12" s="278"/>
      <c r="AK12" s="285" t="s">
        <v>320</v>
      </c>
      <c r="AL12" s="278"/>
      <c r="AM12" s="285" t="s">
        <v>320</v>
      </c>
      <c r="AN12" s="285" t="s">
        <v>320</v>
      </c>
      <c r="AO12" s="278" t="s">
        <v>327</v>
      </c>
      <c r="AP12" s="283" t="s">
        <v>325</v>
      </c>
      <c r="AQ12" s="289" t="s">
        <v>485</v>
      </c>
    </row>
    <row r="13" spans="1:43" ht="13" customHeight="1" x14ac:dyDescent="0.35">
      <c r="A13" s="278">
        <v>10330</v>
      </c>
      <c r="B13" s="279">
        <v>42559</v>
      </c>
      <c r="C13" s="280" t="s">
        <v>322</v>
      </c>
      <c r="D13" s="281" t="s">
        <v>373</v>
      </c>
      <c r="E13" s="278"/>
      <c r="F13" s="278" t="s">
        <v>323</v>
      </c>
      <c r="G13" s="293">
        <v>42551</v>
      </c>
      <c r="H13" s="283" t="s">
        <v>324</v>
      </c>
      <c r="I13" s="283" t="s">
        <v>325</v>
      </c>
      <c r="J13" s="283"/>
      <c r="K13" s="278" t="s">
        <v>406</v>
      </c>
      <c r="L13" s="284" t="s">
        <v>222</v>
      </c>
      <c r="M13" s="285">
        <v>82.89</v>
      </c>
      <c r="N13" s="285">
        <v>26.32</v>
      </c>
      <c r="O13" s="278"/>
      <c r="P13" s="278"/>
      <c r="Q13" s="288"/>
      <c r="R13" s="278"/>
      <c r="S13" s="287"/>
      <c r="T13" s="278"/>
      <c r="U13" s="288" t="s">
        <v>320</v>
      </c>
      <c r="V13" s="285" t="s">
        <v>320</v>
      </c>
      <c r="W13" s="285"/>
      <c r="X13" s="278"/>
      <c r="Y13" s="278"/>
      <c r="Z13" s="278"/>
      <c r="AA13" s="278"/>
      <c r="AB13" s="278"/>
      <c r="AC13" s="278"/>
      <c r="AD13" s="285" t="s">
        <v>320</v>
      </c>
      <c r="AE13" s="285"/>
      <c r="AF13" s="278"/>
      <c r="AG13" s="278"/>
      <c r="AH13" s="285"/>
      <c r="AI13" s="278"/>
      <c r="AJ13" s="278"/>
      <c r="AK13" s="285" t="s">
        <v>320</v>
      </c>
      <c r="AL13" s="278"/>
      <c r="AM13" s="285" t="s">
        <v>320</v>
      </c>
      <c r="AN13" s="285" t="s">
        <v>320</v>
      </c>
      <c r="AO13" s="278" t="s">
        <v>327</v>
      </c>
      <c r="AP13" s="283" t="s">
        <v>325</v>
      </c>
      <c r="AQ13" s="292" t="s">
        <v>407</v>
      </c>
    </row>
    <row r="14" spans="1:43" ht="13" customHeight="1" x14ac:dyDescent="0.35">
      <c r="A14" s="278">
        <v>10665</v>
      </c>
      <c r="B14" s="279">
        <v>42559</v>
      </c>
      <c r="C14" s="280" t="s">
        <v>322</v>
      </c>
      <c r="D14" s="281" t="s">
        <v>373</v>
      </c>
      <c r="E14" s="278"/>
      <c r="F14" s="278" t="s">
        <v>323</v>
      </c>
      <c r="G14" s="293">
        <v>42551</v>
      </c>
      <c r="H14" s="283" t="s">
        <v>324</v>
      </c>
      <c r="I14" s="283" t="s">
        <v>325</v>
      </c>
      <c r="J14" s="283"/>
      <c r="K14" s="278" t="s">
        <v>408</v>
      </c>
      <c r="L14" s="284" t="s">
        <v>391</v>
      </c>
      <c r="M14" s="285">
        <v>98.72727272727272</v>
      </c>
      <c r="N14" s="285">
        <v>23.963636363636361</v>
      </c>
      <c r="O14" s="278"/>
      <c r="P14" s="278"/>
      <c r="Q14" s="288"/>
      <c r="R14" s="278"/>
      <c r="S14" s="287"/>
      <c r="T14" s="278"/>
      <c r="U14" s="288" t="s">
        <v>320</v>
      </c>
      <c r="V14" s="285" t="s">
        <v>320</v>
      </c>
      <c r="W14" s="285"/>
      <c r="X14" s="278"/>
      <c r="Y14" s="278"/>
      <c r="Z14" s="278"/>
      <c r="AA14" s="278"/>
      <c r="AB14" s="278"/>
      <c r="AC14" s="278"/>
      <c r="AD14" s="285" t="s">
        <v>320</v>
      </c>
      <c r="AE14" s="285"/>
      <c r="AF14" s="278"/>
      <c r="AG14" s="278"/>
      <c r="AH14" s="285"/>
      <c r="AI14" s="278"/>
      <c r="AJ14" s="278"/>
      <c r="AK14" s="285" t="s">
        <v>320</v>
      </c>
      <c r="AL14" s="278"/>
      <c r="AM14" s="285" t="s">
        <v>320</v>
      </c>
      <c r="AN14" s="285" t="s">
        <v>320</v>
      </c>
      <c r="AO14" s="278" t="s">
        <v>327</v>
      </c>
      <c r="AP14" s="283" t="s">
        <v>325</v>
      </c>
      <c r="AQ14" s="289" t="s">
        <v>486</v>
      </c>
    </row>
    <row r="15" spans="1:43" ht="13" customHeight="1" x14ac:dyDescent="0.35">
      <c r="A15" s="278">
        <v>1387</v>
      </c>
      <c r="B15" s="279">
        <v>42559</v>
      </c>
      <c r="C15" s="280" t="s">
        <v>322</v>
      </c>
      <c r="D15" s="281" t="s">
        <v>373</v>
      </c>
      <c r="E15" s="278"/>
      <c r="F15" s="278" t="s">
        <v>323</v>
      </c>
      <c r="G15" s="290">
        <v>42551</v>
      </c>
      <c r="H15" s="283" t="s">
        <v>324</v>
      </c>
      <c r="I15" s="283" t="s">
        <v>325</v>
      </c>
      <c r="J15" s="283"/>
      <c r="K15" s="278" t="s">
        <v>410</v>
      </c>
      <c r="L15" s="284" t="s">
        <v>391</v>
      </c>
      <c r="M15" s="285">
        <v>92.3</v>
      </c>
      <c r="N15" s="285">
        <v>25.4</v>
      </c>
      <c r="O15" s="281"/>
      <c r="P15" s="278"/>
      <c r="Q15" s="288"/>
      <c r="R15" s="278"/>
      <c r="S15" s="287"/>
      <c r="T15" s="278"/>
      <c r="U15" s="288" t="s">
        <v>320</v>
      </c>
      <c r="V15" s="285" t="s">
        <v>320</v>
      </c>
      <c r="W15" s="285"/>
      <c r="X15" s="278"/>
      <c r="Y15" s="278"/>
      <c r="Z15" s="278"/>
      <c r="AA15" s="278"/>
      <c r="AB15" s="278"/>
      <c r="AC15" s="278"/>
      <c r="AD15" s="285" t="s">
        <v>320</v>
      </c>
      <c r="AE15" s="285"/>
      <c r="AF15" s="278"/>
      <c r="AG15" s="278"/>
      <c r="AH15" s="285"/>
      <c r="AI15" s="278"/>
      <c r="AJ15" s="278"/>
      <c r="AK15" s="285" t="s">
        <v>320</v>
      </c>
      <c r="AL15" s="278"/>
      <c r="AM15" s="285" t="s">
        <v>320</v>
      </c>
      <c r="AN15" s="285" t="s">
        <v>320</v>
      </c>
      <c r="AO15" s="278" t="s">
        <v>327</v>
      </c>
      <c r="AP15" s="283" t="s">
        <v>325</v>
      </c>
      <c r="AQ15" s="289" t="s">
        <v>487</v>
      </c>
    </row>
    <row r="16" spans="1:43" ht="13" customHeight="1" x14ac:dyDescent="0.35">
      <c r="A16" s="278">
        <v>3593</v>
      </c>
      <c r="B16" s="279">
        <v>42559</v>
      </c>
      <c r="C16" s="280" t="s">
        <v>322</v>
      </c>
      <c r="D16" s="281" t="s">
        <v>373</v>
      </c>
      <c r="E16" s="278"/>
      <c r="F16" s="278" t="s">
        <v>323</v>
      </c>
      <c r="G16" s="290">
        <v>42551</v>
      </c>
      <c r="H16" s="283" t="s">
        <v>324</v>
      </c>
      <c r="I16" s="283" t="s">
        <v>325</v>
      </c>
      <c r="J16" s="283"/>
      <c r="K16" s="278" t="s">
        <v>412</v>
      </c>
      <c r="L16" s="284" t="s">
        <v>391</v>
      </c>
      <c r="M16" s="285">
        <v>85.1</v>
      </c>
      <c r="N16" s="285">
        <v>26.009090909090908</v>
      </c>
      <c r="O16" s="278"/>
      <c r="P16" s="278"/>
      <c r="Q16" s="288"/>
      <c r="R16" s="278"/>
      <c r="S16" s="287"/>
      <c r="T16" s="278"/>
      <c r="U16" s="288" t="s">
        <v>320</v>
      </c>
      <c r="V16" s="285" t="s">
        <v>320</v>
      </c>
      <c r="W16" s="285"/>
      <c r="X16" s="278"/>
      <c r="Y16" s="278"/>
      <c r="Z16" s="278"/>
      <c r="AA16" s="278"/>
      <c r="AB16" s="278"/>
      <c r="AC16" s="278"/>
      <c r="AD16" s="285" t="s">
        <v>320</v>
      </c>
      <c r="AE16" s="285"/>
      <c r="AF16" s="278"/>
      <c r="AG16" s="278"/>
      <c r="AH16" s="285"/>
      <c r="AI16" s="278"/>
      <c r="AJ16" s="278"/>
      <c r="AK16" s="285" t="s">
        <v>320</v>
      </c>
      <c r="AL16" s="278"/>
      <c r="AM16" s="285" t="s">
        <v>320</v>
      </c>
      <c r="AN16" s="285" t="s">
        <v>320</v>
      </c>
      <c r="AO16" s="278" t="s">
        <v>327</v>
      </c>
      <c r="AP16" s="283" t="s">
        <v>325</v>
      </c>
      <c r="AQ16" s="289" t="s">
        <v>488</v>
      </c>
    </row>
    <row r="17" spans="1:43" ht="13" customHeight="1" x14ac:dyDescent="0.35">
      <c r="A17" s="278">
        <v>10368</v>
      </c>
      <c r="B17" s="279">
        <v>42559</v>
      </c>
      <c r="C17" s="280" t="s">
        <v>322</v>
      </c>
      <c r="D17" s="281" t="s">
        <v>373</v>
      </c>
      <c r="E17" s="278"/>
      <c r="F17" s="278" t="s">
        <v>323</v>
      </c>
      <c r="G17" s="290">
        <v>42551</v>
      </c>
      <c r="H17" s="283" t="s">
        <v>310</v>
      </c>
      <c r="I17" s="283" t="s">
        <v>309</v>
      </c>
      <c r="J17" s="283"/>
      <c r="K17" s="278" t="s">
        <v>374</v>
      </c>
      <c r="L17" s="284" t="s">
        <v>391</v>
      </c>
      <c r="M17" s="285">
        <v>99.999999999999986</v>
      </c>
      <c r="N17" s="285">
        <v>24.7</v>
      </c>
      <c r="O17" s="278" t="s">
        <v>351</v>
      </c>
      <c r="P17" s="278">
        <v>1350</v>
      </c>
      <c r="Q17" s="285">
        <v>28</v>
      </c>
      <c r="R17" s="295">
        <v>1350</v>
      </c>
      <c r="S17" s="285">
        <v>28</v>
      </c>
      <c r="T17" s="278"/>
      <c r="U17" s="288" t="s">
        <v>320</v>
      </c>
      <c r="V17" s="285" t="s">
        <v>320</v>
      </c>
      <c r="W17" s="285"/>
      <c r="X17" s="278"/>
      <c r="Y17" s="278"/>
      <c r="Z17" s="278"/>
      <c r="AA17" s="278"/>
      <c r="AB17" s="278"/>
      <c r="AC17" s="278"/>
      <c r="AD17" s="285" t="s">
        <v>320</v>
      </c>
      <c r="AE17" s="285"/>
      <c r="AF17" s="278"/>
      <c r="AG17" s="278"/>
      <c r="AH17" s="285"/>
      <c r="AI17" s="278"/>
      <c r="AJ17" s="278"/>
      <c r="AK17" s="285" t="s">
        <v>320</v>
      </c>
      <c r="AL17" s="278"/>
      <c r="AM17" s="285" t="s">
        <v>320</v>
      </c>
      <c r="AN17" s="285" t="s">
        <v>320</v>
      </c>
      <c r="AO17" s="278" t="s">
        <v>327</v>
      </c>
      <c r="AP17" s="283" t="s">
        <v>325</v>
      </c>
      <c r="AQ17" s="289" t="s">
        <v>489</v>
      </c>
    </row>
    <row r="18" spans="1:43" ht="13" customHeight="1" x14ac:dyDescent="0.35">
      <c r="A18" s="278">
        <v>9674</v>
      </c>
      <c r="B18" s="279">
        <v>42559</v>
      </c>
      <c r="C18" s="280" t="s">
        <v>322</v>
      </c>
      <c r="D18" s="281" t="s">
        <v>373</v>
      </c>
      <c r="E18" s="278"/>
      <c r="F18" s="278" t="s">
        <v>323</v>
      </c>
      <c r="G18" s="290">
        <v>42551</v>
      </c>
      <c r="H18" s="283" t="s">
        <v>310</v>
      </c>
      <c r="I18" s="283" t="s">
        <v>309</v>
      </c>
      <c r="J18" s="283"/>
      <c r="K18" s="278" t="s">
        <v>307</v>
      </c>
      <c r="L18" s="284" t="s">
        <v>387</v>
      </c>
      <c r="M18" s="285">
        <v>89.999999999999986</v>
      </c>
      <c r="N18" s="285">
        <v>25.654545454545453</v>
      </c>
      <c r="O18" s="278"/>
      <c r="P18" s="278"/>
      <c r="Q18" s="288"/>
      <c r="R18" s="278"/>
      <c r="S18" s="287"/>
      <c r="T18" s="278"/>
      <c r="U18" s="288" t="s">
        <v>320</v>
      </c>
      <c r="V18" s="285" t="s">
        <v>320</v>
      </c>
      <c r="W18" s="285"/>
      <c r="X18" s="278"/>
      <c r="Y18" s="278"/>
      <c r="Z18" s="278"/>
      <c r="AA18" s="278"/>
      <c r="AB18" s="278"/>
      <c r="AC18" s="278"/>
      <c r="AD18" s="285" t="s">
        <v>320</v>
      </c>
      <c r="AE18" s="285"/>
      <c r="AF18" s="278"/>
      <c r="AG18" s="278"/>
      <c r="AH18" s="285"/>
      <c r="AI18" s="278"/>
      <c r="AJ18" s="278"/>
      <c r="AK18" s="285" t="s">
        <v>320</v>
      </c>
      <c r="AL18" s="278"/>
      <c r="AM18" s="285" t="s">
        <v>320</v>
      </c>
      <c r="AN18" s="285" t="s">
        <v>320</v>
      </c>
      <c r="AO18" s="278" t="s">
        <v>327</v>
      </c>
      <c r="AP18" s="283" t="s">
        <v>325</v>
      </c>
      <c r="AQ18" s="289" t="s">
        <v>490</v>
      </c>
    </row>
    <row r="19" spans="1:43" ht="13" customHeight="1" x14ac:dyDescent="0.35">
      <c r="A19" s="278">
        <v>9900</v>
      </c>
      <c r="B19" s="279">
        <v>42559</v>
      </c>
      <c r="C19" s="280" t="s">
        <v>322</v>
      </c>
      <c r="D19" s="281" t="s">
        <v>373</v>
      </c>
      <c r="E19" s="278"/>
      <c r="F19" s="278" t="s">
        <v>323</v>
      </c>
      <c r="G19" s="290">
        <v>42551</v>
      </c>
      <c r="H19" s="283" t="s">
        <v>309</v>
      </c>
      <c r="I19" s="283" t="s">
        <v>355</v>
      </c>
      <c r="J19" s="283"/>
      <c r="K19" s="281" t="s">
        <v>354</v>
      </c>
      <c r="L19" s="284" t="s">
        <v>222</v>
      </c>
      <c r="M19" s="285">
        <v>115.89090909090909</v>
      </c>
      <c r="N19" s="285">
        <v>23</v>
      </c>
      <c r="O19" s="278"/>
      <c r="P19" s="278"/>
      <c r="Q19" s="288"/>
      <c r="R19" s="278"/>
      <c r="S19" s="287"/>
      <c r="T19" s="278"/>
      <c r="U19" s="288" t="s">
        <v>320</v>
      </c>
      <c r="V19" s="285" t="s">
        <v>320</v>
      </c>
      <c r="W19" s="285"/>
      <c r="X19" s="278"/>
      <c r="Y19" s="278"/>
      <c r="Z19" s="278"/>
      <c r="AA19" s="278"/>
      <c r="AB19" s="278"/>
      <c r="AC19" s="278"/>
      <c r="AD19" s="285" t="s">
        <v>320</v>
      </c>
      <c r="AE19" s="285"/>
      <c r="AF19" s="278"/>
      <c r="AG19" s="278"/>
      <c r="AH19" s="285"/>
      <c r="AI19" s="278"/>
      <c r="AJ19" s="278"/>
      <c r="AK19" s="285" t="s">
        <v>320</v>
      </c>
      <c r="AL19" s="278"/>
      <c r="AM19" s="285" t="s">
        <v>320</v>
      </c>
      <c r="AN19" s="285" t="s">
        <v>320</v>
      </c>
      <c r="AO19" s="278" t="s">
        <v>327</v>
      </c>
      <c r="AP19" s="283" t="s">
        <v>325</v>
      </c>
      <c r="AQ19" s="289" t="s">
        <v>491</v>
      </c>
    </row>
    <row r="20" spans="1:43" ht="13" customHeight="1" x14ac:dyDescent="0.35">
      <c r="A20" s="278">
        <v>10028</v>
      </c>
      <c r="B20" s="274">
        <v>42564</v>
      </c>
      <c r="C20" s="280" t="s">
        <v>322</v>
      </c>
      <c r="D20" s="281" t="s">
        <v>373</v>
      </c>
      <c r="E20" s="278"/>
      <c r="F20" s="278" t="s">
        <v>323</v>
      </c>
      <c r="G20" s="293">
        <v>42552</v>
      </c>
      <c r="H20" s="296" t="s">
        <v>309</v>
      </c>
      <c r="I20" s="296" t="s">
        <v>355</v>
      </c>
      <c r="J20" s="283"/>
      <c r="K20" s="281" t="s">
        <v>417</v>
      </c>
      <c r="L20" s="284" t="s">
        <v>387</v>
      </c>
      <c r="M20" s="285">
        <v>99.399999999999991</v>
      </c>
      <c r="N20" s="285">
        <v>24.77272727272727</v>
      </c>
      <c r="O20" s="278"/>
      <c r="P20" s="278"/>
      <c r="Q20" s="288"/>
      <c r="R20" s="278"/>
      <c r="S20" s="287"/>
      <c r="T20" s="278"/>
      <c r="U20" s="288" t="s">
        <v>320</v>
      </c>
      <c r="V20" s="285" t="s">
        <v>320</v>
      </c>
      <c r="W20" s="285"/>
      <c r="X20" s="278"/>
      <c r="Y20" s="278"/>
      <c r="Z20" s="278"/>
      <c r="AA20" s="278"/>
      <c r="AB20" s="278"/>
      <c r="AC20" s="278"/>
      <c r="AD20" s="285" t="s">
        <v>320</v>
      </c>
      <c r="AE20" s="285"/>
      <c r="AF20" s="278"/>
      <c r="AG20" s="278"/>
      <c r="AH20" s="285"/>
      <c r="AI20" s="278"/>
      <c r="AJ20" s="278"/>
      <c r="AK20" s="285" t="s">
        <v>320</v>
      </c>
      <c r="AL20" s="278"/>
      <c r="AM20" s="285" t="s">
        <v>320</v>
      </c>
      <c r="AN20" s="285" t="s">
        <v>320</v>
      </c>
      <c r="AO20" s="278" t="s">
        <v>327</v>
      </c>
      <c r="AP20" s="283" t="s">
        <v>325</v>
      </c>
      <c r="AQ20" s="292" t="s">
        <v>492</v>
      </c>
    </row>
    <row r="21" spans="1:43" ht="13" customHeight="1" x14ac:dyDescent="0.35">
      <c r="A21" s="278"/>
      <c r="B21" s="279">
        <v>42559</v>
      </c>
      <c r="C21" s="280" t="s">
        <v>322</v>
      </c>
      <c r="D21" s="281" t="s">
        <v>373</v>
      </c>
      <c r="E21" s="278"/>
      <c r="F21" s="278" t="s">
        <v>323</v>
      </c>
      <c r="G21" s="293">
        <v>42551</v>
      </c>
      <c r="H21" s="296" t="s">
        <v>309</v>
      </c>
      <c r="I21" s="296" t="s">
        <v>355</v>
      </c>
      <c r="J21" s="283"/>
      <c r="K21" s="281" t="s">
        <v>388</v>
      </c>
      <c r="L21" s="284" t="s">
        <v>391</v>
      </c>
      <c r="M21" s="285">
        <v>85</v>
      </c>
      <c r="N21" s="285">
        <v>24.2</v>
      </c>
      <c r="O21" s="278"/>
      <c r="P21" s="278"/>
      <c r="Q21" s="288"/>
      <c r="R21" s="278"/>
      <c r="S21" s="287"/>
      <c r="T21" s="278"/>
      <c r="U21" s="288" t="s">
        <v>320</v>
      </c>
      <c r="V21" s="285" t="s">
        <v>320</v>
      </c>
      <c r="W21" s="285"/>
      <c r="X21" s="278"/>
      <c r="Y21" s="278"/>
      <c r="Z21" s="278"/>
      <c r="AA21" s="278"/>
      <c r="AB21" s="278"/>
      <c r="AC21" s="278"/>
      <c r="AD21" s="285" t="s">
        <v>320</v>
      </c>
      <c r="AE21" s="285"/>
      <c r="AF21" s="278"/>
      <c r="AG21" s="278"/>
      <c r="AH21" s="285"/>
      <c r="AI21" s="278"/>
      <c r="AJ21" s="278"/>
      <c r="AK21" s="285" t="s">
        <v>320</v>
      </c>
      <c r="AL21" s="278"/>
      <c r="AM21" s="285" t="s">
        <v>320</v>
      </c>
      <c r="AN21" s="285" t="s">
        <v>320</v>
      </c>
      <c r="AO21" s="278" t="s">
        <v>327</v>
      </c>
      <c r="AP21" s="283" t="s">
        <v>325</v>
      </c>
      <c r="AQ21" s="289" t="s">
        <v>493</v>
      </c>
    </row>
    <row r="22" spans="1:43" ht="13" customHeight="1" x14ac:dyDescent="0.35">
      <c r="A22" s="278"/>
      <c r="B22" s="279">
        <v>42559</v>
      </c>
      <c r="C22" s="280" t="s">
        <v>322</v>
      </c>
      <c r="D22" s="281" t="s">
        <v>373</v>
      </c>
      <c r="E22" s="278"/>
      <c r="F22" s="278" t="s">
        <v>323</v>
      </c>
      <c r="G22" s="293">
        <v>42551</v>
      </c>
      <c r="H22" s="296" t="s">
        <v>310</v>
      </c>
      <c r="I22" s="296" t="s">
        <v>309</v>
      </c>
      <c r="J22" s="283"/>
      <c r="K22" s="281" t="s">
        <v>420</v>
      </c>
      <c r="L22" s="284" t="s">
        <v>391</v>
      </c>
      <c r="M22" s="285">
        <v>77.5</v>
      </c>
      <c r="N22" s="285">
        <v>26.799999999999997</v>
      </c>
      <c r="O22" s="278"/>
      <c r="P22" s="278"/>
      <c r="Q22" s="288"/>
      <c r="R22" s="278"/>
      <c r="S22" s="287"/>
      <c r="T22" s="278"/>
      <c r="U22" s="288" t="s">
        <v>320</v>
      </c>
      <c r="V22" s="285" t="s">
        <v>320</v>
      </c>
      <c r="W22" s="285"/>
      <c r="X22" s="278"/>
      <c r="Y22" s="278"/>
      <c r="Z22" s="278"/>
      <c r="AA22" s="278"/>
      <c r="AB22" s="278"/>
      <c r="AC22" s="278"/>
      <c r="AD22" s="285" t="s">
        <v>320</v>
      </c>
      <c r="AE22" s="285"/>
      <c r="AF22" s="278"/>
      <c r="AG22" s="278"/>
      <c r="AH22" s="285"/>
      <c r="AI22" s="278"/>
      <c r="AJ22" s="278"/>
      <c r="AK22" s="285" t="s">
        <v>320</v>
      </c>
      <c r="AL22" s="278"/>
      <c r="AM22" s="285" t="s">
        <v>320</v>
      </c>
      <c r="AN22" s="285" t="s">
        <v>320</v>
      </c>
      <c r="AO22" s="278" t="s">
        <v>327</v>
      </c>
      <c r="AP22" s="283" t="s">
        <v>325</v>
      </c>
      <c r="AQ22" s="289" t="s">
        <v>494</v>
      </c>
    </row>
    <row r="23" spans="1:43" ht="13" customHeight="1" x14ac:dyDescent="0.35">
      <c r="A23" s="278"/>
      <c r="B23" s="279">
        <v>42559</v>
      </c>
      <c r="C23" s="280" t="s">
        <v>322</v>
      </c>
      <c r="D23" s="281" t="s">
        <v>373</v>
      </c>
      <c r="E23" s="278"/>
      <c r="F23" s="278" t="s">
        <v>323</v>
      </c>
      <c r="G23" s="293">
        <v>42494</v>
      </c>
      <c r="H23" s="296" t="s">
        <v>310</v>
      </c>
      <c r="I23" s="296" t="s">
        <v>495</v>
      </c>
      <c r="J23" s="283"/>
      <c r="K23" s="281" t="s">
        <v>422</v>
      </c>
      <c r="L23" s="284" t="s">
        <v>391</v>
      </c>
      <c r="M23" s="285">
        <v>84.2</v>
      </c>
      <c r="N23" s="285">
        <v>26.309090909090909</v>
      </c>
      <c r="O23" s="278"/>
      <c r="P23" s="278"/>
      <c r="Q23" s="288"/>
      <c r="R23" s="278"/>
      <c r="S23" s="287"/>
      <c r="T23" s="278"/>
      <c r="U23" s="288" t="s">
        <v>320</v>
      </c>
      <c r="V23" s="285" t="s">
        <v>320</v>
      </c>
      <c r="W23" s="285"/>
      <c r="X23" s="278"/>
      <c r="Y23" s="278"/>
      <c r="Z23" s="278"/>
      <c r="AA23" s="278"/>
      <c r="AB23" s="278"/>
      <c r="AC23" s="278"/>
      <c r="AD23" s="285" t="s">
        <v>320</v>
      </c>
      <c r="AE23" s="285"/>
      <c r="AF23" s="278"/>
      <c r="AG23" s="278"/>
      <c r="AH23" s="285"/>
      <c r="AI23" s="278"/>
      <c r="AJ23" s="278"/>
      <c r="AK23" s="285" t="s">
        <v>320</v>
      </c>
      <c r="AL23" s="278"/>
      <c r="AM23" s="285" t="s">
        <v>320</v>
      </c>
      <c r="AN23" s="285" t="s">
        <v>320</v>
      </c>
      <c r="AO23" s="278" t="s">
        <v>327</v>
      </c>
      <c r="AP23" s="283" t="s">
        <v>325</v>
      </c>
      <c r="AQ23" s="289" t="s">
        <v>496</v>
      </c>
    </row>
    <row r="24" spans="1:43" ht="13" customHeight="1" x14ac:dyDescent="0.35">
      <c r="A24" s="278"/>
      <c r="B24" s="279">
        <v>42559</v>
      </c>
      <c r="C24" s="280" t="s">
        <v>322</v>
      </c>
      <c r="D24" s="281" t="s">
        <v>373</v>
      </c>
      <c r="E24" s="278"/>
      <c r="F24" s="278" t="s">
        <v>323</v>
      </c>
      <c r="G24" s="293">
        <v>42551</v>
      </c>
      <c r="H24" s="296" t="s">
        <v>309</v>
      </c>
      <c r="I24" s="296" t="s">
        <v>355</v>
      </c>
      <c r="J24" s="283"/>
      <c r="K24" s="281" t="s">
        <v>424</v>
      </c>
      <c r="L24" s="284" t="s">
        <v>391</v>
      </c>
      <c r="M24" s="285">
        <v>79.699999999999989</v>
      </c>
      <c r="N24" s="285">
        <v>26.599999999999998</v>
      </c>
      <c r="O24" s="278"/>
      <c r="P24" s="278"/>
      <c r="Q24" s="288"/>
      <c r="R24" s="278"/>
      <c r="S24" s="287"/>
      <c r="T24" s="278"/>
      <c r="U24" s="288" t="s">
        <v>320</v>
      </c>
      <c r="V24" s="285" t="s">
        <v>320</v>
      </c>
      <c r="W24" s="285"/>
      <c r="X24" s="278"/>
      <c r="Y24" s="278"/>
      <c r="Z24" s="278"/>
      <c r="AA24" s="278"/>
      <c r="AB24" s="278"/>
      <c r="AC24" s="278"/>
      <c r="AD24" s="285" t="s">
        <v>320</v>
      </c>
      <c r="AE24" s="285"/>
      <c r="AF24" s="278"/>
      <c r="AG24" s="278"/>
      <c r="AH24" s="285"/>
      <c r="AI24" s="278"/>
      <c r="AJ24" s="278"/>
      <c r="AK24" s="285" t="s">
        <v>320</v>
      </c>
      <c r="AL24" s="278"/>
      <c r="AM24" s="285" t="s">
        <v>320</v>
      </c>
      <c r="AN24" s="285" t="s">
        <v>320</v>
      </c>
      <c r="AO24" s="278" t="s">
        <v>327</v>
      </c>
      <c r="AP24" s="283" t="s">
        <v>325</v>
      </c>
      <c r="AQ24" s="289" t="s">
        <v>497</v>
      </c>
    </row>
    <row r="25" spans="1:43" ht="13" customHeight="1" x14ac:dyDescent="0.35">
      <c r="A25" s="278"/>
      <c r="B25" s="279">
        <v>42559</v>
      </c>
      <c r="C25" s="280" t="s">
        <v>322</v>
      </c>
      <c r="D25" s="281" t="s">
        <v>373</v>
      </c>
      <c r="E25" s="278"/>
      <c r="F25" s="278" t="s">
        <v>323</v>
      </c>
      <c r="G25" s="293">
        <v>42551</v>
      </c>
      <c r="H25" s="296" t="s">
        <v>309</v>
      </c>
      <c r="I25" s="296" t="s">
        <v>355</v>
      </c>
      <c r="J25" s="283"/>
      <c r="K25" s="281" t="s">
        <v>426</v>
      </c>
      <c r="L25" s="284" t="s">
        <v>391</v>
      </c>
      <c r="M25" s="285">
        <v>94.372727272727261</v>
      </c>
      <c r="N25" s="285">
        <v>25.236363636363635</v>
      </c>
      <c r="O25" s="278"/>
      <c r="P25" s="278"/>
      <c r="Q25" s="288"/>
      <c r="R25" s="278"/>
      <c r="S25" s="287"/>
      <c r="T25" s="278"/>
      <c r="U25" s="288" t="s">
        <v>320</v>
      </c>
      <c r="V25" s="285" t="s">
        <v>320</v>
      </c>
      <c r="W25" s="285"/>
      <c r="X25" s="278"/>
      <c r="Y25" s="278"/>
      <c r="Z25" s="278"/>
      <c r="AA25" s="278"/>
      <c r="AB25" s="278"/>
      <c r="AC25" s="278"/>
      <c r="AD25" s="285" t="s">
        <v>320</v>
      </c>
      <c r="AE25" s="285"/>
      <c r="AF25" s="278"/>
      <c r="AG25" s="278"/>
      <c r="AH25" s="285"/>
      <c r="AI25" s="278"/>
      <c r="AJ25" s="278"/>
      <c r="AK25" s="285" t="s">
        <v>320</v>
      </c>
      <c r="AL25" s="278"/>
      <c r="AM25" s="285" t="s">
        <v>320</v>
      </c>
      <c r="AN25" s="285" t="s">
        <v>320</v>
      </c>
      <c r="AO25" s="278" t="s">
        <v>327</v>
      </c>
      <c r="AP25" s="283" t="s">
        <v>325</v>
      </c>
      <c r="AQ25" s="289" t="s">
        <v>498</v>
      </c>
    </row>
    <row r="26" spans="1:43" ht="13" customHeight="1" x14ac:dyDescent="0.35">
      <c r="A26" s="278"/>
      <c r="B26" s="279">
        <v>42559</v>
      </c>
      <c r="C26" s="280" t="s">
        <v>322</v>
      </c>
      <c r="D26" s="281" t="s">
        <v>373</v>
      </c>
      <c r="E26" s="278"/>
      <c r="F26" s="278" t="s">
        <v>323</v>
      </c>
      <c r="G26" s="293">
        <v>42551</v>
      </c>
      <c r="H26" s="296" t="s">
        <v>310</v>
      </c>
      <c r="I26" s="296" t="s">
        <v>309</v>
      </c>
      <c r="J26" s="283"/>
      <c r="K26" s="281" t="s">
        <v>428</v>
      </c>
      <c r="L26" s="284" t="s">
        <v>222</v>
      </c>
      <c r="M26" s="285">
        <v>94.790909090909082</v>
      </c>
      <c r="N26" s="285">
        <v>20.972727272727273</v>
      </c>
      <c r="O26" s="278"/>
      <c r="P26" s="278"/>
      <c r="Q26" s="288"/>
      <c r="R26" s="278"/>
      <c r="S26" s="287"/>
      <c r="T26" s="278"/>
      <c r="U26" s="288" t="s">
        <v>320</v>
      </c>
      <c r="V26" s="285" t="s">
        <v>320</v>
      </c>
      <c r="W26" s="285"/>
      <c r="X26" s="278"/>
      <c r="Y26" s="278"/>
      <c r="Z26" s="278"/>
      <c r="AA26" s="278"/>
      <c r="AB26" s="278"/>
      <c r="AC26" s="278"/>
      <c r="AD26" s="285" t="s">
        <v>320</v>
      </c>
      <c r="AE26" s="285"/>
      <c r="AF26" s="278"/>
      <c r="AG26" s="278"/>
      <c r="AH26" s="285"/>
      <c r="AI26" s="278"/>
      <c r="AJ26" s="278"/>
      <c r="AK26" s="285" t="s">
        <v>320</v>
      </c>
      <c r="AL26" s="278"/>
      <c r="AM26" s="285" t="s">
        <v>320</v>
      </c>
      <c r="AN26" s="285" t="s">
        <v>320</v>
      </c>
      <c r="AO26" s="278" t="s">
        <v>327</v>
      </c>
      <c r="AP26" s="283" t="s">
        <v>325</v>
      </c>
      <c r="AQ26" s="289" t="s">
        <v>499</v>
      </c>
    </row>
    <row r="27" spans="1:43" ht="13" customHeight="1" x14ac:dyDescent="0.35">
      <c r="A27" s="278"/>
      <c r="B27" s="279">
        <v>42559</v>
      </c>
      <c r="C27" s="280" t="s">
        <v>322</v>
      </c>
      <c r="D27" s="281" t="s">
        <v>373</v>
      </c>
      <c r="E27" s="278"/>
      <c r="F27" s="278" t="s">
        <v>323</v>
      </c>
      <c r="G27" s="293">
        <v>42551</v>
      </c>
      <c r="H27" s="296" t="s">
        <v>309</v>
      </c>
      <c r="I27" s="296" t="s">
        <v>355</v>
      </c>
      <c r="J27" s="283"/>
      <c r="K27" s="281" t="s">
        <v>430</v>
      </c>
      <c r="L27" s="284" t="s">
        <v>391</v>
      </c>
      <c r="M27" s="285">
        <v>86.48181818181817</v>
      </c>
      <c r="N27" s="285">
        <v>23.981818181818181</v>
      </c>
      <c r="O27" s="278"/>
      <c r="P27" s="278"/>
      <c r="Q27" s="288"/>
      <c r="R27" s="278"/>
      <c r="S27" s="287"/>
      <c r="T27" s="278"/>
      <c r="U27" s="288" t="s">
        <v>320</v>
      </c>
      <c r="V27" s="285" t="s">
        <v>320</v>
      </c>
      <c r="W27" s="285"/>
      <c r="X27" s="278"/>
      <c r="Y27" s="278"/>
      <c r="Z27" s="278"/>
      <c r="AA27" s="278"/>
      <c r="AB27" s="278"/>
      <c r="AC27" s="278"/>
      <c r="AD27" s="285" t="s">
        <v>320</v>
      </c>
      <c r="AE27" s="285"/>
      <c r="AF27" s="278"/>
      <c r="AG27" s="278"/>
      <c r="AH27" s="285"/>
      <c r="AI27" s="278"/>
      <c r="AJ27" s="278"/>
      <c r="AK27" s="285" t="s">
        <v>320</v>
      </c>
      <c r="AL27" s="278"/>
      <c r="AM27" s="285" t="s">
        <v>320</v>
      </c>
      <c r="AN27" s="285" t="s">
        <v>320</v>
      </c>
      <c r="AO27" s="278" t="s">
        <v>327</v>
      </c>
      <c r="AP27" s="283" t="s">
        <v>325</v>
      </c>
      <c r="AQ27" s="289" t="s">
        <v>500</v>
      </c>
    </row>
    <row r="28" spans="1:43" ht="13" customHeight="1" x14ac:dyDescent="0.35">
      <c r="A28" s="278"/>
      <c r="B28" s="279">
        <v>42559</v>
      </c>
      <c r="C28" s="280" t="s">
        <v>322</v>
      </c>
      <c r="D28" s="281" t="s">
        <v>373</v>
      </c>
      <c r="E28" s="278"/>
      <c r="F28" s="278" t="s">
        <v>323</v>
      </c>
      <c r="G28" s="293">
        <v>42551</v>
      </c>
      <c r="H28" s="296" t="s">
        <v>310</v>
      </c>
      <c r="I28" s="296" t="s">
        <v>309</v>
      </c>
      <c r="J28" s="283"/>
      <c r="K28" s="281" t="s">
        <v>501</v>
      </c>
      <c r="L28" s="284" t="s">
        <v>391</v>
      </c>
      <c r="M28" s="285">
        <v>99.999999999999986</v>
      </c>
      <c r="N28" s="285">
        <v>24.7</v>
      </c>
      <c r="O28" s="278"/>
      <c r="P28" s="278"/>
      <c r="Q28" s="288"/>
      <c r="R28" s="278"/>
      <c r="S28" s="287"/>
      <c r="T28" s="278"/>
      <c r="U28" s="288" t="s">
        <v>320</v>
      </c>
      <c r="V28" s="285" t="s">
        <v>320</v>
      </c>
      <c r="W28" s="285"/>
      <c r="X28" s="278"/>
      <c r="Y28" s="278"/>
      <c r="Z28" s="278"/>
      <c r="AA28" s="278"/>
      <c r="AB28" s="278"/>
      <c r="AC28" s="278"/>
      <c r="AD28" s="285" t="s">
        <v>320</v>
      </c>
      <c r="AE28" s="285"/>
      <c r="AF28" s="278"/>
      <c r="AG28" s="278"/>
      <c r="AH28" s="285"/>
      <c r="AI28" s="278"/>
      <c r="AJ28" s="278"/>
      <c r="AK28" s="285" t="s">
        <v>320</v>
      </c>
      <c r="AL28" s="278"/>
      <c r="AM28" s="285" t="s">
        <v>320</v>
      </c>
      <c r="AN28" s="285" t="s">
        <v>320</v>
      </c>
      <c r="AO28" s="278" t="s">
        <v>327</v>
      </c>
      <c r="AP28" s="283" t="s">
        <v>325</v>
      </c>
      <c r="AQ28" s="289" t="s">
        <v>502</v>
      </c>
    </row>
    <row r="29" spans="1:43" ht="13" customHeight="1" x14ac:dyDescent="0.35">
      <c r="A29" s="278"/>
      <c r="B29" s="279">
        <v>42559</v>
      </c>
      <c r="C29" s="280" t="s">
        <v>322</v>
      </c>
      <c r="D29" s="281" t="s">
        <v>373</v>
      </c>
      <c r="E29" s="278"/>
      <c r="F29" s="278" t="s">
        <v>323</v>
      </c>
      <c r="G29" s="293">
        <v>42551</v>
      </c>
      <c r="H29" s="296" t="s">
        <v>310</v>
      </c>
      <c r="I29" s="296" t="s">
        <v>309</v>
      </c>
      <c r="J29" s="283"/>
      <c r="K29" s="281" t="s">
        <v>503</v>
      </c>
      <c r="L29" s="284" t="s">
        <v>391</v>
      </c>
      <c r="M29" s="285">
        <v>85.199999999999989</v>
      </c>
      <c r="N29" s="285">
        <v>26.099999999999998</v>
      </c>
      <c r="O29" s="278"/>
      <c r="P29" s="278"/>
      <c r="Q29" s="288"/>
      <c r="R29" s="278"/>
      <c r="S29" s="287"/>
      <c r="T29" s="278"/>
      <c r="U29" s="288" t="s">
        <v>320</v>
      </c>
      <c r="V29" s="285" t="s">
        <v>320</v>
      </c>
      <c r="W29" s="285"/>
      <c r="X29" s="278"/>
      <c r="Y29" s="278"/>
      <c r="Z29" s="278"/>
      <c r="AA29" s="278"/>
      <c r="AB29" s="278"/>
      <c r="AC29" s="278"/>
      <c r="AD29" s="285" t="s">
        <v>320</v>
      </c>
      <c r="AE29" s="285"/>
      <c r="AF29" s="278"/>
      <c r="AG29" s="278"/>
      <c r="AH29" s="285"/>
      <c r="AI29" s="278"/>
      <c r="AJ29" s="278"/>
      <c r="AK29" s="285" t="s">
        <v>320</v>
      </c>
      <c r="AL29" s="278"/>
      <c r="AM29" s="285" t="s">
        <v>320</v>
      </c>
      <c r="AN29" s="285" t="s">
        <v>320</v>
      </c>
      <c r="AO29" s="278" t="s">
        <v>327</v>
      </c>
      <c r="AP29" s="283" t="s">
        <v>325</v>
      </c>
      <c r="AQ29" s="289" t="s">
        <v>504</v>
      </c>
    </row>
    <row r="30" spans="1:43" ht="13" customHeight="1" x14ac:dyDescent="0.35">
      <c r="A30" s="278">
        <v>10411</v>
      </c>
      <c r="B30" s="279">
        <v>42559</v>
      </c>
      <c r="C30" s="280" t="s">
        <v>322</v>
      </c>
      <c r="D30" s="281" t="s">
        <v>373</v>
      </c>
      <c r="E30" s="278"/>
      <c r="F30" s="278" t="s">
        <v>360</v>
      </c>
      <c r="G30" s="290">
        <v>42551</v>
      </c>
      <c r="H30" s="283" t="s">
        <v>324</v>
      </c>
      <c r="I30" s="283" t="s">
        <v>325</v>
      </c>
      <c r="J30" s="283"/>
      <c r="K30" s="278" t="s">
        <v>326</v>
      </c>
      <c r="L30" s="284" t="s">
        <v>391</v>
      </c>
      <c r="M30" s="285">
        <v>82.890909090909091</v>
      </c>
      <c r="N30" s="285">
        <v>26.318181818181817</v>
      </c>
      <c r="O30" s="278"/>
      <c r="P30" s="278"/>
      <c r="Q30" s="288"/>
      <c r="R30" s="278"/>
      <c r="S30" s="287"/>
      <c r="T30" s="278"/>
      <c r="U30" s="288" t="s">
        <v>320</v>
      </c>
      <c r="V30" s="285" t="s">
        <v>320</v>
      </c>
      <c r="W30" s="285"/>
      <c r="X30" s="278"/>
      <c r="Y30" s="278"/>
      <c r="Z30" s="278"/>
      <c r="AA30" s="278"/>
      <c r="AB30" s="278"/>
      <c r="AC30" s="278"/>
      <c r="AD30" s="285" t="s">
        <v>320</v>
      </c>
      <c r="AE30" s="285">
        <v>13.6</v>
      </c>
      <c r="AF30" s="278"/>
      <c r="AG30" s="278"/>
      <c r="AH30" s="285"/>
      <c r="AI30" s="278"/>
      <c r="AJ30" s="278"/>
      <c r="AK30" s="285" t="s">
        <v>320</v>
      </c>
      <c r="AL30" s="278"/>
      <c r="AM30" s="285" t="s">
        <v>320</v>
      </c>
      <c r="AN30" s="285" t="s">
        <v>320</v>
      </c>
      <c r="AO30" s="278" t="s">
        <v>361</v>
      </c>
      <c r="AP30" s="283" t="s">
        <v>325</v>
      </c>
      <c r="AQ30" s="289" t="s">
        <v>505</v>
      </c>
    </row>
    <row r="31" spans="1:43" ht="13" customHeight="1" x14ac:dyDescent="0.35">
      <c r="A31" s="278">
        <v>10498</v>
      </c>
      <c r="B31" s="279">
        <v>42559</v>
      </c>
      <c r="C31" s="280" t="s">
        <v>322</v>
      </c>
      <c r="D31" s="281" t="s">
        <v>373</v>
      </c>
      <c r="E31" s="278"/>
      <c r="F31" s="278" t="s">
        <v>360</v>
      </c>
      <c r="G31" s="290">
        <v>42551</v>
      </c>
      <c r="H31" s="283" t="s">
        <v>324</v>
      </c>
      <c r="I31" s="283" t="s">
        <v>325</v>
      </c>
      <c r="J31" s="283"/>
      <c r="K31" s="278" t="s">
        <v>328</v>
      </c>
      <c r="L31" s="284" t="s">
        <v>391</v>
      </c>
      <c r="M31" s="285">
        <v>86.8</v>
      </c>
      <c r="N31" s="285">
        <v>26.33</v>
      </c>
      <c r="O31" s="278"/>
      <c r="P31" s="278"/>
      <c r="Q31" s="288"/>
      <c r="R31" s="278"/>
      <c r="S31" s="287"/>
      <c r="T31" s="278"/>
      <c r="U31" s="288" t="s">
        <v>320</v>
      </c>
      <c r="V31" s="285" t="s">
        <v>320</v>
      </c>
      <c r="W31" s="285"/>
      <c r="X31" s="278"/>
      <c r="Y31" s="278"/>
      <c r="Z31" s="278"/>
      <c r="AA31" s="278"/>
      <c r="AB31" s="278"/>
      <c r="AC31" s="278"/>
      <c r="AD31" s="285" t="s">
        <v>320</v>
      </c>
      <c r="AE31" s="285">
        <v>11.999999999999998</v>
      </c>
      <c r="AF31" s="278"/>
      <c r="AG31" s="278"/>
      <c r="AH31" s="285"/>
      <c r="AI31" s="278"/>
      <c r="AJ31" s="278"/>
      <c r="AK31" s="285" t="s">
        <v>320</v>
      </c>
      <c r="AL31" s="278"/>
      <c r="AM31" s="285" t="s">
        <v>320</v>
      </c>
      <c r="AN31" s="285" t="s">
        <v>320</v>
      </c>
      <c r="AO31" s="278" t="s">
        <v>361</v>
      </c>
      <c r="AP31" s="283" t="s">
        <v>325</v>
      </c>
      <c r="AQ31" s="291" t="s">
        <v>393</v>
      </c>
    </row>
    <row r="32" spans="1:43" ht="13" customHeight="1" x14ac:dyDescent="0.35">
      <c r="A32" s="278">
        <v>10590</v>
      </c>
      <c r="B32" s="279">
        <v>42559</v>
      </c>
      <c r="C32" s="280" t="s">
        <v>322</v>
      </c>
      <c r="D32" s="281" t="s">
        <v>373</v>
      </c>
      <c r="E32" s="278"/>
      <c r="F32" s="278" t="s">
        <v>360</v>
      </c>
      <c r="G32" s="290">
        <v>42551</v>
      </c>
      <c r="H32" s="283" t="s">
        <v>310</v>
      </c>
      <c r="I32" s="283" t="s">
        <v>309</v>
      </c>
      <c r="J32" s="283"/>
      <c r="K32" s="278" t="s">
        <v>329</v>
      </c>
      <c r="L32" s="284" t="s">
        <v>387</v>
      </c>
      <c r="M32" s="285">
        <v>89.999999999999986</v>
      </c>
      <c r="N32" s="285">
        <v>25.654545454545453</v>
      </c>
      <c r="O32" s="278"/>
      <c r="P32" s="278"/>
      <c r="Q32" s="288"/>
      <c r="R32" s="278"/>
      <c r="S32" s="287"/>
      <c r="T32" s="278"/>
      <c r="U32" s="288" t="s">
        <v>320</v>
      </c>
      <c r="V32" s="285" t="s">
        <v>320</v>
      </c>
      <c r="W32" s="285"/>
      <c r="X32" s="278"/>
      <c r="Y32" s="278"/>
      <c r="Z32" s="278"/>
      <c r="AA32" s="278"/>
      <c r="AB32" s="278"/>
      <c r="AC32" s="278"/>
      <c r="AD32" s="285" t="s">
        <v>320</v>
      </c>
      <c r="AE32" s="285">
        <v>14.009090909090908</v>
      </c>
      <c r="AF32" s="278"/>
      <c r="AG32" s="278"/>
      <c r="AH32" s="285"/>
      <c r="AI32" s="278"/>
      <c r="AJ32" s="278"/>
      <c r="AK32" s="285" t="s">
        <v>320</v>
      </c>
      <c r="AL32" s="278"/>
      <c r="AM32" s="285" t="s">
        <v>320</v>
      </c>
      <c r="AN32" s="285" t="s">
        <v>320</v>
      </c>
      <c r="AO32" s="278" t="s">
        <v>361</v>
      </c>
      <c r="AP32" s="283" t="s">
        <v>325</v>
      </c>
      <c r="AQ32" s="289" t="s">
        <v>506</v>
      </c>
    </row>
    <row r="33" spans="1:43" ht="13" customHeight="1" x14ac:dyDescent="0.35">
      <c r="A33" s="278">
        <v>1470</v>
      </c>
      <c r="B33" s="279">
        <v>42559</v>
      </c>
      <c r="C33" s="280" t="s">
        <v>322</v>
      </c>
      <c r="D33" s="281" t="s">
        <v>373</v>
      </c>
      <c r="E33" s="278"/>
      <c r="F33" s="278" t="s">
        <v>360</v>
      </c>
      <c r="G33" s="290">
        <v>42551</v>
      </c>
      <c r="H33" s="283" t="s">
        <v>324</v>
      </c>
      <c r="I33" s="283" t="s">
        <v>325</v>
      </c>
      <c r="J33" s="283"/>
      <c r="K33" s="278" t="s">
        <v>330</v>
      </c>
      <c r="L33" s="284" t="s">
        <v>387</v>
      </c>
      <c r="M33" s="285">
        <v>91.927272727272722</v>
      </c>
      <c r="N33" s="285">
        <v>25.736363636363635</v>
      </c>
      <c r="O33" s="278"/>
      <c r="P33" s="278"/>
      <c r="Q33" s="288"/>
      <c r="R33" s="278"/>
      <c r="S33" s="287"/>
      <c r="T33" s="278"/>
      <c r="U33" s="288" t="s">
        <v>320</v>
      </c>
      <c r="V33" s="285" t="s">
        <v>320</v>
      </c>
      <c r="W33" s="285"/>
      <c r="X33" s="278"/>
      <c r="Y33" s="278"/>
      <c r="Z33" s="278"/>
      <c r="AA33" s="278"/>
      <c r="AB33" s="278"/>
      <c r="AC33" s="278"/>
      <c r="AD33" s="285" t="s">
        <v>320</v>
      </c>
      <c r="AE33" s="285">
        <v>13.427272727272726</v>
      </c>
      <c r="AF33" s="278"/>
      <c r="AG33" s="278"/>
      <c r="AH33" s="285"/>
      <c r="AI33" s="278"/>
      <c r="AJ33" s="278"/>
      <c r="AK33" s="285" t="s">
        <v>320</v>
      </c>
      <c r="AL33" s="278"/>
      <c r="AM33" s="285" t="s">
        <v>320</v>
      </c>
      <c r="AN33" s="285" t="s">
        <v>320</v>
      </c>
      <c r="AO33" s="278" t="s">
        <v>361</v>
      </c>
      <c r="AP33" s="283" t="s">
        <v>325</v>
      </c>
      <c r="AQ33" s="289" t="s">
        <v>507</v>
      </c>
    </row>
    <row r="34" spans="1:43" ht="13" customHeight="1" x14ac:dyDescent="0.35">
      <c r="A34" s="278">
        <v>4651</v>
      </c>
      <c r="B34" s="279">
        <v>42559</v>
      </c>
      <c r="C34" s="280" t="s">
        <v>322</v>
      </c>
      <c r="D34" s="281" t="s">
        <v>373</v>
      </c>
      <c r="E34" s="278"/>
      <c r="F34" s="278" t="s">
        <v>360</v>
      </c>
      <c r="G34" s="290">
        <v>42551</v>
      </c>
      <c r="H34" s="283" t="s">
        <v>324</v>
      </c>
      <c r="I34" s="283" t="s">
        <v>325</v>
      </c>
      <c r="J34" s="283"/>
      <c r="K34" s="278" t="s">
        <v>331</v>
      </c>
      <c r="L34" s="284" t="s">
        <v>387</v>
      </c>
      <c r="M34" s="285">
        <v>89</v>
      </c>
      <c r="N34" s="285">
        <v>24.999999999999996</v>
      </c>
      <c r="O34" s="278"/>
      <c r="P34" s="278"/>
      <c r="Q34" s="288"/>
      <c r="R34" s="278"/>
      <c r="S34" s="287"/>
      <c r="T34" s="278"/>
      <c r="U34" s="288" t="s">
        <v>320</v>
      </c>
      <c r="V34" s="285" t="s">
        <v>320</v>
      </c>
      <c r="W34" s="285"/>
      <c r="X34" s="278"/>
      <c r="Y34" s="278"/>
      <c r="Z34" s="278"/>
      <c r="AA34" s="278"/>
      <c r="AB34" s="278"/>
      <c r="AC34" s="278"/>
      <c r="AD34" s="285" t="s">
        <v>320</v>
      </c>
      <c r="AE34" s="285">
        <v>15.299999999999997</v>
      </c>
      <c r="AF34" s="278"/>
      <c r="AG34" s="278"/>
      <c r="AH34" s="285"/>
      <c r="AI34" s="278"/>
      <c r="AJ34" s="278"/>
      <c r="AK34" s="285" t="s">
        <v>320</v>
      </c>
      <c r="AL34" s="278"/>
      <c r="AM34" s="285" t="s">
        <v>320</v>
      </c>
      <c r="AN34" s="285" t="s">
        <v>320</v>
      </c>
      <c r="AO34" s="278" t="s">
        <v>361</v>
      </c>
      <c r="AP34" s="283" t="s">
        <v>325</v>
      </c>
      <c r="AQ34" s="289" t="s">
        <v>508</v>
      </c>
    </row>
    <row r="35" spans="1:43" ht="13" customHeight="1" x14ac:dyDescent="0.35">
      <c r="A35" s="278">
        <v>1440</v>
      </c>
      <c r="B35" s="274">
        <v>42564</v>
      </c>
      <c r="C35" s="280" t="s">
        <v>322</v>
      </c>
      <c r="D35" s="281" t="s">
        <v>373</v>
      </c>
      <c r="E35" s="278"/>
      <c r="F35" s="278" t="s">
        <v>360</v>
      </c>
      <c r="G35" s="290">
        <v>42551</v>
      </c>
      <c r="H35" s="283" t="s">
        <v>324</v>
      </c>
      <c r="I35" s="283" t="s">
        <v>325</v>
      </c>
      <c r="J35" s="283"/>
      <c r="K35" s="278" t="s">
        <v>479</v>
      </c>
      <c r="L35" s="284" t="s">
        <v>387</v>
      </c>
      <c r="M35" s="285">
        <v>79</v>
      </c>
      <c r="N35" s="285">
        <v>26.654545454545453</v>
      </c>
      <c r="O35" s="278"/>
      <c r="P35" s="278"/>
      <c r="Q35" s="288"/>
      <c r="R35" s="278"/>
      <c r="S35" s="287"/>
      <c r="T35" s="278"/>
      <c r="U35" s="288" t="s">
        <v>320</v>
      </c>
      <c r="V35" s="285" t="s">
        <v>320</v>
      </c>
      <c r="W35" s="285"/>
      <c r="X35" s="278"/>
      <c r="Y35" s="278"/>
      <c r="Z35" s="278"/>
      <c r="AA35" s="278"/>
      <c r="AB35" s="278"/>
      <c r="AC35" s="278"/>
      <c r="AD35" s="285" t="s">
        <v>320</v>
      </c>
      <c r="AE35" s="285">
        <v>13</v>
      </c>
      <c r="AF35" s="278"/>
      <c r="AG35" s="278"/>
      <c r="AH35" s="285"/>
      <c r="AI35" s="278"/>
      <c r="AJ35" s="278"/>
      <c r="AK35" s="285" t="s">
        <v>320</v>
      </c>
      <c r="AL35" s="278"/>
      <c r="AM35" s="285" t="s">
        <v>320</v>
      </c>
      <c r="AN35" s="285" t="s">
        <v>320</v>
      </c>
      <c r="AO35" s="278" t="s">
        <v>361</v>
      </c>
      <c r="AP35" s="283" t="s">
        <v>325</v>
      </c>
      <c r="AQ35" s="292" t="s">
        <v>509</v>
      </c>
    </row>
    <row r="36" spans="1:43" ht="13" customHeight="1" x14ac:dyDescent="0.35">
      <c r="A36" s="278">
        <v>1482</v>
      </c>
      <c r="B36" s="279">
        <v>42559</v>
      </c>
      <c r="C36" s="280" t="s">
        <v>322</v>
      </c>
      <c r="D36" s="281" t="s">
        <v>373</v>
      </c>
      <c r="E36" s="278"/>
      <c r="F36" s="278" t="s">
        <v>360</v>
      </c>
      <c r="G36" s="293">
        <v>42551</v>
      </c>
      <c r="H36" s="283" t="s">
        <v>324</v>
      </c>
      <c r="I36" s="283" t="s">
        <v>325</v>
      </c>
      <c r="J36" s="283"/>
      <c r="K36" s="278" t="s">
        <v>397</v>
      </c>
      <c r="L36" s="284" t="s">
        <v>387</v>
      </c>
      <c r="M36" s="285">
        <v>91.927272727272722</v>
      </c>
      <c r="N36" s="285">
        <v>25.736363636363635</v>
      </c>
      <c r="O36" s="278"/>
      <c r="P36" s="278"/>
      <c r="Q36" s="288"/>
      <c r="R36" s="278"/>
      <c r="S36" s="287"/>
      <c r="T36" s="278"/>
      <c r="U36" s="288" t="s">
        <v>320</v>
      </c>
      <c r="V36" s="285" t="s">
        <v>320</v>
      </c>
      <c r="W36" s="285"/>
      <c r="X36" s="278"/>
      <c r="Y36" s="278"/>
      <c r="Z36" s="278"/>
      <c r="AA36" s="278"/>
      <c r="AB36" s="278"/>
      <c r="AC36" s="278"/>
      <c r="AD36" s="285" t="s">
        <v>320</v>
      </c>
      <c r="AE36" s="285">
        <v>13.427272727272726</v>
      </c>
      <c r="AF36" s="278"/>
      <c r="AG36" s="278"/>
      <c r="AH36" s="285"/>
      <c r="AI36" s="278"/>
      <c r="AJ36" s="278"/>
      <c r="AK36" s="285" t="s">
        <v>320</v>
      </c>
      <c r="AL36" s="278"/>
      <c r="AM36" s="285" t="s">
        <v>320</v>
      </c>
      <c r="AN36" s="285" t="s">
        <v>320</v>
      </c>
      <c r="AO36" s="278" t="s">
        <v>361</v>
      </c>
      <c r="AP36" s="283" t="s">
        <v>325</v>
      </c>
      <c r="AQ36" s="289" t="s">
        <v>510</v>
      </c>
    </row>
    <row r="37" spans="1:43" ht="13" customHeight="1" x14ac:dyDescent="0.35">
      <c r="A37" s="278">
        <v>10261</v>
      </c>
      <c r="B37" s="279">
        <v>42559</v>
      </c>
      <c r="C37" s="280" t="s">
        <v>322</v>
      </c>
      <c r="D37" s="281" t="s">
        <v>373</v>
      </c>
      <c r="E37" s="278"/>
      <c r="F37" s="278" t="s">
        <v>360</v>
      </c>
      <c r="G37" s="293">
        <v>42551</v>
      </c>
      <c r="H37" s="283" t="s">
        <v>324</v>
      </c>
      <c r="I37" s="283" t="s">
        <v>325</v>
      </c>
      <c r="J37" s="283"/>
      <c r="K37" s="278" t="s">
        <v>340</v>
      </c>
      <c r="L37" s="284" t="s">
        <v>399</v>
      </c>
      <c r="M37" s="285">
        <v>82</v>
      </c>
      <c r="N37" s="285">
        <v>26.872727272727268</v>
      </c>
      <c r="O37" s="278"/>
      <c r="P37" s="278"/>
      <c r="Q37" s="288"/>
      <c r="R37" s="278"/>
      <c r="S37" s="287"/>
      <c r="T37" s="278"/>
      <c r="U37" s="288" t="s">
        <v>320</v>
      </c>
      <c r="V37" s="285" t="s">
        <v>320</v>
      </c>
      <c r="W37" s="285"/>
      <c r="X37" s="278"/>
      <c r="Y37" s="278"/>
      <c r="Z37" s="278"/>
      <c r="AA37" s="278"/>
      <c r="AB37" s="278"/>
      <c r="AC37" s="278"/>
      <c r="AD37" s="285" t="s">
        <v>320</v>
      </c>
      <c r="AE37" s="285">
        <v>11.045454545454545</v>
      </c>
      <c r="AF37" s="278"/>
      <c r="AG37" s="278"/>
      <c r="AH37" s="285"/>
      <c r="AI37" s="278"/>
      <c r="AJ37" s="278"/>
      <c r="AK37" s="285" t="s">
        <v>320</v>
      </c>
      <c r="AL37" s="278"/>
      <c r="AM37" s="285" t="s">
        <v>320</v>
      </c>
      <c r="AN37" s="285" t="s">
        <v>320</v>
      </c>
      <c r="AO37" s="278" t="s">
        <v>361</v>
      </c>
      <c r="AP37" s="283" t="s">
        <v>325</v>
      </c>
      <c r="AQ37" s="289" t="s">
        <v>511</v>
      </c>
    </row>
    <row r="38" spans="1:43" ht="13" customHeight="1" x14ac:dyDescent="0.35">
      <c r="A38" s="278">
        <v>5637</v>
      </c>
      <c r="B38" s="274">
        <v>42564</v>
      </c>
      <c r="C38" s="280" t="s">
        <v>322</v>
      </c>
      <c r="D38" s="281" t="s">
        <v>373</v>
      </c>
      <c r="E38" s="278"/>
      <c r="F38" s="278" t="s">
        <v>360</v>
      </c>
      <c r="G38" s="293">
        <v>42553</v>
      </c>
      <c r="H38" s="283" t="s">
        <v>324</v>
      </c>
      <c r="I38" s="283" t="s">
        <v>325</v>
      </c>
      <c r="J38" s="283"/>
      <c r="K38" s="278" t="s">
        <v>401</v>
      </c>
      <c r="L38" s="284" t="s">
        <v>387</v>
      </c>
      <c r="M38" s="285">
        <v>92.463636363636354</v>
      </c>
      <c r="N38" s="285">
        <v>24.518181818181816</v>
      </c>
      <c r="O38" s="278"/>
      <c r="P38" s="278"/>
      <c r="Q38" s="288"/>
      <c r="R38" s="278"/>
      <c r="S38" s="287"/>
      <c r="T38" s="278"/>
      <c r="U38" s="288" t="s">
        <v>320</v>
      </c>
      <c r="V38" s="285" t="s">
        <v>320</v>
      </c>
      <c r="W38" s="285"/>
      <c r="X38" s="278"/>
      <c r="Y38" s="278"/>
      <c r="Z38" s="278"/>
      <c r="AA38" s="278"/>
      <c r="AB38" s="278"/>
      <c r="AC38" s="278"/>
      <c r="AD38" s="285" t="s">
        <v>320</v>
      </c>
      <c r="AE38" s="285">
        <v>16.27272727272727</v>
      </c>
      <c r="AF38" s="278"/>
      <c r="AG38" s="278"/>
      <c r="AH38" s="285"/>
      <c r="AI38" s="278"/>
      <c r="AJ38" s="278"/>
      <c r="AK38" s="285" t="s">
        <v>320</v>
      </c>
      <c r="AL38" s="278"/>
      <c r="AM38" s="285" t="s">
        <v>320</v>
      </c>
      <c r="AN38" s="285" t="s">
        <v>320</v>
      </c>
      <c r="AO38" s="278" t="s">
        <v>361</v>
      </c>
      <c r="AP38" s="283" t="s">
        <v>325</v>
      </c>
      <c r="AQ38" s="292" t="s">
        <v>512</v>
      </c>
    </row>
    <row r="39" spans="1:43" ht="13" customHeight="1" x14ac:dyDescent="0.35">
      <c r="A39" s="278">
        <v>4372</v>
      </c>
      <c r="B39" s="279">
        <v>42559</v>
      </c>
      <c r="C39" s="280" t="s">
        <v>376</v>
      </c>
      <c r="D39" s="281" t="s">
        <v>373</v>
      </c>
      <c r="E39" s="278"/>
      <c r="F39" s="278" t="s">
        <v>360</v>
      </c>
      <c r="G39" s="293">
        <v>42551</v>
      </c>
      <c r="H39" s="283" t="s">
        <v>324</v>
      </c>
      <c r="I39" s="283" t="s">
        <v>325</v>
      </c>
      <c r="J39" s="283"/>
      <c r="K39" s="278" t="s">
        <v>403</v>
      </c>
      <c r="L39" s="284" t="s">
        <v>391</v>
      </c>
      <c r="M39" s="285">
        <v>103.63636363636363</v>
      </c>
      <c r="N39" s="285">
        <v>24.363636363636363</v>
      </c>
      <c r="O39" s="278"/>
      <c r="P39" s="278"/>
      <c r="Q39" s="288"/>
      <c r="R39" s="294"/>
      <c r="S39" s="287"/>
      <c r="T39" s="278"/>
      <c r="U39" s="288" t="s">
        <v>320</v>
      </c>
      <c r="V39" s="285" t="s">
        <v>320</v>
      </c>
      <c r="W39" s="285"/>
      <c r="X39" s="278"/>
      <c r="Y39" s="278"/>
      <c r="Z39" s="278"/>
      <c r="AA39" s="278"/>
      <c r="AB39" s="278"/>
      <c r="AC39" s="278"/>
      <c r="AD39" s="285" t="s">
        <v>320</v>
      </c>
      <c r="AE39" s="285">
        <v>14.618181818181816</v>
      </c>
      <c r="AF39" s="278"/>
      <c r="AG39" s="278"/>
      <c r="AH39" s="285"/>
      <c r="AI39" s="278"/>
      <c r="AJ39" s="278"/>
      <c r="AK39" s="285" t="s">
        <v>320</v>
      </c>
      <c r="AL39" s="278"/>
      <c r="AM39" s="285" t="s">
        <v>320</v>
      </c>
      <c r="AN39" s="285" t="s">
        <v>320</v>
      </c>
      <c r="AO39" s="278" t="s">
        <v>361</v>
      </c>
      <c r="AP39" s="283" t="s">
        <v>325</v>
      </c>
      <c r="AQ39" s="289" t="s">
        <v>513</v>
      </c>
    </row>
    <row r="40" spans="1:43" ht="13" customHeight="1" x14ac:dyDescent="0.35">
      <c r="A40" s="278">
        <v>10522</v>
      </c>
      <c r="B40" s="279">
        <v>42559</v>
      </c>
      <c r="C40" s="280" t="s">
        <v>322</v>
      </c>
      <c r="D40" s="281" t="s">
        <v>373</v>
      </c>
      <c r="E40" s="278"/>
      <c r="F40" s="278" t="s">
        <v>360</v>
      </c>
      <c r="G40" s="293">
        <v>42551</v>
      </c>
      <c r="H40" s="283" t="s">
        <v>324</v>
      </c>
      <c r="I40" s="283" t="s">
        <v>325</v>
      </c>
      <c r="J40" s="283"/>
      <c r="K40" s="278" t="s">
        <v>348</v>
      </c>
      <c r="L40" s="284" t="s">
        <v>391</v>
      </c>
      <c r="M40" s="285">
        <v>78.272727272727266</v>
      </c>
      <c r="N40" s="285">
        <v>26.75454545454545</v>
      </c>
      <c r="O40" s="278"/>
      <c r="P40" s="278"/>
      <c r="Q40" s="288"/>
      <c r="R40" s="278"/>
      <c r="S40" s="287"/>
      <c r="T40" s="278"/>
      <c r="U40" s="288" t="s">
        <v>320</v>
      </c>
      <c r="V40" s="285" t="s">
        <v>320</v>
      </c>
      <c r="W40" s="285"/>
      <c r="X40" s="278"/>
      <c r="Y40" s="278"/>
      <c r="Z40" s="278"/>
      <c r="AA40" s="278"/>
      <c r="AB40" s="278"/>
      <c r="AC40" s="278"/>
      <c r="AD40" s="285" t="s">
        <v>320</v>
      </c>
      <c r="AE40" s="285">
        <v>10.827272727272726</v>
      </c>
      <c r="AF40" s="278"/>
      <c r="AG40" s="278"/>
      <c r="AH40" s="285"/>
      <c r="AI40" s="278"/>
      <c r="AJ40" s="278"/>
      <c r="AK40" s="285" t="s">
        <v>320</v>
      </c>
      <c r="AL40" s="278"/>
      <c r="AM40" s="285" t="s">
        <v>320</v>
      </c>
      <c r="AN40" s="285" t="s">
        <v>320</v>
      </c>
      <c r="AO40" s="278" t="s">
        <v>361</v>
      </c>
      <c r="AP40" s="283" t="s">
        <v>325</v>
      </c>
      <c r="AQ40" s="289" t="s">
        <v>514</v>
      </c>
    </row>
    <row r="41" spans="1:43" ht="13" customHeight="1" x14ac:dyDescent="0.35">
      <c r="A41" s="278">
        <v>10331</v>
      </c>
      <c r="B41" s="279">
        <v>42559</v>
      </c>
      <c r="C41" s="280" t="s">
        <v>322</v>
      </c>
      <c r="D41" s="281" t="s">
        <v>373</v>
      </c>
      <c r="E41" s="278"/>
      <c r="F41" s="278" t="s">
        <v>360</v>
      </c>
      <c r="G41" s="293">
        <v>42551</v>
      </c>
      <c r="H41" s="283" t="s">
        <v>324</v>
      </c>
      <c r="I41" s="283" t="s">
        <v>325</v>
      </c>
      <c r="J41" s="283"/>
      <c r="K41" s="278" t="s">
        <v>406</v>
      </c>
      <c r="L41" s="284" t="s">
        <v>222</v>
      </c>
      <c r="M41" s="285">
        <v>82.89</v>
      </c>
      <c r="N41" s="285">
        <v>26.32</v>
      </c>
      <c r="O41" s="278"/>
      <c r="P41" s="278"/>
      <c r="Q41" s="288"/>
      <c r="R41" s="278"/>
      <c r="S41" s="287"/>
      <c r="T41" s="278"/>
      <c r="U41" s="288" t="s">
        <v>320</v>
      </c>
      <c r="V41" s="285" t="s">
        <v>320</v>
      </c>
      <c r="W41" s="285"/>
      <c r="X41" s="278"/>
      <c r="Y41" s="278"/>
      <c r="Z41" s="278"/>
      <c r="AA41" s="278"/>
      <c r="AB41" s="278"/>
      <c r="AC41" s="278"/>
      <c r="AD41" s="285" t="s">
        <v>320</v>
      </c>
      <c r="AE41" s="285">
        <v>13.6</v>
      </c>
      <c r="AF41" s="278"/>
      <c r="AG41" s="278"/>
      <c r="AH41" s="285"/>
      <c r="AI41" s="278"/>
      <c r="AJ41" s="278"/>
      <c r="AK41" s="285" t="s">
        <v>320</v>
      </c>
      <c r="AL41" s="278"/>
      <c r="AM41" s="285" t="s">
        <v>320</v>
      </c>
      <c r="AN41" s="285" t="s">
        <v>320</v>
      </c>
      <c r="AO41" s="278" t="s">
        <v>361</v>
      </c>
      <c r="AP41" s="283" t="s">
        <v>325</v>
      </c>
      <c r="AQ41" s="292" t="s">
        <v>407</v>
      </c>
    </row>
    <row r="42" spans="1:43" ht="13" customHeight="1" x14ac:dyDescent="0.35">
      <c r="A42" s="278">
        <v>10666</v>
      </c>
      <c r="B42" s="279">
        <v>42559</v>
      </c>
      <c r="C42" s="280" t="s">
        <v>322</v>
      </c>
      <c r="D42" s="281" t="s">
        <v>373</v>
      </c>
      <c r="E42" s="278"/>
      <c r="F42" s="278" t="s">
        <v>360</v>
      </c>
      <c r="G42" s="293">
        <v>42551</v>
      </c>
      <c r="H42" s="283" t="s">
        <v>324</v>
      </c>
      <c r="I42" s="283" t="s">
        <v>325</v>
      </c>
      <c r="J42" s="283"/>
      <c r="K42" s="278" t="s">
        <v>408</v>
      </c>
      <c r="L42" s="284" t="s">
        <v>391</v>
      </c>
      <c r="M42" s="285">
        <v>107.12727272727271</v>
      </c>
      <c r="N42" s="285">
        <v>23.963636363636361</v>
      </c>
      <c r="O42" s="278"/>
      <c r="P42" s="278"/>
      <c r="Q42" s="288"/>
      <c r="R42" s="278"/>
      <c r="S42" s="287"/>
      <c r="T42" s="278"/>
      <c r="U42" s="288" t="s">
        <v>320</v>
      </c>
      <c r="V42" s="285" t="s">
        <v>320</v>
      </c>
      <c r="W42" s="285"/>
      <c r="X42" s="278"/>
      <c r="Y42" s="278"/>
      <c r="Z42" s="278"/>
      <c r="AA42" s="278"/>
      <c r="AB42" s="278"/>
      <c r="AC42" s="278"/>
      <c r="AD42" s="285" t="s">
        <v>320</v>
      </c>
      <c r="AE42" s="285">
        <v>10.018181818181818</v>
      </c>
      <c r="AF42" s="278"/>
      <c r="AG42" s="278"/>
      <c r="AH42" s="285"/>
      <c r="AI42" s="278"/>
      <c r="AJ42" s="278"/>
      <c r="AK42" s="285" t="s">
        <v>320</v>
      </c>
      <c r="AL42" s="278"/>
      <c r="AM42" s="285" t="s">
        <v>320</v>
      </c>
      <c r="AN42" s="285" t="s">
        <v>320</v>
      </c>
      <c r="AO42" s="278" t="s">
        <v>361</v>
      </c>
      <c r="AP42" s="283" t="s">
        <v>325</v>
      </c>
      <c r="AQ42" s="289" t="s">
        <v>515</v>
      </c>
    </row>
    <row r="43" spans="1:43" ht="13" customHeight="1" x14ac:dyDescent="0.35">
      <c r="A43" s="278">
        <v>1388</v>
      </c>
      <c r="B43" s="279">
        <v>42559</v>
      </c>
      <c r="C43" s="280" t="s">
        <v>322</v>
      </c>
      <c r="D43" s="281" t="s">
        <v>373</v>
      </c>
      <c r="E43" s="278"/>
      <c r="F43" s="278" t="s">
        <v>360</v>
      </c>
      <c r="G43" s="293">
        <v>42551</v>
      </c>
      <c r="H43" s="283" t="s">
        <v>324</v>
      </c>
      <c r="I43" s="283" t="s">
        <v>325</v>
      </c>
      <c r="J43" s="283"/>
      <c r="K43" s="278" t="s">
        <v>410</v>
      </c>
      <c r="L43" s="284" t="s">
        <v>391</v>
      </c>
      <c r="M43" s="285">
        <v>92.3</v>
      </c>
      <c r="N43" s="285">
        <v>25.4</v>
      </c>
      <c r="O43" s="281"/>
      <c r="P43" s="278"/>
      <c r="Q43" s="288"/>
      <c r="R43" s="278"/>
      <c r="S43" s="287"/>
      <c r="T43" s="278"/>
      <c r="U43" s="288" t="s">
        <v>320</v>
      </c>
      <c r="V43" s="285" t="s">
        <v>320</v>
      </c>
      <c r="W43" s="285"/>
      <c r="X43" s="278"/>
      <c r="Y43" s="278"/>
      <c r="Z43" s="278"/>
      <c r="AA43" s="278"/>
      <c r="AB43" s="278"/>
      <c r="AC43" s="278"/>
      <c r="AD43" s="285" t="s">
        <v>320</v>
      </c>
      <c r="AE43" s="285">
        <v>14</v>
      </c>
      <c r="AF43" s="278"/>
      <c r="AG43" s="278"/>
      <c r="AH43" s="285"/>
      <c r="AI43" s="278"/>
      <c r="AJ43" s="278"/>
      <c r="AK43" s="285" t="s">
        <v>320</v>
      </c>
      <c r="AL43" s="278"/>
      <c r="AM43" s="285" t="s">
        <v>320</v>
      </c>
      <c r="AN43" s="285" t="s">
        <v>320</v>
      </c>
      <c r="AO43" s="278" t="s">
        <v>361</v>
      </c>
      <c r="AP43" s="283" t="s">
        <v>325</v>
      </c>
      <c r="AQ43" s="289" t="s">
        <v>516</v>
      </c>
    </row>
    <row r="44" spans="1:43" ht="13" customHeight="1" x14ac:dyDescent="0.35">
      <c r="A44" s="278">
        <v>3594</v>
      </c>
      <c r="B44" s="279">
        <v>42559</v>
      </c>
      <c r="C44" s="280" t="s">
        <v>322</v>
      </c>
      <c r="D44" s="281" t="s">
        <v>373</v>
      </c>
      <c r="E44" s="278"/>
      <c r="F44" s="278" t="s">
        <v>360</v>
      </c>
      <c r="G44" s="293">
        <v>42551</v>
      </c>
      <c r="H44" s="283" t="s">
        <v>324</v>
      </c>
      <c r="I44" s="283" t="s">
        <v>325</v>
      </c>
      <c r="J44" s="283"/>
      <c r="K44" s="278" t="s">
        <v>412</v>
      </c>
      <c r="L44" s="284" t="s">
        <v>391</v>
      </c>
      <c r="M44" s="285">
        <v>90.090909090909079</v>
      </c>
      <c r="N44" s="285">
        <v>26.009090909090908</v>
      </c>
      <c r="O44" s="278"/>
      <c r="P44" s="278"/>
      <c r="Q44" s="288"/>
      <c r="R44" s="278"/>
      <c r="S44" s="287"/>
      <c r="T44" s="278"/>
      <c r="U44" s="288" t="s">
        <v>320</v>
      </c>
      <c r="V44" s="285" t="s">
        <v>320</v>
      </c>
      <c r="W44" s="285"/>
      <c r="X44" s="278"/>
      <c r="Y44" s="278"/>
      <c r="Z44" s="278"/>
      <c r="AA44" s="278"/>
      <c r="AB44" s="278"/>
      <c r="AC44" s="278"/>
      <c r="AD44" s="285" t="s">
        <v>320</v>
      </c>
      <c r="AE44" s="285">
        <v>13.127272727272725</v>
      </c>
      <c r="AF44" s="278"/>
      <c r="AG44" s="278"/>
      <c r="AH44" s="285"/>
      <c r="AI44" s="278"/>
      <c r="AJ44" s="278"/>
      <c r="AK44" s="285" t="s">
        <v>320</v>
      </c>
      <c r="AL44" s="278"/>
      <c r="AM44" s="285" t="s">
        <v>320</v>
      </c>
      <c r="AN44" s="285" t="s">
        <v>320</v>
      </c>
      <c r="AO44" s="278" t="s">
        <v>361</v>
      </c>
      <c r="AP44" s="283" t="s">
        <v>325</v>
      </c>
      <c r="AQ44" s="289" t="s">
        <v>517</v>
      </c>
    </row>
    <row r="45" spans="1:43" ht="13" customHeight="1" x14ac:dyDescent="0.35">
      <c r="A45" s="278">
        <v>10369</v>
      </c>
      <c r="B45" s="279">
        <v>42559</v>
      </c>
      <c r="C45" s="280" t="s">
        <v>322</v>
      </c>
      <c r="D45" s="281" t="s">
        <v>373</v>
      </c>
      <c r="E45" s="278"/>
      <c r="F45" s="278" t="s">
        <v>360</v>
      </c>
      <c r="G45" s="293">
        <v>42551</v>
      </c>
      <c r="H45" s="283" t="s">
        <v>310</v>
      </c>
      <c r="I45" s="283" t="s">
        <v>309</v>
      </c>
      <c r="J45" s="283"/>
      <c r="K45" s="278" t="s">
        <v>374</v>
      </c>
      <c r="L45" s="284" t="s">
        <v>391</v>
      </c>
      <c r="M45" s="285">
        <v>104.99999999999999</v>
      </c>
      <c r="N45" s="285">
        <v>24.7</v>
      </c>
      <c r="O45" s="278" t="s">
        <v>351</v>
      </c>
      <c r="P45" s="278">
        <v>1350</v>
      </c>
      <c r="Q45" s="285">
        <v>28</v>
      </c>
      <c r="R45" s="295">
        <v>1350</v>
      </c>
      <c r="S45" s="285">
        <v>28</v>
      </c>
      <c r="T45" s="278"/>
      <c r="U45" s="288" t="s">
        <v>320</v>
      </c>
      <c r="V45" s="285" t="s">
        <v>320</v>
      </c>
      <c r="W45" s="285"/>
      <c r="X45" s="278"/>
      <c r="Y45" s="278"/>
      <c r="Z45" s="278"/>
      <c r="AA45" s="278"/>
      <c r="AB45" s="278"/>
      <c r="AC45" s="278"/>
      <c r="AD45" s="285" t="s">
        <v>320</v>
      </c>
      <c r="AE45" s="285">
        <v>12.1</v>
      </c>
      <c r="AF45" s="278"/>
      <c r="AG45" s="278"/>
      <c r="AH45" s="285"/>
      <c r="AI45" s="278"/>
      <c r="AJ45" s="278"/>
      <c r="AK45" s="285" t="s">
        <v>320</v>
      </c>
      <c r="AL45" s="278"/>
      <c r="AM45" s="285" t="s">
        <v>320</v>
      </c>
      <c r="AN45" s="285" t="s">
        <v>320</v>
      </c>
      <c r="AO45" s="278" t="s">
        <v>361</v>
      </c>
      <c r="AP45" s="283" t="s">
        <v>325</v>
      </c>
      <c r="AQ45" s="289" t="s">
        <v>518</v>
      </c>
    </row>
    <row r="46" spans="1:43" ht="13" customHeight="1" x14ac:dyDescent="0.35">
      <c r="A46" s="278">
        <v>9675</v>
      </c>
      <c r="B46" s="279">
        <v>42559</v>
      </c>
      <c r="C46" s="280" t="s">
        <v>322</v>
      </c>
      <c r="D46" s="281" t="s">
        <v>373</v>
      </c>
      <c r="E46" s="278"/>
      <c r="F46" s="278" t="s">
        <v>360</v>
      </c>
      <c r="G46" s="293">
        <v>42551</v>
      </c>
      <c r="H46" s="283" t="s">
        <v>310</v>
      </c>
      <c r="I46" s="283" t="s">
        <v>309</v>
      </c>
      <c r="J46" s="283"/>
      <c r="K46" s="278" t="s">
        <v>307</v>
      </c>
      <c r="L46" s="284" t="s">
        <v>387</v>
      </c>
      <c r="M46" s="285">
        <v>89.999999999999986</v>
      </c>
      <c r="N46" s="285">
        <v>25.654545454545453</v>
      </c>
      <c r="O46" s="278"/>
      <c r="P46" s="278"/>
      <c r="Q46" s="288"/>
      <c r="R46" s="278"/>
      <c r="S46" s="287"/>
      <c r="T46" s="278"/>
      <c r="U46" s="288" t="s">
        <v>320</v>
      </c>
      <c r="V46" s="285" t="s">
        <v>320</v>
      </c>
      <c r="W46" s="285"/>
      <c r="X46" s="278"/>
      <c r="Y46" s="278"/>
      <c r="Z46" s="278"/>
      <c r="AA46" s="278"/>
      <c r="AB46" s="278"/>
      <c r="AC46" s="278"/>
      <c r="AD46" s="285" t="s">
        <v>320</v>
      </c>
      <c r="AE46" s="285">
        <v>14.009090909090908</v>
      </c>
      <c r="AF46" s="278"/>
      <c r="AG46" s="278"/>
      <c r="AH46" s="285"/>
      <c r="AI46" s="278"/>
      <c r="AJ46" s="278"/>
      <c r="AK46" s="285" t="s">
        <v>320</v>
      </c>
      <c r="AL46" s="278"/>
      <c r="AM46" s="285" t="s">
        <v>320</v>
      </c>
      <c r="AN46" s="285" t="s">
        <v>320</v>
      </c>
      <c r="AO46" s="278" t="s">
        <v>361</v>
      </c>
      <c r="AP46" s="283" t="s">
        <v>325</v>
      </c>
      <c r="AQ46" s="289" t="s">
        <v>519</v>
      </c>
    </row>
    <row r="47" spans="1:43" ht="13" customHeight="1" x14ac:dyDescent="0.35">
      <c r="A47" s="278">
        <v>9901</v>
      </c>
      <c r="B47" s="279">
        <v>42559</v>
      </c>
      <c r="C47" s="280" t="s">
        <v>322</v>
      </c>
      <c r="D47" s="281" t="s">
        <v>373</v>
      </c>
      <c r="E47" s="278"/>
      <c r="F47" s="278" t="s">
        <v>360</v>
      </c>
      <c r="G47" s="293">
        <v>42551</v>
      </c>
      <c r="H47" s="283" t="s">
        <v>324</v>
      </c>
      <c r="I47" s="283" t="s">
        <v>325</v>
      </c>
      <c r="J47" s="283"/>
      <c r="K47" s="281" t="s">
        <v>354</v>
      </c>
      <c r="L47" s="284" t="s">
        <v>222</v>
      </c>
      <c r="M47" s="285">
        <v>100.5181818181818</v>
      </c>
      <c r="N47" s="285">
        <v>23</v>
      </c>
      <c r="O47" s="278"/>
      <c r="P47" s="278"/>
      <c r="Q47" s="288"/>
      <c r="R47" s="278"/>
      <c r="S47" s="287"/>
      <c r="T47" s="278"/>
      <c r="U47" s="288" t="s">
        <v>320</v>
      </c>
      <c r="V47" s="285" t="s">
        <v>320</v>
      </c>
      <c r="W47" s="285"/>
      <c r="X47" s="278"/>
      <c r="Y47" s="278"/>
      <c r="Z47" s="278"/>
      <c r="AA47" s="278"/>
      <c r="AB47" s="278"/>
      <c r="AC47" s="278"/>
      <c r="AD47" s="285" t="s">
        <v>320</v>
      </c>
      <c r="AE47" s="285">
        <v>18</v>
      </c>
      <c r="AF47" s="278"/>
      <c r="AG47" s="278"/>
      <c r="AH47" s="285"/>
      <c r="AI47" s="278"/>
      <c r="AJ47" s="278"/>
      <c r="AK47" s="285" t="s">
        <v>320</v>
      </c>
      <c r="AL47" s="278"/>
      <c r="AM47" s="285" t="s">
        <v>320</v>
      </c>
      <c r="AN47" s="285" t="s">
        <v>320</v>
      </c>
      <c r="AO47" s="278" t="s">
        <v>361</v>
      </c>
      <c r="AP47" s="283" t="s">
        <v>325</v>
      </c>
      <c r="AQ47" s="289" t="s">
        <v>520</v>
      </c>
    </row>
    <row r="48" spans="1:43" ht="13" customHeight="1" x14ac:dyDescent="0.35">
      <c r="A48" s="278"/>
      <c r="B48" s="279">
        <v>42559</v>
      </c>
      <c r="C48" s="280" t="s">
        <v>322</v>
      </c>
      <c r="D48" s="281" t="s">
        <v>373</v>
      </c>
      <c r="E48" s="278"/>
      <c r="F48" s="278" t="s">
        <v>360</v>
      </c>
      <c r="G48" s="293">
        <v>42551</v>
      </c>
      <c r="H48" s="283" t="s">
        <v>309</v>
      </c>
      <c r="I48" s="283" t="s">
        <v>355</v>
      </c>
      <c r="J48" s="283"/>
      <c r="K48" s="281" t="s">
        <v>388</v>
      </c>
      <c r="L48" s="284" t="s">
        <v>391</v>
      </c>
      <c r="M48" s="285">
        <v>90.999999999999986</v>
      </c>
      <c r="N48" s="285">
        <v>24.2</v>
      </c>
      <c r="O48" s="278"/>
      <c r="P48" s="278"/>
      <c r="Q48" s="288"/>
      <c r="R48" s="278"/>
      <c r="S48" s="287"/>
      <c r="T48" s="278"/>
      <c r="U48" s="288" t="s">
        <v>320</v>
      </c>
      <c r="V48" s="285" t="s">
        <v>320</v>
      </c>
      <c r="W48" s="285"/>
      <c r="X48" s="278"/>
      <c r="Y48" s="278"/>
      <c r="Z48" s="278"/>
      <c r="AA48" s="278"/>
      <c r="AB48" s="278"/>
      <c r="AC48" s="278"/>
      <c r="AD48" s="285" t="s">
        <v>320</v>
      </c>
      <c r="AE48" s="285">
        <v>14</v>
      </c>
      <c r="AF48" s="278"/>
      <c r="AG48" s="278"/>
      <c r="AH48" s="285"/>
      <c r="AI48" s="278"/>
      <c r="AJ48" s="278"/>
      <c r="AK48" s="285" t="s">
        <v>320</v>
      </c>
      <c r="AL48" s="278"/>
      <c r="AM48" s="285" t="s">
        <v>320</v>
      </c>
      <c r="AN48" s="285" t="s">
        <v>320</v>
      </c>
      <c r="AO48" s="278" t="s">
        <v>361</v>
      </c>
      <c r="AP48" s="283" t="s">
        <v>325</v>
      </c>
      <c r="AQ48" s="289" t="s">
        <v>521</v>
      </c>
    </row>
    <row r="49" spans="1:43" ht="13" customHeight="1" x14ac:dyDescent="0.35">
      <c r="A49" s="278"/>
      <c r="B49" s="279">
        <v>42559</v>
      </c>
      <c r="C49" s="280" t="s">
        <v>322</v>
      </c>
      <c r="D49" s="281" t="s">
        <v>373</v>
      </c>
      <c r="E49" s="278"/>
      <c r="F49" s="278" t="s">
        <v>360</v>
      </c>
      <c r="G49" s="293">
        <v>42551</v>
      </c>
      <c r="H49" s="283" t="s">
        <v>324</v>
      </c>
      <c r="I49" s="283" t="s">
        <v>325</v>
      </c>
      <c r="J49" s="283"/>
      <c r="K49" s="281" t="s">
        <v>420</v>
      </c>
      <c r="L49" s="284" t="s">
        <v>391</v>
      </c>
      <c r="M49" s="285">
        <v>77.5</v>
      </c>
      <c r="N49" s="285">
        <v>26.799999999999997</v>
      </c>
      <c r="O49" s="278"/>
      <c r="P49" s="278"/>
      <c r="Q49" s="288"/>
      <c r="R49" s="278"/>
      <c r="S49" s="287"/>
      <c r="T49" s="278"/>
      <c r="U49" s="288" t="s">
        <v>320</v>
      </c>
      <c r="V49" s="285" t="s">
        <v>320</v>
      </c>
      <c r="W49" s="285"/>
      <c r="X49" s="278"/>
      <c r="Y49" s="278"/>
      <c r="Z49" s="278"/>
      <c r="AA49" s="278"/>
      <c r="AB49" s="278"/>
      <c r="AC49" s="278"/>
      <c r="AD49" s="285" t="s">
        <v>320</v>
      </c>
      <c r="AE49" s="285">
        <v>13.536363636363635</v>
      </c>
      <c r="AF49" s="278"/>
      <c r="AG49" s="278"/>
      <c r="AH49" s="285"/>
      <c r="AI49" s="278"/>
      <c r="AJ49" s="278"/>
      <c r="AK49" s="285" t="s">
        <v>320</v>
      </c>
      <c r="AL49" s="278"/>
      <c r="AM49" s="285" t="s">
        <v>320</v>
      </c>
      <c r="AN49" s="285" t="s">
        <v>320</v>
      </c>
      <c r="AO49" s="278" t="s">
        <v>361</v>
      </c>
      <c r="AP49" s="283" t="s">
        <v>325</v>
      </c>
      <c r="AQ49" s="289" t="s">
        <v>522</v>
      </c>
    </row>
    <row r="50" spans="1:43" ht="13" customHeight="1" x14ac:dyDescent="0.35">
      <c r="A50" s="278"/>
      <c r="B50" s="279">
        <v>42559</v>
      </c>
      <c r="C50" s="280" t="s">
        <v>322</v>
      </c>
      <c r="D50" s="281" t="s">
        <v>373</v>
      </c>
      <c r="E50" s="278"/>
      <c r="F50" s="278" t="s">
        <v>360</v>
      </c>
      <c r="G50" s="293">
        <v>42494</v>
      </c>
      <c r="H50" s="283" t="s">
        <v>310</v>
      </c>
      <c r="I50" s="283" t="s">
        <v>309</v>
      </c>
      <c r="J50" s="283"/>
      <c r="K50" s="281" t="s">
        <v>422</v>
      </c>
      <c r="L50" s="284" t="s">
        <v>391</v>
      </c>
      <c r="M50" s="285">
        <v>88.4</v>
      </c>
      <c r="N50" s="285">
        <v>26.309090909090909</v>
      </c>
      <c r="O50" s="278"/>
      <c r="P50" s="278"/>
      <c r="Q50" s="288"/>
      <c r="R50" s="278"/>
      <c r="S50" s="287"/>
      <c r="T50" s="278"/>
      <c r="U50" s="288" t="s">
        <v>320</v>
      </c>
      <c r="V50" s="285" t="s">
        <v>320</v>
      </c>
      <c r="W50" s="285"/>
      <c r="X50" s="278"/>
      <c r="Y50" s="278"/>
      <c r="Z50" s="278"/>
      <c r="AA50" s="278"/>
      <c r="AB50" s="278"/>
      <c r="AC50" s="278"/>
      <c r="AD50" s="285" t="s">
        <v>320</v>
      </c>
      <c r="AE50" s="285">
        <v>14.299999999999999</v>
      </c>
      <c r="AF50" s="278"/>
      <c r="AG50" s="278"/>
      <c r="AH50" s="285"/>
      <c r="AI50" s="278"/>
      <c r="AJ50" s="278"/>
      <c r="AK50" s="285" t="s">
        <v>320</v>
      </c>
      <c r="AL50" s="278"/>
      <c r="AM50" s="285" t="s">
        <v>320</v>
      </c>
      <c r="AN50" s="285" t="s">
        <v>320</v>
      </c>
      <c r="AO50" s="278" t="s">
        <v>361</v>
      </c>
      <c r="AP50" s="283" t="s">
        <v>325</v>
      </c>
      <c r="AQ50" s="289" t="s">
        <v>523</v>
      </c>
    </row>
    <row r="51" spans="1:43" ht="13" customHeight="1" x14ac:dyDescent="0.35">
      <c r="A51" s="278"/>
      <c r="B51" s="279">
        <v>42559</v>
      </c>
      <c r="C51" s="280" t="s">
        <v>322</v>
      </c>
      <c r="D51" s="281" t="s">
        <v>373</v>
      </c>
      <c r="E51" s="278"/>
      <c r="F51" s="278" t="s">
        <v>360</v>
      </c>
      <c r="G51" s="293">
        <v>42551</v>
      </c>
      <c r="H51" s="283" t="s">
        <v>309</v>
      </c>
      <c r="I51" s="283" t="s">
        <v>355</v>
      </c>
      <c r="J51" s="283"/>
      <c r="K51" s="281" t="s">
        <v>424</v>
      </c>
      <c r="L51" s="284" t="s">
        <v>391</v>
      </c>
      <c r="M51" s="285">
        <v>79.699999999999989</v>
      </c>
      <c r="N51" s="285">
        <v>26.599999999999998</v>
      </c>
      <c r="O51" s="278"/>
      <c r="P51" s="278"/>
      <c r="Q51" s="288"/>
      <c r="R51" s="278"/>
      <c r="S51" s="287"/>
      <c r="T51" s="278"/>
      <c r="U51" s="288" t="s">
        <v>320</v>
      </c>
      <c r="V51" s="285" t="s">
        <v>320</v>
      </c>
      <c r="W51" s="285"/>
      <c r="X51" s="278"/>
      <c r="Y51" s="278"/>
      <c r="Z51" s="278"/>
      <c r="AA51" s="278"/>
      <c r="AB51" s="278"/>
      <c r="AC51" s="278"/>
      <c r="AD51" s="285" t="s">
        <v>320</v>
      </c>
      <c r="AE51" s="285">
        <v>13.6</v>
      </c>
      <c r="AF51" s="278"/>
      <c r="AG51" s="278"/>
      <c r="AH51" s="285"/>
      <c r="AI51" s="278"/>
      <c r="AJ51" s="278"/>
      <c r="AK51" s="285" t="s">
        <v>320</v>
      </c>
      <c r="AL51" s="278"/>
      <c r="AM51" s="285" t="s">
        <v>320</v>
      </c>
      <c r="AN51" s="285" t="s">
        <v>320</v>
      </c>
      <c r="AO51" s="278" t="s">
        <v>361</v>
      </c>
      <c r="AP51" s="283" t="s">
        <v>325</v>
      </c>
      <c r="AQ51" s="289" t="s">
        <v>524</v>
      </c>
    </row>
    <row r="52" spans="1:43" ht="13" customHeight="1" x14ac:dyDescent="0.35">
      <c r="A52" s="278"/>
      <c r="B52" s="279">
        <v>42559</v>
      </c>
      <c r="C52" s="280" t="s">
        <v>322</v>
      </c>
      <c r="D52" s="281" t="s">
        <v>373</v>
      </c>
      <c r="E52" s="278"/>
      <c r="F52" s="278" t="s">
        <v>360</v>
      </c>
      <c r="G52" s="293">
        <v>42551</v>
      </c>
      <c r="H52" s="283" t="s">
        <v>309</v>
      </c>
      <c r="I52" s="283" t="s">
        <v>355</v>
      </c>
      <c r="J52" s="283"/>
      <c r="K52" s="281" t="s">
        <v>426</v>
      </c>
      <c r="L52" s="284" t="s">
        <v>391</v>
      </c>
      <c r="M52" s="285">
        <v>92.463636363636354</v>
      </c>
      <c r="N52" s="285">
        <v>24.518181818181816</v>
      </c>
      <c r="O52" s="278"/>
      <c r="P52" s="278"/>
      <c r="Q52" s="288"/>
      <c r="R52" s="278"/>
      <c r="S52" s="287"/>
      <c r="T52" s="278"/>
      <c r="U52" s="288" t="s">
        <v>320</v>
      </c>
      <c r="V52" s="285" t="s">
        <v>320</v>
      </c>
      <c r="W52" s="285"/>
      <c r="X52" s="278"/>
      <c r="Y52" s="278"/>
      <c r="Z52" s="278"/>
      <c r="AA52" s="278"/>
      <c r="AB52" s="278"/>
      <c r="AC52" s="278"/>
      <c r="AD52" s="285" t="s">
        <v>320</v>
      </c>
      <c r="AE52" s="285">
        <v>16.27272727272727</v>
      </c>
      <c r="AF52" s="278"/>
      <c r="AG52" s="278"/>
      <c r="AH52" s="285"/>
      <c r="AI52" s="278"/>
      <c r="AJ52" s="278"/>
      <c r="AK52" s="285" t="s">
        <v>320</v>
      </c>
      <c r="AL52" s="278"/>
      <c r="AM52" s="285" t="s">
        <v>320</v>
      </c>
      <c r="AN52" s="285" t="s">
        <v>320</v>
      </c>
      <c r="AO52" s="278" t="s">
        <v>361</v>
      </c>
      <c r="AP52" s="283" t="s">
        <v>325</v>
      </c>
      <c r="AQ52" s="289" t="s">
        <v>525</v>
      </c>
    </row>
    <row r="53" spans="1:43" ht="13" customHeight="1" x14ac:dyDescent="0.35">
      <c r="A53" s="278"/>
      <c r="B53" s="279">
        <v>42559</v>
      </c>
      <c r="C53" s="280" t="s">
        <v>322</v>
      </c>
      <c r="D53" s="281" t="s">
        <v>373</v>
      </c>
      <c r="E53" s="278"/>
      <c r="F53" s="278" t="s">
        <v>360</v>
      </c>
      <c r="G53" s="293">
        <v>42551</v>
      </c>
      <c r="H53" s="283" t="s">
        <v>324</v>
      </c>
      <c r="I53" s="283" t="s">
        <v>325</v>
      </c>
      <c r="J53" s="283"/>
      <c r="K53" s="281" t="s">
        <v>428</v>
      </c>
      <c r="L53" s="284" t="s">
        <v>222</v>
      </c>
      <c r="M53" s="285">
        <v>94.790909090909082</v>
      </c>
      <c r="N53" s="285">
        <v>20.972727272727273</v>
      </c>
      <c r="O53" s="278"/>
      <c r="P53" s="278"/>
      <c r="Q53" s="288"/>
      <c r="R53" s="278"/>
      <c r="S53" s="287"/>
      <c r="T53" s="278"/>
      <c r="U53" s="288" t="s">
        <v>320</v>
      </c>
      <c r="V53" s="285" t="s">
        <v>320</v>
      </c>
      <c r="W53" s="285"/>
      <c r="X53" s="278"/>
      <c r="Y53" s="278"/>
      <c r="Z53" s="278"/>
      <c r="AA53" s="278"/>
      <c r="AB53" s="278"/>
      <c r="AC53" s="278"/>
      <c r="AD53" s="285" t="s">
        <v>320</v>
      </c>
      <c r="AE53" s="285">
        <v>13.481818181818181</v>
      </c>
      <c r="AF53" s="278"/>
      <c r="AG53" s="278"/>
      <c r="AH53" s="285"/>
      <c r="AI53" s="278"/>
      <c r="AJ53" s="278"/>
      <c r="AK53" s="285" t="s">
        <v>320</v>
      </c>
      <c r="AL53" s="278"/>
      <c r="AM53" s="285" t="s">
        <v>320</v>
      </c>
      <c r="AN53" s="285" t="s">
        <v>320</v>
      </c>
      <c r="AO53" s="278" t="s">
        <v>361</v>
      </c>
      <c r="AP53" s="283" t="s">
        <v>325</v>
      </c>
      <c r="AQ53" s="289" t="s">
        <v>526</v>
      </c>
    </row>
    <row r="54" spans="1:43" ht="13" customHeight="1" x14ac:dyDescent="0.35">
      <c r="A54" s="278"/>
      <c r="B54" s="279">
        <v>42559</v>
      </c>
      <c r="C54" s="280" t="s">
        <v>322</v>
      </c>
      <c r="D54" s="281" t="s">
        <v>373</v>
      </c>
      <c r="E54" s="278"/>
      <c r="F54" s="278" t="s">
        <v>360</v>
      </c>
      <c r="G54" s="293">
        <v>42551</v>
      </c>
      <c r="H54" s="283" t="s">
        <v>324</v>
      </c>
      <c r="I54" s="283" t="s">
        <v>325</v>
      </c>
      <c r="J54" s="283"/>
      <c r="K54" s="281" t="s">
        <v>501</v>
      </c>
      <c r="L54" s="284" t="s">
        <v>391</v>
      </c>
      <c r="M54" s="285">
        <v>102.99999999999999</v>
      </c>
      <c r="N54" s="285">
        <v>24.7</v>
      </c>
      <c r="O54" s="278"/>
      <c r="P54" s="278"/>
      <c r="Q54" s="288"/>
      <c r="R54" s="278"/>
      <c r="S54" s="287"/>
      <c r="T54" s="278"/>
      <c r="U54" s="288" t="s">
        <v>320</v>
      </c>
      <c r="V54" s="285" t="s">
        <v>320</v>
      </c>
      <c r="W54" s="285"/>
      <c r="X54" s="278"/>
      <c r="Y54" s="278"/>
      <c r="Z54" s="278"/>
      <c r="AA54" s="278"/>
      <c r="AB54" s="278"/>
      <c r="AC54" s="278"/>
      <c r="AD54" s="285" t="s">
        <v>320</v>
      </c>
      <c r="AE54" s="285">
        <v>13.899999999999999</v>
      </c>
      <c r="AF54" s="278"/>
      <c r="AG54" s="278"/>
      <c r="AH54" s="285"/>
      <c r="AI54" s="278"/>
      <c r="AJ54" s="278"/>
      <c r="AK54" s="285" t="s">
        <v>320</v>
      </c>
      <c r="AL54" s="278"/>
      <c r="AM54" s="285" t="s">
        <v>320</v>
      </c>
      <c r="AN54" s="285" t="s">
        <v>320</v>
      </c>
      <c r="AO54" s="278" t="s">
        <v>361</v>
      </c>
      <c r="AP54" s="283" t="s">
        <v>325</v>
      </c>
      <c r="AQ54" s="289" t="s">
        <v>527</v>
      </c>
    </row>
    <row r="55" spans="1:43" ht="13" customHeight="1" x14ac:dyDescent="0.35">
      <c r="A55" s="278"/>
      <c r="B55" s="279">
        <v>42559</v>
      </c>
      <c r="C55" s="280" t="s">
        <v>322</v>
      </c>
      <c r="D55" s="281" t="s">
        <v>373</v>
      </c>
      <c r="E55" s="278"/>
      <c r="F55" s="278" t="s">
        <v>360</v>
      </c>
      <c r="G55" s="293">
        <v>42551</v>
      </c>
      <c r="H55" s="283" t="s">
        <v>324</v>
      </c>
      <c r="I55" s="283" t="s">
        <v>325</v>
      </c>
      <c r="J55" s="283"/>
      <c r="K55" s="281" t="s">
        <v>503</v>
      </c>
      <c r="L55" s="284" t="s">
        <v>391</v>
      </c>
      <c r="M55" s="285">
        <v>85.199999999999989</v>
      </c>
      <c r="N55" s="285">
        <v>26.099999999999998</v>
      </c>
      <c r="O55" s="278"/>
      <c r="P55" s="278"/>
      <c r="Q55" s="288"/>
      <c r="R55" s="278"/>
      <c r="S55" s="287"/>
      <c r="T55" s="278"/>
      <c r="U55" s="288" t="s">
        <v>320</v>
      </c>
      <c r="V55" s="285" t="s">
        <v>320</v>
      </c>
      <c r="W55" s="285"/>
      <c r="X55" s="278"/>
      <c r="Y55" s="278"/>
      <c r="Z55" s="278"/>
      <c r="AA55" s="278"/>
      <c r="AB55" s="278"/>
      <c r="AC55" s="278"/>
      <c r="AD55" s="285" t="s">
        <v>320</v>
      </c>
      <c r="AE55" s="285">
        <v>13.799999999999999</v>
      </c>
      <c r="AF55" s="278"/>
      <c r="AG55" s="278"/>
      <c r="AH55" s="285"/>
      <c r="AI55" s="278"/>
      <c r="AJ55" s="278"/>
      <c r="AK55" s="285" t="s">
        <v>320</v>
      </c>
      <c r="AL55" s="278"/>
      <c r="AM55" s="285" t="s">
        <v>320</v>
      </c>
      <c r="AN55" s="285" t="s">
        <v>320</v>
      </c>
      <c r="AO55" s="278" t="s">
        <v>361</v>
      </c>
      <c r="AP55" s="283" t="s">
        <v>325</v>
      </c>
      <c r="AQ55" s="289" t="s">
        <v>528</v>
      </c>
    </row>
    <row r="56" spans="1:43" ht="13" customHeight="1" x14ac:dyDescent="0.35">
      <c r="A56" s="278">
        <v>10413</v>
      </c>
      <c r="B56" s="279">
        <v>42559</v>
      </c>
      <c r="C56" s="280" t="s">
        <v>322</v>
      </c>
      <c r="D56" s="281" t="s">
        <v>373</v>
      </c>
      <c r="E56" s="278"/>
      <c r="F56" s="278" t="s">
        <v>367</v>
      </c>
      <c r="G56" s="290">
        <v>42551</v>
      </c>
      <c r="H56" s="283" t="s">
        <v>324</v>
      </c>
      <c r="I56" s="283" t="s">
        <v>325</v>
      </c>
      <c r="J56" s="283"/>
      <c r="K56" s="278" t="s">
        <v>326</v>
      </c>
      <c r="L56" s="284" t="s">
        <v>391</v>
      </c>
      <c r="M56" s="285">
        <v>87</v>
      </c>
      <c r="N56" s="285">
        <v>49.927272727272722</v>
      </c>
      <c r="O56" s="278"/>
      <c r="P56" s="278"/>
      <c r="Q56" s="288"/>
      <c r="R56" s="278"/>
      <c r="S56" s="287"/>
      <c r="T56" s="278"/>
      <c r="U56" s="288" t="s">
        <v>320</v>
      </c>
      <c r="V56" s="285" t="s">
        <v>320</v>
      </c>
      <c r="W56" s="285">
        <v>14.218181818181817</v>
      </c>
      <c r="X56" s="278"/>
      <c r="Y56" s="278"/>
      <c r="Z56" s="278"/>
      <c r="AA56" s="278"/>
      <c r="AB56" s="278"/>
      <c r="AC56" s="278"/>
      <c r="AD56" s="285" t="s">
        <v>320</v>
      </c>
      <c r="AE56" s="285"/>
      <c r="AF56" s="278"/>
      <c r="AG56" s="278"/>
      <c r="AH56" s="285">
        <v>21.554545454545455</v>
      </c>
      <c r="AI56" s="278"/>
      <c r="AJ56" s="278"/>
      <c r="AK56" s="285" t="s">
        <v>320</v>
      </c>
      <c r="AL56" s="278"/>
      <c r="AM56" s="285" t="s">
        <v>320</v>
      </c>
      <c r="AN56" s="285" t="s">
        <v>320</v>
      </c>
      <c r="AO56" s="278" t="s">
        <v>378</v>
      </c>
      <c r="AP56" s="283" t="s">
        <v>325</v>
      </c>
      <c r="AQ56" s="289" t="s">
        <v>529</v>
      </c>
    </row>
    <row r="57" spans="1:43" ht="13" customHeight="1" x14ac:dyDescent="0.35">
      <c r="A57" s="278">
        <v>10500</v>
      </c>
      <c r="B57" s="279">
        <v>42559</v>
      </c>
      <c r="C57" s="280" t="s">
        <v>322</v>
      </c>
      <c r="D57" s="281" t="s">
        <v>373</v>
      </c>
      <c r="E57" s="278"/>
      <c r="F57" s="278" t="s">
        <v>367</v>
      </c>
      <c r="G57" s="290">
        <v>42551</v>
      </c>
      <c r="H57" s="283" t="s">
        <v>324</v>
      </c>
      <c r="I57" s="283" t="s">
        <v>325</v>
      </c>
      <c r="J57" s="283"/>
      <c r="K57" s="278" t="s">
        <v>328</v>
      </c>
      <c r="L57" s="284" t="s">
        <v>391</v>
      </c>
      <c r="M57" s="285">
        <v>85.999999999999986</v>
      </c>
      <c r="N57" s="285">
        <v>49.999999999999993</v>
      </c>
      <c r="O57" s="278"/>
      <c r="P57" s="278"/>
      <c r="Q57" s="288"/>
      <c r="R57" s="278"/>
      <c r="S57" s="287"/>
      <c r="T57" s="278"/>
      <c r="U57" s="288" t="s">
        <v>320</v>
      </c>
      <c r="V57" s="285" t="s">
        <v>320</v>
      </c>
      <c r="W57" s="285">
        <v>14.999999999999998</v>
      </c>
      <c r="X57" s="278"/>
      <c r="Y57" s="278"/>
      <c r="Z57" s="278"/>
      <c r="AA57" s="278"/>
      <c r="AB57" s="278"/>
      <c r="AC57" s="278"/>
      <c r="AD57" s="285" t="s">
        <v>320</v>
      </c>
      <c r="AE57" s="285"/>
      <c r="AF57" s="278"/>
      <c r="AG57" s="278"/>
      <c r="AH57" s="285">
        <v>21.2</v>
      </c>
      <c r="AI57" s="278"/>
      <c r="AJ57" s="278"/>
      <c r="AK57" s="285" t="s">
        <v>320</v>
      </c>
      <c r="AL57" s="278"/>
      <c r="AM57" s="285" t="s">
        <v>320</v>
      </c>
      <c r="AN57" s="285" t="s">
        <v>320</v>
      </c>
      <c r="AO57" s="278" t="s">
        <v>378</v>
      </c>
      <c r="AP57" s="283" t="s">
        <v>325</v>
      </c>
      <c r="AQ57" s="291" t="s">
        <v>393</v>
      </c>
    </row>
    <row r="58" spans="1:43" ht="13" customHeight="1" x14ac:dyDescent="0.35">
      <c r="A58" s="278">
        <v>10592</v>
      </c>
      <c r="B58" s="279">
        <v>42559</v>
      </c>
      <c r="C58" s="280" t="s">
        <v>322</v>
      </c>
      <c r="D58" s="281" t="s">
        <v>373</v>
      </c>
      <c r="E58" s="278"/>
      <c r="F58" s="278" t="s">
        <v>367</v>
      </c>
      <c r="G58" s="290">
        <v>42551</v>
      </c>
      <c r="H58" s="283" t="s">
        <v>310</v>
      </c>
      <c r="I58" s="283" t="s">
        <v>309</v>
      </c>
      <c r="J58" s="283"/>
      <c r="K58" s="278" t="s">
        <v>329</v>
      </c>
      <c r="L58" s="284" t="s">
        <v>387</v>
      </c>
      <c r="M58" s="285">
        <v>89.999999999999986</v>
      </c>
      <c r="N58" s="285">
        <v>37.899999999999991</v>
      </c>
      <c r="O58" s="278"/>
      <c r="P58" s="278"/>
      <c r="Q58" s="288"/>
      <c r="R58" s="278"/>
      <c r="S58" s="287"/>
      <c r="T58" s="278"/>
      <c r="U58" s="288" t="s">
        <v>320</v>
      </c>
      <c r="V58" s="285" t="s">
        <v>320</v>
      </c>
      <c r="W58" s="285">
        <v>21.054545454545455</v>
      </c>
      <c r="X58" s="278"/>
      <c r="Y58" s="278"/>
      <c r="Z58" s="278"/>
      <c r="AA58" s="278"/>
      <c r="AB58" s="278"/>
      <c r="AC58" s="278"/>
      <c r="AD58" s="285" t="s">
        <v>320</v>
      </c>
      <c r="AE58" s="285"/>
      <c r="AF58" s="278"/>
      <c r="AG58" s="278"/>
      <c r="AH58" s="285">
        <v>22.599999999999998</v>
      </c>
      <c r="AI58" s="278"/>
      <c r="AJ58" s="278"/>
      <c r="AK58" s="285" t="s">
        <v>320</v>
      </c>
      <c r="AL58" s="278"/>
      <c r="AM58" s="285" t="s">
        <v>320</v>
      </c>
      <c r="AN58" s="285" t="s">
        <v>320</v>
      </c>
      <c r="AO58" s="278" t="s">
        <v>378</v>
      </c>
      <c r="AP58" s="283" t="s">
        <v>325</v>
      </c>
      <c r="AQ58" s="289" t="s">
        <v>530</v>
      </c>
    </row>
    <row r="59" spans="1:43" ht="13" customHeight="1" x14ac:dyDescent="0.35">
      <c r="A59" s="278">
        <v>1472</v>
      </c>
      <c r="B59" s="279">
        <v>42559</v>
      </c>
      <c r="C59" s="280" t="s">
        <v>322</v>
      </c>
      <c r="D59" s="281" t="s">
        <v>373</v>
      </c>
      <c r="E59" s="278"/>
      <c r="F59" s="278" t="s">
        <v>367</v>
      </c>
      <c r="G59" s="290">
        <v>42551</v>
      </c>
      <c r="H59" s="283" t="s">
        <v>324</v>
      </c>
      <c r="I59" s="283" t="s">
        <v>325</v>
      </c>
      <c r="J59" s="283"/>
      <c r="K59" s="278" t="s">
        <v>330</v>
      </c>
      <c r="L59" s="284" t="s">
        <v>387</v>
      </c>
      <c r="M59" s="285">
        <v>99.472727272727269</v>
      </c>
      <c r="N59" s="285">
        <v>43.209090909090904</v>
      </c>
      <c r="O59" s="278"/>
      <c r="P59" s="278"/>
      <c r="Q59" s="288"/>
      <c r="R59" s="278"/>
      <c r="S59" s="287"/>
      <c r="T59" s="278"/>
      <c r="U59" s="288" t="s">
        <v>320</v>
      </c>
      <c r="V59" s="285" t="s">
        <v>320</v>
      </c>
      <c r="W59" s="285">
        <v>17.718181818181815</v>
      </c>
      <c r="X59" s="278"/>
      <c r="Y59" s="278"/>
      <c r="Z59" s="278"/>
      <c r="AA59" s="278"/>
      <c r="AB59" s="278"/>
      <c r="AC59" s="278"/>
      <c r="AD59" s="285" t="s">
        <v>320</v>
      </c>
      <c r="AE59" s="285"/>
      <c r="AF59" s="278"/>
      <c r="AG59" s="278"/>
      <c r="AH59" s="285">
        <v>20.227272727272727</v>
      </c>
      <c r="AI59" s="278"/>
      <c r="AJ59" s="278"/>
      <c r="AK59" s="285" t="s">
        <v>320</v>
      </c>
      <c r="AL59" s="278"/>
      <c r="AM59" s="285" t="s">
        <v>320</v>
      </c>
      <c r="AN59" s="285" t="s">
        <v>320</v>
      </c>
      <c r="AO59" s="278" t="s">
        <v>378</v>
      </c>
      <c r="AP59" s="283" t="s">
        <v>325</v>
      </c>
      <c r="AQ59" s="289" t="s">
        <v>531</v>
      </c>
    </row>
    <row r="60" spans="1:43" ht="13" customHeight="1" x14ac:dyDescent="0.35">
      <c r="A60" s="278">
        <v>4653</v>
      </c>
      <c r="B60" s="279">
        <v>42559</v>
      </c>
      <c r="C60" s="280" t="s">
        <v>322</v>
      </c>
      <c r="D60" s="281" t="s">
        <v>373</v>
      </c>
      <c r="E60" s="278"/>
      <c r="F60" s="278" t="s">
        <v>367</v>
      </c>
      <c r="G60" s="290">
        <v>42551</v>
      </c>
      <c r="H60" s="283" t="s">
        <v>324</v>
      </c>
      <c r="I60" s="283" t="s">
        <v>325</v>
      </c>
      <c r="J60" s="283"/>
      <c r="K60" s="278" t="s">
        <v>331</v>
      </c>
      <c r="L60" s="284" t="s">
        <v>387</v>
      </c>
      <c r="M60" s="285">
        <v>89</v>
      </c>
      <c r="N60" s="285">
        <v>43.999999999999993</v>
      </c>
      <c r="O60" s="278"/>
      <c r="P60" s="278"/>
      <c r="Q60" s="288"/>
      <c r="R60" s="278"/>
      <c r="S60" s="287"/>
      <c r="T60" s="278"/>
      <c r="U60" s="288" t="s">
        <v>320</v>
      </c>
      <c r="V60" s="285" t="s">
        <v>320</v>
      </c>
      <c r="W60" s="285">
        <v>15.299999999999997</v>
      </c>
      <c r="X60" s="278"/>
      <c r="Y60" s="278"/>
      <c r="Z60" s="278"/>
      <c r="AA60" s="278"/>
      <c r="AB60" s="278"/>
      <c r="AC60" s="278"/>
      <c r="AD60" s="285" t="s">
        <v>320</v>
      </c>
      <c r="AE60" s="285"/>
      <c r="AF60" s="278"/>
      <c r="AG60" s="278"/>
      <c r="AH60" s="285">
        <v>18.999999999999996</v>
      </c>
      <c r="AI60" s="278"/>
      <c r="AJ60" s="278"/>
      <c r="AK60" s="285" t="s">
        <v>320</v>
      </c>
      <c r="AL60" s="278"/>
      <c r="AM60" s="285" t="s">
        <v>320</v>
      </c>
      <c r="AN60" s="285" t="s">
        <v>320</v>
      </c>
      <c r="AO60" s="278" t="s">
        <v>378</v>
      </c>
      <c r="AP60" s="283" t="s">
        <v>325</v>
      </c>
      <c r="AQ60" s="289" t="s">
        <v>532</v>
      </c>
    </row>
    <row r="61" spans="1:43" ht="13" customHeight="1" x14ac:dyDescent="0.35">
      <c r="A61" s="278">
        <v>1442</v>
      </c>
      <c r="B61" s="274">
        <v>42564</v>
      </c>
      <c r="C61" s="280" t="s">
        <v>322</v>
      </c>
      <c r="D61" s="281" t="s">
        <v>373</v>
      </c>
      <c r="E61" s="278"/>
      <c r="F61" s="278" t="s">
        <v>367</v>
      </c>
      <c r="G61" s="290">
        <v>42551</v>
      </c>
      <c r="H61" s="283" t="s">
        <v>324</v>
      </c>
      <c r="I61" s="283" t="s">
        <v>325</v>
      </c>
      <c r="J61" s="283"/>
      <c r="K61" s="278" t="s">
        <v>479</v>
      </c>
      <c r="L61" s="284" t="s">
        <v>387</v>
      </c>
      <c r="M61" s="285">
        <v>104.5</v>
      </c>
      <c r="N61" s="285">
        <v>47.999999999999993</v>
      </c>
      <c r="O61" s="278" t="s">
        <v>533</v>
      </c>
      <c r="P61" s="278">
        <v>1020</v>
      </c>
      <c r="Q61" s="285">
        <v>49.5</v>
      </c>
      <c r="R61" s="295">
        <v>1020</v>
      </c>
      <c r="S61" s="285">
        <v>49.5</v>
      </c>
      <c r="T61" s="278"/>
      <c r="U61" s="288" t="s">
        <v>320</v>
      </c>
      <c r="V61" s="285" t="s">
        <v>320</v>
      </c>
      <c r="W61" s="285">
        <v>16.999999999999996</v>
      </c>
      <c r="X61" s="278"/>
      <c r="Y61" s="278"/>
      <c r="Z61" s="278"/>
      <c r="AA61" s="278"/>
      <c r="AB61" s="278"/>
      <c r="AC61" s="278"/>
      <c r="AD61" s="285" t="s">
        <v>320</v>
      </c>
      <c r="AE61" s="285"/>
      <c r="AF61" s="278"/>
      <c r="AG61" s="278"/>
      <c r="AH61" s="285">
        <v>24.999999999999996</v>
      </c>
      <c r="AI61" s="278"/>
      <c r="AJ61" s="278"/>
      <c r="AK61" s="285" t="s">
        <v>320</v>
      </c>
      <c r="AL61" s="278"/>
      <c r="AM61" s="285" t="s">
        <v>320</v>
      </c>
      <c r="AN61" s="285" t="s">
        <v>320</v>
      </c>
      <c r="AO61" s="278" t="s">
        <v>378</v>
      </c>
      <c r="AP61" s="283" t="s">
        <v>325</v>
      </c>
      <c r="AQ61" s="292" t="s">
        <v>534</v>
      </c>
    </row>
    <row r="62" spans="1:43" ht="13" customHeight="1" x14ac:dyDescent="0.35">
      <c r="A62" s="278">
        <v>1484</v>
      </c>
      <c r="B62" s="279">
        <v>42559</v>
      </c>
      <c r="C62" s="280" t="s">
        <v>322</v>
      </c>
      <c r="D62" s="281" t="s">
        <v>373</v>
      </c>
      <c r="E62" s="278"/>
      <c r="F62" s="278" t="s">
        <v>367</v>
      </c>
      <c r="G62" s="293">
        <v>42551</v>
      </c>
      <c r="H62" s="283" t="s">
        <v>324</v>
      </c>
      <c r="I62" s="283" t="s">
        <v>325</v>
      </c>
      <c r="J62" s="283"/>
      <c r="K62" s="278" t="s">
        <v>397</v>
      </c>
      <c r="L62" s="284" t="s">
        <v>387</v>
      </c>
      <c r="M62" s="285">
        <v>99.472727272727269</v>
      </c>
      <c r="N62" s="285">
        <v>43.209090909090904</v>
      </c>
      <c r="O62" s="278"/>
      <c r="P62" s="278"/>
      <c r="Q62" s="288"/>
      <c r="R62" s="278"/>
      <c r="S62" s="288"/>
      <c r="T62" s="278"/>
      <c r="U62" s="288" t="s">
        <v>320</v>
      </c>
      <c r="V62" s="285" t="s">
        <v>320</v>
      </c>
      <c r="W62" s="285">
        <v>17.718181818181815</v>
      </c>
      <c r="X62" s="278"/>
      <c r="Y62" s="278"/>
      <c r="Z62" s="278"/>
      <c r="AA62" s="278"/>
      <c r="AB62" s="278"/>
      <c r="AC62" s="278"/>
      <c r="AD62" s="285" t="s">
        <v>320</v>
      </c>
      <c r="AE62" s="285"/>
      <c r="AF62" s="278"/>
      <c r="AG62" s="278"/>
      <c r="AH62" s="285">
        <v>20.227272727272727</v>
      </c>
      <c r="AI62" s="278"/>
      <c r="AJ62" s="278"/>
      <c r="AK62" s="285" t="s">
        <v>320</v>
      </c>
      <c r="AL62" s="278"/>
      <c r="AM62" s="285" t="s">
        <v>320</v>
      </c>
      <c r="AN62" s="285" t="s">
        <v>320</v>
      </c>
      <c r="AO62" s="278" t="s">
        <v>378</v>
      </c>
      <c r="AP62" s="283" t="s">
        <v>325</v>
      </c>
      <c r="AQ62" s="289" t="s">
        <v>535</v>
      </c>
    </row>
    <row r="63" spans="1:43" ht="13" customHeight="1" x14ac:dyDescent="0.35">
      <c r="A63" s="278">
        <v>10263</v>
      </c>
      <c r="B63" s="279">
        <v>42559</v>
      </c>
      <c r="C63" s="280" t="s">
        <v>322</v>
      </c>
      <c r="D63" s="281" t="s">
        <v>373</v>
      </c>
      <c r="E63" s="278"/>
      <c r="F63" s="278" t="s">
        <v>367</v>
      </c>
      <c r="G63" s="293">
        <v>42551</v>
      </c>
      <c r="H63" s="283" t="s">
        <v>324</v>
      </c>
      <c r="I63" s="283" t="s">
        <v>325</v>
      </c>
      <c r="J63" s="283"/>
      <c r="K63" s="278" t="s">
        <v>340</v>
      </c>
      <c r="L63" s="284" t="s">
        <v>399</v>
      </c>
      <c r="M63" s="285">
        <v>89.899999999999991</v>
      </c>
      <c r="N63" s="285">
        <v>49.190909090909088</v>
      </c>
      <c r="O63" s="278"/>
      <c r="P63" s="278"/>
      <c r="Q63" s="288"/>
      <c r="R63" s="278"/>
      <c r="S63" s="288"/>
      <c r="T63" s="278"/>
      <c r="U63" s="288" t="s">
        <v>320</v>
      </c>
      <c r="V63" s="285" t="s">
        <v>320</v>
      </c>
      <c r="W63" s="285">
        <v>16.09090909090909</v>
      </c>
      <c r="X63" s="278"/>
      <c r="Y63" s="278"/>
      <c r="Z63" s="278"/>
      <c r="AA63" s="278"/>
      <c r="AB63" s="278"/>
      <c r="AC63" s="278"/>
      <c r="AD63" s="285" t="s">
        <v>320</v>
      </c>
      <c r="AE63" s="285"/>
      <c r="AF63" s="278"/>
      <c r="AG63" s="278"/>
      <c r="AH63" s="285">
        <v>25.190909090909091</v>
      </c>
      <c r="AI63" s="278"/>
      <c r="AJ63" s="278"/>
      <c r="AK63" s="285" t="s">
        <v>320</v>
      </c>
      <c r="AL63" s="278"/>
      <c r="AM63" s="285" t="s">
        <v>320</v>
      </c>
      <c r="AN63" s="285" t="s">
        <v>320</v>
      </c>
      <c r="AO63" s="278" t="s">
        <v>378</v>
      </c>
      <c r="AP63" s="283" t="s">
        <v>325</v>
      </c>
      <c r="AQ63" s="289" t="s">
        <v>536</v>
      </c>
    </row>
    <row r="64" spans="1:43" ht="13" customHeight="1" x14ac:dyDescent="0.35">
      <c r="A64" s="278">
        <v>5639</v>
      </c>
      <c r="B64" s="274">
        <v>42564</v>
      </c>
      <c r="C64" s="280" t="s">
        <v>322</v>
      </c>
      <c r="D64" s="281" t="s">
        <v>373</v>
      </c>
      <c r="E64" s="278"/>
      <c r="F64" s="278" t="s">
        <v>367</v>
      </c>
      <c r="G64" s="293">
        <v>42553</v>
      </c>
      <c r="H64" s="283" t="s">
        <v>324</v>
      </c>
      <c r="I64" s="283" t="s">
        <v>325</v>
      </c>
      <c r="J64" s="283"/>
      <c r="K64" s="278" t="s">
        <v>401</v>
      </c>
      <c r="L64" s="284" t="s">
        <v>391</v>
      </c>
      <c r="M64" s="285">
        <v>100.58181818181818</v>
      </c>
      <c r="N64" s="285">
        <v>36.990909090909085</v>
      </c>
      <c r="O64" s="278"/>
      <c r="P64" s="278"/>
      <c r="Q64" s="288"/>
      <c r="R64" s="278"/>
      <c r="S64" s="288"/>
      <c r="T64" s="278"/>
      <c r="U64" s="288" t="s">
        <v>320</v>
      </c>
      <c r="V64" s="285" t="s">
        <v>320</v>
      </c>
      <c r="W64" s="285">
        <v>18.5</v>
      </c>
      <c r="X64" s="278"/>
      <c r="Y64" s="278"/>
      <c r="Z64" s="278"/>
      <c r="AA64" s="278"/>
      <c r="AB64" s="278"/>
      <c r="AC64" s="278"/>
      <c r="AD64" s="285" t="s">
        <v>320</v>
      </c>
      <c r="AE64" s="285"/>
      <c r="AF64" s="278"/>
      <c r="AG64" s="278"/>
      <c r="AH64" s="285">
        <v>22.918181818181818</v>
      </c>
      <c r="AI64" s="278"/>
      <c r="AJ64" s="278"/>
      <c r="AK64" s="285" t="s">
        <v>320</v>
      </c>
      <c r="AL64" s="278"/>
      <c r="AM64" s="285" t="s">
        <v>320</v>
      </c>
      <c r="AN64" s="285" t="s">
        <v>320</v>
      </c>
      <c r="AO64" s="278" t="s">
        <v>378</v>
      </c>
      <c r="AP64" s="283" t="s">
        <v>325</v>
      </c>
      <c r="AQ64" s="292" t="s">
        <v>537</v>
      </c>
    </row>
    <row r="65" spans="1:43" ht="13" customHeight="1" x14ac:dyDescent="0.35">
      <c r="A65" s="278">
        <v>4374</v>
      </c>
      <c r="B65" s="279">
        <v>42559</v>
      </c>
      <c r="C65" s="280" t="s">
        <v>322</v>
      </c>
      <c r="D65" s="281" t="s">
        <v>373</v>
      </c>
      <c r="E65" s="278"/>
      <c r="F65" s="278" t="s">
        <v>367</v>
      </c>
      <c r="G65" s="293">
        <v>42551</v>
      </c>
      <c r="H65" s="283" t="s">
        <v>324</v>
      </c>
      <c r="I65" s="283" t="s">
        <v>325</v>
      </c>
      <c r="J65" s="283"/>
      <c r="K65" s="278" t="s">
        <v>403</v>
      </c>
      <c r="L65" s="284" t="s">
        <v>391</v>
      </c>
      <c r="M65" s="285">
        <v>88.018181818181802</v>
      </c>
      <c r="N65" s="285">
        <v>34.827272727272728</v>
      </c>
      <c r="O65" s="278"/>
      <c r="P65" s="278"/>
      <c r="Q65" s="288"/>
      <c r="R65" s="278"/>
      <c r="S65" s="288"/>
      <c r="T65" s="278"/>
      <c r="U65" s="288" t="s">
        <v>320</v>
      </c>
      <c r="V65" s="285" t="s">
        <v>320</v>
      </c>
      <c r="W65" s="285">
        <v>17.172727272727272</v>
      </c>
      <c r="X65" s="278"/>
      <c r="Y65" s="278"/>
      <c r="Z65" s="278"/>
      <c r="AA65" s="278"/>
      <c r="AB65" s="278"/>
      <c r="AC65" s="278"/>
      <c r="AD65" s="285" t="s">
        <v>320</v>
      </c>
      <c r="AE65" s="285"/>
      <c r="AF65" s="278"/>
      <c r="AG65" s="278"/>
      <c r="AH65" s="285">
        <v>24.863636363636363</v>
      </c>
      <c r="AI65" s="278"/>
      <c r="AJ65" s="278"/>
      <c r="AK65" s="285" t="s">
        <v>320</v>
      </c>
      <c r="AL65" s="278"/>
      <c r="AM65" s="285" t="s">
        <v>320</v>
      </c>
      <c r="AN65" s="285" t="s">
        <v>320</v>
      </c>
      <c r="AO65" s="278" t="s">
        <v>378</v>
      </c>
      <c r="AP65" s="283" t="s">
        <v>325</v>
      </c>
      <c r="AQ65" s="289" t="s">
        <v>538</v>
      </c>
    </row>
    <row r="66" spans="1:43" ht="13" customHeight="1" x14ac:dyDescent="0.35">
      <c r="A66" s="278">
        <v>10524</v>
      </c>
      <c r="B66" s="274">
        <v>42564</v>
      </c>
      <c r="C66" s="280" t="s">
        <v>322</v>
      </c>
      <c r="D66" s="281" t="s">
        <v>373</v>
      </c>
      <c r="E66" s="278"/>
      <c r="F66" s="278" t="s">
        <v>367</v>
      </c>
      <c r="G66" s="293">
        <v>42551</v>
      </c>
      <c r="H66" s="283" t="s">
        <v>324</v>
      </c>
      <c r="I66" s="283" t="s">
        <v>325</v>
      </c>
      <c r="J66" s="283"/>
      <c r="K66" s="278" t="s">
        <v>348</v>
      </c>
      <c r="L66" s="284" t="s">
        <v>222</v>
      </c>
      <c r="M66" s="285">
        <v>78.272727272727266</v>
      </c>
      <c r="N66" s="285">
        <v>26.75454545454545</v>
      </c>
      <c r="O66" s="278"/>
      <c r="P66" s="278"/>
      <c r="Q66" s="288"/>
      <c r="R66" s="278"/>
      <c r="S66" s="288"/>
      <c r="T66" s="278"/>
      <c r="U66" s="288" t="s">
        <v>320</v>
      </c>
      <c r="V66" s="285" t="s">
        <v>320</v>
      </c>
      <c r="W66" s="285">
        <v>26.75454545454545</v>
      </c>
      <c r="X66" s="278"/>
      <c r="Y66" s="278"/>
      <c r="Z66" s="278"/>
      <c r="AA66" s="278"/>
      <c r="AB66" s="278"/>
      <c r="AC66" s="278"/>
      <c r="AD66" s="285" t="s">
        <v>320</v>
      </c>
      <c r="AE66" s="285"/>
      <c r="AF66" s="278"/>
      <c r="AG66" s="278"/>
      <c r="AH66" s="285">
        <v>26.75454545454545</v>
      </c>
      <c r="AI66" s="278"/>
      <c r="AJ66" s="278"/>
      <c r="AK66" s="285" t="s">
        <v>320</v>
      </c>
      <c r="AL66" s="278"/>
      <c r="AM66" s="285" t="s">
        <v>320</v>
      </c>
      <c r="AN66" s="285" t="s">
        <v>320</v>
      </c>
      <c r="AO66" s="278" t="s">
        <v>378</v>
      </c>
      <c r="AP66" s="283" t="s">
        <v>325</v>
      </c>
      <c r="AQ66" s="292" t="s">
        <v>539</v>
      </c>
    </row>
    <row r="67" spans="1:43" ht="13" customHeight="1" x14ac:dyDescent="0.35">
      <c r="A67" s="278">
        <v>10333</v>
      </c>
      <c r="B67" s="279">
        <v>42559</v>
      </c>
      <c r="C67" s="280" t="s">
        <v>322</v>
      </c>
      <c r="D67" s="281" t="s">
        <v>373</v>
      </c>
      <c r="E67" s="278"/>
      <c r="F67" s="278" t="s">
        <v>367</v>
      </c>
      <c r="G67" s="293">
        <v>42551</v>
      </c>
      <c r="H67" s="283" t="s">
        <v>324</v>
      </c>
      <c r="I67" s="283" t="s">
        <v>325</v>
      </c>
      <c r="J67" s="283"/>
      <c r="K67" s="278" t="s">
        <v>406</v>
      </c>
      <c r="L67" s="284" t="s">
        <v>222</v>
      </c>
      <c r="M67" s="285">
        <v>87</v>
      </c>
      <c r="N67" s="285">
        <v>49.93</v>
      </c>
      <c r="O67" s="278"/>
      <c r="P67" s="278"/>
      <c r="Q67" s="288"/>
      <c r="R67" s="278"/>
      <c r="S67" s="288"/>
      <c r="T67" s="278"/>
      <c r="U67" s="288" t="s">
        <v>320</v>
      </c>
      <c r="V67" s="285" t="s">
        <v>320</v>
      </c>
      <c r="W67" s="285">
        <v>14.219999999999999</v>
      </c>
      <c r="X67" s="278"/>
      <c r="Y67" s="278"/>
      <c r="Z67" s="278"/>
      <c r="AA67" s="278"/>
      <c r="AB67" s="278"/>
      <c r="AC67" s="278"/>
      <c r="AD67" s="285" t="s">
        <v>320</v>
      </c>
      <c r="AE67" s="285"/>
      <c r="AF67" s="278"/>
      <c r="AG67" s="278"/>
      <c r="AH67" s="285">
        <v>21.549999999999997</v>
      </c>
      <c r="AI67" s="278"/>
      <c r="AJ67" s="278"/>
      <c r="AK67" s="285" t="s">
        <v>320</v>
      </c>
      <c r="AL67" s="278"/>
      <c r="AM67" s="285" t="s">
        <v>320</v>
      </c>
      <c r="AN67" s="285" t="s">
        <v>320</v>
      </c>
      <c r="AO67" s="278" t="s">
        <v>378</v>
      </c>
      <c r="AP67" s="283" t="s">
        <v>325</v>
      </c>
      <c r="AQ67" s="292" t="s">
        <v>407</v>
      </c>
    </row>
    <row r="68" spans="1:43" ht="13" customHeight="1" x14ac:dyDescent="0.35">
      <c r="A68" s="278">
        <v>10668</v>
      </c>
      <c r="B68" s="274">
        <v>42564</v>
      </c>
      <c r="C68" s="280" t="s">
        <v>322</v>
      </c>
      <c r="D68" s="281" t="s">
        <v>373</v>
      </c>
      <c r="E68" s="278"/>
      <c r="F68" s="278" t="s">
        <v>367</v>
      </c>
      <c r="G68" s="293">
        <v>42551</v>
      </c>
      <c r="H68" s="283" t="s">
        <v>324</v>
      </c>
      <c r="I68" s="283" t="s">
        <v>325</v>
      </c>
      <c r="J68" s="283"/>
      <c r="K68" s="278" t="s">
        <v>408</v>
      </c>
      <c r="L68" s="284" t="s">
        <v>222</v>
      </c>
      <c r="M68" s="285">
        <v>98.72727272727272</v>
      </c>
      <c r="N68" s="285">
        <v>23.963636363636361</v>
      </c>
      <c r="O68" s="278"/>
      <c r="P68" s="278"/>
      <c r="Q68" s="288"/>
      <c r="R68" s="278"/>
      <c r="S68" s="288"/>
      <c r="T68" s="278"/>
      <c r="U68" s="288" t="s">
        <v>320</v>
      </c>
      <c r="V68" s="285"/>
      <c r="W68" s="285">
        <v>23.963636363636361</v>
      </c>
      <c r="X68" s="278"/>
      <c r="Y68" s="278"/>
      <c r="Z68" s="278"/>
      <c r="AA68" s="278"/>
      <c r="AB68" s="278"/>
      <c r="AC68" s="278"/>
      <c r="AD68" s="285" t="s">
        <v>320</v>
      </c>
      <c r="AE68" s="285"/>
      <c r="AF68" s="278"/>
      <c r="AG68" s="278"/>
      <c r="AH68" s="285">
        <v>23.963636363636361</v>
      </c>
      <c r="AI68" s="278"/>
      <c r="AJ68" s="278"/>
      <c r="AK68" s="285" t="s">
        <v>320</v>
      </c>
      <c r="AL68" s="278"/>
      <c r="AM68" s="285" t="s">
        <v>320</v>
      </c>
      <c r="AN68" s="285" t="s">
        <v>320</v>
      </c>
      <c r="AO68" s="281" t="s">
        <v>381</v>
      </c>
      <c r="AP68" s="296" t="s">
        <v>310</v>
      </c>
      <c r="AQ68" s="292" t="s">
        <v>540</v>
      </c>
    </row>
    <row r="69" spans="1:43" ht="13" customHeight="1" x14ac:dyDescent="0.35">
      <c r="A69" s="278">
        <v>1389</v>
      </c>
      <c r="B69" s="279">
        <v>42559</v>
      </c>
      <c r="C69" s="280" t="s">
        <v>322</v>
      </c>
      <c r="D69" s="281" t="s">
        <v>373</v>
      </c>
      <c r="E69" s="278"/>
      <c r="F69" s="278" t="s">
        <v>367</v>
      </c>
      <c r="G69" s="290">
        <v>42551</v>
      </c>
      <c r="H69" s="283" t="s">
        <v>324</v>
      </c>
      <c r="I69" s="283" t="s">
        <v>325</v>
      </c>
      <c r="J69" s="283"/>
      <c r="K69" s="278" t="s">
        <v>410</v>
      </c>
      <c r="L69" s="284" t="s">
        <v>391</v>
      </c>
      <c r="M69" s="285">
        <v>92.3</v>
      </c>
      <c r="N69" s="285">
        <v>37.5</v>
      </c>
      <c r="O69" s="281"/>
      <c r="P69" s="278"/>
      <c r="Q69" s="288"/>
      <c r="R69" s="288"/>
      <c r="S69" s="288"/>
      <c r="T69" s="278"/>
      <c r="U69" s="288" t="s">
        <v>320</v>
      </c>
      <c r="V69" s="285" t="s">
        <v>320</v>
      </c>
      <c r="W69" s="285">
        <v>14.899999999999999</v>
      </c>
      <c r="X69" s="278"/>
      <c r="Y69" s="278"/>
      <c r="Z69" s="278"/>
      <c r="AA69" s="278"/>
      <c r="AB69" s="278"/>
      <c r="AC69" s="278"/>
      <c r="AD69" s="285" t="s">
        <v>320</v>
      </c>
      <c r="AE69" s="285"/>
      <c r="AF69" s="278"/>
      <c r="AG69" s="278"/>
      <c r="AH69" s="285">
        <v>25.954545454545453</v>
      </c>
      <c r="AI69" s="278"/>
      <c r="AJ69" s="278"/>
      <c r="AK69" s="285" t="s">
        <v>320</v>
      </c>
      <c r="AL69" s="278"/>
      <c r="AM69" s="285" t="s">
        <v>320</v>
      </c>
      <c r="AN69" s="285" t="s">
        <v>320</v>
      </c>
      <c r="AO69" s="278" t="s">
        <v>378</v>
      </c>
      <c r="AP69" s="283" t="s">
        <v>325</v>
      </c>
      <c r="AQ69" s="289" t="s">
        <v>541</v>
      </c>
    </row>
    <row r="70" spans="1:43" ht="13" customHeight="1" x14ac:dyDescent="0.35">
      <c r="A70" s="278">
        <v>3596</v>
      </c>
      <c r="B70" s="274">
        <v>42564</v>
      </c>
      <c r="C70" s="243" t="s">
        <v>223</v>
      </c>
      <c r="D70" s="244" t="s">
        <v>373</v>
      </c>
      <c r="E70" s="241"/>
      <c r="F70" s="241" t="s">
        <v>232</v>
      </c>
      <c r="G70" s="290">
        <v>42551</v>
      </c>
      <c r="H70" s="283" t="s">
        <v>324</v>
      </c>
      <c r="I70" s="283" t="s">
        <v>325</v>
      </c>
      <c r="J70" s="283"/>
      <c r="K70" s="278" t="s">
        <v>412</v>
      </c>
      <c r="L70" s="284" t="s">
        <v>391</v>
      </c>
      <c r="M70" s="285">
        <v>85.1</v>
      </c>
      <c r="N70" s="285">
        <v>26.009090909090908</v>
      </c>
      <c r="O70" s="241"/>
      <c r="P70" s="241"/>
      <c r="Q70" s="246"/>
      <c r="R70" s="241"/>
      <c r="S70" s="244"/>
      <c r="T70" s="241"/>
      <c r="U70" s="246" t="s">
        <v>320</v>
      </c>
      <c r="V70" s="246" t="s">
        <v>320</v>
      </c>
      <c r="W70" s="285">
        <v>26.009090909090908</v>
      </c>
      <c r="X70" s="241"/>
      <c r="Y70" s="241"/>
      <c r="Z70" s="241"/>
      <c r="AA70" s="241"/>
      <c r="AB70" s="241"/>
      <c r="AC70" s="241"/>
      <c r="AD70" s="246" t="s">
        <v>320</v>
      </c>
      <c r="AE70" s="246"/>
      <c r="AF70" s="241"/>
      <c r="AG70" s="241"/>
      <c r="AH70" s="285">
        <v>26.009090909090908</v>
      </c>
      <c r="AI70" s="241"/>
      <c r="AJ70" s="241"/>
      <c r="AK70" s="246" t="s">
        <v>320</v>
      </c>
      <c r="AL70" s="241"/>
      <c r="AM70" s="246" t="s">
        <v>320</v>
      </c>
      <c r="AN70" s="246" t="s">
        <v>320</v>
      </c>
      <c r="AO70" s="241" t="s">
        <v>377</v>
      </c>
      <c r="AP70" s="245" t="s">
        <v>227</v>
      </c>
      <c r="AQ70" t="s">
        <v>542</v>
      </c>
    </row>
    <row r="71" spans="1:43" ht="13" customHeight="1" x14ac:dyDescent="0.35">
      <c r="A71" s="278">
        <v>10371</v>
      </c>
      <c r="B71" s="279">
        <v>42559</v>
      </c>
      <c r="C71" s="280" t="s">
        <v>322</v>
      </c>
      <c r="D71" s="281" t="s">
        <v>373</v>
      </c>
      <c r="E71" s="278"/>
      <c r="F71" s="278" t="s">
        <v>367</v>
      </c>
      <c r="G71" s="290">
        <v>42551</v>
      </c>
      <c r="H71" s="283" t="s">
        <v>310</v>
      </c>
      <c r="I71" s="283" t="s">
        <v>309</v>
      </c>
      <c r="J71" s="283"/>
      <c r="K71" s="278" t="s">
        <v>374</v>
      </c>
      <c r="L71" s="284" t="s">
        <v>391</v>
      </c>
      <c r="M71" s="285">
        <v>99.999999999999986</v>
      </c>
      <c r="N71" s="285">
        <v>40.299999999999997</v>
      </c>
      <c r="O71" s="278"/>
      <c r="P71" s="278"/>
      <c r="Q71" s="288"/>
      <c r="R71" s="278"/>
      <c r="S71" s="287"/>
      <c r="T71" s="278"/>
      <c r="U71" s="288" t="s">
        <v>320</v>
      </c>
      <c r="V71" s="285" t="s">
        <v>320</v>
      </c>
      <c r="W71" s="285">
        <v>15.4</v>
      </c>
      <c r="X71" s="278"/>
      <c r="Y71" s="278"/>
      <c r="Z71" s="278"/>
      <c r="AA71" s="278"/>
      <c r="AB71" s="278"/>
      <c r="AC71" s="278"/>
      <c r="AD71" s="285" t="s">
        <v>320</v>
      </c>
      <c r="AE71" s="285"/>
      <c r="AF71" s="278"/>
      <c r="AG71" s="278"/>
      <c r="AH71" s="285">
        <v>19.2</v>
      </c>
      <c r="AI71" s="278"/>
      <c r="AJ71" s="278"/>
      <c r="AK71" s="285" t="s">
        <v>320</v>
      </c>
      <c r="AL71" s="278"/>
      <c r="AM71" s="285" t="s">
        <v>320</v>
      </c>
      <c r="AN71" s="285" t="s">
        <v>320</v>
      </c>
      <c r="AO71" s="278" t="s">
        <v>378</v>
      </c>
      <c r="AP71" s="283" t="s">
        <v>325</v>
      </c>
      <c r="AQ71" s="289" t="s">
        <v>543</v>
      </c>
    </row>
    <row r="72" spans="1:43" ht="13" customHeight="1" x14ac:dyDescent="0.35">
      <c r="A72" s="278">
        <v>9677</v>
      </c>
      <c r="B72" s="279">
        <v>42559</v>
      </c>
      <c r="C72" s="280" t="s">
        <v>322</v>
      </c>
      <c r="D72" s="281" t="s">
        <v>373</v>
      </c>
      <c r="E72" s="278"/>
      <c r="F72" s="278" t="s">
        <v>367</v>
      </c>
      <c r="G72" s="293">
        <v>42551</v>
      </c>
      <c r="H72" s="283" t="s">
        <v>310</v>
      </c>
      <c r="I72" s="283" t="s">
        <v>309</v>
      </c>
      <c r="J72" s="283"/>
      <c r="K72" s="278" t="s">
        <v>307</v>
      </c>
      <c r="L72" s="284" t="s">
        <v>391</v>
      </c>
      <c r="M72" s="285">
        <v>89.999999999999986</v>
      </c>
      <c r="N72" s="285">
        <v>37.899999999999991</v>
      </c>
      <c r="O72" s="278"/>
      <c r="P72" s="278"/>
      <c r="Q72" s="288"/>
      <c r="R72" s="278"/>
      <c r="S72" s="287"/>
      <c r="T72" s="278"/>
      <c r="U72" s="288" t="s">
        <v>320</v>
      </c>
      <c r="V72" s="285" t="s">
        <v>320</v>
      </c>
      <c r="W72" s="285">
        <v>21.054545454545455</v>
      </c>
      <c r="X72" s="278"/>
      <c r="Y72" s="278"/>
      <c r="Z72" s="278"/>
      <c r="AA72" s="278"/>
      <c r="AB72" s="278"/>
      <c r="AC72" s="278"/>
      <c r="AD72" s="285" t="s">
        <v>320</v>
      </c>
      <c r="AE72" s="285"/>
      <c r="AF72" s="278"/>
      <c r="AG72" s="278"/>
      <c r="AH72" s="285">
        <v>22.599999999999998</v>
      </c>
      <c r="AI72" s="278"/>
      <c r="AJ72" s="278"/>
      <c r="AK72" s="285" t="s">
        <v>320</v>
      </c>
      <c r="AL72" s="278"/>
      <c r="AM72" s="285" t="s">
        <v>320</v>
      </c>
      <c r="AN72" s="285" t="s">
        <v>320</v>
      </c>
      <c r="AO72" s="278" t="s">
        <v>378</v>
      </c>
      <c r="AP72" s="283" t="s">
        <v>325</v>
      </c>
      <c r="AQ72" s="289" t="s">
        <v>544</v>
      </c>
    </row>
    <row r="73" spans="1:43" ht="13" customHeight="1" x14ac:dyDescent="0.35">
      <c r="A73" s="278"/>
      <c r="B73" s="279">
        <v>42559</v>
      </c>
      <c r="C73" s="280" t="s">
        <v>322</v>
      </c>
      <c r="D73" s="281" t="s">
        <v>373</v>
      </c>
      <c r="E73" s="278"/>
      <c r="F73" s="278" t="s">
        <v>367</v>
      </c>
      <c r="G73" s="293">
        <v>42551</v>
      </c>
      <c r="H73" s="283" t="s">
        <v>309</v>
      </c>
      <c r="I73" s="283" t="s">
        <v>355</v>
      </c>
      <c r="J73" s="283"/>
      <c r="K73" s="278" t="s">
        <v>388</v>
      </c>
      <c r="L73" s="284" t="s">
        <v>391</v>
      </c>
      <c r="M73" s="285">
        <v>85</v>
      </c>
      <c r="N73" s="285">
        <v>24.2</v>
      </c>
      <c r="O73" s="278"/>
      <c r="P73" s="278"/>
      <c r="Q73" s="288"/>
      <c r="R73" s="278"/>
      <c r="S73" s="287"/>
      <c r="T73" s="278"/>
      <c r="U73" s="288" t="s">
        <v>320</v>
      </c>
      <c r="V73" s="285" t="s">
        <v>320</v>
      </c>
      <c r="W73" s="285">
        <v>24.2</v>
      </c>
      <c r="X73" s="278"/>
      <c r="Y73" s="278"/>
      <c r="Z73" s="278"/>
      <c r="AA73" s="278"/>
      <c r="AB73" s="278"/>
      <c r="AC73" s="278"/>
      <c r="AD73" s="285" t="s">
        <v>320</v>
      </c>
      <c r="AE73" s="285"/>
      <c r="AF73" s="278"/>
      <c r="AG73" s="278"/>
      <c r="AH73" s="285">
        <v>24.2</v>
      </c>
      <c r="AI73" s="278"/>
      <c r="AJ73" s="278"/>
      <c r="AK73" s="285" t="s">
        <v>320</v>
      </c>
      <c r="AL73" s="278"/>
      <c r="AM73" s="285" t="s">
        <v>320</v>
      </c>
      <c r="AN73" s="285" t="s">
        <v>320</v>
      </c>
      <c r="AO73" s="278" t="s">
        <v>378</v>
      </c>
      <c r="AP73" s="283" t="s">
        <v>325</v>
      </c>
      <c r="AQ73" s="289" t="s">
        <v>545</v>
      </c>
    </row>
    <row r="74" spans="1:43" ht="13" customHeight="1" x14ac:dyDescent="0.35">
      <c r="A74" s="278"/>
      <c r="B74" s="279">
        <v>42559</v>
      </c>
      <c r="C74" s="280" t="s">
        <v>322</v>
      </c>
      <c r="D74" s="281" t="s">
        <v>373</v>
      </c>
      <c r="E74" s="278"/>
      <c r="F74" s="278" t="s">
        <v>367</v>
      </c>
      <c r="G74" s="293">
        <v>42551</v>
      </c>
      <c r="H74" s="283" t="s">
        <v>310</v>
      </c>
      <c r="I74" s="283" t="s">
        <v>309</v>
      </c>
      <c r="J74" s="283"/>
      <c r="K74" s="278" t="s">
        <v>420</v>
      </c>
      <c r="L74" s="284" t="s">
        <v>391</v>
      </c>
      <c r="M74" s="285">
        <v>77.5</v>
      </c>
      <c r="N74" s="285">
        <v>45.099999999999994</v>
      </c>
      <c r="O74" s="278"/>
      <c r="P74" s="278"/>
      <c r="Q74" s="288"/>
      <c r="R74" s="278"/>
      <c r="S74" s="287"/>
      <c r="T74" s="278"/>
      <c r="U74" s="288" t="s">
        <v>320</v>
      </c>
      <c r="V74" s="285" t="s">
        <v>320</v>
      </c>
      <c r="W74" s="285">
        <v>17.727272727272727</v>
      </c>
      <c r="X74" s="278"/>
      <c r="Y74" s="278"/>
      <c r="Z74" s="278"/>
      <c r="AA74" s="278"/>
      <c r="AB74" s="278"/>
      <c r="AC74" s="278"/>
      <c r="AD74" s="285" t="s">
        <v>320</v>
      </c>
      <c r="AE74" s="285"/>
      <c r="AF74" s="278"/>
      <c r="AG74" s="278"/>
      <c r="AH74" s="285">
        <v>18.654545454545453</v>
      </c>
      <c r="AI74" s="278"/>
      <c r="AJ74" s="278"/>
      <c r="AK74" s="285" t="s">
        <v>320</v>
      </c>
      <c r="AL74" s="278"/>
      <c r="AM74" s="285" t="s">
        <v>320</v>
      </c>
      <c r="AN74" s="285" t="s">
        <v>320</v>
      </c>
      <c r="AO74" s="278" t="s">
        <v>378</v>
      </c>
      <c r="AP74" s="283" t="s">
        <v>325</v>
      </c>
      <c r="AQ74" s="289" t="s">
        <v>546</v>
      </c>
    </row>
    <row r="75" spans="1:43" ht="13" customHeight="1" x14ac:dyDescent="0.35">
      <c r="A75" s="278"/>
      <c r="B75" s="279">
        <v>42559</v>
      </c>
      <c r="C75" s="280" t="s">
        <v>322</v>
      </c>
      <c r="D75" s="281" t="s">
        <v>373</v>
      </c>
      <c r="E75" s="278"/>
      <c r="F75" s="278" t="s">
        <v>367</v>
      </c>
      <c r="G75" s="293">
        <v>42494</v>
      </c>
      <c r="H75" s="283" t="s">
        <v>310</v>
      </c>
      <c r="I75" s="283" t="s">
        <v>309</v>
      </c>
      <c r="J75" s="283"/>
      <c r="K75" s="278" t="s">
        <v>422</v>
      </c>
      <c r="L75" s="284" t="s">
        <v>391</v>
      </c>
      <c r="M75" s="285">
        <v>109.5181818181818</v>
      </c>
      <c r="N75" s="285">
        <v>39.4</v>
      </c>
      <c r="O75" s="278"/>
      <c r="P75" s="278"/>
      <c r="Q75" s="288"/>
      <c r="R75" s="278"/>
      <c r="S75" s="287"/>
      <c r="T75" s="278"/>
      <c r="U75" s="288" t="s">
        <v>320</v>
      </c>
      <c r="V75" s="285" t="s">
        <v>320</v>
      </c>
      <c r="W75" s="285">
        <v>12.318181818181818</v>
      </c>
      <c r="X75" s="278"/>
      <c r="Y75" s="278"/>
      <c r="Z75" s="278"/>
      <c r="AA75" s="278"/>
      <c r="AB75" s="278"/>
      <c r="AC75" s="278"/>
      <c r="AD75" s="285" t="s">
        <v>320</v>
      </c>
      <c r="AE75" s="285"/>
      <c r="AF75" s="278"/>
      <c r="AG75" s="278"/>
      <c r="AH75" s="285">
        <v>19.554545454545455</v>
      </c>
      <c r="AI75" s="278"/>
      <c r="AJ75" s="278"/>
      <c r="AK75" s="285" t="s">
        <v>320</v>
      </c>
      <c r="AL75" s="278"/>
      <c r="AM75" s="285" t="s">
        <v>320</v>
      </c>
      <c r="AN75" s="285" t="s">
        <v>320</v>
      </c>
      <c r="AO75" s="278" t="s">
        <v>378</v>
      </c>
      <c r="AP75" s="283" t="s">
        <v>325</v>
      </c>
      <c r="AQ75" s="289" t="s">
        <v>547</v>
      </c>
    </row>
    <row r="76" spans="1:43" ht="13" customHeight="1" x14ac:dyDescent="0.35">
      <c r="A76" s="278"/>
      <c r="B76" s="279">
        <v>42559</v>
      </c>
      <c r="C76" s="280" t="s">
        <v>322</v>
      </c>
      <c r="D76" s="281" t="s">
        <v>373</v>
      </c>
      <c r="E76" s="278"/>
      <c r="F76" s="278" t="s">
        <v>367</v>
      </c>
      <c r="G76" s="293">
        <v>42551</v>
      </c>
      <c r="H76" s="283" t="s">
        <v>309</v>
      </c>
      <c r="I76" s="283" t="s">
        <v>355</v>
      </c>
      <c r="J76" s="283"/>
      <c r="K76" s="278" t="s">
        <v>424</v>
      </c>
      <c r="L76" s="284" t="s">
        <v>391</v>
      </c>
      <c r="M76" s="285">
        <v>91.199999999999989</v>
      </c>
      <c r="N76" s="285">
        <v>50.099999999999994</v>
      </c>
      <c r="O76" s="278"/>
      <c r="P76" s="278"/>
      <c r="Q76" s="288"/>
      <c r="R76" s="278"/>
      <c r="S76" s="287"/>
      <c r="T76" s="278"/>
      <c r="U76" s="288" t="s">
        <v>320</v>
      </c>
      <c r="V76" s="285" t="s">
        <v>320</v>
      </c>
      <c r="W76" s="285">
        <v>13.6</v>
      </c>
      <c r="X76" s="278"/>
      <c r="Y76" s="278"/>
      <c r="Z76" s="278"/>
      <c r="AA76" s="278"/>
      <c r="AB76" s="278"/>
      <c r="AC76" s="278"/>
      <c r="AD76" s="285" t="s">
        <v>320</v>
      </c>
      <c r="AE76" s="285"/>
      <c r="AF76" s="278"/>
      <c r="AG76" s="278"/>
      <c r="AH76" s="285">
        <v>22.699999999999996</v>
      </c>
      <c r="AI76" s="278"/>
      <c r="AJ76" s="278"/>
      <c r="AK76" s="285" t="s">
        <v>320</v>
      </c>
      <c r="AL76" s="278"/>
      <c r="AM76" s="285" t="s">
        <v>320</v>
      </c>
      <c r="AN76" s="285" t="s">
        <v>320</v>
      </c>
      <c r="AO76" s="278" t="s">
        <v>378</v>
      </c>
      <c r="AP76" s="283" t="s">
        <v>325</v>
      </c>
      <c r="AQ76" s="289" t="s">
        <v>548</v>
      </c>
    </row>
    <row r="77" spans="1:43" ht="13" customHeight="1" x14ac:dyDescent="0.35">
      <c r="A77" s="278"/>
      <c r="B77" s="279">
        <v>42559</v>
      </c>
      <c r="C77" s="280" t="s">
        <v>322</v>
      </c>
      <c r="D77" s="281" t="s">
        <v>373</v>
      </c>
      <c r="E77" s="278"/>
      <c r="F77" s="278" t="s">
        <v>367</v>
      </c>
      <c r="G77" s="293">
        <v>42551</v>
      </c>
      <c r="H77" s="283" t="s">
        <v>309</v>
      </c>
      <c r="I77" s="283" t="s">
        <v>355</v>
      </c>
      <c r="J77" s="283"/>
      <c r="K77" s="278" t="s">
        <v>426</v>
      </c>
      <c r="L77" s="284" t="s">
        <v>391</v>
      </c>
      <c r="M77" s="285">
        <v>100.58181818181818</v>
      </c>
      <c r="N77" s="285">
        <v>36.990909090909085</v>
      </c>
      <c r="O77" s="278"/>
      <c r="P77" s="278"/>
      <c r="Q77" s="288"/>
      <c r="R77" s="278"/>
      <c r="S77" s="287"/>
      <c r="T77" s="278"/>
      <c r="U77" s="288" t="s">
        <v>320</v>
      </c>
      <c r="V77" s="285" t="s">
        <v>320</v>
      </c>
      <c r="W77" s="285">
        <v>18.5</v>
      </c>
      <c r="X77" s="278"/>
      <c r="Y77" s="278"/>
      <c r="Z77" s="278"/>
      <c r="AA77" s="278"/>
      <c r="AB77" s="278"/>
      <c r="AC77" s="278"/>
      <c r="AD77" s="285" t="s">
        <v>320</v>
      </c>
      <c r="AE77" s="285"/>
      <c r="AF77" s="278"/>
      <c r="AG77" s="278"/>
      <c r="AH77" s="285">
        <v>22.918181818181818</v>
      </c>
      <c r="AI77" s="278"/>
      <c r="AJ77" s="278"/>
      <c r="AK77" s="285" t="s">
        <v>320</v>
      </c>
      <c r="AL77" s="278"/>
      <c r="AM77" s="285" t="s">
        <v>320</v>
      </c>
      <c r="AN77" s="285" t="s">
        <v>320</v>
      </c>
      <c r="AO77" s="278" t="s">
        <v>378</v>
      </c>
      <c r="AP77" s="283" t="s">
        <v>325</v>
      </c>
      <c r="AQ77" s="289" t="s">
        <v>549</v>
      </c>
    </row>
    <row r="78" spans="1:43" ht="13" customHeight="1" x14ac:dyDescent="0.35">
      <c r="A78" s="278"/>
      <c r="B78" s="279">
        <v>42559</v>
      </c>
      <c r="C78" s="280" t="s">
        <v>322</v>
      </c>
      <c r="D78" s="281" t="s">
        <v>373</v>
      </c>
      <c r="E78" s="278"/>
      <c r="F78" s="278" t="s">
        <v>367</v>
      </c>
      <c r="G78" s="293">
        <v>42551</v>
      </c>
      <c r="H78" s="283" t="s">
        <v>310</v>
      </c>
      <c r="I78" s="283" t="s">
        <v>309</v>
      </c>
      <c r="J78" s="283"/>
      <c r="K78" s="278" t="s">
        <v>428</v>
      </c>
      <c r="L78" s="284" t="s">
        <v>222</v>
      </c>
      <c r="M78" s="285">
        <v>126.63636363636364</v>
      </c>
      <c r="N78" s="285">
        <v>39.809090909090905</v>
      </c>
      <c r="O78" s="278"/>
      <c r="P78" s="278"/>
      <c r="Q78" s="288"/>
      <c r="R78" s="278"/>
      <c r="S78" s="287"/>
      <c r="T78" s="278"/>
      <c r="U78" s="288" t="s">
        <v>320</v>
      </c>
      <c r="V78" s="285" t="s">
        <v>320</v>
      </c>
      <c r="W78" s="285">
        <v>14.627272727272725</v>
      </c>
      <c r="X78" s="278"/>
      <c r="Y78" s="278"/>
      <c r="Z78" s="278"/>
      <c r="AA78" s="278"/>
      <c r="AB78" s="278"/>
      <c r="AC78" s="278"/>
      <c r="AD78" s="285" t="s">
        <v>320</v>
      </c>
      <c r="AE78" s="285"/>
      <c r="AF78" s="278"/>
      <c r="AG78" s="278"/>
      <c r="AH78" s="285">
        <v>14.68181818181818</v>
      </c>
      <c r="AI78" s="278"/>
      <c r="AJ78" s="278"/>
      <c r="AK78" s="285" t="s">
        <v>320</v>
      </c>
      <c r="AL78" s="278"/>
      <c r="AM78" s="285" t="s">
        <v>320</v>
      </c>
      <c r="AN78" s="285" t="s">
        <v>320</v>
      </c>
      <c r="AO78" s="278" t="s">
        <v>378</v>
      </c>
      <c r="AP78" s="283" t="s">
        <v>325</v>
      </c>
      <c r="AQ78" s="289" t="s">
        <v>550</v>
      </c>
    </row>
    <row r="79" spans="1:43" ht="13" customHeight="1" x14ac:dyDescent="0.35">
      <c r="A79" s="278"/>
      <c r="B79" s="279">
        <v>42559</v>
      </c>
      <c r="C79" s="280" t="s">
        <v>322</v>
      </c>
      <c r="D79" s="281" t="s">
        <v>373</v>
      </c>
      <c r="E79" s="278"/>
      <c r="F79" s="278" t="s">
        <v>367</v>
      </c>
      <c r="G79" s="293">
        <v>42551</v>
      </c>
      <c r="H79" s="283" t="s">
        <v>310</v>
      </c>
      <c r="I79" s="283" t="s">
        <v>309</v>
      </c>
      <c r="J79" s="283"/>
      <c r="K79" s="278" t="s">
        <v>501</v>
      </c>
      <c r="L79" s="284" t="s">
        <v>391</v>
      </c>
      <c r="M79" s="285">
        <v>99.999999999999986</v>
      </c>
      <c r="N79" s="285">
        <v>37.999999999999993</v>
      </c>
      <c r="O79" s="278"/>
      <c r="P79" s="278"/>
      <c r="Q79" s="288"/>
      <c r="R79" s="278"/>
      <c r="S79" s="287"/>
      <c r="T79" s="278"/>
      <c r="U79" s="288" t="s">
        <v>320</v>
      </c>
      <c r="V79" s="285" t="s">
        <v>320</v>
      </c>
      <c r="W79" s="285">
        <v>16.399999999999999</v>
      </c>
      <c r="X79" s="278"/>
      <c r="Y79" s="278"/>
      <c r="Z79" s="278"/>
      <c r="AA79" s="278"/>
      <c r="AB79" s="278"/>
      <c r="AC79" s="278"/>
      <c r="AD79" s="285" t="s">
        <v>320</v>
      </c>
      <c r="AE79" s="285"/>
      <c r="AF79" s="278"/>
      <c r="AG79" s="278"/>
      <c r="AH79" s="285">
        <v>20</v>
      </c>
      <c r="AI79" s="278"/>
      <c r="AJ79" s="278"/>
      <c r="AK79" s="285" t="s">
        <v>320</v>
      </c>
      <c r="AL79" s="278"/>
      <c r="AM79" s="285" t="s">
        <v>320</v>
      </c>
      <c r="AN79" s="285" t="s">
        <v>320</v>
      </c>
      <c r="AO79" s="278" t="s">
        <v>378</v>
      </c>
      <c r="AP79" s="283" t="s">
        <v>325</v>
      </c>
      <c r="AQ79" s="289" t="s">
        <v>551</v>
      </c>
    </row>
    <row r="80" spans="1:43" ht="13" customHeight="1" x14ac:dyDescent="0.35">
      <c r="A80" s="278"/>
      <c r="B80" s="279">
        <v>42559</v>
      </c>
      <c r="C80" s="280" t="s">
        <v>322</v>
      </c>
      <c r="D80" s="281" t="s">
        <v>373</v>
      </c>
      <c r="E80" s="278"/>
      <c r="F80" s="278" t="s">
        <v>367</v>
      </c>
      <c r="G80" s="293">
        <v>42551</v>
      </c>
      <c r="H80" s="283" t="s">
        <v>310</v>
      </c>
      <c r="I80" s="283" t="s">
        <v>309</v>
      </c>
      <c r="J80" s="283"/>
      <c r="K80" s="278" t="s">
        <v>503</v>
      </c>
      <c r="L80" s="284" t="s">
        <v>391</v>
      </c>
      <c r="M80" s="285">
        <v>90.1</v>
      </c>
      <c r="N80" s="285">
        <v>42</v>
      </c>
      <c r="O80" s="278"/>
      <c r="P80" s="278"/>
      <c r="Q80" s="288"/>
      <c r="R80" s="278"/>
      <c r="S80" s="287"/>
      <c r="T80" s="278"/>
      <c r="U80" s="288" t="s">
        <v>320</v>
      </c>
      <c r="V80" s="285" t="s">
        <v>320</v>
      </c>
      <c r="W80" s="285">
        <v>14.899999999999999</v>
      </c>
      <c r="X80" s="278"/>
      <c r="Y80" s="278"/>
      <c r="Z80" s="278"/>
      <c r="AA80" s="278"/>
      <c r="AB80" s="278"/>
      <c r="AC80" s="278"/>
      <c r="AD80" s="285" t="s">
        <v>320</v>
      </c>
      <c r="AE80" s="285"/>
      <c r="AF80" s="278"/>
      <c r="AG80" s="278"/>
      <c r="AH80" s="285">
        <v>20.199999999999996</v>
      </c>
      <c r="AI80" s="278"/>
      <c r="AJ80" s="278"/>
      <c r="AK80" s="285" t="s">
        <v>320</v>
      </c>
      <c r="AL80" s="278"/>
      <c r="AM80" s="285" t="s">
        <v>320</v>
      </c>
      <c r="AN80" s="285" t="s">
        <v>320</v>
      </c>
      <c r="AO80" s="278" t="s">
        <v>378</v>
      </c>
      <c r="AP80" s="283" t="s">
        <v>325</v>
      </c>
      <c r="AQ80" s="289" t="s">
        <v>552</v>
      </c>
    </row>
  </sheetData>
  <sheetProtection algorithmName="SHA-512" hashValue="Fw+kGR2oXW6drW4rkTIHqSkAa9O5xt2B5EtbfCzc8RxvYQXEM6yyRPTMJhymQNTI6aor2vVn0Lpbe7VUoOfW3w==" saltValue="F1CHrktYDzRkFAnUrBssYQ==" spinCount="100000" sheet="1" objects="1" scenarios="1"/>
  <hyperlinks>
    <hyperlink ref="AQ3" r:id="rId1" xr:uid="{1C4626A6-26E9-354C-AD41-6CDE31E347B5}"/>
    <hyperlink ref="AQ2" r:id="rId2" xr:uid="{D6D5FA5E-BA4E-2C44-86AA-2B4367E0979E}"/>
    <hyperlink ref="AQ4" r:id="rId3" xr:uid="{540E0ADF-43AA-B845-A446-FA1A1E50E009}"/>
    <hyperlink ref="AQ5" r:id="rId4" xr:uid="{A1A1BCEC-6C2A-EC45-89C4-5A3DC2069FA6}"/>
    <hyperlink ref="AQ26" r:id="rId5" xr:uid="{84D5588B-9600-8D43-BAAA-78A41E0FFE55}"/>
    <hyperlink ref="AQ27" r:id="rId6" xr:uid="{FBDACBFC-F1DE-8940-8202-48ECC150EAF8}"/>
    <hyperlink ref="AQ6" r:id="rId7" xr:uid="{841355C3-04BE-A74D-B3B9-2FEDF6752F7B}"/>
    <hyperlink ref="AQ8" r:id="rId8" xr:uid="{26E6179F-A577-8F47-A921-99CB01F32C4B}"/>
    <hyperlink ref="AQ9" r:id="rId9" xr:uid="{A10A367A-18B5-6744-B271-5D2A17ECBF7E}"/>
    <hyperlink ref="AQ12" r:id="rId10" xr:uid="{DCB39EFD-ECA1-234C-9F5E-B580F24B09B9}"/>
    <hyperlink ref="AQ25" r:id="rId11" xr:uid="{304FDDAB-9475-C64D-9F6A-2156D9A4A09D}"/>
    <hyperlink ref="AQ11" r:id="rId12" xr:uid="{571BCF2B-824C-9C4E-BF5D-9C61B29BB57F}"/>
    <hyperlink ref="AQ14" r:id="rId13" xr:uid="{4BA6BCBB-72FE-7D47-87D4-BDD5F3EB551B}"/>
    <hyperlink ref="AQ15" r:id="rId14" xr:uid="{B59529BA-276F-C24B-B884-A4FF9F31747A}"/>
    <hyperlink ref="AQ16" r:id="rId15" xr:uid="{C5AF1D34-4132-4D40-BAA3-A0B9D264A6D5}"/>
    <hyperlink ref="AQ17" r:id="rId16" xr:uid="{004AAF09-B1F1-F64B-A71F-47536D34AD9D}"/>
    <hyperlink ref="AQ18" r:id="rId17" xr:uid="{2702CC3E-72B2-9440-B02B-99AA12386FD0}"/>
    <hyperlink ref="AQ19" r:id="rId18" xr:uid="{7992F97D-822C-C84F-84E1-5EDC5C7C593C}"/>
    <hyperlink ref="AQ22" r:id="rId19" xr:uid="{429920F2-82C5-6845-9582-B717C0D4FA90}"/>
    <hyperlink ref="AQ21" r:id="rId20" xr:uid="{4BDC5C25-5382-C94C-9413-2FDC59247377}"/>
    <hyperlink ref="AQ23" r:id="rId21" xr:uid="{48686942-DCE9-F548-B67D-634B0131A963}"/>
    <hyperlink ref="AQ24" r:id="rId22" xr:uid="{799FF583-B1C5-2B46-B5ED-6AB35691B3C2}"/>
    <hyperlink ref="AQ28" r:id="rId23" xr:uid="{75BD7F80-707E-4941-A90F-32713AA039A3}"/>
    <hyperlink ref="AQ29" r:id="rId24" xr:uid="{A39E6389-62DF-0449-B358-39405B05E02D}"/>
    <hyperlink ref="AQ31" r:id="rId25" xr:uid="{3E0C32C3-67F2-984A-96CB-C068B3AE46C7}"/>
    <hyperlink ref="AQ57" r:id="rId26" xr:uid="{CAF9E38F-5421-ED44-9547-7278EE02626E}"/>
    <hyperlink ref="AQ30" r:id="rId27" xr:uid="{3C973CF9-2F02-934E-BFCF-1B53CCE2DE03}"/>
    <hyperlink ref="AQ56" r:id="rId28" xr:uid="{E2123D4C-69E0-704D-BC20-7C520D242249}"/>
    <hyperlink ref="AQ32" r:id="rId29" xr:uid="{5DC86970-E55F-1B42-A359-FC2E32F34CFC}"/>
    <hyperlink ref="AQ58" r:id="rId30" xr:uid="{7D351D6A-8283-6F40-A6C3-9F561A7E2E2E}"/>
    <hyperlink ref="AQ33" r:id="rId31" xr:uid="{D609C89C-1E6D-E34D-A291-F8D767FF9E76}"/>
    <hyperlink ref="AQ59" r:id="rId32" xr:uid="{7900D854-413A-7747-8E9C-0622F2032215}"/>
    <hyperlink ref="AQ53" r:id="rId33" xr:uid="{BF76A193-4FD6-FC41-8C81-C83518FC0A56}"/>
    <hyperlink ref="AQ78" r:id="rId34" xr:uid="{63AC3E50-E39E-4144-99B1-249DD987AB9F}"/>
    <hyperlink ref="AQ34" r:id="rId35" xr:uid="{614D37EA-7D7A-0E4D-95B8-19E8D7643786}"/>
    <hyperlink ref="AQ60" r:id="rId36" xr:uid="{80205663-BA36-2845-B064-24E360924FA0}"/>
    <hyperlink ref="AQ36" r:id="rId37" xr:uid="{384781F9-95DB-6847-922B-5DA40031FA73}"/>
    <hyperlink ref="AQ62" r:id="rId38" xr:uid="{481BB4F4-93DE-9F40-88D0-E36C1824FB0D}"/>
    <hyperlink ref="AQ37" r:id="rId39" xr:uid="{FAED8D10-18A1-D840-9208-D04F7021F264}"/>
    <hyperlink ref="AQ63" r:id="rId40" xr:uid="{6CF607D4-ECF2-A245-AE8D-1BADA6BCCCFF}"/>
    <hyperlink ref="AQ40" r:id="rId41" xr:uid="{83965AB0-D87A-BD40-A972-28B40D203BF0}"/>
    <hyperlink ref="AQ52" r:id="rId42" xr:uid="{75D23825-A68E-B94C-86BF-51720E8EBAFD}"/>
    <hyperlink ref="AQ77" r:id="rId43" xr:uid="{A9C4EF8D-1C7F-3947-A24B-DA941B572883}"/>
    <hyperlink ref="AQ39" r:id="rId44" xr:uid="{A3C5DE40-D876-AE4B-AE19-1107618A102B}"/>
    <hyperlink ref="AQ65" r:id="rId45" xr:uid="{B3E69A04-1082-8245-AD20-B6E7AD8BE0BD}"/>
    <hyperlink ref="AQ42" r:id="rId46" xr:uid="{D098F408-7F51-B346-A801-57F5C68C77FE}"/>
    <hyperlink ref="AQ43" r:id="rId47" xr:uid="{84412855-FE95-004C-9D28-6C018F62F666}"/>
    <hyperlink ref="AQ69" r:id="rId48" xr:uid="{C279E509-E97A-FE4A-9432-9256AE46EB92}"/>
    <hyperlink ref="AQ44" r:id="rId49" xr:uid="{31855E39-E66A-124B-A45F-BA696E684ADB}"/>
    <hyperlink ref="AQ45" r:id="rId50" xr:uid="{DC3E7844-11D9-A741-A0A2-EBD5C8025EF2}"/>
    <hyperlink ref="AQ71" r:id="rId51" xr:uid="{34A45CCB-1EAD-C441-BF30-8B7647156C38}"/>
    <hyperlink ref="AQ46" r:id="rId52" xr:uid="{CB4C4C87-E129-3347-8B6E-62395D519279}"/>
    <hyperlink ref="AQ72" r:id="rId53" xr:uid="{0C4F4034-07C5-824B-A3F6-6953B853B594}"/>
    <hyperlink ref="AQ47" r:id="rId54" xr:uid="{2D3A58A9-C42B-4D4D-93CB-2BA9BA679C35}"/>
    <hyperlink ref="AQ49" r:id="rId55" xr:uid="{F6EECEC6-EFC6-E24D-B88E-8459A798E3A6}"/>
    <hyperlink ref="AQ74" r:id="rId56" xr:uid="{EC722C54-3A1D-D94E-AC5D-C7814769ECCF}"/>
    <hyperlink ref="AQ48" r:id="rId57" xr:uid="{D0C2C0AB-3E06-9343-B168-F1BCEBC1AED0}"/>
    <hyperlink ref="AQ73" r:id="rId58" xr:uid="{E925FD34-FD8D-1E4B-989F-5A7FBF450591}"/>
    <hyperlink ref="AQ50" r:id="rId59" xr:uid="{BED0156B-9F1A-2249-B055-136901AE826E}"/>
    <hyperlink ref="AQ75" r:id="rId60" xr:uid="{4AA3EC8E-691C-A04F-90C7-5C7A270E3991}"/>
    <hyperlink ref="AQ51" r:id="rId61" xr:uid="{BF1FE9EC-1210-B94F-B9C5-5DBD449C8FA3}"/>
    <hyperlink ref="AQ76" r:id="rId62" xr:uid="{92EF0DD7-2D8E-B443-A0E3-2AC5003F23DA}"/>
    <hyperlink ref="AQ54" r:id="rId63" xr:uid="{E54E2304-A4F5-C247-A0DE-E7AC3A5FCBD3}"/>
    <hyperlink ref="AQ79" r:id="rId64" xr:uid="{D735FE4C-AD2D-2148-BAD7-4AD4012822C5}"/>
    <hyperlink ref="AQ55" r:id="rId65" xr:uid="{3CF85B50-8A1D-EE46-8B85-429C8C8A9C23}"/>
    <hyperlink ref="AQ80" r:id="rId66" xr:uid="{8CC5D00C-9ED0-8445-9EAC-00C438B0BE01}"/>
  </hyperlinks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F689C-DB79-F24E-A776-EE5D8615F5E3}">
  <sheetPr codeName="Sheet27"/>
  <dimension ref="A1:AQ77"/>
  <sheetViews>
    <sheetView topLeftCell="A6"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" bestFit="1" customWidth="1"/>
    <col min="12" max="12" width="22" bestFit="1" customWidth="1"/>
    <col min="13" max="13" width="12.3046875" bestFit="1" customWidth="1"/>
    <col min="38" max="38" width="15.84375" customWidth="1"/>
  </cols>
  <sheetData>
    <row r="1" spans="1:43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43" ht="13" customHeight="1" x14ac:dyDescent="0.35">
      <c r="A2" s="241">
        <v>10416</v>
      </c>
      <c r="B2" s="279">
        <v>42559</v>
      </c>
      <c r="C2" s="243" t="s">
        <v>322</v>
      </c>
      <c r="D2" s="244" t="s">
        <v>382</v>
      </c>
      <c r="E2" s="241"/>
      <c r="F2" s="241" t="s">
        <v>323</v>
      </c>
      <c r="G2" s="247">
        <v>42551</v>
      </c>
      <c r="H2" s="245" t="s">
        <v>324</v>
      </c>
      <c r="I2" s="245" t="s">
        <v>325</v>
      </c>
      <c r="J2" s="245"/>
      <c r="K2" s="241" t="s">
        <v>326</v>
      </c>
      <c r="L2" s="284" t="s">
        <v>391</v>
      </c>
      <c r="M2" s="246">
        <v>84.054545454545448</v>
      </c>
      <c r="N2" s="246">
        <v>25.481818181818181</v>
      </c>
      <c r="O2" s="241"/>
      <c r="P2" s="241"/>
      <c r="Q2" s="241"/>
      <c r="R2" s="241"/>
      <c r="S2" s="244"/>
      <c r="T2" s="241"/>
      <c r="U2" s="246" t="s">
        <v>320</v>
      </c>
      <c r="V2" s="246" t="s">
        <v>320</v>
      </c>
      <c r="W2" s="246"/>
      <c r="X2" s="241"/>
      <c r="Y2" s="241"/>
      <c r="Z2" s="241"/>
      <c r="AA2" s="241"/>
      <c r="AB2" s="241"/>
      <c r="AC2" s="241"/>
      <c r="AD2" s="246" t="s">
        <v>320</v>
      </c>
      <c r="AE2" s="246"/>
      <c r="AF2" s="241"/>
      <c r="AG2" s="241"/>
      <c r="AH2" s="246"/>
      <c r="AI2" s="241"/>
      <c r="AJ2" s="241"/>
      <c r="AK2" s="246" t="s">
        <v>320</v>
      </c>
      <c r="AL2" s="241"/>
      <c r="AM2" s="246" t="s">
        <v>320</v>
      </c>
      <c r="AN2" s="246" t="s">
        <v>320</v>
      </c>
      <c r="AO2" s="241" t="s">
        <v>327</v>
      </c>
      <c r="AP2" s="245" t="s">
        <v>325</v>
      </c>
      <c r="AQ2" s="289" t="s">
        <v>553</v>
      </c>
    </row>
    <row r="3" spans="1:43" ht="13" customHeight="1" x14ac:dyDescent="0.35">
      <c r="A3" s="241">
        <v>10501</v>
      </c>
      <c r="B3" s="279">
        <v>42559</v>
      </c>
      <c r="C3" s="243" t="s">
        <v>322</v>
      </c>
      <c r="D3" s="244" t="s">
        <v>382</v>
      </c>
      <c r="E3" s="241"/>
      <c r="F3" s="241" t="s">
        <v>323</v>
      </c>
      <c r="G3" s="247">
        <v>42551</v>
      </c>
      <c r="H3" s="245" t="s">
        <v>324</v>
      </c>
      <c r="I3" s="245" t="s">
        <v>325</v>
      </c>
      <c r="J3" s="245"/>
      <c r="K3" s="241" t="s">
        <v>328</v>
      </c>
      <c r="L3" s="284" t="s">
        <v>391</v>
      </c>
      <c r="M3" s="246">
        <v>80.84</v>
      </c>
      <c r="N3" s="246">
        <v>25.72</v>
      </c>
      <c r="O3" s="241"/>
      <c r="P3" s="241"/>
      <c r="Q3" s="241"/>
      <c r="R3" s="241"/>
      <c r="S3" s="244"/>
      <c r="T3" s="241"/>
      <c r="U3" s="246" t="s">
        <v>320</v>
      </c>
      <c r="V3" s="246" t="s">
        <v>320</v>
      </c>
      <c r="W3" s="246"/>
      <c r="X3" s="241"/>
      <c r="Y3" s="241"/>
      <c r="Z3" s="241"/>
      <c r="AA3" s="241"/>
      <c r="AB3" s="241"/>
      <c r="AC3" s="241"/>
      <c r="AD3" s="246" t="s">
        <v>320</v>
      </c>
      <c r="AE3" s="246"/>
      <c r="AF3" s="241"/>
      <c r="AG3" s="241"/>
      <c r="AH3" s="246"/>
      <c r="AI3" s="241"/>
      <c r="AJ3" s="241"/>
      <c r="AK3" s="246" t="s">
        <v>320</v>
      </c>
      <c r="AL3" s="241"/>
      <c r="AM3" s="246" t="s">
        <v>320</v>
      </c>
      <c r="AN3" s="246" t="s">
        <v>320</v>
      </c>
      <c r="AO3" s="241" t="s">
        <v>327</v>
      </c>
      <c r="AP3" s="245" t="s">
        <v>325</v>
      </c>
      <c r="AQ3" s="289" t="s">
        <v>393</v>
      </c>
    </row>
    <row r="4" spans="1:43" ht="13" customHeight="1" x14ac:dyDescent="0.35">
      <c r="A4" s="241">
        <v>10597</v>
      </c>
      <c r="B4" s="279">
        <v>42559</v>
      </c>
      <c r="C4" s="243" t="s">
        <v>322</v>
      </c>
      <c r="D4" s="244" t="s">
        <v>382</v>
      </c>
      <c r="E4" s="241"/>
      <c r="F4" s="241" t="s">
        <v>323</v>
      </c>
      <c r="G4" s="247">
        <v>42551</v>
      </c>
      <c r="H4" s="245" t="s">
        <v>310</v>
      </c>
      <c r="I4" s="245" t="s">
        <v>309</v>
      </c>
      <c r="J4" s="245"/>
      <c r="K4" s="241" t="s">
        <v>329</v>
      </c>
      <c r="L4" s="224" t="s">
        <v>387</v>
      </c>
      <c r="M4" s="246">
        <v>90.499999999999986</v>
      </c>
      <c r="N4" s="246">
        <v>24.999999999999996</v>
      </c>
      <c r="O4" s="241"/>
      <c r="P4" s="241"/>
      <c r="Q4" s="241"/>
      <c r="R4" s="241"/>
      <c r="S4" s="244"/>
      <c r="T4" s="241"/>
      <c r="U4" s="246" t="s">
        <v>320</v>
      </c>
      <c r="V4" s="246" t="s">
        <v>320</v>
      </c>
      <c r="W4" s="246"/>
      <c r="X4" s="241"/>
      <c r="Y4" s="241"/>
      <c r="Z4" s="241"/>
      <c r="AA4" s="241"/>
      <c r="AB4" s="241"/>
      <c r="AC4" s="241"/>
      <c r="AD4" s="246" t="s">
        <v>320</v>
      </c>
      <c r="AE4" s="246"/>
      <c r="AF4" s="241"/>
      <c r="AG4" s="241"/>
      <c r="AH4" s="246"/>
      <c r="AI4" s="241"/>
      <c r="AJ4" s="241"/>
      <c r="AK4" s="246" t="s">
        <v>320</v>
      </c>
      <c r="AL4" s="241"/>
      <c r="AM4" s="246" t="s">
        <v>320</v>
      </c>
      <c r="AN4" s="246" t="s">
        <v>320</v>
      </c>
      <c r="AO4" s="241" t="s">
        <v>327</v>
      </c>
      <c r="AP4" s="245" t="s">
        <v>325</v>
      </c>
      <c r="AQ4" s="289" t="s">
        <v>554</v>
      </c>
    </row>
    <row r="5" spans="1:43" ht="13" customHeight="1" x14ac:dyDescent="0.35">
      <c r="A5" s="241">
        <v>1473</v>
      </c>
      <c r="B5" s="279">
        <v>42559</v>
      </c>
      <c r="C5" s="243" t="s">
        <v>322</v>
      </c>
      <c r="D5" s="244" t="s">
        <v>382</v>
      </c>
      <c r="E5" s="241"/>
      <c r="F5" s="241" t="s">
        <v>323</v>
      </c>
      <c r="G5" s="247">
        <v>42551</v>
      </c>
      <c r="H5" s="245" t="s">
        <v>324</v>
      </c>
      <c r="I5" s="245" t="s">
        <v>325</v>
      </c>
      <c r="J5" s="245"/>
      <c r="K5" s="241" t="s">
        <v>330</v>
      </c>
      <c r="L5" s="224" t="s">
        <v>387</v>
      </c>
      <c r="M5" s="246">
        <v>84.409090909090892</v>
      </c>
      <c r="N5" s="246">
        <v>25.427272727272726</v>
      </c>
      <c r="O5" s="241"/>
      <c r="P5" s="241"/>
      <c r="Q5" s="241"/>
      <c r="R5" s="241"/>
      <c r="S5" s="244"/>
      <c r="T5" s="241"/>
      <c r="U5" s="246" t="s">
        <v>320</v>
      </c>
      <c r="V5" s="246" t="s">
        <v>320</v>
      </c>
      <c r="W5" s="246"/>
      <c r="X5" s="241"/>
      <c r="Y5" s="241"/>
      <c r="Z5" s="241"/>
      <c r="AA5" s="241"/>
      <c r="AB5" s="241"/>
      <c r="AC5" s="241"/>
      <c r="AD5" s="246" t="s">
        <v>320</v>
      </c>
      <c r="AE5" s="246"/>
      <c r="AF5" s="241"/>
      <c r="AG5" s="241"/>
      <c r="AH5" s="246"/>
      <c r="AI5" s="241"/>
      <c r="AJ5" s="241"/>
      <c r="AK5" s="246" t="s">
        <v>320</v>
      </c>
      <c r="AL5" s="241"/>
      <c r="AM5" s="246" t="s">
        <v>320</v>
      </c>
      <c r="AN5" s="246" t="s">
        <v>320</v>
      </c>
      <c r="AO5" s="241" t="s">
        <v>327</v>
      </c>
      <c r="AP5" s="245" t="s">
        <v>325</v>
      </c>
      <c r="AQ5" s="289" t="s">
        <v>555</v>
      </c>
    </row>
    <row r="6" spans="1:43" ht="13" customHeight="1" x14ac:dyDescent="0.35">
      <c r="A6" s="241">
        <v>4654</v>
      </c>
      <c r="B6" s="279">
        <v>42559</v>
      </c>
      <c r="C6" s="243" t="s">
        <v>322</v>
      </c>
      <c r="D6" s="244" t="s">
        <v>382</v>
      </c>
      <c r="E6" s="241"/>
      <c r="F6" s="241" t="s">
        <v>323</v>
      </c>
      <c r="G6" s="247">
        <v>42551</v>
      </c>
      <c r="H6" s="245" t="s">
        <v>324</v>
      </c>
      <c r="I6" s="245" t="s">
        <v>325</v>
      </c>
      <c r="J6" s="245"/>
      <c r="K6" s="241" t="s">
        <v>331</v>
      </c>
      <c r="L6" s="224" t="s">
        <v>387</v>
      </c>
      <c r="M6" s="246">
        <v>87</v>
      </c>
      <c r="N6" s="246">
        <v>23.999999999999996</v>
      </c>
      <c r="O6" s="241"/>
      <c r="P6" s="241"/>
      <c r="Q6" s="246"/>
      <c r="R6" s="241"/>
      <c r="S6" s="244"/>
      <c r="T6" s="241"/>
      <c r="U6" s="246" t="s">
        <v>320</v>
      </c>
      <c r="V6" s="246" t="s">
        <v>320</v>
      </c>
      <c r="W6" s="246"/>
      <c r="X6" s="241"/>
      <c r="Y6" s="241"/>
      <c r="Z6" s="241"/>
      <c r="AA6" s="241"/>
      <c r="AB6" s="241"/>
      <c r="AC6" s="241"/>
      <c r="AD6" s="246" t="s">
        <v>320</v>
      </c>
      <c r="AE6" s="246"/>
      <c r="AF6" s="241"/>
      <c r="AG6" s="241"/>
      <c r="AH6" s="246"/>
      <c r="AI6" s="241"/>
      <c r="AJ6" s="241"/>
      <c r="AK6" s="246" t="s">
        <v>320</v>
      </c>
      <c r="AL6" s="241"/>
      <c r="AM6" s="246" t="s">
        <v>320</v>
      </c>
      <c r="AN6" s="246" t="s">
        <v>320</v>
      </c>
      <c r="AO6" s="241" t="s">
        <v>327</v>
      </c>
      <c r="AP6" s="245" t="s">
        <v>325</v>
      </c>
      <c r="AQ6" s="289" t="s">
        <v>556</v>
      </c>
    </row>
    <row r="7" spans="1:43" ht="13" customHeight="1" x14ac:dyDescent="0.3">
      <c r="A7" s="241">
        <v>1445</v>
      </c>
      <c r="B7" s="274">
        <v>42564</v>
      </c>
      <c r="C7" s="243" t="s">
        <v>322</v>
      </c>
      <c r="D7" s="244" t="s">
        <v>382</v>
      </c>
      <c r="E7" s="241"/>
      <c r="F7" s="241" t="s">
        <v>323</v>
      </c>
      <c r="G7" s="247">
        <v>42551</v>
      </c>
      <c r="H7" s="245" t="s">
        <v>324</v>
      </c>
      <c r="I7" s="245" t="s">
        <v>325</v>
      </c>
      <c r="J7" s="245"/>
      <c r="K7" s="241" t="s">
        <v>479</v>
      </c>
      <c r="L7" s="224" t="s">
        <v>387</v>
      </c>
      <c r="M7" s="246">
        <v>79</v>
      </c>
      <c r="N7" s="246">
        <v>25.7</v>
      </c>
      <c r="O7" s="241"/>
      <c r="P7" s="241"/>
      <c r="Q7" s="246"/>
      <c r="R7" s="241"/>
      <c r="S7" s="244"/>
      <c r="T7" s="241"/>
      <c r="U7" s="246" t="s">
        <v>320</v>
      </c>
      <c r="V7" s="246" t="s">
        <v>320</v>
      </c>
      <c r="W7" s="246"/>
      <c r="X7" s="241"/>
      <c r="Y7" s="241"/>
      <c r="Z7" s="241"/>
      <c r="AA7" s="241"/>
      <c r="AB7" s="241"/>
      <c r="AC7" s="241"/>
      <c r="AD7" s="246" t="s">
        <v>320</v>
      </c>
      <c r="AE7" s="246"/>
      <c r="AF7" s="241"/>
      <c r="AG7" s="241"/>
      <c r="AH7" s="246"/>
      <c r="AI7" s="241"/>
      <c r="AJ7" s="241"/>
      <c r="AK7" s="246" t="s">
        <v>320</v>
      </c>
      <c r="AL7" s="241"/>
      <c r="AM7" s="246" t="s">
        <v>320</v>
      </c>
      <c r="AN7" s="246" t="s">
        <v>320</v>
      </c>
      <c r="AO7" s="241" t="s">
        <v>327</v>
      </c>
      <c r="AP7" s="245" t="s">
        <v>325</v>
      </c>
      <c r="AQ7" t="s">
        <v>557</v>
      </c>
    </row>
    <row r="8" spans="1:43" ht="13" customHeight="1" x14ac:dyDescent="0.35">
      <c r="A8" s="241">
        <v>1485</v>
      </c>
      <c r="B8" s="279">
        <v>42559</v>
      </c>
      <c r="C8" s="243" t="s">
        <v>322</v>
      </c>
      <c r="D8" s="244" t="s">
        <v>382</v>
      </c>
      <c r="E8" s="241"/>
      <c r="F8" s="241" t="s">
        <v>323</v>
      </c>
      <c r="G8" s="248">
        <v>42551</v>
      </c>
      <c r="H8" s="245" t="s">
        <v>324</v>
      </c>
      <c r="I8" s="245" t="s">
        <v>325</v>
      </c>
      <c r="J8" s="245"/>
      <c r="K8" s="241" t="s">
        <v>397</v>
      </c>
      <c r="L8" s="224" t="s">
        <v>387</v>
      </c>
      <c r="M8" s="246">
        <v>84.409090909090892</v>
      </c>
      <c r="N8" s="246">
        <v>25.427272727272726</v>
      </c>
      <c r="O8" s="241"/>
      <c r="P8" s="241"/>
      <c r="Q8" s="246"/>
      <c r="R8" s="241"/>
      <c r="S8" s="244"/>
      <c r="T8" s="241"/>
      <c r="U8" s="246" t="s">
        <v>320</v>
      </c>
      <c r="V8" s="246" t="s">
        <v>320</v>
      </c>
      <c r="W8" s="246"/>
      <c r="X8" s="241"/>
      <c r="Y8" s="241"/>
      <c r="Z8" s="241"/>
      <c r="AA8" s="241"/>
      <c r="AB8" s="241"/>
      <c r="AC8" s="241"/>
      <c r="AD8" s="246" t="s">
        <v>320</v>
      </c>
      <c r="AE8" s="246"/>
      <c r="AF8" s="241"/>
      <c r="AG8" s="241"/>
      <c r="AH8" s="246"/>
      <c r="AI8" s="241"/>
      <c r="AJ8" s="241"/>
      <c r="AK8" s="246" t="s">
        <v>320</v>
      </c>
      <c r="AL8" s="241"/>
      <c r="AM8" s="246" t="s">
        <v>320</v>
      </c>
      <c r="AN8" s="246" t="s">
        <v>320</v>
      </c>
      <c r="AO8" s="241" t="s">
        <v>327</v>
      </c>
      <c r="AP8" s="245" t="s">
        <v>325</v>
      </c>
      <c r="AQ8" s="289" t="s">
        <v>558</v>
      </c>
    </row>
    <row r="9" spans="1:43" ht="13" customHeight="1" x14ac:dyDescent="0.35">
      <c r="A9" s="241">
        <v>10270</v>
      </c>
      <c r="B9" s="279">
        <v>42559</v>
      </c>
      <c r="C9" s="243" t="s">
        <v>322</v>
      </c>
      <c r="D9" s="244" t="s">
        <v>382</v>
      </c>
      <c r="E9" s="241"/>
      <c r="F9" s="241" t="s">
        <v>323</v>
      </c>
      <c r="G9" s="248">
        <v>42551</v>
      </c>
      <c r="H9" s="245" t="s">
        <v>324</v>
      </c>
      <c r="I9" s="245" t="s">
        <v>325</v>
      </c>
      <c r="J9" s="245"/>
      <c r="K9" s="241" t="s">
        <v>340</v>
      </c>
      <c r="L9" s="224" t="s">
        <v>399</v>
      </c>
      <c r="M9" s="246">
        <v>75</v>
      </c>
      <c r="N9" s="246">
        <v>26.154545454545453</v>
      </c>
      <c r="O9" s="241"/>
      <c r="P9" s="241"/>
      <c r="Q9" s="246"/>
      <c r="R9" s="241"/>
      <c r="S9" s="244"/>
      <c r="T9" s="241"/>
      <c r="U9" s="246" t="s">
        <v>320</v>
      </c>
      <c r="V9" s="246" t="s">
        <v>320</v>
      </c>
      <c r="W9" s="246"/>
      <c r="X9" s="241"/>
      <c r="Y9" s="241"/>
      <c r="Z9" s="241"/>
      <c r="AA9" s="241"/>
      <c r="AB9" s="241"/>
      <c r="AC9" s="241"/>
      <c r="AD9" s="246" t="s">
        <v>320</v>
      </c>
      <c r="AE9" s="246"/>
      <c r="AF9" s="241"/>
      <c r="AG9" s="241"/>
      <c r="AH9" s="246"/>
      <c r="AI9" s="241"/>
      <c r="AJ9" s="241"/>
      <c r="AK9" s="246" t="s">
        <v>320</v>
      </c>
      <c r="AL9" s="241"/>
      <c r="AM9" s="246" t="s">
        <v>320</v>
      </c>
      <c r="AN9" s="246" t="s">
        <v>320</v>
      </c>
      <c r="AO9" s="241" t="s">
        <v>327</v>
      </c>
      <c r="AP9" s="245" t="s">
        <v>325</v>
      </c>
      <c r="AQ9" s="289" t="s">
        <v>559</v>
      </c>
    </row>
    <row r="10" spans="1:43" ht="13" customHeight="1" x14ac:dyDescent="0.3">
      <c r="A10" s="241">
        <v>5644</v>
      </c>
      <c r="B10" s="274">
        <v>42564</v>
      </c>
      <c r="C10" s="243" t="s">
        <v>322</v>
      </c>
      <c r="D10" s="244" t="s">
        <v>382</v>
      </c>
      <c r="E10" s="241"/>
      <c r="F10" s="241" t="s">
        <v>323</v>
      </c>
      <c r="G10" s="248">
        <v>42553</v>
      </c>
      <c r="H10" s="245" t="s">
        <v>324</v>
      </c>
      <c r="I10" s="245" t="s">
        <v>325</v>
      </c>
      <c r="J10" s="245"/>
      <c r="K10" s="241" t="s">
        <v>401</v>
      </c>
      <c r="L10" s="224" t="s">
        <v>387</v>
      </c>
      <c r="M10" s="246">
        <v>96.436363636363623</v>
      </c>
      <c r="N10" s="246">
        <v>24.563636363636363</v>
      </c>
      <c r="O10" s="241"/>
      <c r="P10" s="241"/>
      <c r="Q10" s="246"/>
      <c r="R10" s="241"/>
      <c r="S10" s="244"/>
      <c r="T10" s="241"/>
      <c r="U10" s="246" t="s">
        <v>320</v>
      </c>
      <c r="V10" s="246" t="s">
        <v>320</v>
      </c>
      <c r="W10" s="246"/>
      <c r="X10" s="241"/>
      <c r="Y10" s="241"/>
      <c r="Z10" s="241"/>
      <c r="AA10" s="241"/>
      <c r="AB10" s="241"/>
      <c r="AC10" s="241"/>
      <c r="AD10" s="246" t="s">
        <v>320</v>
      </c>
      <c r="AE10" s="246"/>
      <c r="AF10" s="241"/>
      <c r="AG10" s="241"/>
      <c r="AH10" s="246"/>
      <c r="AI10" s="241"/>
      <c r="AJ10" s="241"/>
      <c r="AK10" s="246" t="s">
        <v>320</v>
      </c>
      <c r="AL10" s="241"/>
      <c r="AM10" s="246" t="s">
        <v>320</v>
      </c>
      <c r="AN10" s="246" t="s">
        <v>320</v>
      </c>
      <c r="AO10" s="241" t="s">
        <v>327</v>
      </c>
      <c r="AP10" s="245" t="s">
        <v>325</v>
      </c>
      <c r="AQ10" t="s">
        <v>560</v>
      </c>
    </row>
    <row r="11" spans="1:43" ht="13" customHeight="1" x14ac:dyDescent="0.35">
      <c r="A11" s="241">
        <v>4375</v>
      </c>
      <c r="B11" s="279">
        <v>42559</v>
      </c>
      <c r="C11" s="243" t="s">
        <v>322</v>
      </c>
      <c r="D11" s="244" t="s">
        <v>382</v>
      </c>
      <c r="E11" s="241"/>
      <c r="F11" s="241" t="s">
        <v>323</v>
      </c>
      <c r="G11" s="248">
        <v>42551</v>
      </c>
      <c r="H11" s="245" t="s">
        <v>324</v>
      </c>
      <c r="I11" s="245" t="s">
        <v>325</v>
      </c>
      <c r="J11" s="245"/>
      <c r="K11" s="241" t="s">
        <v>403</v>
      </c>
      <c r="L11" s="284" t="s">
        <v>391</v>
      </c>
      <c r="M11" s="246">
        <v>94.881818181818176</v>
      </c>
      <c r="N11" s="246">
        <v>24.68181818181818</v>
      </c>
      <c r="O11" s="241"/>
      <c r="P11" s="241"/>
      <c r="Q11" s="246"/>
      <c r="R11" s="241"/>
      <c r="S11" s="244"/>
      <c r="T11" s="241"/>
      <c r="U11" s="246" t="s">
        <v>320</v>
      </c>
      <c r="V11" s="246" t="s">
        <v>320</v>
      </c>
      <c r="W11" s="246"/>
      <c r="X11" s="241"/>
      <c r="Y11" s="241"/>
      <c r="Z11" s="241"/>
      <c r="AA11" s="241"/>
      <c r="AB11" s="241"/>
      <c r="AC11" s="241"/>
      <c r="AD11" s="246" t="s">
        <v>320</v>
      </c>
      <c r="AE11" s="246"/>
      <c r="AF11" s="241"/>
      <c r="AG11" s="241"/>
      <c r="AH11" s="246"/>
      <c r="AI11" s="241"/>
      <c r="AJ11" s="241"/>
      <c r="AK11" s="246" t="s">
        <v>320</v>
      </c>
      <c r="AL11" s="241"/>
      <c r="AM11" s="246" t="s">
        <v>320</v>
      </c>
      <c r="AN11" s="246" t="s">
        <v>320</v>
      </c>
      <c r="AO11" s="241" t="s">
        <v>327</v>
      </c>
      <c r="AP11" s="245" t="s">
        <v>325</v>
      </c>
      <c r="AQ11" s="289" t="s">
        <v>561</v>
      </c>
    </row>
    <row r="12" spans="1:43" ht="13" customHeight="1" x14ac:dyDescent="0.35">
      <c r="A12" s="241">
        <v>10525</v>
      </c>
      <c r="B12" s="279">
        <v>42559</v>
      </c>
      <c r="C12" s="243" t="s">
        <v>322</v>
      </c>
      <c r="D12" s="244" t="s">
        <v>382</v>
      </c>
      <c r="E12" s="241"/>
      <c r="F12" s="241" t="s">
        <v>323</v>
      </c>
      <c r="G12" s="248">
        <v>42551</v>
      </c>
      <c r="H12" s="245" t="s">
        <v>324</v>
      </c>
      <c r="I12" s="245" t="s">
        <v>325</v>
      </c>
      <c r="J12" s="245"/>
      <c r="K12" s="241" t="s">
        <v>348</v>
      </c>
      <c r="L12" s="284" t="s">
        <v>391</v>
      </c>
      <c r="M12" s="246">
        <v>79.109090909090895</v>
      </c>
      <c r="N12" s="246">
        <v>25.854545454545455</v>
      </c>
      <c r="O12" s="241"/>
      <c r="P12" s="241"/>
      <c r="Q12" s="246"/>
      <c r="R12" s="241"/>
      <c r="S12" s="244"/>
      <c r="T12" s="241"/>
      <c r="U12" s="246" t="s">
        <v>320</v>
      </c>
      <c r="V12" s="246" t="s">
        <v>320</v>
      </c>
      <c r="W12" s="246"/>
      <c r="X12" s="241"/>
      <c r="Y12" s="241"/>
      <c r="Z12" s="241"/>
      <c r="AA12" s="241"/>
      <c r="AB12" s="241"/>
      <c r="AC12" s="241"/>
      <c r="AD12" s="246" t="s">
        <v>320</v>
      </c>
      <c r="AE12" s="246"/>
      <c r="AF12" s="241"/>
      <c r="AG12" s="241"/>
      <c r="AH12" s="246"/>
      <c r="AI12" s="241"/>
      <c r="AJ12" s="241"/>
      <c r="AK12" s="246" t="s">
        <v>320</v>
      </c>
      <c r="AL12" s="241"/>
      <c r="AM12" s="246" t="s">
        <v>320</v>
      </c>
      <c r="AN12" s="246" t="s">
        <v>320</v>
      </c>
      <c r="AO12" s="241" t="s">
        <v>327</v>
      </c>
      <c r="AP12" s="245" t="s">
        <v>325</v>
      </c>
      <c r="AQ12" s="289" t="s">
        <v>562</v>
      </c>
    </row>
    <row r="13" spans="1:43" ht="13" customHeight="1" x14ac:dyDescent="0.35">
      <c r="A13" s="241">
        <v>10324</v>
      </c>
      <c r="B13" s="279">
        <v>42559</v>
      </c>
      <c r="C13" s="243" t="s">
        <v>322</v>
      </c>
      <c r="D13" s="244" t="s">
        <v>382</v>
      </c>
      <c r="E13" s="241"/>
      <c r="F13" s="241" t="s">
        <v>323</v>
      </c>
      <c r="G13" s="248">
        <v>42551</v>
      </c>
      <c r="H13" s="245" t="s">
        <v>324</v>
      </c>
      <c r="I13" s="245" t="s">
        <v>325</v>
      </c>
      <c r="J13" s="245"/>
      <c r="K13" s="241" t="s">
        <v>406</v>
      </c>
      <c r="L13" s="224" t="s">
        <v>222</v>
      </c>
      <c r="M13" s="246">
        <v>84.05</v>
      </c>
      <c r="N13" s="246">
        <v>25.479999999999997</v>
      </c>
      <c r="O13" s="241"/>
      <c r="P13" s="241"/>
      <c r="Q13" s="246"/>
      <c r="R13" s="241"/>
      <c r="S13" s="244"/>
      <c r="T13" s="241"/>
      <c r="U13" s="246" t="s">
        <v>320</v>
      </c>
      <c r="V13" s="246" t="s">
        <v>320</v>
      </c>
      <c r="W13" s="246"/>
      <c r="X13" s="241"/>
      <c r="Y13" s="241"/>
      <c r="Z13" s="241"/>
      <c r="AA13" s="241"/>
      <c r="AB13" s="241"/>
      <c r="AC13" s="241"/>
      <c r="AD13" s="246" t="s">
        <v>320</v>
      </c>
      <c r="AE13" s="246"/>
      <c r="AF13" s="241"/>
      <c r="AG13" s="241"/>
      <c r="AH13" s="246"/>
      <c r="AI13" s="241"/>
      <c r="AJ13" s="241"/>
      <c r="AK13" s="246" t="s">
        <v>320</v>
      </c>
      <c r="AL13" s="241"/>
      <c r="AM13" s="246" t="s">
        <v>320</v>
      </c>
      <c r="AN13" s="246" t="s">
        <v>320</v>
      </c>
      <c r="AO13" s="241" t="s">
        <v>327</v>
      </c>
      <c r="AP13" s="245" t="s">
        <v>325</v>
      </c>
      <c r="AQ13" t="s">
        <v>407</v>
      </c>
    </row>
    <row r="14" spans="1:43" ht="13" customHeight="1" x14ac:dyDescent="0.35">
      <c r="A14" s="241">
        <v>10679</v>
      </c>
      <c r="B14" s="279">
        <v>42559</v>
      </c>
      <c r="C14" s="243" t="s">
        <v>322</v>
      </c>
      <c r="D14" s="244" t="s">
        <v>382</v>
      </c>
      <c r="E14" s="241"/>
      <c r="F14" s="241" t="s">
        <v>323</v>
      </c>
      <c r="G14" s="248">
        <v>42551</v>
      </c>
      <c r="H14" s="245" t="s">
        <v>324</v>
      </c>
      <c r="I14" s="245" t="s">
        <v>325</v>
      </c>
      <c r="J14" s="245"/>
      <c r="K14" s="241" t="s">
        <v>408</v>
      </c>
      <c r="L14" s="284" t="s">
        <v>391</v>
      </c>
      <c r="M14" s="246">
        <v>95.690909090909088</v>
      </c>
      <c r="N14" s="246">
        <v>23.554545454545451</v>
      </c>
      <c r="O14" s="241"/>
      <c r="P14" s="241"/>
      <c r="Q14" s="246"/>
      <c r="R14" s="241"/>
      <c r="S14" s="244"/>
      <c r="T14" s="241"/>
      <c r="U14" s="246" t="s">
        <v>320</v>
      </c>
      <c r="V14" s="246" t="s">
        <v>320</v>
      </c>
      <c r="W14" s="246"/>
      <c r="X14" s="241"/>
      <c r="Y14" s="241"/>
      <c r="Z14" s="241"/>
      <c r="AA14" s="241"/>
      <c r="AB14" s="241"/>
      <c r="AC14" s="241"/>
      <c r="AD14" s="246" t="s">
        <v>320</v>
      </c>
      <c r="AE14" s="246"/>
      <c r="AF14" s="241"/>
      <c r="AG14" s="241"/>
      <c r="AH14" s="246"/>
      <c r="AI14" s="241"/>
      <c r="AJ14" s="241"/>
      <c r="AK14" s="246" t="s">
        <v>320</v>
      </c>
      <c r="AL14" s="241"/>
      <c r="AM14" s="246" t="s">
        <v>320</v>
      </c>
      <c r="AN14" s="246" t="s">
        <v>320</v>
      </c>
      <c r="AO14" s="241" t="s">
        <v>327</v>
      </c>
      <c r="AP14" s="245" t="s">
        <v>325</v>
      </c>
      <c r="AQ14" s="289" t="s">
        <v>563</v>
      </c>
    </row>
    <row r="15" spans="1:43" ht="13" customHeight="1" x14ac:dyDescent="0.35">
      <c r="A15" s="241">
        <v>1397</v>
      </c>
      <c r="B15" s="279">
        <v>42559</v>
      </c>
      <c r="C15" s="243" t="s">
        <v>322</v>
      </c>
      <c r="D15" s="244" t="s">
        <v>382</v>
      </c>
      <c r="E15" s="241"/>
      <c r="F15" s="241" t="s">
        <v>323</v>
      </c>
      <c r="G15" s="248">
        <v>42551</v>
      </c>
      <c r="H15" s="245" t="s">
        <v>324</v>
      </c>
      <c r="I15" s="245" t="s">
        <v>325</v>
      </c>
      <c r="J15" s="245"/>
      <c r="K15" s="241" t="s">
        <v>410</v>
      </c>
      <c r="L15" s="284" t="s">
        <v>391</v>
      </c>
      <c r="M15" s="246">
        <v>90.1</v>
      </c>
      <c r="N15" s="246">
        <v>24.999999999999996</v>
      </c>
      <c r="O15" s="244"/>
      <c r="P15" s="241"/>
      <c r="Q15" s="246"/>
      <c r="R15" s="241"/>
      <c r="S15" s="244"/>
      <c r="T15" s="241"/>
      <c r="U15" s="246" t="s">
        <v>320</v>
      </c>
      <c r="V15" s="246" t="s">
        <v>320</v>
      </c>
      <c r="W15" s="246"/>
      <c r="X15" s="241"/>
      <c r="Y15" s="241"/>
      <c r="Z15" s="241"/>
      <c r="AA15" s="241"/>
      <c r="AB15" s="241"/>
      <c r="AC15" s="241"/>
      <c r="AD15" s="246" t="s">
        <v>320</v>
      </c>
      <c r="AE15" s="246"/>
      <c r="AF15" s="241"/>
      <c r="AG15" s="241"/>
      <c r="AH15" s="246"/>
      <c r="AI15" s="241"/>
      <c r="AJ15" s="241"/>
      <c r="AK15" s="246" t="s">
        <v>320</v>
      </c>
      <c r="AL15" s="241"/>
      <c r="AM15" s="246" t="s">
        <v>320</v>
      </c>
      <c r="AN15" s="246" t="s">
        <v>320</v>
      </c>
      <c r="AO15" s="241" t="s">
        <v>327</v>
      </c>
      <c r="AP15" s="245" t="s">
        <v>325</v>
      </c>
      <c r="AQ15" s="289" t="s">
        <v>564</v>
      </c>
    </row>
    <row r="16" spans="1:43" ht="13" customHeight="1" x14ac:dyDescent="0.35">
      <c r="A16" s="241">
        <v>3601</v>
      </c>
      <c r="B16" s="279">
        <v>42559</v>
      </c>
      <c r="C16" s="243" t="s">
        <v>322</v>
      </c>
      <c r="D16" s="244" t="s">
        <v>382</v>
      </c>
      <c r="E16" s="241"/>
      <c r="F16" s="241" t="s">
        <v>323</v>
      </c>
      <c r="G16" s="248">
        <v>42551</v>
      </c>
      <c r="H16" s="245" t="s">
        <v>324</v>
      </c>
      <c r="I16" s="245" t="s">
        <v>325</v>
      </c>
      <c r="J16" s="245"/>
      <c r="K16" s="241" t="s">
        <v>412</v>
      </c>
      <c r="L16" s="284" t="s">
        <v>391</v>
      </c>
      <c r="M16" s="246">
        <v>80.063636363636348</v>
      </c>
      <c r="N16" s="246">
        <v>25.781818181818178</v>
      </c>
      <c r="O16" s="241"/>
      <c r="P16" s="241"/>
      <c r="Q16" s="246"/>
      <c r="R16" s="241"/>
      <c r="S16" s="244"/>
      <c r="T16" s="241"/>
      <c r="U16" s="246" t="s">
        <v>320</v>
      </c>
      <c r="V16" s="246" t="s">
        <v>320</v>
      </c>
      <c r="W16" s="246"/>
      <c r="X16" s="241"/>
      <c r="Y16" s="241"/>
      <c r="Z16" s="241"/>
      <c r="AA16" s="241"/>
      <c r="AB16" s="241"/>
      <c r="AC16" s="241"/>
      <c r="AD16" s="246" t="s">
        <v>320</v>
      </c>
      <c r="AE16" s="246"/>
      <c r="AF16" s="241"/>
      <c r="AG16" s="241"/>
      <c r="AH16" s="246"/>
      <c r="AI16" s="241"/>
      <c r="AJ16" s="241"/>
      <c r="AK16" s="246" t="s">
        <v>320</v>
      </c>
      <c r="AL16" s="241"/>
      <c r="AM16" s="246" t="s">
        <v>320</v>
      </c>
      <c r="AN16" s="246" t="s">
        <v>320</v>
      </c>
      <c r="AO16" s="241" t="s">
        <v>327</v>
      </c>
      <c r="AP16" s="245" t="s">
        <v>325</v>
      </c>
      <c r="AQ16" s="289" t="s">
        <v>565</v>
      </c>
    </row>
    <row r="17" spans="1:43" ht="13" customHeight="1" x14ac:dyDescent="0.35">
      <c r="A17" s="241">
        <v>10374</v>
      </c>
      <c r="B17" s="279">
        <v>42559</v>
      </c>
      <c r="C17" s="243" t="s">
        <v>322</v>
      </c>
      <c r="D17" s="244" t="s">
        <v>382</v>
      </c>
      <c r="E17" s="241"/>
      <c r="F17" s="241" t="s">
        <v>323</v>
      </c>
      <c r="G17" s="248">
        <v>42551</v>
      </c>
      <c r="H17" s="245" t="s">
        <v>310</v>
      </c>
      <c r="I17" s="245" t="s">
        <v>309</v>
      </c>
      <c r="J17" s="245"/>
      <c r="K17" s="241" t="s">
        <v>239</v>
      </c>
      <c r="L17" s="284" t="s">
        <v>391</v>
      </c>
      <c r="M17" s="246">
        <v>99.999999999999986</v>
      </c>
      <c r="N17" s="246">
        <v>24.254545454545454</v>
      </c>
      <c r="O17" s="241" t="s">
        <v>351</v>
      </c>
      <c r="P17" s="241">
        <v>1350</v>
      </c>
      <c r="Q17" s="246">
        <v>27.9</v>
      </c>
      <c r="R17" s="275">
        <v>1350</v>
      </c>
      <c r="S17" s="246">
        <v>27.9</v>
      </c>
      <c r="T17" s="241"/>
      <c r="U17" s="246" t="s">
        <v>320</v>
      </c>
      <c r="V17" s="246" t="s">
        <v>320</v>
      </c>
      <c r="W17" s="246"/>
      <c r="X17" s="241"/>
      <c r="Y17" s="241"/>
      <c r="Z17" s="241"/>
      <c r="AA17" s="241"/>
      <c r="AB17" s="241"/>
      <c r="AC17" s="241"/>
      <c r="AD17" s="246" t="s">
        <v>320</v>
      </c>
      <c r="AE17" s="246"/>
      <c r="AF17" s="241"/>
      <c r="AG17" s="241"/>
      <c r="AH17" s="246"/>
      <c r="AI17" s="241"/>
      <c r="AJ17" s="241"/>
      <c r="AK17" s="246" t="s">
        <v>320</v>
      </c>
      <c r="AL17" s="241"/>
      <c r="AM17" s="246" t="s">
        <v>320</v>
      </c>
      <c r="AN17" s="246" t="s">
        <v>320</v>
      </c>
      <c r="AO17" s="241" t="s">
        <v>327</v>
      </c>
      <c r="AP17" s="245" t="s">
        <v>325</v>
      </c>
      <c r="AQ17" s="289" t="s">
        <v>566</v>
      </c>
    </row>
    <row r="18" spans="1:43" ht="13" customHeight="1" x14ac:dyDescent="0.35">
      <c r="A18" s="241">
        <v>9678</v>
      </c>
      <c r="B18" s="279">
        <v>42559</v>
      </c>
      <c r="C18" s="243" t="s">
        <v>322</v>
      </c>
      <c r="D18" s="244" t="s">
        <v>382</v>
      </c>
      <c r="E18" s="241"/>
      <c r="F18" s="241" t="s">
        <v>323</v>
      </c>
      <c r="G18" s="248">
        <v>42551</v>
      </c>
      <c r="H18" s="245" t="s">
        <v>310</v>
      </c>
      <c r="I18" s="245" t="s">
        <v>309</v>
      </c>
      <c r="J18" s="245"/>
      <c r="K18" s="241" t="s">
        <v>307</v>
      </c>
      <c r="L18" s="224" t="s">
        <v>387</v>
      </c>
      <c r="M18" s="246">
        <v>90.499999999999986</v>
      </c>
      <c r="N18" s="246">
        <v>24.999999999999996</v>
      </c>
      <c r="O18" s="241"/>
      <c r="P18" s="241"/>
      <c r="Q18" s="246"/>
      <c r="R18" s="241"/>
      <c r="S18" s="244"/>
      <c r="T18" s="241"/>
      <c r="U18" s="246" t="s">
        <v>320</v>
      </c>
      <c r="V18" s="246" t="s">
        <v>320</v>
      </c>
      <c r="W18" s="246"/>
      <c r="X18" s="241"/>
      <c r="Y18" s="241"/>
      <c r="Z18" s="241"/>
      <c r="AA18" s="241"/>
      <c r="AB18" s="241"/>
      <c r="AC18" s="241"/>
      <c r="AD18" s="246" t="s">
        <v>320</v>
      </c>
      <c r="AE18" s="246"/>
      <c r="AF18" s="241"/>
      <c r="AG18" s="241"/>
      <c r="AH18" s="246"/>
      <c r="AI18" s="241"/>
      <c r="AJ18" s="241"/>
      <c r="AK18" s="246" t="s">
        <v>320</v>
      </c>
      <c r="AL18" s="241"/>
      <c r="AM18" s="246" t="s">
        <v>320</v>
      </c>
      <c r="AN18" s="246" t="s">
        <v>320</v>
      </c>
      <c r="AO18" s="241" t="s">
        <v>327</v>
      </c>
      <c r="AP18" s="245" t="s">
        <v>325</v>
      </c>
      <c r="AQ18" s="289" t="s">
        <v>567</v>
      </c>
    </row>
    <row r="19" spans="1:43" ht="13" customHeight="1" x14ac:dyDescent="0.35">
      <c r="A19" s="241">
        <v>9904</v>
      </c>
      <c r="B19" s="279">
        <v>42559</v>
      </c>
      <c r="C19" s="243" t="s">
        <v>322</v>
      </c>
      <c r="D19" s="244" t="s">
        <v>382</v>
      </c>
      <c r="E19" s="241"/>
      <c r="F19" s="241" t="s">
        <v>323</v>
      </c>
      <c r="G19" s="248">
        <v>42551</v>
      </c>
      <c r="H19" s="245" t="s">
        <v>309</v>
      </c>
      <c r="I19" s="245" t="s">
        <v>355</v>
      </c>
      <c r="J19" s="245"/>
      <c r="K19" s="244" t="s">
        <v>354</v>
      </c>
      <c r="L19" s="224" t="s">
        <v>222</v>
      </c>
      <c r="M19" s="246">
        <v>114.89090909090908</v>
      </c>
      <c r="N19" s="246">
        <v>23</v>
      </c>
      <c r="O19" s="241"/>
      <c r="P19" s="241"/>
      <c r="Q19" s="246"/>
      <c r="R19" s="241"/>
      <c r="S19" s="244"/>
      <c r="T19" s="241"/>
      <c r="U19" s="246" t="s">
        <v>320</v>
      </c>
      <c r="V19" s="246" t="s">
        <v>320</v>
      </c>
      <c r="W19" s="246"/>
      <c r="X19" s="241"/>
      <c r="Y19" s="241"/>
      <c r="Z19" s="241"/>
      <c r="AA19" s="241"/>
      <c r="AB19" s="241"/>
      <c r="AC19" s="241"/>
      <c r="AD19" s="246" t="s">
        <v>320</v>
      </c>
      <c r="AE19" s="246"/>
      <c r="AF19" s="241"/>
      <c r="AG19" s="241"/>
      <c r="AH19" s="246"/>
      <c r="AI19" s="241"/>
      <c r="AJ19" s="241"/>
      <c r="AK19" s="246" t="s">
        <v>320</v>
      </c>
      <c r="AL19" s="241"/>
      <c r="AM19" s="246" t="s">
        <v>320</v>
      </c>
      <c r="AN19" s="246" t="s">
        <v>320</v>
      </c>
      <c r="AO19" s="241" t="s">
        <v>327</v>
      </c>
      <c r="AP19" s="245" t="s">
        <v>325</v>
      </c>
      <c r="AQ19" s="289" t="s">
        <v>568</v>
      </c>
    </row>
    <row r="20" spans="1:43" ht="13" customHeight="1" x14ac:dyDescent="0.35">
      <c r="A20" s="241"/>
      <c r="B20" s="279">
        <v>42559</v>
      </c>
      <c r="C20" s="243" t="s">
        <v>322</v>
      </c>
      <c r="D20" s="244" t="s">
        <v>382</v>
      </c>
      <c r="E20" s="241"/>
      <c r="F20" s="241" t="s">
        <v>323</v>
      </c>
      <c r="G20" s="248">
        <v>42551</v>
      </c>
      <c r="H20" s="249" t="s">
        <v>309</v>
      </c>
      <c r="I20" s="249" t="s">
        <v>355</v>
      </c>
      <c r="J20" s="245"/>
      <c r="K20" s="244" t="s">
        <v>388</v>
      </c>
      <c r="L20" s="284" t="s">
        <v>391</v>
      </c>
      <c r="M20" s="246">
        <v>94.999999999999986</v>
      </c>
      <c r="N20" s="246">
        <v>24.599999999999998</v>
      </c>
      <c r="O20" s="241"/>
      <c r="P20" s="241"/>
      <c r="Q20" s="246"/>
      <c r="R20" s="241"/>
      <c r="S20" s="244"/>
      <c r="T20" s="241"/>
      <c r="U20" s="246" t="s">
        <v>320</v>
      </c>
      <c r="V20" s="246" t="s">
        <v>320</v>
      </c>
      <c r="W20" s="246"/>
      <c r="X20" s="241"/>
      <c r="Y20" s="241"/>
      <c r="Z20" s="241"/>
      <c r="AA20" s="241"/>
      <c r="AB20" s="241"/>
      <c r="AC20" s="241"/>
      <c r="AD20" s="246" t="s">
        <v>320</v>
      </c>
      <c r="AE20" s="246"/>
      <c r="AF20" s="241"/>
      <c r="AG20" s="241"/>
      <c r="AH20" s="246"/>
      <c r="AI20" s="241"/>
      <c r="AJ20" s="241"/>
      <c r="AK20" s="246" t="s">
        <v>320</v>
      </c>
      <c r="AL20" s="241"/>
      <c r="AM20" s="246" t="s">
        <v>320</v>
      </c>
      <c r="AN20" s="246" t="s">
        <v>320</v>
      </c>
      <c r="AO20" s="241" t="s">
        <v>327</v>
      </c>
      <c r="AP20" s="245" t="s">
        <v>325</v>
      </c>
      <c r="AQ20" s="289" t="s">
        <v>569</v>
      </c>
    </row>
    <row r="21" spans="1:43" ht="13" customHeight="1" x14ac:dyDescent="0.35">
      <c r="A21" s="241"/>
      <c r="B21" s="279">
        <v>42559</v>
      </c>
      <c r="C21" s="243" t="s">
        <v>322</v>
      </c>
      <c r="D21" s="244" t="s">
        <v>382</v>
      </c>
      <c r="E21" s="241"/>
      <c r="F21" s="241" t="s">
        <v>323</v>
      </c>
      <c r="G21" s="248">
        <v>42551</v>
      </c>
      <c r="H21" s="249" t="s">
        <v>310</v>
      </c>
      <c r="I21" s="249" t="s">
        <v>309</v>
      </c>
      <c r="J21" s="245"/>
      <c r="K21" s="244" t="s">
        <v>420</v>
      </c>
      <c r="L21" s="284" t="s">
        <v>391</v>
      </c>
      <c r="M21" s="246">
        <v>78.499999999999986</v>
      </c>
      <c r="N21" s="246">
        <v>25.890909090909091</v>
      </c>
      <c r="O21" s="241"/>
      <c r="P21" s="241"/>
      <c r="Q21" s="246"/>
      <c r="R21" s="241"/>
      <c r="S21" s="244"/>
      <c r="T21" s="241"/>
      <c r="U21" s="246" t="s">
        <v>320</v>
      </c>
      <c r="V21" s="246" t="s">
        <v>320</v>
      </c>
      <c r="W21" s="246"/>
      <c r="X21" s="241"/>
      <c r="Y21" s="241"/>
      <c r="Z21" s="241"/>
      <c r="AA21" s="241"/>
      <c r="AB21" s="241"/>
      <c r="AC21" s="241"/>
      <c r="AD21" s="246" t="s">
        <v>320</v>
      </c>
      <c r="AE21" s="246"/>
      <c r="AF21" s="241"/>
      <c r="AG21" s="241"/>
      <c r="AH21" s="246"/>
      <c r="AI21" s="241"/>
      <c r="AJ21" s="241"/>
      <c r="AK21" s="246" t="s">
        <v>320</v>
      </c>
      <c r="AL21" s="241"/>
      <c r="AM21" s="246" t="s">
        <v>320</v>
      </c>
      <c r="AN21" s="246" t="s">
        <v>320</v>
      </c>
      <c r="AO21" s="241" t="s">
        <v>327</v>
      </c>
      <c r="AP21" s="245" t="s">
        <v>325</v>
      </c>
      <c r="AQ21" s="289" t="s">
        <v>570</v>
      </c>
    </row>
    <row r="22" spans="1:43" ht="13" customHeight="1" x14ac:dyDescent="0.35">
      <c r="A22" s="241"/>
      <c r="B22" s="279">
        <v>42559</v>
      </c>
      <c r="C22" s="243" t="s">
        <v>322</v>
      </c>
      <c r="D22" s="244" t="s">
        <v>382</v>
      </c>
      <c r="E22" s="241"/>
      <c r="F22" s="241" t="s">
        <v>323</v>
      </c>
      <c r="G22" s="248">
        <v>42494</v>
      </c>
      <c r="H22" s="249" t="s">
        <v>310</v>
      </c>
      <c r="I22" s="249" t="s">
        <v>309</v>
      </c>
      <c r="J22" s="245"/>
      <c r="K22" s="244" t="s">
        <v>422</v>
      </c>
      <c r="L22" s="284" t="s">
        <v>391</v>
      </c>
      <c r="M22" s="246">
        <v>83.199999999999989</v>
      </c>
      <c r="N22" s="246">
        <v>25.709090909090907</v>
      </c>
      <c r="O22" s="241"/>
      <c r="P22" s="241"/>
      <c r="Q22" s="246"/>
      <c r="R22" s="241"/>
      <c r="S22" s="244"/>
      <c r="T22" s="241"/>
      <c r="U22" s="246" t="s">
        <v>320</v>
      </c>
      <c r="V22" s="246" t="s">
        <v>320</v>
      </c>
      <c r="W22" s="246"/>
      <c r="X22" s="241"/>
      <c r="Y22" s="241"/>
      <c r="Z22" s="241"/>
      <c r="AA22" s="241"/>
      <c r="AB22" s="241"/>
      <c r="AC22" s="241"/>
      <c r="AD22" s="246" t="s">
        <v>320</v>
      </c>
      <c r="AE22" s="246"/>
      <c r="AF22" s="241"/>
      <c r="AG22" s="241"/>
      <c r="AH22" s="246"/>
      <c r="AI22" s="241"/>
      <c r="AJ22" s="241"/>
      <c r="AK22" s="246" t="s">
        <v>320</v>
      </c>
      <c r="AL22" s="241"/>
      <c r="AM22" s="246" t="s">
        <v>320</v>
      </c>
      <c r="AN22" s="246" t="s">
        <v>320</v>
      </c>
      <c r="AO22" s="241" t="s">
        <v>327</v>
      </c>
      <c r="AP22" s="245" t="s">
        <v>325</v>
      </c>
      <c r="AQ22" s="289" t="s">
        <v>571</v>
      </c>
    </row>
    <row r="23" spans="1:43" ht="13" customHeight="1" x14ac:dyDescent="0.35">
      <c r="A23" s="241"/>
      <c r="B23" s="279">
        <v>42559</v>
      </c>
      <c r="C23" s="243" t="s">
        <v>322</v>
      </c>
      <c r="D23" s="244" t="s">
        <v>382</v>
      </c>
      <c r="E23" s="241"/>
      <c r="F23" s="241" t="s">
        <v>323</v>
      </c>
      <c r="G23" s="248">
        <v>42551</v>
      </c>
      <c r="H23" s="249" t="s">
        <v>309</v>
      </c>
      <c r="I23" s="249" t="s">
        <v>355</v>
      </c>
      <c r="J23" s="245"/>
      <c r="K23" s="244" t="s">
        <v>424</v>
      </c>
      <c r="L23" s="284" t="s">
        <v>391</v>
      </c>
      <c r="M23" s="246">
        <v>79.699999999999989</v>
      </c>
      <c r="N23" s="246">
        <v>25.799999999999997</v>
      </c>
      <c r="O23" s="241"/>
      <c r="P23" s="241"/>
      <c r="Q23" s="246"/>
      <c r="R23" s="241"/>
      <c r="S23" s="244"/>
      <c r="T23" s="241"/>
      <c r="U23" s="246" t="s">
        <v>320</v>
      </c>
      <c r="V23" s="246" t="s">
        <v>320</v>
      </c>
      <c r="W23" s="246"/>
      <c r="X23" s="241"/>
      <c r="Y23" s="241"/>
      <c r="Z23" s="241"/>
      <c r="AA23" s="241"/>
      <c r="AB23" s="241"/>
      <c r="AC23" s="241"/>
      <c r="AD23" s="246" t="s">
        <v>320</v>
      </c>
      <c r="AE23" s="246"/>
      <c r="AF23" s="241"/>
      <c r="AG23" s="241"/>
      <c r="AH23" s="246"/>
      <c r="AI23" s="241"/>
      <c r="AJ23" s="241"/>
      <c r="AK23" s="246" t="s">
        <v>320</v>
      </c>
      <c r="AL23" s="241"/>
      <c r="AM23" s="246" t="s">
        <v>320</v>
      </c>
      <c r="AN23" s="246" t="s">
        <v>320</v>
      </c>
      <c r="AO23" s="241" t="s">
        <v>327</v>
      </c>
      <c r="AP23" s="245" t="s">
        <v>325</v>
      </c>
      <c r="AQ23" s="289" t="s">
        <v>572</v>
      </c>
    </row>
    <row r="24" spans="1:43" ht="13" customHeight="1" x14ac:dyDescent="0.35">
      <c r="A24" s="241"/>
      <c r="B24" s="279">
        <v>42559</v>
      </c>
      <c r="C24" s="243" t="s">
        <v>322</v>
      </c>
      <c r="D24" s="244" t="s">
        <v>382</v>
      </c>
      <c r="E24" s="241"/>
      <c r="F24" s="241" t="s">
        <v>323</v>
      </c>
      <c r="G24" s="248">
        <v>42551</v>
      </c>
      <c r="H24" s="249" t="s">
        <v>309</v>
      </c>
      <c r="I24" s="249" t="s">
        <v>355</v>
      </c>
      <c r="J24" s="245"/>
      <c r="K24" s="244" t="s">
        <v>426</v>
      </c>
      <c r="L24" s="284" t="s">
        <v>391</v>
      </c>
      <c r="M24" s="246">
        <v>96.436363636363623</v>
      </c>
      <c r="N24" s="246">
        <v>24.563636363636363</v>
      </c>
      <c r="O24" s="241"/>
      <c r="P24" s="241"/>
      <c r="Q24" s="246"/>
      <c r="R24" s="241"/>
      <c r="S24" s="244"/>
      <c r="T24" s="241"/>
      <c r="U24" s="246" t="s">
        <v>320</v>
      </c>
      <c r="V24" s="246" t="s">
        <v>320</v>
      </c>
      <c r="W24" s="246"/>
      <c r="X24" s="241"/>
      <c r="Y24" s="241"/>
      <c r="Z24" s="241"/>
      <c r="AA24" s="241"/>
      <c r="AB24" s="241"/>
      <c r="AC24" s="241"/>
      <c r="AD24" s="246" t="s">
        <v>320</v>
      </c>
      <c r="AE24" s="246"/>
      <c r="AF24" s="241"/>
      <c r="AG24" s="241"/>
      <c r="AH24" s="246"/>
      <c r="AI24" s="241"/>
      <c r="AJ24" s="241"/>
      <c r="AK24" s="246" t="s">
        <v>320</v>
      </c>
      <c r="AL24" s="241"/>
      <c r="AM24" s="246" t="s">
        <v>320</v>
      </c>
      <c r="AN24" s="246" t="s">
        <v>320</v>
      </c>
      <c r="AO24" s="241" t="s">
        <v>327</v>
      </c>
      <c r="AP24" s="245" t="s">
        <v>325</v>
      </c>
      <c r="AQ24" s="289" t="s">
        <v>573</v>
      </c>
    </row>
    <row r="25" spans="1:43" ht="13" customHeight="1" x14ac:dyDescent="0.35">
      <c r="A25" s="241"/>
      <c r="B25" s="279">
        <v>42559</v>
      </c>
      <c r="C25" s="243" t="s">
        <v>322</v>
      </c>
      <c r="D25" s="244" t="s">
        <v>382</v>
      </c>
      <c r="E25" s="241"/>
      <c r="F25" s="241" t="s">
        <v>323</v>
      </c>
      <c r="G25" s="248">
        <v>42551</v>
      </c>
      <c r="H25" s="249" t="s">
        <v>310</v>
      </c>
      <c r="I25" s="249" t="s">
        <v>309</v>
      </c>
      <c r="J25" s="245"/>
      <c r="K25" s="244" t="s">
        <v>428</v>
      </c>
      <c r="L25" s="284" t="s">
        <v>391</v>
      </c>
      <c r="M25" s="246">
        <v>86.24545454545455</v>
      </c>
      <c r="N25" s="246">
        <v>21.018181818181816</v>
      </c>
      <c r="O25" s="241"/>
      <c r="P25" s="241"/>
      <c r="Q25" s="246"/>
      <c r="R25" s="241"/>
      <c r="S25" s="244"/>
      <c r="T25" s="241"/>
      <c r="U25" s="246" t="s">
        <v>320</v>
      </c>
      <c r="V25" s="246" t="s">
        <v>320</v>
      </c>
      <c r="W25" s="246"/>
      <c r="X25" s="241"/>
      <c r="Y25" s="241"/>
      <c r="Z25" s="241"/>
      <c r="AA25" s="241"/>
      <c r="AB25" s="241"/>
      <c r="AC25" s="241"/>
      <c r="AD25" s="246" t="s">
        <v>320</v>
      </c>
      <c r="AE25" s="246"/>
      <c r="AF25" s="241"/>
      <c r="AG25" s="241"/>
      <c r="AH25" s="246"/>
      <c r="AI25" s="241"/>
      <c r="AJ25" s="241"/>
      <c r="AK25" s="246" t="s">
        <v>320</v>
      </c>
      <c r="AL25" s="241"/>
      <c r="AM25" s="246" t="s">
        <v>320</v>
      </c>
      <c r="AN25" s="246" t="s">
        <v>320</v>
      </c>
      <c r="AO25" s="241" t="s">
        <v>327</v>
      </c>
      <c r="AP25" s="245" t="s">
        <v>325</v>
      </c>
      <c r="AQ25" s="289" t="s">
        <v>574</v>
      </c>
    </row>
    <row r="26" spans="1:43" ht="13" customHeight="1" x14ac:dyDescent="0.35">
      <c r="A26" s="241"/>
      <c r="B26" s="279">
        <v>42559</v>
      </c>
      <c r="C26" s="243" t="s">
        <v>322</v>
      </c>
      <c r="D26" s="244" t="s">
        <v>382</v>
      </c>
      <c r="E26" s="241"/>
      <c r="F26" s="241" t="s">
        <v>323</v>
      </c>
      <c r="G26" s="248">
        <v>42551</v>
      </c>
      <c r="H26" s="249" t="s">
        <v>309</v>
      </c>
      <c r="I26" s="249" t="s">
        <v>355</v>
      </c>
      <c r="J26" s="245"/>
      <c r="K26" s="244" t="s">
        <v>430</v>
      </c>
      <c r="L26" s="284" t="s">
        <v>391</v>
      </c>
      <c r="M26" s="246">
        <v>84.1</v>
      </c>
      <c r="N26" s="246">
        <v>23.009090909090904</v>
      </c>
      <c r="O26" s="241"/>
      <c r="P26" s="241"/>
      <c r="Q26" s="246"/>
      <c r="R26" s="241"/>
      <c r="S26" s="244"/>
      <c r="T26" s="241"/>
      <c r="U26" s="246" t="s">
        <v>320</v>
      </c>
      <c r="V26" s="246" t="s">
        <v>320</v>
      </c>
      <c r="W26" s="246"/>
      <c r="X26" s="241"/>
      <c r="Y26" s="241"/>
      <c r="Z26" s="241"/>
      <c r="AA26" s="241"/>
      <c r="AB26" s="241"/>
      <c r="AC26" s="241"/>
      <c r="AD26" s="246" t="s">
        <v>320</v>
      </c>
      <c r="AE26" s="246"/>
      <c r="AF26" s="241"/>
      <c r="AG26" s="241"/>
      <c r="AH26" s="246"/>
      <c r="AI26" s="241"/>
      <c r="AJ26" s="241"/>
      <c r="AK26" s="246" t="s">
        <v>320</v>
      </c>
      <c r="AL26" s="241"/>
      <c r="AM26" s="246" t="s">
        <v>320</v>
      </c>
      <c r="AN26" s="246" t="s">
        <v>320</v>
      </c>
      <c r="AO26" s="241" t="s">
        <v>327</v>
      </c>
      <c r="AP26" s="245" t="s">
        <v>325</v>
      </c>
      <c r="AQ26" s="289" t="s">
        <v>575</v>
      </c>
    </row>
    <row r="27" spans="1:43" ht="13" customHeight="1" x14ac:dyDescent="0.35">
      <c r="A27" s="241"/>
      <c r="B27" s="279">
        <v>42559</v>
      </c>
      <c r="C27" s="243" t="s">
        <v>322</v>
      </c>
      <c r="D27" s="244" t="s">
        <v>382</v>
      </c>
      <c r="E27" s="241"/>
      <c r="F27" s="241" t="s">
        <v>323</v>
      </c>
      <c r="G27" s="248">
        <v>42551</v>
      </c>
      <c r="H27" s="249" t="s">
        <v>310</v>
      </c>
      <c r="I27" s="249" t="s">
        <v>309</v>
      </c>
      <c r="J27" s="245"/>
      <c r="K27" s="244" t="s">
        <v>501</v>
      </c>
      <c r="L27" s="284" t="s">
        <v>391</v>
      </c>
      <c r="M27" s="246">
        <v>109.99999999999999</v>
      </c>
      <c r="N27" s="246">
        <v>23.5</v>
      </c>
      <c r="O27" s="241"/>
      <c r="P27" s="241"/>
      <c r="Q27" s="246"/>
      <c r="R27" s="241"/>
      <c r="S27" s="244"/>
      <c r="T27" s="241"/>
      <c r="U27" s="246" t="s">
        <v>320</v>
      </c>
      <c r="V27" s="246" t="s">
        <v>320</v>
      </c>
      <c r="W27" s="246"/>
      <c r="X27" s="241"/>
      <c r="Y27" s="241"/>
      <c r="Z27" s="241"/>
      <c r="AA27" s="241"/>
      <c r="AB27" s="241"/>
      <c r="AC27" s="241"/>
      <c r="AD27" s="246" t="s">
        <v>320</v>
      </c>
      <c r="AE27" s="246"/>
      <c r="AF27" s="241"/>
      <c r="AG27" s="241"/>
      <c r="AH27" s="246"/>
      <c r="AI27" s="241"/>
      <c r="AJ27" s="241"/>
      <c r="AK27" s="246" t="s">
        <v>320</v>
      </c>
      <c r="AL27" s="241"/>
      <c r="AM27" s="246" t="s">
        <v>320</v>
      </c>
      <c r="AN27" s="246" t="s">
        <v>320</v>
      </c>
      <c r="AO27" s="241" t="s">
        <v>327</v>
      </c>
      <c r="AP27" s="245" t="s">
        <v>325</v>
      </c>
      <c r="AQ27" s="289" t="s">
        <v>576</v>
      </c>
    </row>
    <row r="28" spans="1:43" ht="13" customHeight="1" x14ac:dyDescent="0.35">
      <c r="A28" s="241"/>
      <c r="B28" s="279">
        <v>42559</v>
      </c>
      <c r="C28" s="243" t="s">
        <v>322</v>
      </c>
      <c r="D28" s="244" t="s">
        <v>382</v>
      </c>
      <c r="E28" s="241"/>
      <c r="F28" s="241" t="s">
        <v>323</v>
      </c>
      <c r="G28" s="248">
        <v>42551</v>
      </c>
      <c r="H28" s="249" t="s">
        <v>310</v>
      </c>
      <c r="I28" s="249" t="s">
        <v>309</v>
      </c>
      <c r="J28" s="245"/>
      <c r="K28" s="244" t="s">
        <v>503</v>
      </c>
      <c r="L28" s="284" t="s">
        <v>391</v>
      </c>
      <c r="M28" s="246">
        <v>95.899999999999991</v>
      </c>
      <c r="N28" s="246">
        <v>24.599999999999998</v>
      </c>
      <c r="O28" s="241"/>
      <c r="P28" s="241"/>
      <c r="Q28" s="246"/>
      <c r="R28" s="241"/>
      <c r="S28" s="244"/>
      <c r="T28" s="241"/>
      <c r="U28" s="246" t="s">
        <v>320</v>
      </c>
      <c r="V28" s="246" t="s">
        <v>320</v>
      </c>
      <c r="W28" s="246"/>
      <c r="X28" s="241"/>
      <c r="Y28" s="241"/>
      <c r="Z28" s="241"/>
      <c r="AA28" s="241"/>
      <c r="AB28" s="241"/>
      <c r="AC28" s="241"/>
      <c r="AD28" s="246" t="s">
        <v>320</v>
      </c>
      <c r="AE28" s="246"/>
      <c r="AF28" s="241"/>
      <c r="AG28" s="241"/>
      <c r="AH28" s="246"/>
      <c r="AI28" s="241"/>
      <c r="AJ28" s="241"/>
      <c r="AK28" s="246" t="s">
        <v>320</v>
      </c>
      <c r="AL28" s="241"/>
      <c r="AM28" s="246" t="s">
        <v>320</v>
      </c>
      <c r="AN28" s="246" t="s">
        <v>320</v>
      </c>
      <c r="AO28" s="241" t="s">
        <v>327</v>
      </c>
      <c r="AP28" s="245" t="s">
        <v>325</v>
      </c>
      <c r="AQ28" s="289" t="s">
        <v>577</v>
      </c>
    </row>
    <row r="29" spans="1:43" ht="13" customHeight="1" x14ac:dyDescent="0.35">
      <c r="A29" s="241">
        <v>10417</v>
      </c>
      <c r="B29" s="279">
        <v>42559</v>
      </c>
      <c r="C29" s="243" t="s">
        <v>322</v>
      </c>
      <c r="D29" s="244" t="s">
        <v>382</v>
      </c>
      <c r="E29" s="241"/>
      <c r="F29" s="241" t="s">
        <v>360</v>
      </c>
      <c r="G29" s="247">
        <v>42551</v>
      </c>
      <c r="H29" s="245" t="s">
        <v>324</v>
      </c>
      <c r="I29" s="245" t="s">
        <v>325</v>
      </c>
      <c r="J29" s="245"/>
      <c r="K29" s="241" t="s">
        <v>326</v>
      </c>
      <c r="L29" s="284" t="s">
        <v>391</v>
      </c>
      <c r="M29" s="246">
        <v>90.054545454545433</v>
      </c>
      <c r="N29" s="246">
        <v>25.481818181818181</v>
      </c>
      <c r="O29" s="241"/>
      <c r="P29" s="241"/>
      <c r="Q29" s="246"/>
      <c r="R29" s="241"/>
      <c r="S29" s="244"/>
      <c r="T29" s="241"/>
      <c r="U29" s="246" t="s">
        <v>320</v>
      </c>
      <c r="V29" s="246" t="s">
        <v>320</v>
      </c>
      <c r="W29" s="246"/>
      <c r="X29" s="241"/>
      <c r="Y29" s="241"/>
      <c r="Z29" s="241"/>
      <c r="AA29" s="241"/>
      <c r="AB29" s="241"/>
      <c r="AC29" s="241"/>
      <c r="AD29" s="246" t="s">
        <v>320</v>
      </c>
      <c r="AE29" s="246">
        <v>11.399999999999999</v>
      </c>
      <c r="AF29" s="241"/>
      <c r="AG29" s="241"/>
      <c r="AH29" s="246"/>
      <c r="AI29" s="241"/>
      <c r="AJ29" s="241"/>
      <c r="AK29" s="246" t="s">
        <v>320</v>
      </c>
      <c r="AL29" s="241"/>
      <c r="AM29" s="246" t="s">
        <v>320</v>
      </c>
      <c r="AN29" s="246" t="s">
        <v>320</v>
      </c>
      <c r="AO29" s="241" t="s">
        <v>361</v>
      </c>
      <c r="AP29" s="245" t="s">
        <v>325</v>
      </c>
      <c r="AQ29" s="289" t="s">
        <v>578</v>
      </c>
    </row>
    <row r="30" spans="1:43" ht="13" customHeight="1" x14ac:dyDescent="0.35">
      <c r="A30" s="241">
        <v>10502</v>
      </c>
      <c r="B30" s="279">
        <v>42559</v>
      </c>
      <c r="C30" s="243" t="s">
        <v>322</v>
      </c>
      <c r="D30" s="244" t="s">
        <v>382</v>
      </c>
      <c r="E30" s="241"/>
      <c r="F30" s="241" t="s">
        <v>360</v>
      </c>
      <c r="G30" s="247">
        <v>42551</v>
      </c>
      <c r="H30" s="245" t="s">
        <v>324</v>
      </c>
      <c r="I30" s="245" t="s">
        <v>325</v>
      </c>
      <c r="J30" s="245"/>
      <c r="K30" s="241" t="s">
        <v>328</v>
      </c>
      <c r="L30" s="284" t="s">
        <v>391</v>
      </c>
      <c r="M30" s="246">
        <v>86.98</v>
      </c>
      <c r="N30" s="246">
        <v>25.72</v>
      </c>
      <c r="O30" s="241"/>
      <c r="P30" s="241"/>
      <c r="Q30" s="246"/>
      <c r="R30" s="241"/>
      <c r="S30" s="244"/>
      <c r="T30" s="241"/>
      <c r="U30" s="246" t="s">
        <v>320</v>
      </c>
      <c r="V30" s="246" t="s">
        <v>320</v>
      </c>
      <c r="W30" s="246"/>
      <c r="X30" s="241"/>
      <c r="Y30" s="241"/>
      <c r="Z30" s="241"/>
      <c r="AA30" s="241"/>
      <c r="AB30" s="241"/>
      <c r="AC30" s="241"/>
      <c r="AD30" s="246" t="s">
        <v>320</v>
      </c>
      <c r="AE30" s="246">
        <v>10.649999999999999</v>
      </c>
      <c r="AF30" s="241"/>
      <c r="AG30" s="241"/>
      <c r="AH30" s="246"/>
      <c r="AI30" s="241"/>
      <c r="AJ30" s="241"/>
      <c r="AK30" s="246" t="s">
        <v>320</v>
      </c>
      <c r="AL30" s="241"/>
      <c r="AM30" s="246" t="s">
        <v>320</v>
      </c>
      <c r="AN30" s="246" t="s">
        <v>320</v>
      </c>
      <c r="AO30" s="241" t="s">
        <v>361</v>
      </c>
      <c r="AP30" s="245" t="s">
        <v>325</v>
      </c>
      <c r="AQ30" s="289" t="s">
        <v>393</v>
      </c>
    </row>
    <row r="31" spans="1:43" ht="13" customHeight="1" x14ac:dyDescent="0.35">
      <c r="A31" s="241">
        <v>10598</v>
      </c>
      <c r="B31" s="279">
        <v>42559</v>
      </c>
      <c r="C31" s="243" t="s">
        <v>322</v>
      </c>
      <c r="D31" s="244" t="s">
        <v>382</v>
      </c>
      <c r="E31" s="241"/>
      <c r="F31" s="241" t="s">
        <v>360</v>
      </c>
      <c r="G31" s="247">
        <v>42551</v>
      </c>
      <c r="H31" s="245" t="s">
        <v>310</v>
      </c>
      <c r="I31" s="245" t="s">
        <v>309</v>
      </c>
      <c r="J31" s="245"/>
      <c r="K31" s="241" t="s">
        <v>329</v>
      </c>
      <c r="L31" s="224" t="s">
        <v>387</v>
      </c>
      <c r="M31" s="246">
        <v>90.499999999999986</v>
      </c>
      <c r="N31" s="246">
        <v>24.999999999999996</v>
      </c>
      <c r="O31" s="241"/>
      <c r="P31" s="241"/>
      <c r="Q31" s="246"/>
      <c r="R31" s="241"/>
      <c r="S31" s="244"/>
      <c r="T31" s="241"/>
      <c r="U31" s="246" t="s">
        <v>320</v>
      </c>
      <c r="V31" s="246" t="s">
        <v>320</v>
      </c>
      <c r="W31" s="246"/>
      <c r="X31" s="241"/>
      <c r="Y31" s="241"/>
      <c r="Z31" s="241"/>
      <c r="AA31" s="241"/>
      <c r="AB31" s="241"/>
      <c r="AC31" s="241"/>
      <c r="AD31" s="246" t="s">
        <v>320</v>
      </c>
      <c r="AE31" s="246">
        <v>15.354545454545454</v>
      </c>
      <c r="AF31" s="241"/>
      <c r="AG31" s="241"/>
      <c r="AH31" s="246"/>
      <c r="AI31" s="241"/>
      <c r="AJ31" s="241"/>
      <c r="AK31" s="246" t="s">
        <v>320</v>
      </c>
      <c r="AL31" s="241"/>
      <c r="AM31" s="246" t="s">
        <v>320</v>
      </c>
      <c r="AN31" s="246" t="s">
        <v>320</v>
      </c>
      <c r="AO31" s="241" t="s">
        <v>361</v>
      </c>
      <c r="AP31" s="245" t="s">
        <v>325</v>
      </c>
      <c r="AQ31" s="289" t="s">
        <v>579</v>
      </c>
    </row>
    <row r="32" spans="1:43" ht="13" customHeight="1" x14ac:dyDescent="0.35">
      <c r="A32" s="241">
        <v>1474</v>
      </c>
      <c r="B32" s="279">
        <v>42559</v>
      </c>
      <c r="C32" s="243" t="s">
        <v>322</v>
      </c>
      <c r="D32" s="244" t="s">
        <v>382</v>
      </c>
      <c r="E32" s="241"/>
      <c r="F32" s="241" t="s">
        <v>360</v>
      </c>
      <c r="G32" s="247">
        <v>42551</v>
      </c>
      <c r="H32" s="245" t="s">
        <v>324</v>
      </c>
      <c r="I32" s="245" t="s">
        <v>325</v>
      </c>
      <c r="J32" s="245"/>
      <c r="K32" s="241" t="s">
        <v>330</v>
      </c>
      <c r="L32" s="224" t="s">
        <v>387</v>
      </c>
      <c r="M32" s="246">
        <v>94.418181818181807</v>
      </c>
      <c r="N32" s="246">
        <v>25.427272727272726</v>
      </c>
      <c r="O32" s="241"/>
      <c r="P32" s="241"/>
      <c r="Q32" s="246"/>
      <c r="R32" s="241"/>
      <c r="S32" s="244"/>
      <c r="T32" s="241"/>
      <c r="U32" s="246" t="s">
        <v>320</v>
      </c>
      <c r="V32" s="246" t="s">
        <v>320</v>
      </c>
      <c r="W32" s="246"/>
      <c r="X32" s="241"/>
      <c r="Y32" s="241"/>
      <c r="Z32" s="241"/>
      <c r="AA32" s="241"/>
      <c r="AB32" s="241"/>
      <c r="AC32" s="241"/>
      <c r="AD32" s="246" t="s">
        <v>320</v>
      </c>
      <c r="AE32" s="246">
        <v>13.627272727272727</v>
      </c>
      <c r="AF32" s="241"/>
      <c r="AG32" s="241"/>
      <c r="AH32" s="246"/>
      <c r="AI32" s="241"/>
      <c r="AJ32" s="241"/>
      <c r="AK32" s="246" t="s">
        <v>320</v>
      </c>
      <c r="AL32" s="241"/>
      <c r="AM32" s="246" t="s">
        <v>320</v>
      </c>
      <c r="AN32" s="246" t="s">
        <v>320</v>
      </c>
      <c r="AO32" s="241" t="s">
        <v>361</v>
      </c>
      <c r="AP32" s="245" t="s">
        <v>325</v>
      </c>
      <c r="AQ32" s="289" t="s">
        <v>580</v>
      </c>
    </row>
    <row r="33" spans="1:43" ht="13" customHeight="1" x14ac:dyDescent="0.35">
      <c r="A33" s="241">
        <v>4655</v>
      </c>
      <c r="B33" s="279">
        <v>42559</v>
      </c>
      <c r="C33" s="243" t="s">
        <v>322</v>
      </c>
      <c r="D33" s="244" t="s">
        <v>382</v>
      </c>
      <c r="E33" s="241"/>
      <c r="F33" s="241" t="s">
        <v>360</v>
      </c>
      <c r="G33" s="247">
        <v>42551</v>
      </c>
      <c r="H33" s="245" t="s">
        <v>324</v>
      </c>
      <c r="I33" s="245" t="s">
        <v>325</v>
      </c>
      <c r="J33" s="245"/>
      <c r="K33" s="241" t="s">
        <v>331</v>
      </c>
      <c r="L33" s="224" t="s">
        <v>387</v>
      </c>
      <c r="M33" s="246">
        <v>87</v>
      </c>
      <c r="N33" s="246">
        <v>23.999999999999996</v>
      </c>
      <c r="O33" s="241"/>
      <c r="P33" s="241"/>
      <c r="Q33" s="246"/>
      <c r="R33" s="241"/>
      <c r="S33" s="244"/>
      <c r="T33" s="241"/>
      <c r="U33" s="246" t="s">
        <v>320</v>
      </c>
      <c r="V33" s="246" t="s">
        <v>320</v>
      </c>
      <c r="W33" s="246"/>
      <c r="X33" s="241"/>
      <c r="Y33" s="241"/>
      <c r="Z33" s="241"/>
      <c r="AA33" s="241"/>
      <c r="AB33" s="241"/>
      <c r="AC33" s="241"/>
      <c r="AD33" s="246" t="s">
        <v>320</v>
      </c>
      <c r="AE33" s="246">
        <v>16</v>
      </c>
      <c r="AF33" s="241"/>
      <c r="AG33" s="241"/>
      <c r="AH33" s="246"/>
      <c r="AI33" s="241"/>
      <c r="AJ33" s="241"/>
      <c r="AK33" s="246" t="s">
        <v>320</v>
      </c>
      <c r="AL33" s="241"/>
      <c r="AM33" s="246" t="s">
        <v>320</v>
      </c>
      <c r="AN33" s="246" t="s">
        <v>320</v>
      </c>
      <c r="AO33" s="241" t="s">
        <v>361</v>
      </c>
      <c r="AP33" s="245" t="s">
        <v>325</v>
      </c>
      <c r="AQ33" s="289" t="s">
        <v>581</v>
      </c>
    </row>
    <row r="34" spans="1:43" ht="13" customHeight="1" x14ac:dyDescent="0.3">
      <c r="A34" s="241">
        <v>1446</v>
      </c>
      <c r="B34" s="274">
        <v>42564</v>
      </c>
      <c r="C34" s="243" t="s">
        <v>322</v>
      </c>
      <c r="D34" s="244" t="s">
        <v>382</v>
      </c>
      <c r="E34" s="241"/>
      <c r="F34" s="241" t="s">
        <v>360</v>
      </c>
      <c r="G34" s="247">
        <v>42551</v>
      </c>
      <c r="H34" s="245" t="s">
        <v>324</v>
      </c>
      <c r="I34" s="245" t="s">
        <v>325</v>
      </c>
      <c r="J34" s="245"/>
      <c r="K34" s="241" t="s">
        <v>479</v>
      </c>
      <c r="L34" s="224" t="s">
        <v>387</v>
      </c>
      <c r="M34" s="246">
        <v>85.25454545454545</v>
      </c>
      <c r="N34" s="246">
        <v>25.7</v>
      </c>
      <c r="O34" s="241"/>
      <c r="P34" s="241"/>
      <c r="Q34" s="246"/>
      <c r="R34" s="241"/>
      <c r="S34" s="244"/>
      <c r="T34" s="241"/>
      <c r="U34" s="246" t="s">
        <v>320</v>
      </c>
      <c r="V34" s="246" t="s">
        <v>320</v>
      </c>
      <c r="W34" s="246"/>
      <c r="X34" s="241"/>
      <c r="Y34" s="241"/>
      <c r="Z34" s="241"/>
      <c r="AA34" s="241"/>
      <c r="AB34" s="241"/>
      <c r="AC34" s="241"/>
      <c r="AD34" s="246" t="s">
        <v>320</v>
      </c>
      <c r="AE34" s="246">
        <v>13.499999999999998</v>
      </c>
      <c r="AF34" s="241"/>
      <c r="AG34" s="241"/>
      <c r="AH34" s="246"/>
      <c r="AI34" s="241"/>
      <c r="AJ34" s="241"/>
      <c r="AK34" s="246" t="s">
        <v>320</v>
      </c>
      <c r="AL34" s="241"/>
      <c r="AM34" s="246" t="s">
        <v>320</v>
      </c>
      <c r="AN34" s="246" t="s">
        <v>320</v>
      </c>
      <c r="AO34" s="241" t="s">
        <v>361</v>
      </c>
      <c r="AP34" s="245" t="s">
        <v>325</v>
      </c>
      <c r="AQ34" t="s">
        <v>582</v>
      </c>
    </row>
    <row r="35" spans="1:43" ht="13" customHeight="1" x14ac:dyDescent="0.35">
      <c r="A35" s="241">
        <v>1486</v>
      </c>
      <c r="B35" s="279">
        <v>42559</v>
      </c>
      <c r="C35" s="243" t="s">
        <v>322</v>
      </c>
      <c r="D35" s="244" t="s">
        <v>382</v>
      </c>
      <c r="E35" s="241"/>
      <c r="F35" s="241" t="s">
        <v>360</v>
      </c>
      <c r="G35" s="248">
        <v>42551</v>
      </c>
      <c r="H35" s="245" t="s">
        <v>324</v>
      </c>
      <c r="I35" s="245" t="s">
        <v>325</v>
      </c>
      <c r="J35" s="245"/>
      <c r="K35" s="241" t="s">
        <v>397</v>
      </c>
      <c r="L35" s="224" t="s">
        <v>387</v>
      </c>
      <c r="M35" s="246">
        <v>94.418181818181807</v>
      </c>
      <c r="N35" s="246">
        <v>25.427272727272726</v>
      </c>
      <c r="O35" s="241"/>
      <c r="P35" s="241"/>
      <c r="Q35" s="246"/>
      <c r="R35" s="241"/>
      <c r="S35" s="244"/>
      <c r="T35" s="241"/>
      <c r="U35" s="246" t="s">
        <v>320</v>
      </c>
      <c r="V35" s="246" t="s">
        <v>320</v>
      </c>
      <c r="W35" s="246"/>
      <c r="X35" s="241"/>
      <c r="Y35" s="241"/>
      <c r="Z35" s="241"/>
      <c r="AA35" s="241"/>
      <c r="AB35" s="241"/>
      <c r="AC35" s="241"/>
      <c r="AD35" s="246" t="s">
        <v>320</v>
      </c>
      <c r="AE35" s="246">
        <v>13.627272727272727</v>
      </c>
      <c r="AF35" s="241"/>
      <c r="AG35" s="241"/>
      <c r="AH35" s="246"/>
      <c r="AI35" s="241"/>
      <c r="AJ35" s="241"/>
      <c r="AK35" s="246" t="s">
        <v>320</v>
      </c>
      <c r="AL35" s="241"/>
      <c r="AM35" s="246" t="s">
        <v>320</v>
      </c>
      <c r="AN35" s="246" t="s">
        <v>320</v>
      </c>
      <c r="AO35" s="241" t="s">
        <v>361</v>
      </c>
      <c r="AP35" s="245" t="s">
        <v>325</v>
      </c>
      <c r="AQ35" s="289" t="s">
        <v>583</v>
      </c>
    </row>
    <row r="36" spans="1:43" ht="13" customHeight="1" x14ac:dyDescent="0.35">
      <c r="A36" s="241">
        <v>10271</v>
      </c>
      <c r="B36" s="279">
        <v>42559</v>
      </c>
      <c r="C36" s="243" t="s">
        <v>322</v>
      </c>
      <c r="D36" s="244" t="s">
        <v>382</v>
      </c>
      <c r="E36" s="241"/>
      <c r="F36" s="241" t="s">
        <v>360</v>
      </c>
      <c r="G36" s="248">
        <v>42551</v>
      </c>
      <c r="H36" s="245" t="s">
        <v>324</v>
      </c>
      <c r="I36" s="245" t="s">
        <v>325</v>
      </c>
      <c r="J36" s="245"/>
      <c r="K36" s="241" t="s">
        <v>340</v>
      </c>
      <c r="L36" s="224" t="s">
        <v>399</v>
      </c>
      <c r="M36" s="246">
        <v>77</v>
      </c>
      <c r="N36" s="246">
        <v>26.154545454545453</v>
      </c>
      <c r="O36" s="241"/>
      <c r="P36" s="241"/>
      <c r="Q36" s="246"/>
      <c r="R36" s="241"/>
      <c r="S36" s="244"/>
      <c r="T36" s="241"/>
      <c r="U36" s="246" t="s">
        <v>320</v>
      </c>
      <c r="V36" s="246" t="s">
        <v>320</v>
      </c>
      <c r="W36" s="246"/>
      <c r="X36" s="241"/>
      <c r="Y36" s="241"/>
      <c r="Z36" s="241"/>
      <c r="AA36" s="241"/>
      <c r="AB36" s="241"/>
      <c r="AC36" s="241"/>
      <c r="AD36" s="246" t="s">
        <v>320</v>
      </c>
      <c r="AE36" s="246">
        <v>13.363636363636362</v>
      </c>
      <c r="AF36" s="241"/>
      <c r="AG36" s="241"/>
      <c r="AH36" s="246"/>
      <c r="AI36" s="241"/>
      <c r="AJ36" s="241"/>
      <c r="AK36" s="246" t="s">
        <v>320</v>
      </c>
      <c r="AL36" s="241"/>
      <c r="AM36" s="246" t="s">
        <v>320</v>
      </c>
      <c r="AN36" s="246" t="s">
        <v>320</v>
      </c>
      <c r="AO36" s="241" t="s">
        <v>361</v>
      </c>
      <c r="AP36" s="245" t="s">
        <v>325</v>
      </c>
      <c r="AQ36" s="289" t="s">
        <v>584</v>
      </c>
    </row>
    <row r="37" spans="1:43" ht="13" customHeight="1" x14ac:dyDescent="0.3">
      <c r="A37" s="241">
        <v>5645</v>
      </c>
      <c r="B37" s="274">
        <v>42564</v>
      </c>
      <c r="C37" s="243" t="s">
        <v>322</v>
      </c>
      <c r="D37" s="244" t="s">
        <v>382</v>
      </c>
      <c r="E37" s="241"/>
      <c r="F37" s="241" t="s">
        <v>360</v>
      </c>
      <c r="G37" s="248">
        <v>42553</v>
      </c>
      <c r="H37" s="245" t="s">
        <v>324</v>
      </c>
      <c r="I37" s="245" t="s">
        <v>325</v>
      </c>
      <c r="J37" s="245"/>
      <c r="K37" s="241" t="s">
        <v>401</v>
      </c>
      <c r="L37" s="224" t="s">
        <v>387</v>
      </c>
      <c r="M37" s="246">
        <v>90.736363636363635</v>
      </c>
      <c r="N37" s="246">
        <v>24.627272727272725</v>
      </c>
      <c r="O37" s="241"/>
      <c r="P37" s="241"/>
      <c r="Q37" s="246"/>
      <c r="R37" s="241"/>
      <c r="S37" s="244"/>
      <c r="T37" s="241"/>
      <c r="U37" s="246" t="s">
        <v>320</v>
      </c>
      <c r="V37" s="246" t="s">
        <v>320</v>
      </c>
      <c r="W37" s="246"/>
      <c r="X37" s="241"/>
      <c r="Y37" s="241"/>
      <c r="Z37" s="241"/>
      <c r="AA37" s="241"/>
      <c r="AB37" s="241"/>
      <c r="AC37" s="241"/>
      <c r="AD37" s="246" t="s">
        <v>320</v>
      </c>
      <c r="AE37" s="246">
        <v>16.190909090909088</v>
      </c>
      <c r="AF37" s="241"/>
      <c r="AG37" s="241"/>
      <c r="AH37" s="246"/>
      <c r="AI37" s="241"/>
      <c r="AJ37" s="241"/>
      <c r="AK37" s="246" t="s">
        <v>320</v>
      </c>
      <c r="AL37" s="241"/>
      <c r="AM37" s="246" t="s">
        <v>320</v>
      </c>
      <c r="AN37" s="246" t="s">
        <v>320</v>
      </c>
      <c r="AO37" s="241" t="s">
        <v>361</v>
      </c>
      <c r="AP37" s="245" t="s">
        <v>325</v>
      </c>
      <c r="AQ37" t="s">
        <v>585</v>
      </c>
    </row>
    <row r="38" spans="1:43" ht="13" customHeight="1" x14ac:dyDescent="0.35">
      <c r="A38" s="241">
        <v>4376</v>
      </c>
      <c r="B38" s="279">
        <v>42559</v>
      </c>
      <c r="C38" s="243" t="s">
        <v>322</v>
      </c>
      <c r="D38" s="244" t="s">
        <v>382</v>
      </c>
      <c r="E38" s="241"/>
      <c r="F38" s="241" t="s">
        <v>360</v>
      </c>
      <c r="G38" s="248">
        <v>42551</v>
      </c>
      <c r="H38" s="245" t="s">
        <v>324</v>
      </c>
      <c r="I38" s="245" t="s">
        <v>325</v>
      </c>
      <c r="J38" s="245"/>
      <c r="K38" s="241" t="s">
        <v>403</v>
      </c>
      <c r="L38" s="284" t="s">
        <v>391</v>
      </c>
      <c r="M38" s="246">
        <v>98.427272727272722</v>
      </c>
      <c r="N38" s="246">
        <v>25.063636363636363</v>
      </c>
      <c r="O38" s="241"/>
      <c r="P38" s="241"/>
      <c r="Q38" s="246"/>
      <c r="R38" s="241"/>
      <c r="S38" s="244"/>
      <c r="T38" s="241"/>
      <c r="U38" s="246" t="s">
        <v>320</v>
      </c>
      <c r="V38" s="246" t="s">
        <v>320</v>
      </c>
      <c r="W38" s="246"/>
      <c r="X38" s="241"/>
      <c r="Y38" s="241"/>
      <c r="Z38" s="241"/>
      <c r="AA38" s="241"/>
      <c r="AB38" s="241"/>
      <c r="AC38" s="241"/>
      <c r="AD38" s="246" t="s">
        <v>320</v>
      </c>
      <c r="AE38" s="246">
        <v>13.899999999999999</v>
      </c>
      <c r="AF38" s="241"/>
      <c r="AG38" s="241"/>
      <c r="AH38" s="246"/>
      <c r="AI38" s="241"/>
      <c r="AJ38" s="241"/>
      <c r="AK38" s="246" t="s">
        <v>320</v>
      </c>
      <c r="AL38" s="241"/>
      <c r="AM38" s="246" t="s">
        <v>320</v>
      </c>
      <c r="AN38" s="246" t="s">
        <v>320</v>
      </c>
      <c r="AO38" s="241" t="s">
        <v>361</v>
      </c>
      <c r="AP38" s="245" t="s">
        <v>325</v>
      </c>
      <c r="AQ38" s="289" t="s">
        <v>586</v>
      </c>
    </row>
    <row r="39" spans="1:43" ht="13" customHeight="1" x14ac:dyDescent="0.35">
      <c r="A39" s="241">
        <v>10526</v>
      </c>
      <c r="B39" s="279">
        <v>42559</v>
      </c>
      <c r="C39" s="243" t="s">
        <v>322</v>
      </c>
      <c r="D39" s="244" t="s">
        <v>382</v>
      </c>
      <c r="E39" s="241"/>
      <c r="F39" s="241" t="s">
        <v>360</v>
      </c>
      <c r="G39" s="248">
        <v>42551</v>
      </c>
      <c r="H39" s="245" t="s">
        <v>324</v>
      </c>
      <c r="I39" s="245" t="s">
        <v>325</v>
      </c>
      <c r="J39" s="245"/>
      <c r="K39" s="241" t="s">
        <v>348</v>
      </c>
      <c r="L39" s="284" t="s">
        <v>391</v>
      </c>
      <c r="M39" s="246">
        <v>85.336363636363615</v>
      </c>
      <c r="N39" s="246">
        <v>25.854545454545455</v>
      </c>
      <c r="O39" s="241"/>
      <c r="P39" s="241"/>
      <c r="Q39" s="246"/>
      <c r="R39" s="241"/>
      <c r="S39" s="244"/>
      <c r="T39" s="241"/>
      <c r="U39" s="246" t="s">
        <v>320</v>
      </c>
      <c r="V39" s="246" t="s">
        <v>320</v>
      </c>
      <c r="W39" s="246"/>
      <c r="X39" s="241"/>
      <c r="Y39" s="241"/>
      <c r="Z39" s="241"/>
      <c r="AA39" s="241"/>
      <c r="AB39" s="241"/>
      <c r="AC39" s="241"/>
      <c r="AD39" s="246" t="s">
        <v>320</v>
      </c>
      <c r="AE39" s="246">
        <v>10.627272727272725</v>
      </c>
      <c r="AF39" s="241"/>
      <c r="AG39" s="241"/>
      <c r="AH39" s="246"/>
      <c r="AI39" s="241"/>
      <c r="AJ39" s="241"/>
      <c r="AK39" s="246" t="s">
        <v>320</v>
      </c>
      <c r="AL39" s="241"/>
      <c r="AM39" s="246" t="s">
        <v>320</v>
      </c>
      <c r="AN39" s="246" t="s">
        <v>320</v>
      </c>
      <c r="AO39" s="241" t="s">
        <v>361</v>
      </c>
      <c r="AP39" s="245" t="s">
        <v>325</v>
      </c>
      <c r="AQ39" s="289" t="s">
        <v>587</v>
      </c>
    </row>
    <row r="40" spans="1:43" ht="13" customHeight="1" x14ac:dyDescent="0.35">
      <c r="A40" s="241">
        <v>10325</v>
      </c>
      <c r="B40" s="279">
        <v>42559</v>
      </c>
      <c r="C40" s="243" t="s">
        <v>322</v>
      </c>
      <c r="D40" s="244" t="s">
        <v>382</v>
      </c>
      <c r="E40" s="241"/>
      <c r="F40" s="241" t="s">
        <v>360</v>
      </c>
      <c r="G40" s="248">
        <v>42551</v>
      </c>
      <c r="H40" s="245" t="s">
        <v>324</v>
      </c>
      <c r="I40" s="245" t="s">
        <v>325</v>
      </c>
      <c r="J40" s="245"/>
      <c r="K40" s="241" t="s">
        <v>406</v>
      </c>
      <c r="L40" s="224" t="s">
        <v>222</v>
      </c>
      <c r="M40" s="246">
        <v>90.049999999999983</v>
      </c>
      <c r="N40" s="246">
        <v>25.479999999999997</v>
      </c>
      <c r="O40" s="241"/>
      <c r="P40" s="241"/>
      <c r="Q40" s="246"/>
      <c r="R40" s="241"/>
      <c r="S40" s="244"/>
      <c r="T40" s="241"/>
      <c r="U40" s="246" t="s">
        <v>320</v>
      </c>
      <c r="V40" s="246" t="s">
        <v>320</v>
      </c>
      <c r="W40" s="246"/>
      <c r="X40" s="241"/>
      <c r="Y40" s="241"/>
      <c r="Z40" s="241"/>
      <c r="AA40" s="241"/>
      <c r="AB40" s="241"/>
      <c r="AC40" s="241"/>
      <c r="AD40" s="246" t="s">
        <v>320</v>
      </c>
      <c r="AE40" s="246">
        <v>14.199999999999998</v>
      </c>
      <c r="AF40" s="241"/>
      <c r="AG40" s="241"/>
      <c r="AH40" s="246"/>
      <c r="AI40" s="241"/>
      <c r="AJ40" s="241"/>
      <c r="AK40" s="246" t="s">
        <v>320</v>
      </c>
      <c r="AL40" s="241"/>
      <c r="AM40" s="246" t="s">
        <v>320</v>
      </c>
      <c r="AN40" s="246" t="s">
        <v>320</v>
      </c>
      <c r="AO40" s="241" t="s">
        <v>361</v>
      </c>
      <c r="AP40" s="245" t="s">
        <v>325</v>
      </c>
      <c r="AQ40" t="s">
        <v>407</v>
      </c>
    </row>
    <row r="41" spans="1:43" ht="13" customHeight="1" x14ac:dyDescent="0.35">
      <c r="A41" s="241">
        <v>10680</v>
      </c>
      <c r="B41" s="279">
        <v>42559</v>
      </c>
      <c r="C41" s="243" t="s">
        <v>322</v>
      </c>
      <c r="D41" s="244" t="s">
        <v>382</v>
      </c>
      <c r="E41" s="241"/>
      <c r="F41" s="241" t="s">
        <v>360</v>
      </c>
      <c r="G41" s="248">
        <v>42551</v>
      </c>
      <c r="H41" s="245" t="s">
        <v>324</v>
      </c>
      <c r="I41" s="245" t="s">
        <v>325</v>
      </c>
      <c r="J41" s="245"/>
      <c r="K41" s="241" t="s">
        <v>408</v>
      </c>
      <c r="L41" s="284" t="s">
        <v>391</v>
      </c>
      <c r="M41" s="246">
        <v>101.5</v>
      </c>
      <c r="N41" s="246">
        <v>23.554545454545451</v>
      </c>
      <c r="O41" s="241"/>
      <c r="P41" s="241"/>
      <c r="Q41" s="246"/>
      <c r="R41" s="241"/>
      <c r="S41" s="244"/>
      <c r="T41" s="241"/>
      <c r="U41" s="246" t="s">
        <v>320</v>
      </c>
      <c r="V41" s="246" t="s">
        <v>320</v>
      </c>
      <c r="W41" s="246"/>
      <c r="X41" s="241"/>
      <c r="Y41" s="241"/>
      <c r="Z41" s="241"/>
      <c r="AA41" s="241"/>
      <c r="AB41" s="241"/>
      <c r="AC41" s="241"/>
      <c r="AD41" s="246" t="s">
        <v>320</v>
      </c>
      <c r="AE41" s="246">
        <v>11.254545454545454</v>
      </c>
      <c r="AF41" s="241"/>
      <c r="AG41" s="241"/>
      <c r="AH41" s="246"/>
      <c r="AI41" s="241"/>
      <c r="AJ41" s="241"/>
      <c r="AK41" s="246" t="s">
        <v>320</v>
      </c>
      <c r="AL41" s="241"/>
      <c r="AM41" s="246" t="s">
        <v>320</v>
      </c>
      <c r="AN41" s="246" t="s">
        <v>320</v>
      </c>
      <c r="AO41" s="241" t="s">
        <v>361</v>
      </c>
      <c r="AP41" s="245" t="s">
        <v>325</v>
      </c>
      <c r="AQ41" s="289" t="s">
        <v>588</v>
      </c>
    </row>
    <row r="42" spans="1:43" ht="13" customHeight="1" x14ac:dyDescent="0.35">
      <c r="A42" s="241">
        <v>1398</v>
      </c>
      <c r="B42" s="279">
        <v>42559</v>
      </c>
      <c r="C42" s="243" t="s">
        <v>322</v>
      </c>
      <c r="D42" s="244" t="s">
        <v>382</v>
      </c>
      <c r="E42" s="241"/>
      <c r="F42" s="241" t="s">
        <v>360</v>
      </c>
      <c r="G42" s="248">
        <v>42551</v>
      </c>
      <c r="H42" s="245" t="s">
        <v>324</v>
      </c>
      <c r="I42" s="245" t="s">
        <v>325</v>
      </c>
      <c r="J42" s="245"/>
      <c r="K42" s="241" t="s">
        <v>410</v>
      </c>
      <c r="L42" s="284" t="s">
        <v>391</v>
      </c>
      <c r="M42" s="246">
        <v>90.1</v>
      </c>
      <c r="N42" s="246">
        <v>24.999999999999996</v>
      </c>
      <c r="O42" s="244"/>
      <c r="P42" s="241"/>
      <c r="Q42" s="246"/>
      <c r="R42" s="241"/>
      <c r="S42" s="244"/>
      <c r="T42" s="241"/>
      <c r="U42" s="246" t="s">
        <v>320</v>
      </c>
      <c r="V42" s="246" t="s">
        <v>320</v>
      </c>
      <c r="W42" s="246"/>
      <c r="X42" s="241"/>
      <c r="Y42" s="241"/>
      <c r="Z42" s="241"/>
      <c r="AA42" s="241"/>
      <c r="AB42" s="241"/>
      <c r="AC42" s="241"/>
      <c r="AD42" s="246" t="s">
        <v>320</v>
      </c>
      <c r="AE42" s="246">
        <v>15.199999999999998</v>
      </c>
      <c r="AF42" s="241"/>
      <c r="AG42" s="241"/>
      <c r="AH42" s="246"/>
      <c r="AI42" s="241"/>
      <c r="AJ42" s="241"/>
      <c r="AK42" s="246" t="s">
        <v>320</v>
      </c>
      <c r="AL42" s="241"/>
      <c r="AM42" s="246" t="s">
        <v>320</v>
      </c>
      <c r="AN42" s="246" t="s">
        <v>320</v>
      </c>
      <c r="AO42" s="241" t="s">
        <v>361</v>
      </c>
      <c r="AP42" s="245" t="s">
        <v>325</v>
      </c>
      <c r="AQ42" s="289" t="s">
        <v>589</v>
      </c>
    </row>
    <row r="43" spans="1:43" ht="13" customHeight="1" x14ac:dyDescent="0.35">
      <c r="A43" s="241">
        <v>3602</v>
      </c>
      <c r="B43" s="279">
        <v>42559</v>
      </c>
      <c r="C43" s="243" t="s">
        <v>322</v>
      </c>
      <c r="D43" s="244" t="s">
        <v>382</v>
      </c>
      <c r="E43" s="241"/>
      <c r="F43" s="241" t="s">
        <v>360</v>
      </c>
      <c r="G43" s="248">
        <v>42551</v>
      </c>
      <c r="H43" s="245" t="s">
        <v>324</v>
      </c>
      <c r="I43" s="245" t="s">
        <v>325</v>
      </c>
      <c r="J43" s="245"/>
      <c r="K43" s="241" t="s">
        <v>412</v>
      </c>
      <c r="L43" s="284" t="s">
        <v>391</v>
      </c>
      <c r="M43" s="246">
        <v>83.281818181818181</v>
      </c>
      <c r="N43" s="246">
        <v>25.781818181818178</v>
      </c>
      <c r="O43" s="241"/>
      <c r="P43" s="241"/>
      <c r="Q43" s="246"/>
      <c r="R43" s="241"/>
      <c r="S43" s="244"/>
      <c r="T43" s="241"/>
      <c r="U43" s="246" t="s">
        <v>320</v>
      </c>
      <c r="V43" s="246" t="s">
        <v>320</v>
      </c>
      <c r="W43" s="246"/>
      <c r="X43" s="241"/>
      <c r="Y43" s="241"/>
      <c r="Z43" s="241"/>
      <c r="AA43" s="241"/>
      <c r="AB43" s="241"/>
      <c r="AC43" s="241"/>
      <c r="AD43" s="246" t="s">
        <v>320</v>
      </c>
      <c r="AE43" s="246">
        <v>14.709090909090907</v>
      </c>
      <c r="AF43" s="241"/>
      <c r="AG43" s="241"/>
      <c r="AH43" s="246"/>
      <c r="AI43" s="241"/>
      <c r="AJ43" s="241"/>
      <c r="AK43" s="246" t="s">
        <v>320</v>
      </c>
      <c r="AL43" s="241"/>
      <c r="AM43" s="246" t="s">
        <v>320</v>
      </c>
      <c r="AN43" s="246" t="s">
        <v>320</v>
      </c>
      <c r="AO43" s="241" t="s">
        <v>361</v>
      </c>
      <c r="AP43" s="245" t="s">
        <v>325</v>
      </c>
      <c r="AQ43" s="289" t="s">
        <v>590</v>
      </c>
    </row>
    <row r="44" spans="1:43" ht="13" customHeight="1" x14ac:dyDescent="0.35">
      <c r="A44" s="241">
        <v>10375</v>
      </c>
      <c r="B44" s="279">
        <v>42559</v>
      </c>
      <c r="C44" s="243" t="s">
        <v>322</v>
      </c>
      <c r="D44" s="244" t="s">
        <v>382</v>
      </c>
      <c r="E44" s="241"/>
      <c r="F44" s="241" t="s">
        <v>360</v>
      </c>
      <c r="G44" s="248">
        <v>42551</v>
      </c>
      <c r="H44" s="245" t="s">
        <v>310</v>
      </c>
      <c r="I44" s="245" t="s">
        <v>309</v>
      </c>
      <c r="J44" s="245"/>
      <c r="K44" s="241" t="s">
        <v>239</v>
      </c>
      <c r="L44" s="284" t="s">
        <v>391</v>
      </c>
      <c r="M44" s="246">
        <v>104.99999999999999</v>
      </c>
      <c r="N44" s="246">
        <v>24.254545454545454</v>
      </c>
      <c r="O44" s="241" t="s">
        <v>351</v>
      </c>
      <c r="P44" s="241">
        <v>1350</v>
      </c>
      <c r="Q44" s="246">
        <v>27.9</v>
      </c>
      <c r="R44" s="275">
        <v>1350</v>
      </c>
      <c r="S44" s="246">
        <v>27.9</v>
      </c>
      <c r="T44" s="241"/>
      <c r="U44" s="246" t="s">
        <v>320</v>
      </c>
      <c r="V44" s="246" t="s">
        <v>320</v>
      </c>
      <c r="W44" s="246"/>
      <c r="X44" s="241"/>
      <c r="Y44" s="241"/>
      <c r="Z44" s="241"/>
      <c r="AA44" s="241"/>
      <c r="AB44" s="241"/>
      <c r="AC44" s="241"/>
      <c r="AD44" s="246" t="s">
        <v>320</v>
      </c>
      <c r="AE44" s="246">
        <v>12.599999999999998</v>
      </c>
      <c r="AF44" s="241"/>
      <c r="AG44" s="241"/>
      <c r="AH44" s="246"/>
      <c r="AI44" s="241"/>
      <c r="AJ44" s="241"/>
      <c r="AK44" s="246" t="s">
        <v>320</v>
      </c>
      <c r="AL44" s="241"/>
      <c r="AM44" s="246" t="s">
        <v>320</v>
      </c>
      <c r="AN44" s="246" t="s">
        <v>320</v>
      </c>
      <c r="AO44" s="241" t="s">
        <v>361</v>
      </c>
      <c r="AP44" s="245" t="s">
        <v>325</v>
      </c>
      <c r="AQ44" s="289" t="s">
        <v>591</v>
      </c>
    </row>
    <row r="45" spans="1:43" ht="13" customHeight="1" x14ac:dyDescent="0.35">
      <c r="A45" s="241">
        <v>9679</v>
      </c>
      <c r="B45" s="279">
        <v>42559</v>
      </c>
      <c r="C45" s="243" t="s">
        <v>322</v>
      </c>
      <c r="D45" s="244" t="s">
        <v>382</v>
      </c>
      <c r="E45" s="241"/>
      <c r="F45" s="241" t="s">
        <v>360</v>
      </c>
      <c r="G45" s="248">
        <v>42551</v>
      </c>
      <c r="H45" s="245" t="s">
        <v>310</v>
      </c>
      <c r="I45" s="245" t="s">
        <v>309</v>
      </c>
      <c r="J45" s="245"/>
      <c r="K45" s="241" t="s">
        <v>307</v>
      </c>
      <c r="L45" s="224" t="s">
        <v>387</v>
      </c>
      <c r="M45" s="246">
        <v>90.499999999999986</v>
      </c>
      <c r="N45" s="246">
        <v>24.999999999999996</v>
      </c>
      <c r="O45" s="241"/>
      <c r="P45" s="241"/>
      <c r="Q45" s="246"/>
      <c r="R45" s="241"/>
      <c r="S45" s="244"/>
      <c r="T45" s="241"/>
      <c r="U45" s="246" t="s">
        <v>320</v>
      </c>
      <c r="V45" s="246" t="s">
        <v>320</v>
      </c>
      <c r="W45" s="246"/>
      <c r="X45" s="241"/>
      <c r="Y45" s="241"/>
      <c r="Z45" s="241"/>
      <c r="AA45" s="241"/>
      <c r="AB45" s="241"/>
      <c r="AC45" s="241"/>
      <c r="AD45" s="246" t="s">
        <v>320</v>
      </c>
      <c r="AE45" s="246">
        <v>15.354545454545454</v>
      </c>
      <c r="AF45" s="241"/>
      <c r="AG45" s="241"/>
      <c r="AH45" s="246"/>
      <c r="AI45" s="241"/>
      <c r="AJ45" s="241"/>
      <c r="AK45" s="246" t="s">
        <v>320</v>
      </c>
      <c r="AL45" s="241"/>
      <c r="AM45" s="246" t="s">
        <v>320</v>
      </c>
      <c r="AN45" s="246" t="s">
        <v>320</v>
      </c>
      <c r="AO45" s="241" t="s">
        <v>361</v>
      </c>
      <c r="AP45" s="245" t="s">
        <v>325</v>
      </c>
      <c r="AQ45" s="289" t="s">
        <v>592</v>
      </c>
    </row>
    <row r="46" spans="1:43" ht="13" customHeight="1" x14ac:dyDescent="0.35">
      <c r="A46" s="241">
        <v>9905</v>
      </c>
      <c r="B46" s="279">
        <v>42559</v>
      </c>
      <c r="C46" s="243" t="s">
        <v>322</v>
      </c>
      <c r="D46" s="244" t="s">
        <v>382</v>
      </c>
      <c r="E46" s="241"/>
      <c r="F46" s="241" t="s">
        <v>360</v>
      </c>
      <c r="G46" s="248">
        <v>42551</v>
      </c>
      <c r="H46" s="245" t="s">
        <v>309</v>
      </c>
      <c r="I46" s="245" t="s">
        <v>355</v>
      </c>
      <c r="J46" s="245"/>
      <c r="K46" s="244" t="s">
        <v>354</v>
      </c>
      <c r="L46" s="224" t="s">
        <v>222</v>
      </c>
      <c r="M46" s="246">
        <v>100.57272727272726</v>
      </c>
      <c r="N46" s="246">
        <v>23</v>
      </c>
      <c r="O46" s="241"/>
      <c r="P46" s="241"/>
      <c r="Q46" s="246"/>
      <c r="R46" s="241"/>
      <c r="S46" s="244"/>
      <c r="T46" s="241"/>
      <c r="U46" s="246" t="s">
        <v>320</v>
      </c>
      <c r="V46" s="246" t="s">
        <v>320</v>
      </c>
      <c r="W46" s="246"/>
      <c r="X46" s="241"/>
      <c r="Y46" s="241"/>
      <c r="Z46" s="241"/>
      <c r="AA46" s="241"/>
      <c r="AB46" s="241"/>
      <c r="AC46" s="241"/>
      <c r="AD46" s="246" t="s">
        <v>320</v>
      </c>
      <c r="AE46" s="246">
        <v>18</v>
      </c>
      <c r="AF46" s="241"/>
      <c r="AG46" s="241"/>
      <c r="AH46" s="246"/>
      <c r="AI46" s="241"/>
      <c r="AJ46" s="241"/>
      <c r="AK46" s="246" t="s">
        <v>320</v>
      </c>
      <c r="AL46" s="241"/>
      <c r="AM46" s="246" t="s">
        <v>320</v>
      </c>
      <c r="AN46" s="246" t="s">
        <v>320</v>
      </c>
      <c r="AO46" s="241" t="s">
        <v>361</v>
      </c>
      <c r="AP46" s="245" t="s">
        <v>325</v>
      </c>
      <c r="AQ46" s="289" t="s">
        <v>593</v>
      </c>
    </row>
    <row r="47" spans="1:43" ht="13" customHeight="1" x14ac:dyDescent="0.35">
      <c r="A47" s="241"/>
      <c r="B47" s="279">
        <v>42559</v>
      </c>
      <c r="C47" s="243" t="s">
        <v>322</v>
      </c>
      <c r="D47" s="244" t="s">
        <v>382</v>
      </c>
      <c r="E47" s="241"/>
      <c r="F47" s="241" t="s">
        <v>360</v>
      </c>
      <c r="G47" s="248">
        <v>42551</v>
      </c>
      <c r="H47" s="245" t="s">
        <v>309</v>
      </c>
      <c r="I47" s="245" t="s">
        <v>355</v>
      </c>
      <c r="J47" s="245"/>
      <c r="K47" s="244" t="s">
        <v>388</v>
      </c>
      <c r="L47" s="284" t="s">
        <v>391</v>
      </c>
      <c r="M47" s="246">
        <v>100.99999999999999</v>
      </c>
      <c r="N47" s="246">
        <v>24.599999999999998</v>
      </c>
      <c r="O47" s="241"/>
      <c r="P47" s="241"/>
      <c r="Q47" s="246"/>
      <c r="R47" s="241"/>
      <c r="S47" s="244"/>
      <c r="T47" s="241"/>
      <c r="U47" s="246" t="s">
        <v>320</v>
      </c>
      <c r="V47" s="246" t="s">
        <v>320</v>
      </c>
      <c r="W47" s="246"/>
      <c r="X47" s="241"/>
      <c r="Y47" s="241"/>
      <c r="Z47" s="241"/>
      <c r="AA47" s="241"/>
      <c r="AB47" s="241"/>
      <c r="AC47" s="241"/>
      <c r="AD47" s="246" t="s">
        <v>320</v>
      </c>
      <c r="AE47" s="246">
        <v>11.999999999999998</v>
      </c>
      <c r="AF47" s="241"/>
      <c r="AG47" s="241"/>
      <c r="AH47" s="246"/>
      <c r="AI47" s="241"/>
      <c r="AJ47" s="241"/>
      <c r="AK47" s="246" t="s">
        <v>320</v>
      </c>
      <c r="AL47" s="241"/>
      <c r="AM47" s="246" t="s">
        <v>320</v>
      </c>
      <c r="AN47" s="246" t="s">
        <v>320</v>
      </c>
      <c r="AO47" s="241" t="s">
        <v>361</v>
      </c>
      <c r="AP47" s="245" t="s">
        <v>325</v>
      </c>
      <c r="AQ47" s="289" t="s">
        <v>594</v>
      </c>
    </row>
    <row r="48" spans="1:43" ht="13" customHeight="1" x14ac:dyDescent="0.35">
      <c r="A48" s="241"/>
      <c r="B48" s="279">
        <v>42559</v>
      </c>
      <c r="C48" s="243" t="s">
        <v>322</v>
      </c>
      <c r="D48" s="244" t="s">
        <v>382</v>
      </c>
      <c r="E48" s="241"/>
      <c r="F48" s="241" t="s">
        <v>360</v>
      </c>
      <c r="G48" s="248">
        <v>42551</v>
      </c>
      <c r="H48" s="245" t="s">
        <v>324</v>
      </c>
      <c r="I48" s="245" t="s">
        <v>325</v>
      </c>
      <c r="J48" s="245"/>
      <c r="K48" s="244" t="s">
        <v>420</v>
      </c>
      <c r="L48" s="284" t="s">
        <v>391</v>
      </c>
      <c r="M48" s="246">
        <v>84.018181818181802</v>
      </c>
      <c r="N48" s="246">
        <v>25.890909090909091</v>
      </c>
      <c r="O48" s="241"/>
      <c r="P48" s="241"/>
      <c r="Q48" s="246"/>
      <c r="R48" s="241"/>
      <c r="S48" s="244"/>
      <c r="T48" s="241"/>
      <c r="U48" s="246" t="s">
        <v>320</v>
      </c>
      <c r="V48" s="246" t="s">
        <v>320</v>
      </c>
      <c r="W48" s="246"/>
      <c r="X48" s="241"/>
      <c r="Y48" s="241"/>
      <c r="Z48" s="241"/>
      <c r="AA48" s="241"/>
      <c r="AB48" s="241"/>
      <c r="AC48" s="241"/>
      <c r="AD48" s="246" t="s">
        <v>320</v>
      </c>
      <c r="AE48" s="246">
        <v>14.318181818181817</v>
      </c>
      <c r="AF48" s="241"/>
      <c r="AG48" s="241"/>
      <c r="AH48" s="246"/>
      <c r="AI48" s="241"/>
      <c r="AJ48" s="241"/>
      <c r="AK48" s="246" t="s">
        <v>320</v>
      </c>
      <c r="AL48" s="241"/>
      <c r="AM48" s="246" t="s">
        <v>320</v>
      </c>
      <c r="AN48" s="246" t="s">
        <v>320</v>
      </c>
      <c r="AO48" s="241" t="s">
        <v>361</v>
      </c>
      <c r="AP48" s="245" t="s">
        <v>325</v>
      </c>
      <c r="AQ48" s="289" t="s">
        <v>595</v>
      </c>
    </row>
    <row r="49" spans="1:43" ht="13" customHeight="1" x14ac:dyDescent="0.35">
      <c r="A49" s="241"/>
      <c r="B49" s="279">
        <v>42559</v>
      </c>
      <c r="C49" s="243" t="s">
        <v>322</v>
      </c>
      <c r="D49" s="244" t="s">
        <v>382</v>
      </c>
      <c r="E49" s="241"/>
      <c r="F49" s="241" t="s">
        <v>360</v>
      </c>
      <c r="G49" s="248">
        <v>42494</v>
      </c>
      <c r="H49" s="245" t="s">
        <v>324</v>
      </c>
      <c r="I49" s="245" t="s">
        <v>325</v>
      </c>
      <c r="J49" s="245"/>
      <c r="K49" s="244" t="s">
        <v>422</v>
      </c>
      <c r="L49" s="284" t="s">
        <v>391</v>
      </c>
      <c r="M49" s="246">
        <v>89.536363636363618</v>
      </c>
      <c r="N49" s="246">
        <v>25.709090909090907</v>
      </c>
      <c r="O49" s="241"/>
      <c r="P49" s="241"/>
      <c r="Q49" s="246"/>
      <c r="R49" s="241"/>
      <c r="S49" s="244"/>
      <c r="T49" s="241"/>
      <c r="U49" s="246" t="s">
        <v>320</v>
      </c>
      <c r="V49" s="246" t="s">
        <v>320</v>
      </c>
      <c r="W49" s="246"/>
      <c r="X49" s="241"/>
      <c r="Y49" s="241"/>
      <c r="Z49" s="241"/>
      <c r="AA49" s="241"/>
      <c r="AB49" s="241"/>
      <c r="AC49" s="241"/>
      <c r="AD49" s="246" t="s">
        <v>320</v>
      </c>
      <c r="AE49" s="246">
        <v>13.872727272727271</v>
      </c>
      <c r="AF49" s="241"/>
      <c r="AG49" s="241"/>
      <c r="AH49" s="246"/>
      <c r="AI49" s="241"/>
      <c r="AJ49" s="241"/>
      <c r="AK49" s="246" t="s">
        <v>320</v>
      </c>
      <c r="AL49" s="241"/>
      <c r="AM49" s="246" t="s">
        <v>320</v>
      </c>
      <c r="AN49" s="246" t="s">
        <v>320</v>
      </c>
      <c r="AO49" s="241" t="s">
        <v>361</v>
      </c>
      <c r="AP49" s="245" t="s">
        <v>325</v>
      </c>
      <c r="AQ49" s="289" t="s">
        <v>596</v>
      </c>
    </row>
    <row r="50" spans="1:43" ht="13" customHeight="1" x14ac:dyDescent="0.35">
      <c r="A50" s="241"/>
      <c r="B50" s="279">
        <v>42559</v>
      </c>
      <c r="C50" s="243" t="s">
        <v>322</v>
      </c>
      <c r="D50" s="244" t="s">
        <v>382</v>
      </c>
      <c r="E50" s="241"/>
      <c r="F50" s="241" t="s">
        <v>360</v>
      </c>
      <c r="G50" s="248">
        <v>42551</v>
      </c>
      <c r="H50" s="245" t="s">
        <v>309</v>
      </c>
      <c r="I50" s="245" t="s">
        <v>355</v>
      </c>
      <c r="J50" s="245"/>
      <c r="K50" s="244" t="s">
        <v>424</v>
      </c>
      <c r="L50" s="284" t="s">
        <v>391</v>
      </c>
      <c r="M50" s="246">
        <v>79.699999999999989</v>
      </c>
      <c r="N50" s="246">
        <v>25.799999999999997</v>
      </c>
      <c r="O50" s="241"/>
      <c r="P50" s="241"/>
      <c r="Q50" s="246"/>
      <c r="R50" s="241"/>
      <c r="S50" s="244"/>
      <c r="T50" s="241"/>
      <c r="U50" s="246" t="s">
        <v>320</v>
      </c>
      <c r="V50" s="246" t="s">
        <v>320</v>
      </c>
      <c r="W50" s="246"/>
      <c r="X50" s="241"/>
      <c r="Y50" s="241"/>
      <c r="Z50" s="241"/>
      <c r="AA50" s="241"/>
      <c r="AB50" s="241"/>
      <c r="AC50" s="241"/>
      <c r="AD50" s="246" t="s">
        <v>320</v>
      </c>
      <c r="AE50" s="246">
        <v>15.199999999999998</v>
      </c>
      <c r="AF50" s="241"/>
      <c r="AG50" s="241"/>
      <c r="AH50" s="246"/>
      <c r="AI50" s="241"/>
      <c r="AJ50" s="241"/>
      <c r="AK50" s="246" t="s">
        <v>320</v>
      </c>
      <c r="AL50" s="241"/>
      <c r="AM50" s="246" t="s">
        <v>320</v>
      </c>
      <c r="AN50" s="246" t="s">
        <v>320</v>
      </c>
      <c r="AO50" s="241" t="s">
        <v>361</v>
      </c>
      <c r="AP50" s="245" t="s">
        <v>325</v>
      </c>
      <c r="AQ50" s="289" t="s">
        <v>597</v>
      </c>
    </row>
    <row r="51" spans="1:43" ht="13" customHeight="1" x14ac:dyDescent="0.35">
      <c r="A51" s="241"/>
      <c r="B51" s="279">
        <v>42559</v>
      </c>
      <c r="C51" s="243" t="s">
        <v>322</v>
      </c>
      <c r="D51" s="244" t="s">
        <v>382</v>
      </c>
      <c r="E51" s="241"/>
      <c r="F51" s="241" t="s">
        <v>360</v>
      </c>
      <c r="G51" s="248">
        <v>42551</v>
      </c>
      <c r="H51" s="245" t="s">
        <v>309</v>
      </c>
      <c r="I51" s="245" t="s">
        <v>355</v>
      </c>
      <c r="J51" s="245"/>
      <c r="K51" s="244" t="s">
        <v>426</v>
      </c>
      <c r="L51" s="284" t="s">
        <v>391</v>
      </c>
      <c r="M51" s="246">
        <v>90.736363636363635</v>
      </c>
      <c r="N51" s="246">
        <v>24.627272727272725</v>
      </c>
      <c r="O51" s="241"/>
      <c r="P51" s="241"/>
      <c r="Q51" s="246"/>
      <c r="R51" s="241"/>
      <c r="S51" s="244"/>
      <c r="T51" s="241"/>
      <c r="U51" s="246" t="s">
        <v>320</v>
      </c>
      <c r="V51" s="246" t="s">
        <v>320</v>
      </c>
      <c r="W51" s="246"/>
      <c r="X51" s="241"/>
      <c r="Y51" s="241"/>
      <c r="Z51" s="241"/>
      <c r="AA51" s="241"/>
      <c r="AB51" s="241"/>
      <c r="AC51" s="241"/>
      <c r="AD51" s="246" t="s">
        <v>320</v>
      </c>
      <c r="AE51" s="246">
        <v>16.190909090909088</v>
      </c>
      <c r="AF51" s="241"/>
      <c r="AG51" s="241"/>
      <c r="AH51" s="246"/>
      <c r="AI51" s="241"/>
      <c r="AJ51" s="241"/>
      <c r="AK51" s="246" t="s">
        <v>320</v>
      </c>
      <c r="AL51" s="241"/>
      <c r="AM51" s="246" t="s">
        <v>320</v>
      </c>
      <c r="AN51" s="246" t="s">
        <v>320</v>
      </c>
      <c r="AO51" s="241" t="s">
        <v>361</v>
      </c>
      <c r="AP51" s="245" t="s">
        <v>325</v>
      </c>
      <c r="AQ51" s="289" t="s">
        <v>598</v>
      </c>
    </row>
    <row r="52" spans="1:43" ht="13" customHeight="1" x14ac:dyDescent="0.35">
      <c r="A52" s="241"/>
      <c r="B52" s="279">
        <v>42559</v>
      </c>
      <c r="C52" s="243" t="s">
        <v>322</v>
      </c>
      <c r="D52" s="244" t="s">
        <v>382</v>
      </c>
      <c r="E52" s="241"/>
      <c r="F52" s="241" t="s">
        <v>360</v>
      </c>
      <c r="G52" s="248">
        <v>42551</v>
      </c>
      <c r="H52" s="245" t="s">
        <v>324</v>
      </c>
      <c r="I52" s="245" t="s">
        <v>325</v>
      </c>
      <c r="J52" s="245"/>
      <c r="K52" s="244" t="s">
        <v>428</v>
      </c>
      <c r="L52" s="284" t="s">
        <v>391</v>
      </c>
      <c r="M52" s="246">
        <v>86.24545454545455</v>
      </c>
      <c r="N52" s="246">
        <v>21.018181818181816</v>
      </c>
      <c r="O52" s="241"/>
      <c r="P52" s="241"/>
      <c r="Q52" s="246"/>
      <c r="R52" s="241"/>
      <c r="S52" s="244"/>
      <c r="T52" s="241"/>
      <c r="U52" s="246" t="s">
        <v>320</v>
      </c>
      <c r="V52" s="246" t="s">
        <v>320</v>
      </c>
      <c r="W52" s="246"/>
      <c r="X52" s="241"/>
      <c r="Y52" s="241"/>
      <c r="Z52" s="241"/>
      <c r="AA52" s="241"/>
      <c r="AB52" s="241"/>
      <c r="AC52" s="241"/>
      <c r="AD52" s="246" t="s">
        <v>320</v>
      </c>
      <c r="AE52" s="246">
        <v>12.790909090909091</v>
      </c>
      <c r="AF52" s="241"/>
      <c r="AG52" s="241"/>
      <c r="AH52" s="246"/>
      <c r="AI52" s="241"/>
      <c r="AJ52" s="241"/>
      <c r="AK52" s="246" t="s">
        <v>320</v>
      </c>
      <c r="AL52" s="241"/>
      <c r="AM52" s="246" t="s">
        <v>320</v>
      </c>
      <c r="AN52" s="246" t="s">
        <v>320</v>
      </c>
      <c r="AO52" s="241" t="s">
        <v>361</v>
      </c>
      <c r="AP52" s="245" t="s">
        <v>325</v>
      </c>
      <c r="AQ52" s="289" t="s">
        <v>599</v>
      </c>
    </row>
    <row r="53" spans="1:43" ht="13" customHeight="1" x14ac:dyDescent="0.35">
      <c r="A53" s="241"/>
      <c r="B53" s="279">
        <v>42559</v>
      </c>
      <c r="C53" s="243" t="s">
        <v>322</v>
      </c>
      <c r="D53" s="244" t="s">
        <v>382</v>
      </c>
      <c r="E53" s="241"/>
      <c r="F53" s="241" t="s">
        <v>360</v>
      </c>
      <c r="G53" s="248">
        <v>42551</v>
      </c>
      <c r="H53" s="245" t="s">
        <v>324</v>
      </c>
      <c r="I53" s="245" t="s">
        <v>325</v>
      </c>
      <c r="J53" s="245"/>
      <c r="K53" s="244" t="s">
        <v>501</v>
      </c>
      <c r="L53" s="284" t="s">
        <v>391</v>
      </c>
      <c r="M53" s="246">
        <v>114.99999999999999</v>
      </c>
      <c r="N53" s="246">
        <v>23.5</v>
      </c>
      <c r="O53" s="241"/>
      <c r="P53" s="241"/>
      <c r="Q53" s="246"/>
      <c r="R53" s="241"/>
      <c r="S53" s="244"/>
      <c r="T53" s="241"/>
      <c r="U53" s="246" t="s">
        <v>320</v>
      </c>
      <c r="V53" s="246" t="s">
        <v>320</v>
      </c>
      <c r="W53" s="246"/>
      <c r="X53" s="241"/>
      <c r="Y53" s="241"/>
      <c r="Z53" s="241"/>
      <c r="AA53" s="241"/>
      <c r="AB53" s="241"/>
      <c r="AC53" s="241"/>
      <c r="AD53" s="246" t="s">
        <v>320</v>
      </c>
      <c r="AE53" s="246">
        <v>14.8</v>
      </c>
      <c r="AF53" s="241"/>
      <c r="AG53" s="241"/>
      <c r="AH53" s="246"/>
      <c r="AI53" s="241"/>
      <c r="AJ53" s="241"/>
      <c r="AK53" s="246" t="s">
        <v>320</v>
      </c>
      <c r="AL53" s="241"/>
      <c r="AM53" s="246" t="s">
        <v>320</v>
      </c>
      <c r="AN53" s="246" t="s">
        <v>320</v>
      </c>
      <c r="AO53" s="241" t="s">
        <v>361</v>
      </c>
      <c r="AP53" s="245" t="s">
        <v>325</v>
      </c>
      <c r="AQ53" s="289" t="s">
        <v>600</v>
      </c>
    </row>
    <row r="54" spans="1:43" ht="13" customHeight="1" x14ac:dyDescent="0.35">
      <c r="A54" s="241"/>
      <c r="B54" s="279">
        <v>42559</v>
      </c>
      <c r="C54" s="243" t="s">
        <v>322</v>
      </c>
      <c r="D54" s="244" t="s">
        <v>382</v>
      </c>
      <c r="E54" s="241"/>
      <c r="F54" s="241" t="s">
        <v>360</v>
      </c>
      <c r="G54" s="248">
        <v>42551</v>
      </c>
      <c r="H54" s="245" t="s">
        <v>324</v>
      </c>
      <c r="I54" s="245" t="s">
        <v>325</v>
      </c>
      <c r="J54" s="245"/>
      <c r="K54" s="244" t="s">
        <v>503</v>
      </c>
      <c r="L54" s="284" t="s">
        <v>391</v>
      </c>
      <c r="M54" s="246">
        <v>97.3</v>
      </c>
      <c r="N54" s="246">
        <v>24.599999999999998</v>
      </c>
      <c r="O54" s="241"/>
      <c r="P54" s="241"/>
      <c r="Q54" s="246"/>
      <c r="R54" s="241"/>
      <c r="S54" s="244"/>
      <c r="T54" s="241"/>
      <c r="U54" s="246" t="s">
        <v>320</v>
      </c>
      <c r="V54" s="246" t="s">
        <v>320</v>
      </c>
      <c r="W54" s="246"/>
      <c r="X54" s="241"/>
      <c r="Y54" s="241"/>
      <c r="Z54" s="241"/>
      <c r="AA54" s="241"/>
      <c r="AB54" s="241"/>
      <c r="AC54" s="241"/>
      <c r="AD54" s="246" t="s">
        <v>320</v>
      </c>
      <c r="AE54" s="246">
        <v>15.163636363636362</v>
      </c>
      <c r="AF54" s="241"/>
      <c r="AG54" s="241"/>
      <c r="AH54" s="246"/>
      <c r="AI54" s="241"/>
      <c r="AJ54" s="241"/>
      <c r="AK54" s="246" t="s">
        <v>320</v>
      </c>
      <c r="AL54" s="241"/>
      <c r="AM54" s="246" t="s">
        <v>320</v>
      </c>
      <c r="AN54" s="246" t="s">
        <v>320</v>
      </c>
      <c r="AO54" s="241" t="s">
        <v>361</v>
      </c>
      <c r="AP54" s="245" t="s">
        <v>325</v>
      </c>
      <c r="AQ54" s="289" t="s">
        <v>601</v>
      </c>
    </row>
    <row r="55" spans="1:43" ht="13" customHeight="1" x14ac:dyDescent="0.35">
      <c r="A55" s="241">
        <v>10419</v>
      </c>
      <c r="B55" s="279">
        <v>42559</v>
      </c>
      <c r="C55" s="243" t="s">
        <v>322</v>
      </c>
      <c r="D55" s="244" t="s">
        <v>382</v>
      </c>
      <c r="E55" s="241"/>
      <c r="F55" s="241" t="s">
        <v>367</v>
      </c>
      <c r="G55" s="247">
        <v>42551</v>
      </c>
      <c r="H55" s="245" t="s">
        <v>324</v>
      </c>
      <c r="I55" s="245" t="s">
        <v>325</v>
      </c>
      <c r="J55" s="245"/>
      <c r="K55" s="241" t="s">
        <v>326</v>
      </c>
      <c r="L55" s="284" t="s">
        <v>391</v>
      </c>
      <c r="M55" s="246">
        <v>87</v>
      </c>
      <c r="N55" s="246">
        <v>33.009090909090908</v>
      </c>
      <c r="O55" s="241"/>
      <c r="P55" s="241"/>
      <c r="Q55" s="246"/>
      <c r="R55" s="241"/>
      <c r="S55" s="244"/>
      <c r="T55" s="241"/>
      <c r="U55" s="246" t="s">
        <v>320</v>
      </c>
      <c r="V55" s="246" t="s">
        <v>320</v>
      </c>
      <c r="W55" s="246">
        <v>13.418181818181816</v>
      </c>
      <c r="X55" s="241"/>
      <c r="Y55" s="241"/>
      <c r="Z55" s="241"/>
      <c r="AA55" s="241"/>
      <c r="AB55" s="241"/>
      <c r="AC55" s="241"/>
      <c r="AD55" s="246" t="s">
        <v>320</v>
      </c>
      <c r="AE55" s="246"/>
      <c r="AF55" s="241"/>
      <c r="AG55" s="241"/>
      <c r="AH55" s="246">
        <v>33.009090909090908</v>
      </c>
      <c r="AI55" s="241"/>
      <c r="AJ55" s="241"/>
      <c r="AK55" s="246" t="s">
        <v>320</v>
      </c>
      <c r="AL55" s="241"/>
      <c r="AM55" s="246" t="s">
        <v>320</v>
      </c>
      <c r="AN55" s="246" t="s">
        <v>320</v>
      </c>
      <c r="AO55" s="241" t="s">
        <v>384</v>
      </c>
      <c r="AP55" s="245" t="s">
        <v>325</v>
      </c>
      <c r="AQ55" s="289" t="s">
        <v>602</v>
      </c>
    </row>
    <row r="56" spans="1:43" ht="13" customHeight="1" x14ac:dyDescent="0.35">
      <c r="A56" s="241">
        <v>10504</v>
      </c>
      <c r="B56" s="279">
        <v>42559</v>
      </c>
      <c r="C56" s="243" t="s">
        <v>322</v>
      </c>
      <c r="D56" s="244" t="s">
        <v>382</v>
      </c>
      <c r="E56" s="241"/>
      <c r="F56" s="241" t="s">
        <v>367</v>
      </c>
      <c r="G56" s="247">
        <v>42551</v>
      </c>
      <c r="H56" s="245" t="s">
        <v>324</v>
      </c>
      <c r="I56" s="245" t="s">
        <v>325</v>
      </c>
      <c r="J56" s="245"/>
      <c r="K56" s="241" t="s">
        <v>328</v>
      </c>
      <c r="L56" s="284" t="s">
        <v>391</v>
      </c>
      <c r="M56" s="246">
        <v>86.86</v>
      </c>
      <c r="N56" s="246">
        <v>31</v>
      </c>
      <c r="O56" s="241"/>
      <c r="P56" s="241"/>
      <c r="Q56" s="246"/>
      <c r="R56" s="241"/>
      <c r="S56" s="244"/>
      <c r="T56" s="241"/>
      <c r="U56" s="246" t="s">
        <v>320</v>
      </c>
      <c r="V56" s="246" t="s">
        <v>320</v>
      </c>
      <c r="W56" s="246">
        <v>17.5</v>
      </c>
      <c r="X56" s="241"/>
      <c r="Y56" s="241"/>
      <c r="Z56" s="241"/>
      <c r="AA56" s="241"/>
      <c r="AB56" s="241"/>
      <c r="AC56" s="241"/>
      <c r="AD56" s="246" t="s">
        <v>320</v>
      </c>
      <c r="AE56" s="246"/>
      <c r="AF56" s="241"/>
      <c r="AG56" s="241"/>
      <c r="AH56" s="246">
        <v>26.499999999999996</v>
      </c>
      <c r="AI56" s="241"/>
      <c r="AJ56" s="241"/>
      <c r="AK56" s="246" t="s">
        <v>320</v>
      </c>
      <c r="AL56" s="241"/>
      <c r="AM56" s="246" t="s">
        <v>320</v>
      </c>
      <c r="AN56" s="246" t="s">
        <v>320</v>
      </c>
      <c r="AO56" s="241" t="s">
        <v>384</v>
      </c>
      <c r="AP56" s="245" t="s">
        <v>325</v>
      </c>
      <c r="AQ56" s="289" t="s">
        <v>393</v>
      </c>
    </row>
    <row r="57" spans="1:43" ht="13" customHeight="1" x14ac:dyDescent="0.35">
      <c r="A57" s="241">
        <v>10600</v>
      </c>
      <c r="B57" s="279">
        <v>42559</v>
      </c>
      <c r="C57" s="243" t="s">
        <v>322</v>
      </c>
      <c r="D57" s="244" t="s">
        <v>382</v>
      </c>
      <c r="E57" s="241"/>
      <c r="F57" s="241" t="s">
        <v>367</v>
      </c>
      <c r="G57" s="247">
        <v>42551</v>
      </c>
      <c r="H57" s="245" t="s">
        <v>310</v>
      </c>
      <c r="I57" s="245" t="s">
        <v>309</v>
      </c>
      <c r="J57" s="245"/>
      <c r="K57" s="241" t="s">
        <v>329</v>
      </c>
      <c r="L57" s="224" t="s">
        <v>387</v>
      </c>
      <c r="M57" s="246">
        <v>90.499999999999986</v>
      </c>
      <c r="N57" s="246">
        <v>28.827272727272724</v>
      </c>
      <c r="O57" s="241"/>
      <c r="P57" s="241"/>
      <c r="Q57" s="246"/>
      <c r="R57" s="241"/>
      <c r="S57" s="244"/>
      <c r="T57" s="241"/>
      <c r="U57" s="246" t="s">
        <v>320</v>
      </c>
      <c r="V57" s="246" t="s">
        <v>320</v>
      </c>
      <c r="W57" s="246">
        <v>23.399999999999995</v>
      </c>
      <c r="X57" s="241"/>
      <c r="Y57" s="241"/>
      <c r="Z57" s="241"/>
      <c r="AA57" s="241"/>
      <c r="AB57" s="241"/>
      <c r="AC57" s="241"/>
      <c r="AD57" s="246" t="s">
        <v>320</v>
      </c>
      <c r="AE57" s="246"/>
      <c r="AF57" s="241"/>
      <c r="AG57" s="241"/>
      <c r="AH57" s="246">
        <v>23.9</v>
      </c>
      <c r="AI57" s="241"/>
      <c r="AJ57" s="241"/>
      <c r="AK57" s="246" t="s">
        <v>320</v>
      </c>
      <c r="AL57" s="241"/>
      <c r="AM57" s="246" t="s">
        <v>320</v>
      </c>
      <c r="AN57" s="246" t="s">
        <v>320</v>
      </c>
      <c r="AO57" s="241" t="s">
        <v>384</v>
      </c>
      <c r="AP57" s="245" t="s">
        <v>325</v>
      </c>
      <c r="AQ57" s="289" t="s">
        <v>603</v>
      </c>
    </row>
    <row r="58" spans="1:43" ht="13" customHeight="1" x14ac:dyDescent="0.35">
      <c r="A58" s="241">
        <v>1476</v>
      </c>
      <c r="B58" s="279">
        <v>42559</v>
      </c>
      <c r="C58" s="243" t="s">
        <v>322</v>
      </c>
      <c r="D58" s="244" t="s">
        <v>382</v>
      </c>
      <c r="E58" s="241"/>
      <c r="F58" s="241" t="s">
        <v>367</v>
      </c>
      <c r="G58" s="247">
        <v>42551</v>
      </c>
      <c r="H58" s="245" t="s">
        <v>324</v>
      </c>
      <c r="I58" s="245" t="s">
        <v>325</v>
      </c>
      <c r="J58" s="245"/>
      <c r="K58" s="241" t="s">
        <v>330</v>
      </c>
      <c r="L58" s="224" t="s">
        <v>387</v>
      </c>
      <c r="M58" s="246">
        <v>101.03636363636363</v>
      </c>
      <c r="N58" s="246">
        <v>27.727272727272727</v>
      </c>
      <c r="O58" s="241"/>
      <c r="P58" s="241"/>
      <c r="Q58" s="246"/>
      <c r="R58" s="241"/>
      <c r="S58" s="244"/>
      <c r="T58" s="241"/>
      <c r="U58" s="246" t="s">
        <v>320</v>
      </c>
      <c r="V58" s="246" t="s">
        <v>320</v>
      </c>
      <c r="W58" s="246">
        <v>22.281818181818181</v>
      </c>
      <c r="X58" s="241"/>
      <c r="Y58" s="241"/>
      <c r="Z58" s="241"/>
      <c r="AA58" s="241"/>
      <c r="AB58" s="241"/>
      <c r="AC58" s="241"/>
      <c r="AD58" s="246" t="s">
        <v>320</v>
      </c>
      <c r="AE58" s="246"/>
      <c r="AF58" s="241"/>
      <c r="AG58" s="241"/>
      <c r="AH58" s="246">
        <v>22.809090909090909</v>
      </c>
      <c r="AI58" s="241"/>
      <c r="AJ58" s="241"/>
      <c r="AK58" s="246" t="s">
        <v>320</v>
      </c>
      <c r="AL58" s="241"/>
      <c r="AM58" s="246" t="s">
        <v>320</v>
      </c>
      <c r="AN58" s="246" t="s">
        <v>320</v>
      </c>
      <c r="AO58" s="241" t="s">
        <v>384</v>
      </c>
      <c r="AP58" s="245" t="s">
        <v>325</v>
      </c>
      <c r="AQ58" s="289" t="s">
        <v>604</v>
      </c>
    </row>
    <row r="59" spans="1:43" ht="13" customHeight="1" x14ac:dyDescent="0.35">
      <c r="A59" s="241">
        <v>4657</v>
      </c>
      <c r="B59" s="279">
        <v>42559</v>
      </c>
      <c r="C59" s="243" t="s">
        <v>322</v>
      </c>
      <c r="D59" s="244" t="s">
        <v>382</v>
      </c>
      <c r="E59" s="241"/>
      <c r="F59" s="241" t="s">
        <v>367</v>
      </c>
      <c r="G59" s="247">
        <v>42551</v>
      </c>
      <c r="H59" s="245" t="s">
        <v>324</v>
      </c>
      <c r="I59" s="245" t="s">
        <v>325</v>
      </c>
      <c r="J59" s="245"/>
      <c r="K59" s="241" t="s">
        <v>331</v>
      </c>
      <c r="L59" s="224" t="s">
        <v>387</v>
      </c>
      <c r="M59" s="246">
        <v>87</v>
      </c>
      <c r="N59" s="246">
        <v>31</v>
      </c>
      <c r="O59" s="241"/>
      <c r="P59" s="241"/>
      <c r="Q59" s="246"/>
      <c r="R59" s="241"/>
      <c r="S59" s="244"/>
      <c r="T59" s="241"/>
      <c r="U59" s="246" t="s">
        <v>320</v>
      </c>
      <c r="V59" s="246" t="s">
        <v>320</v>
      </c>
      <c r="W59" s="246">
        <v>25.4</v>
      </c>
      <c r="X59" s="241"/>
      <c r="Y59" s="241"/>
      <c r="Z59" s="241"/>
      <c r="AA59" s="241"/>
      <c r="AB59" s="241"/>
      <c r="AC59" s="241"/>
      <c r="AD59" s="246" t="s">
        <v>320</v>
      </c>
      <c r="AE59" s="246"/>
      <c r="AF59" s="241"/>
      <c r="AG59" s="241"/>
      <c r="AH59" s="246">
        <v>19.499999999999996</v>
      </c>
      <c r="AI59" s="241"/>
      <c r="AJ59" s="241"/>
      <c r="AK59" s="246" t="s">
        <v>320</v>
      </c>
      <c r="AL59" s="241"/>
      <c r="AM59" s="246" t="s">
        <v>320</v>
      </c>
      <c r="AN59" s="246" t="s">
        <v>320</v>
      </c>
      <c r="AO59" s="241" t="s">
        <v>384</v>
      </c>
      <c r="AP59" s="245" t="s">
        <v>325</v>
      </c>
      <c r="AQ59" s="289" t="s">
        <v>605</v>
      </c>
    </row>
    <row r="60" spans="1:43" ht="13" customHeight="1" x14ac:dyDescent="0.3">
      <c r="A60" s="241">
        <v>1448</v>
      </c>
      <c r="B60" s="274">
        <v>42564</v>
      </c>
      <c r="C60" s="243" t="s">
        <v>322</v>
      </c>
      <c r="D60" s="244" t="s">
        <v>382</v>
      </c>
      <c r="E60" s="241"/>
      <c r="F60" s="241" t="s">
        <v>367</v>
      </c>
      <c r="G60" s="247">
        <v>42551</v>
      </c>
      <c r="H60" s="245" t="s">
        <v>324</v>
      </c>
      <c r="I60" s="245" t="s">
        <v>325</v>
      </c>
      <c r="J60" s="245"/>
      <c r="K60" s="241" t="s">
        <v>479</v>
      </c>
      <c r="L60" s="224" t="s">
        <v>222</v>
      </c>
      <c r="M60" s="246">
        <v>97</v>
      </c>
      <c r="N60" s="246">
        <v>36</v>
      </c>
      <c r="O60" s="241"/>
      <c r="P60" s="241"/>
      <c r="Q60" s="246"/>
      <c r="R60" s="241"/>
      <c r="S60" s="246"/>
      <c r="T60" s="241"/>
      <c r="U60" s="246" t="s">
        <v>320</v>
      </c>
      <c r="V60" s="246" t="s">
        <v>320</v>
      </c>
      <c r="W60" s="246">
        <v>17.245454545454542</v>
      </c>
      <c r="X60" s="241"/>
      <c r="Y60" s="241"/>
      <c r="Z60" s="241"/>
      <c r="AA60" s="241"/>
      <c r="AB60" s="241"/>
      <c r="AC60" s="241"/>
      <c r="AD60" s="246" t="s">
        <v>320</v>
      </c>
      <c r="AE60" s="246"/>
      <c r="AF60" s="241"/>
      <c r="AG60" s="241"/>
      <c r="AH60" s="246">
        <v>25.254545454545454</v>
      </c>
      <c r="AI60" s="241"/>
      <c r="AJ60" s="241"/>
      <c r="AK60" s="246" t="s">
        <v>320</v>
      </c>
      <c r="AL60" s="241"/>
      <c r="AM60" s="246" t="s">
        <v>320</v>
      </c>
      <c r="AN60" s="246" t="s">
        <v>320</v>
      </c>
      <c r="AO60" s="241" t="s">
        <v>384</v>
      </c>
      <c r="AP60" s="245" t="s">
        <v>325</v>
      </c>
      <c r="AQ60" t="s">
        <v>606</v>
      </c>
    </row>
    <row r="61" spans="1:43" ht="13" customHeight="1" x14ac:dyDescent="0.35">
      <c r="A61" s="241">
        <v>1488</v>
      </c>
      <c r="B61" s="279">
        <v>42559</v>
      </c>
      <c r="C61" s="243" t="s">
        <v>322</v>
      </c>
      <c r="D61" s="244" t="s">
        <v>382</v>
      </c>
      <c r="E61" s="241"/>
      <c r="F61" s="241" t="s">
        <v>367</v>
      </c>
      <c r="G61" s="248">
        <v>42551</v>
      </c>
      <c r="H61" s="245" t="s">
        <v>324</v>
      </c>
      <c r="I61" s="245" t="s">
        <v>325</v>
      </c>
      <c r="J61" s="245"/>
      <c r="K61" s="241" t="s">
        <v>397</v>
      </c>
      <c r="L61" s="224" t="s">
        <v>387</v>
      </c>
      <c r="M61" s="246">
        <v>101.03636363636363</v>
      </c>
      <c r="N61" s="246">
        <v>27.727272727272727</v>
      </c>
      <c r="O61" s="241"/>
      <c r="P61" s="241"/>
      <c r="Q61" s="246"/>
      <c r="R61" s="241"/>
      <c r="S61" s="246"/>
      <c r="T61" s="241"/>
      <c r="U61" s="246" t="s">
        <v>320</v>
      </c>
      <c r="V61" s="246" t="s">
        <v>320</v>
      </c>
      <c r="W61" s="246">
        <v>22.281818181818181</v>
      </c>
      <c r="X61" s="241"/>
      <c r="Y61" s="241"/>
      <c r="Z61" s="241"/>
      <c r="AA61" s="241"/>
      <c r="AB61" s="241"/>
      <c r="AC61" s="241"/>
      <c r="AD61" s="246" t="s">
        <v>320</v>
      </c>
      <c r="AE61" s="246"/>
      <c r="AF61" s="241"/>
      <c r="AG61" s="241"/>
      <c r="AH61" s="246">
        <v>22.809090909090909</v>
      </c>
      <c r="AI61" s="241"/>
      <c r="AJ61" s="241"/>
      <c r="AK61" s="246" t="s">
        <v>320</v>
      </c>
      <c r="AL61" s="241"/>
      <c r="AM61" s="246" t="s">
        <v>320</v>
      </c>
      <c r="AN61" s="246" t="s">
        <v>320</v>
      </c>
      <c r="AO61" s="241" t="s">
        <v>384</v>
      </c>
      <c r="AP61" s="245" t="s">
        <v>325</v>
      </c>
      <c r="AQ61" s="289" t="s">
        <v>607</v>
      </c>
    </row>
    <row r="62" spans="1:43" ht="13" customHeight="1" x14ac:dyDescent="0.35">
      <c r="A62" s="241">
        <v>10273</v>
      </c>
      <c r="B62" s="279">
        <v>42559</v>
      </c>
      <c r="C62" s="243" t="s">
        <v>322</v>
      </c>
      <c r="D62" s="244" t="s">
        <v>382</v>
      </c>
      <c r="E62" s="241"/>
      <c r="F62" s="241" t="s">
        <v>367</v>
      </c>
      <c r="G62" s="248">
        <v>42551</v>
      </c>
      <c r="H62" s="245" t="s">
        <v>324</v>
      </c>
      <c r="I62" s="245" t="s">
        <v>325</v>
      </c>
      <c r="J62" s="245"/>
      <c r="K62" s="241" t="s">
        <v>340</v>
      </c>
      <c r="L62" s="224" t="s">
        <v>399</v>
      </c>
      <c r="M62" s="246">
        <v>90.499999999999986</v>
      </c>
      <c r="N62" s="246">
        <v>36.081818181818178</v>
      </c>
      <c r="O62" s="241"/>
      <c r="P62" s="241"/>
      <c r="Q62" s="246"/>
      <c r="R62" s="241"/>
      <c r="S62" s="246"/>
      <c r="T62" s="241"/>
      <c r="U62" s="246" t="s">
        <v>320</v>
      </c>
      <c r="V62" s="246" t="s">
        <v>320</v>
      </c>
      <c r="W62" s="246">
        <v>17.754545454545454</v>
      </c>
      <c r="X62" s="241"/>
      <c r="Y62" s="241"/>
      <c r="Z62" s="241"/>
      <c r="AA62" s="241"/>
      <c r="AB62" s="241"/>
      <c r="AC62" s="241"/>
      <c r="AD62" s="246" t="s">
        <v>320</v>
      </c>
      <c r="AE62" s="246"/>
      <c r="AF62" s="241"/>
      <c r="AG62" s="241"/>
      <c r="AH62" s="246">
        <v>27.945454545454542</v>
      </c>
      <c r="AI62" s="241"/>
      <c r="AJ62" s="241"/>
      <c r="AK62" s="246" t="s">
        <v>320</v>
      </c>
      <c r="AL62" s="241"/>
      <c r="AM62" s="246" t="s">
        <v>320</v>
      </c>
      <c r="AN62" s="246" t="s">
        <v>320</v>
      </c>
      <c r="AO62" s="241" t="s">
        <v>384</v>
      </c>
      <c r="AP62" s="245" t="s">
        <v>325</v>
      </c>
      <c r="AQ62" s="289" t="s">
        <v>608</v>
      </c>
    </row>
    <row r="63" spans="1:43" ht="13" customHeight="1" x14ac:dyDescent="0.3">
      <c r="A63" s="241">
        <v>5647</v>
      </c>
      <c r="B63" s="274">
        <v>42564</v>
      </c>
      <c r="C63" s="243" t="s">
        <v>322</v>
      </c>
      <c r="D63" s="244" t="s">
        <v>382</v>
      </c>
      <c r="E63" s="241"/>
      <c r="F63" s="241" t="s">
        <v>367</v>
      </c>
      <c r="G63" s="248">
        <v>42553</v>
      </c>
      <c r="H63" s="245" t="s">
        <v>324</v>
      </c>
      <c r="I63" s="245" t="s">
        <v>325</v>
      </c>
      <c r="J63" s="245"/>
      <c r="K63" s="241" t="s">
        <v>401</v>
      </c>
      <c r="L63" s="224" t="s">
        <v>222</v>
      </c>
      <c r="M63" s="246">
        <v>106.32727272727271</v>
      </c>
      <c r="N63" s="246">
        <v>35.72727272727272</v>
      </c>
      <c r="O63" s="241"/>
      <c r="P63" s="241"/>
      <c r="Q63" s="246"/>
      <c r="R63" s="241"/>
      <c r="S63" s="246"/>
      <c r="T63" s="241"/>
      <c r="U63" s="246" t="s">
        <v>320</v>
      </c>
      <c r="V63" s="246" t="s">
        <v>320</v>
      </c>
      <c r="W63" s="246">
        <v>17.872727272727271</v>
      </c>
      <c r="X63" s="241"/>
      <c r="Y63" s="241"/>
      <c r="Z63" s="241"/>
      <c r="AA63" s="241"/>
      <c r="AB63" s="241"/>
      <c r="AC63" s="241"/>
      <c r="AD63" s="246" t="s">
        <v>320</v>
      </c>
      <c r="AE63" s="246"/>
      <c r="AF63" s="241"/>
      <c r="AG63" s="241"/>
      <c r="AH63" s="246">
        <v>21.854545454545452</v>
      </c>
      <c r="AI63" s="241"/>
      <c r="AJ63" s="241"/>
      <c r="AK63" s="246" t="s">
        <v>320</v>
      </c>
      <c r="AL63" s="241"/>
      <c r="AM63" s="246" t="s">
        <v>320</v>
      </c>
      <c r="AN63" s="246" t="s">
        <v>320</v>
      </c>
      <c r="AO63" s="241" t="s">
        <v>384</v>
      </c>
      <c r="AP63" s="245" t="s">
        <v>325</v>
      </c>
      <c r="AQ63" t="s">
        <v>609</v>
      </c>
    </row>
    <row r="64" spans="1:43" ht="13" customHeight="1" x14ac:dyDescent="0.35">
      <c r="A64" s="241">
        <v>4378</v>
      </c>
      <c r="B64" s="279">
        <v>42559</v>
      </c>
      <c r="C64" s="243" t="s">
        <v>322</v>
      </c>
      <c r="D64" s="244" t="s">
        <v>382</v>
      </c>
      <c r="E64" s="241"/>
      <c r="F64" s="241" t="s">
        <v>367</v>
      </c>
      <c r="G64" s="248">
        <v>42551</v>
      </c>
      <c r="H64" s="245" t="s">
        <v>324</v>
      </c>
      <c r="I64" s="245" t="s">
        <v>325</v>
      </c>
      <c r="J64" s="245"/>
      <c r="K64" s="241" t="s">
        <v>403</v>
      </c>
      <c r="L64" s="284" t="s">
        <v>391</v>
      </c>
      <c r="M64" s="246">
        <v>94.881818181818176</v>
      </c>
      <c r="N64" s="246">
        <v>33.054545454545455</v>
      </c>
      <c r="O64" s="241"/>
      <c r="P64" s="241"/>
      <c r="Q64" s="246"/>
      <c r="R64" s="246"/>
      <c r="S64" s="246"/>
      <c r="T64" s="241"/>
      <c r="U64" s="246" t="s">
        <v>320</v>
      </c>
      <c r="V64" s="246" t="s">
        <v>320</v>
      </c>
      <c r="W64" s="246">
        <v>16.27272727272727</v>
      </c>
      <c r="X64" s="241"/>
      <c r="Y64" s="241"/>
      <c r="Z64" s="241"/>
      <c r="AA64" s="241"/>
      <c r="AB64" s="241"/>
      <c r="AC64" s="241"/>
      <c r="AD64" s="246" t="s">
        <v>320</v>
      </c>
      <c r="AE64" s="246"/>
      <c r="AF64" s="241"/>
      <c r="AG64" s="241"/>
      <c r="AH64" s="246">
        <v>23.354545454545455</v>
      </c>
      <c r="AI64" s="241"/>
      <c r="AJ64" s="241"/>
      <c r="AK64" s="246" t="s">
        <v>320</v>
      </c>
      <c r="AL64" s="241"/>
      <c r="AM64" s="246" t="s">
        <v>320</v>
      </c>
      <c r="AN64" s="246" t="s">
        <v>320</v>
      </c>
      <c r="AO64" s="241" t="s">
        <v>384</v>
      </c>
      <c r="AP64" s="245" t="s">
        <v>325</v>
      </c>
      <c r="AQ64" s="289" t="s">
        <v>610</v>
      </c>
    </row>
    <row r="65" spans="1:43" ht="13" customHeight="1" x14ac:dyDescent="0.35">
      <c r="A65" s="241">
        <v>10528</v>
      </c>
      <c r="B65" s="279">
        <v>42559</v>
      </c>
      <c r="C65" s="243" t="s">
        <v>322</v>
      </c>
      <c r="D65" s="244" t="s">
        <v>382</v>
      </c>
      <c r="E65" s="241"/>
      <c r="F65" s="241" t="s">
        <v>367</v>
      </c>
      <c r="G65" s="248">
        <v>42551</v>
      </c>
      <c r="H65" s="245" t="s">
        <v>324</v>
      </c>
      <c r="I65" s="245" t="s">
        <v>325</v>
      </c>
      <c r="J65" s="245"/>
      <c r="K65" s="241" t="s">
        <v>348</v>
      </c>
      <c r="L65" s="284" t="s">
        <v>391</v>
      </c>
      <c r="M65" s="246">
        <v>95.672727272727258</v>
      </c>
      <c r="N65" s="246">
        <v>34.945454545454538</v>
      </c>
      <c r="O65" s="241"/>
      <c r="P65" s="241"/>
      <c r="Q65" s="246"/>
      <c r="R65" s="241"/>
      <c r="S65" s="246"/>
      <c r="T65" s="241"/>
      <c r="U65" s="246" t="s">
        <v>320</v>
      </c>
      <c r="V65" s="246" t="s">
        <v>320</v>
      </c>
      <c r="W65" s="246">
        <v>17.154545454545453</v>
      </c>
      <c r="X65" s="241"/>
      <c r="Y65" s="241"/>
      <c r="Z65" s="241"/>
      <c r="AA65" s="241"/>
      <c r="AB65" s="241"/>
      <c r="AC65" s="241"/>
      <c r="AD65" s="246" t="s">
        <v>320</v>
      </c>
      <c r="AE65" s="246"/>
      <c r="AF65" s="241"/>
      <c r="AG65" s="241"/>
      <c r="AH65" s="246">
        <v>27.763636363636362</v>
      </c>
      <c r="AI65" s="241"/>
      <c r="AJ65" s="241"/>
      <c r="AK65" s="246" t="s">
        <v>320</v>
      </c>
      <c r="AL65" s="241"/>
      <c r="AM65" s="246" t="s">
        <v>320</v>
      </c>
      <c r="AN65" s="246" t="s">
        <v>320</v>
      </c>
      <c r="AO65" s="241" t="s">
        <v>384</v>
      </c>
      <c r="AP65" s="245" t="s">
        <v>325</v>
      </c>
      <c r="AQ65" s="289" t="s">
        <v>611</v>
      </c>
    </row>
    <row r="66" spans="1:43" ht="13" customHeight="1" x14ac:dyDescent="0.35">
      <c r="A66" s="241">
        <v>10327</v>
      </c>
      <c r="B66" s="279">
        <v>42559</v>
      </c>
      <c r="C66" s="243" t="s">
        <v>322</v>
      </c>
      <c r="D66" s="244" t="s">
        <v>382</v>
      </c>
      <c r="E66" s="241"/>
      <c r="F66" s="241" t="s">
        <v>367</v>
      </c>
      <c r="G66" s="248">
        <v>42551</v>
      </c>
      <c r="H66" s="245" t="s">
        <v>324</v>
      </c>
      <c r="I66" s="245" t="s">
        <v>325</v>
      </c>
      <c r="J66" s="245"/>
      <c r="K66" s="241" t="s">
        <v>406</v>
      </c>
      <c r="L66" s="284" t="s">
        <v>222</v>
      </c>
      <c r="M66" s="246">
        <v>87</v>
      </c>
      <c r="N66" s="246">
        <v>33.01</v>
      </c>
      <c r="O66" s="241"/>
      <c r="P66" s="241"/>
      <c r="Q66" s="246"/>
      <c r="R66" s="241"/>
      <c r="S66" s="246"/>
      <c r="T66" s="241"/>
      <c r="U66" s="246" t="s">
        <v>320</v>
      </c>
      <c r="V66" s="246" t="s">
        <v>320</v>
      </c>
      <c r="W66" s="246">
        <v>13.42</v>
      </c>
      <c r="X66" s="241"/>
      <c r="Y66" s="241"/>
      <c r="Z66" s="241"/>
      <c r="AA66" s="241"/>
      <c r="AB66" s="241"/>
      <c r="AC66" s="241"/>
      <c r="AD66" s="246" t="s">
        <v>320</v>
      </c>
      <c r="AE66" s="246"/>
      <c r="AF66" s="241"/>
      <c r="AG66" s="241"/>
      <c r="AH66" s="246">
        <v>27.669999999999998</v>
      </c>
      <c r="AI66" s="241"/>
      <c r="AJ66" s="241"/>
      <c r="AK66" s="246" t="s">
        <v>320</v>
      </c>
      <c r="AL66" s="241"/>
      <c r="AM66" s="246" t="s">
        <v>320</v>
      </c>
      <c r="AN66" s="246" t="s">
        <v>320</v>
      </c>
      <c r="AO66" s="241" t="s">
        <v>384</v>
      </c>
      <c r="AP66" s="245" t="s">
        <v>325</v>
      </c>
      <c r="AQ66" t="s">
        <v>407</v>
      </c>
    </row>
    <row r="67" spans="1:43" ht="13" customHeight="1" x14ac:dyDescent="0.35">
      <c r="A67" s="241">
        <v>10682</v>
      </c>
      <c r="B67" s="279">
        <v>42559</v>
      </c>
      <c r="C67" s="243" t="s">
        <v>322</v>
      </c>
      <c r="D67" s="244" t="s">
        <v>382</v>
      </c>
      <c r="E67" s="241"/>
      <c r="F67" s="241" t="s">
        <v>367</v>
      </c>
      <c r="G67" s="248">
        <v>42551</v>
      </c>
      <c r="H67" s="245" t="s">
        <v>324</v>
      </c>
      <c r="I67" s="245" t="s">
        <v>325</v>
      </c>
      <c r="J67" s="245"/>
      <c r="K67" s="241" t="s">
        <v>408</v>
      </c>
      <c r="L67" s="284" t="s">
        <v>391</v>
      </c>
      <c r="M67" s="246">
        <v>111.16363636363636</v>
      </c>
      <c r="N67" s="246">
        <v>33.690909090909088</v>
      </c>
      <c r="O67" s="241"/>
      <c r="P67" s="241"/>
      <c r="Q67" s="246"/>
      <c r="R67" s="241"/>
      <c r="S67" s="246"/>
      <c r="T67" s="241"/>
      <c r="U67" s="246" t="s">
        <v>320</v>
      </c>
      <c r="V67" s="246" t="s">
        <v>320</v>
      </c>
      <c r="W67" s="246">
        <v>15.527272727272724</v>
      </c>
      <c r="X67" s="241"/>
      <c r="Y67" s="241"/>
      <c r="Z67" s="241"/>
      <c r="AA67" s="241"/>
      <c r="AB67" s="241"/>
      <c r="AC67" s="241"/>
      <c r="AD67" s="246" t="s">
        <v>320</v>
      </c>
      <c r="AE67" s="246"/>
      <c r="AF67" s="241"/>
      <c r="AG67" s="241"/>
      <c r="AH67" s="246">
        <v>24.618181818181814</v>
      </c>
      <c r="AI67" s="241"/>
      <c r="AJ67" s="241"/>
      <c r="AK67" s="246" t="s">
        <v>320</v>
      </c>
      <c r="AL67" s="241"/>
      <c r="AM67" s="246" t="s">
        <v>320</v>
      </c>
      <c r="AN67" s="246" t="s">
        <v>320</v>
      </c>
      <c r="AO67" s="241" t="s">
        <v>384</v>
      </c>
      <c r="AP67" s="245" t="s">
        <v>325</v>
      </c>
      <c r="AQ67" s="289" t="s">
        <v>612</v>
      </c>
    </row>
    <row r="68" spans="1:43" ht="13" customHeight="1" x14ac:dyDescent="0.35">
      <c r="A68" s="241">
        <v>1400</v>
      </c>
      <c r="B68" s="279">
        <v>42559</v>
      </c>
      <c r="C68" s="243" t="s">
        <v>322</v>
      </c>
      <c r="D68" s="244" t="s">
        <v>382</v>
      </c>
      <c r="E68" s="241"/>
      <c r="F68" s="241" t="s">
        <v>367</v>
      </c>
      <c r="G68" s="248">
        <v>42551</v>
      </c>
      <c r="H68" s="245" t="s">
        <v>324</v>
      </c>
      <c r="I68" s="245" t="s">
        <v>325</v>
      </c>
      <c r="J68" s="245"/>
      <c r="K68" s="241" t="s">
        <v>410</v>
      </c>
      <c r="L68" s="284" t="s">
        <v>391</v>
      </c>
      <c r="M68" s="246">
        <v>102.3</v>
      </c>
      <c r="N68" s="246">
        <v>32</v>
      </c>
      <c r="O68" s="244"/>
      <c r="P68" s="241"/>
      <c r="Q68" s="246"/>
      <c r="R68" s="246"/>
      <c r="S68" s="246"/>
      <c r="T68" s="241"/>
      <c r="U68" s="246" t="s">
        <v>320</v>
      </c>
      <c r="V68" s="246" t="s">
        <v>320</v>
      </c>
      <c r="W68" s="246">
        <v>18</v>
      </c>
      <c r="X68" s="241"/>
      <c r="Y68" s="241"/>
      <c r="Z68" s="241"/>
      <c r="AA68" s="241"/>
      <c r="AB68" s="241"/>
      <c r="AC68" s="241"/>
      <c r="AD68" s="246" t="s">
        <v>320</v>
      </c>
      <c r="AE68" s="246"/>
      <c r="AF68" s="241"/>
      <c r="AG68" s="241"/>
      <c r="AH68" s="246">
        <v>23.099999999999998</v>
      </c>
      <c r="AI68" s="241"/>
      <c r="AJ68" s="241"/>
      <c r="AK68" s="246" t="s">
        <v>320</v>
      </c>
      <c r="AL68" s="241"/>
      <c r="AM68" s="246" t="s">
        <v>320</v>
      </c>
      <c r="AN68" s="246" t="s">
        <v>320</v>
      </c>
      <c r="AO68" s="241" t="s">
        <v>384</v>
      </c>
      <c r="AP68" s="245" t="s">
        <v>325</v>
      </c>
      <c r="AQ68" s="289" t="s">
        <v>613</v>
      </c>
    </row>
    <row r="69" spans="1:43" ht="13" customHeight="1" x14ac:dyDescent="0.35">
      <c r="A69" s="241">
        <v>3604</v>
      </c>
      <c r="B69" s="279">
        <v>42559</v>
      </c>
      <c r="C69" s="243" t="s">
        <v>322</v>
      </c>
      <c r="D69" s="244" t="s">
        <v>382</v>
      </c>
      <c r="E69" s="241"/>
      <c r="F69" s="241" t="s">
        <v>367</v>
      </c>
      <c r="G69" s="248">
        <v>42551</v>
      </c>
      <c r="H69" s="245" t="s">
        <v>324</v>
      </c>
      <c r="I69" s="245" t="s">
        <v>325</v>
      </c>
      <c r="J69" s="245"/>
      <c r="K69" s="241" t="s">
        <v>412</v>
      </c>
      <c r="L69" s="284" t="s">
        <v>391</v>
      </c>
      <c r="M69" s="246">
        <v>89.090909090909079</v>
      </c>
      <c r="N69" s="246">
        <v>34.799999999999997</v>
      </c>
      <c r="O69" s="241"/>
      <c r="P69" s="241"/>
      <c r="Q69" s="246"/>
      <c r="R69" s="241"/>
      <c r="S69" s="244"/>
      <c r="T69" s="241"/>
      <c r="U69" s="246" t="s">
        <v>320</v>
      </c>
      <c r="V69" s="246" t="s">
        <v>320</v>
      </c>
      <c r="W69" s="246">
        <v>16.999999999999996</v>
      </c>
      <c r="X69" s="241"/>
      <c r="Y69" s="241"/>
      <c r="Z69" s="241"/>
      <c r="AA69" s="241"/>
      <c r="AB69" s="241"/>
      <c r="AC69" s="241"/>
      <c r="AD69" s="246" t="s">
        <v>320</v>
      </c>
      <c r="AE69" s="246"/>
      <c r="AF69" s="241"/>
      <c r="AG69" s="241"/>
      <c r="AH69" s="246">
        <v>30.190909090909088</v>
      </c>
      <c r="AI69" s="241"/>
      <c r="AJ69" s="241"/>
      <c r="AK69" s="246" t="s">
        <v>320</v>
      </c>
      <c r="AL69" s="241"/>
      <c r="AM69" s="246" t="s">
        <v>320</v>
      </c>
      <c r="AN69" s="246" t="s">
        <v>320</v>
      </c>
      <c r="AO69" s="241" t="s">
        <v>384</v>
      </c>
      <c r="AP69" s="245" t="s">
        <v>325</v>
      </c>
      <c r="AQ69" s="289" t="s">
        <v>614</v>
      </c>
    </row>
    <row r="70" spans="1:43" ht="13" customHeight="1" x14ac:dyDescent="0.35">
      <c r="A70" s="241">
        <v>10377</v>
      </c>
      <c r="B70" s="279">
        <v>42559</v>
      </c>
      <c r="C70" s="243" t="s">
        <v>322</v>
      </c>
      <c r="D70" s="244" t="s">
        <v>382</v>
      </c>
      <c r="E70" s="241"/>
      <c r="F70" s="241" t="s">
        <v>367</v>
      </c>
      <c r="G70" s="248">
        <v>42551</v>
      </c>
      <c r="H70" s="245" t="s">
        <v>310</v>
      </c>
      <c r="I70" s="245" t="s">
        <v>309</v>
      </c>
      <c r="J70" s="245"/>
      <c r="K70" s="241" t="s">
        <v>239</v>
      </c>
      <c r="L70" s="284" t="s">
        <v>391</v>
      </c>
      <c r="M70" s="246">
        <v>130</v>
      </c>
      <c r="N70" s="246">
        <v>24.499999999999996</v>
      </c>
      <c r="O70" s="241"/>
      <c r="P70" s="241"/>
      <c r="Q70" s="246"/>
      <c r="R70" s="241"/>
      <c r="S70" s="244"/>
      <c r="T70" s="241"/>
      <c r="U70" s="246" t="s">
        <v>320</v>
      </c>
      <c r="V70" s="246" t="s">
        <v>320</v>
      </c>
      <c r="W70" s="246">
        <v>18.999999999999996</v>
      </c>
      <c r="X70" s="241"/>
      <c r="Y70" s="241"/>
      <c r="Z70" s="241"/>
      <c r="AA70" s="241"/>
      <c r="AB70" s="241"/>
      <c r="AC70" s="241"/>
      <c r="AD70" s="246" t="s">
        <v>320</v>
      </c>
      <c r="AE70" s="246"/>
      <c r="AF70" s="241"/>
      <c r="AG70" s="241"/>
      <c r="AH70" s="246">
        <v>21.7</v>
      </c>
      <c r="AI70" s="241"/>
      <c r="AJ70" s="241"/>
      <c r="AK70" s="246" t="s">
        <v>320</v>
      </c>
      <c r="AL70" s="241"/>
      <c r="AM70" s="246" t="s">
        <v>320</v>
      </c>
      <c r="AN70" s="246" t="s">
        <v>320</v>
      </c>
      <c r="AO70" s="241" t="s">
        <v>384</v>
      </c>
      <c r="AP70" s="245" t="s">
        <v>325</v>
      </c>
      <c r="AQ70" s="289" t="s">
        <v>615</v>
      </c>
    </row>
    <row r="71" spans="1:43" ht="13" customHeight="1" x14ac:dyDescent="0.35">
      <c r="A71" s="241">
        <v>9681</v>
      </c>
      <c r="B71" s="279">
        <v>42559</v>
      </c>
      <c r="C71" s="243" t="s">
        <v>322</v>
      </c>
      <c r="D71" s="244" t="s">
        <v>382</v>
      </c>
      <c r="E71" s="241"/>
      <c r="F71" s="241" t="s">
        <v>367</v>
      </c>
      <c r="G71" s="248">
        <v>42551</v>
      </c>
      <c r="H71" s="245" t="s">
        <v>310</v>
      </c>
      <c r="I71" s="245" t="s">
        <v>309</v>
      </c>
      <c r="J71" s="245"/>
      <c r="K71" s="241" t="s">
        <v>307</v>
      </c>
      <c r="L71" s="224" t="s">
        <v>387</v>
      </c>
      <c r="M71" s="246">
        <v>90.499999999999986</v>
      </c>
      <c r="N71" s="246">
        <v>28.827272727272724</v>
      </c>
      <c r="O71" s="241"/>
      <c r="P71" s="241"/>
      <c r="Q71" s="246"/>
      <c r="R71" s="241"/>
      <c r="S71" s="244"/>
      <c r="T71" s="241"/>
      <c r="U71" s="246" t="s">
        <v>320</v>
      </c>
      <c r="V71" s="246" t="s">
        <v>320</v>
      </c>
      <c r="W71" s="246">
        <v>23.399999999999995</v>
      </c>
      <c r="X71" s="241"/>
      <c r="Y71" s="241"/>
      <c r="Z71" s="241"/>
      <c r="AA71" s="241"/>
      <c r="AB71" s="241"/>
      <c r="AC71" s="241"/>
      <c r="AD71" s="246" t="s">
        <v>320</v>
      </c>
      <c r="AE71" s="246"/>
      <c r="AF71" s="241"/>
      <c r="AG71" s="241"/>
      <c r="AH71" s="246">
        <v>23.9</v>
      </c>
      <c r="AI71" s="241"/>
      <c r="AJ71" s="241"/>
      <c r="AK71" s="246" t="s">
        <v>320</v>
      </c>
      <c r="AL71" s="241"/>
      <c r="AM71" s="246" t="s">
        <v>320</v>
      </c>
      <c r="AN71" s="246" t="s">
        <v>320</v>
      </c>
      <c r="AO71" s="241" t="s">
        <v>384</v>
      </c>
      <c r="AP71" s="245" t="s">
        <v>325</v>
      </c>
      <c r="AQ71" s="289" t="s">
        <v>616</v>
      </c>
    </row>
    <row r="72" spans="1:43" ht="13" customHeight="1" x14ac:dyDescent="0.35">
      <c r="A72" s="241"/>
      <c r="B72" s="279">
        <v>42559</v>
      </c>
      <c r="C72" s="243" t="s">
        <v>322</v>
      </c>
      <c r="D72" s="244" t="s">
        <v>382</v>
      </c>
      <c r="E72" s="241"/>
      <c r="F72" s="241" t="s">
        <v>367</v>
      </c>
      <c r="G72" s="248">
        <v>42551</v>
      </c>
      <c r="H72" s="245" t="s">
        <v>310</v>
      </c>
      <c r="I72" s="245" t="s">
        <v>309</v>
      </c>
      <c r="J72" s="245"/>
      <c r="K72" s="241" t="s">
        <v>388</v>
      </c>
      <c r="L72" s="284" t="s">
        <v>391</v>
      </c>
      <c r="M72" s="246">
        <v>94.999999999999986</v>
      </c>
      <c r="N72" s="246">
        <v>24.599999999999998</v>
      </c>
      <c r="O72" s="241"/>
      <c r="P72" s="241"/>
      <c r="Q72" s="246"/>
      <c r="R72" s="241"/>
      <c r="S72" s="244"/>
      <c r="T72" s="241"/>
      <c r="U72" s="246" t="s">
        <v>320</v>
      </c>
      <c r="V72" s="246" t="s">
        <v>320</v>
      </c>
      <c r="W72" s="246">
        <v>24.599999999999998</v>
      </c>
      <c r="X72" s="241"/>
      <c r="Y72" s="241"/>
      <c r="Z72" s="241"/>
      <c r="AA72" s="241"/>
      <c r="AB72" s="241"/>
      <c r="AC72" s="241"/>
      <c r="AD72" s="246" t="s">
        <v>320</v>
      </c>
      <c r="AE72" s="246"/>
      <c r="AF72" s="241"/>
      <c r="AG72" s="241"/>
      <c r="AH72" s="246">
        <v>24.599999999999998</v>
      </c>
      <c r="AI72" s="241"/>
      <c r="AJ72" s="241"/>
      <c r="AK72" s="246" t="s">
        <v>320</v>
      </c>
      <c r="AL72" s="241"/>
      <c r="AM72" s="246" t="s">
        <v>320</v>
      </c>
      <c r="AN72" s="246" t="s">
        <v>320</v>
      </c>
      <c r="AO72" s="241" t="s">
        <v>384</v>
      </c>
      <c r="AP72" s="245" t="s">
        <v>325</v>
      </c>
      <c r="AQ72" s="289" t="s">
        <v>617</v>
      </c>
    </row>
    <row r="73" spans="1:43" ht="13" customHeight="1" x14ac:dyDescent="0.35">
      <c r="A73" s="241"/>
      <c r="B73" s="279">
        <v>42559</v>
      </c>
      <c r="C73" s="243" t="s">
        <v>322</v>
      </c>
      <c r="D73" s="244" t="s">
        <v>382</v>
      </c>
      <c r="E73" s="241"/>
      <c r="F73" s="241" t="s">
        <v>367</v>
      </c>
      <c r="G73" s="248">
        <v>42494</v>
      </c>
      <c r="H73" s="245" t="s">
        <v>310</v>
      </c>
      <c r="I73" s="245" t="s">
        <v>309</v>
      </c>
      <c r="J73" s="245"/>
      <c r="K73" s="241" t="s">
        <v>422</v>
      </c>
      <c r="L73" s="284" t="s">
        <v>391</v>
      </c>
      <c r="M73" s="246">
        <v>93.736363636363635</v>
      </c>
      <c r="N73" s="246">
        <v>29.945454545454542</v>
      </c>
      <c r="O73" s="241"/>
      <c r="P73" s="241"/>
      <c r="Q73" s="246"/>
      <c r="R73" s="241"/>
      <c r="S73" s="244"/>
      <c r="T73" s="241"/>
      <c r="U73" s="246" t="s">
        <v>320</v>
      </c>
      <c r="V73" s="246" t="s">
        <v>320</v>
      </c>
      <c r="W73" s="246">
        <v>21.245454545454546</v>
      </c>
      <c r="X73" s="241"/>
      <c r="Y73" s="241"/>
      <c r="Z73" s="241"/>
      <c r="AA73" s="241"/>
      <c r="AB73" s="241"/>
      <c r="AC73" s="241"/>
      <c r="AD73" s="246" t="s">
        <v>320</v>
      </c>
      <c r="AE73" s="246"/>
      <c r="AF73" s="241"/>
      <c r="AG73" s="241"/>
      <c r="AH73" s="246">
        <v>23.209090909090907</v>
      </c>
      <c r="AI73" s="241"/>
      <c r="AJ73" s="241"/>
      <c r="AK73" s="246" t="s">
        <v>320</v>
      </c>
      <c r="AL73" s="241"/>
      <c r="AM73" s="246" t="s">
        <v>320</v>
      </c>
      <c r="AN73" s="246" t="s">
        <v>320</v>
      </c>
      <c r="AO73" s="241" t="s">
        <v>384</v>
      </c>
      <c r="AP73" s="245" t="s">
        <v>325</v>
      </c>
      <c r="AQ73" s="289" t="s">
        <v>618</v>
      </c>
    </row>
    <row r="74" spans="1:43" ht="13" customHeight="1" x14ac:dyDescent="0.35">
      <c r="A74" s="241"/>
      <c r="B74" s="279">
        <v>42559</v>
      </c>
      <c r="C74" s="243" t="s">
        <v>322</v>
      </c>
      <c r="D74" s="244" t="s">
        <v>382</v>
      </c>
      <c r="E74" s="241"/>
      <c r="F74" s="241" t="s">
        <v>367</v>
      </c>
      <c r="G74" s="248">
        <v>42551</v>
      </c>
      <c r="H74" s="245" t="s">
        <v>309</v>
      </c>
      <c r="I74" s="245" t="s">
        <v>355</v>
      </c>
      <c r="J74" s="245"/>
      <c r="K74" s="241" t="s">
        <v>426</v>
      </c>
      <c r="L74" s="284" t="s">
        <v>391</v>
      </c>
      <c r="M74" s="246">
        <v>106.32727272727271</v>
      </c>
      <c r="N74" s="246">
        <v>35.72727272727272</v>
      </c>
      <c r="O74" s="241"/>
      <c r="P74" s="241"/>
      <c r="Q74" s="246"/>
      <c r="R74" s="241"/>
      <c r="S74" s="244"/>
      <c r="T74" s="241"/>
      <c r="U74" s="246" t="s">
        <v>320</v>
      </c>
      <c r="V74" s="246" t="s">
        <v>320</v>
      </c>
      <c r="W74" s="246">
        <v>17.872727272727271</v>
      </c>
      <c r="X74" s="241"/>
      <c r="Y74" s="241"/>
      <c r="Z74" s="241"/>
      <c r="AA74" s="241"/>
      <c r="AB74" s="241"/>
      <c r="AC74" s="241"/>
      <c r="AD74" s="246" t="s">
        <v>320</v>
      </c>
      <c r="AE74" s="246"/>
      <c r="AF74" s="241"/>
      <c r="AG74" s="241"/>
      <c r="AH74" s="246">
        <v>21.854545454545452</v>
      </c>
      <c r="AI74" s="241"/>
      <c r="AJ74" s="241"/>
      <c r="AK74" s="246" t="s">
        <v>320</v>
      </c>
      <c r="AL74" s="241"/>
      <c r="AM74" s="246" t="s">
        <v>320</v>
      </c>
      <c r="AN74" s="246" t="s">
        <v>320</v>
      </c>
      <c r="AO74" s="241" t="s">
        <v>384</v>
      </c>
      <c r="AP74" s="245" t="s">
        <v>325</v>
      </c>
      <c r="AQ74" s="289" t="s">
        <v>619</v>
      </c>
    </row>
    <row r="75" spans="1:43" ht="13" customHeight="1" x14ac:dyDescent="0.35">
      <c r="A75" s="241"/>
      <c r="B75" s="279">
        <v>42559</v>
      </c>
      <c r="C75" s="243" t="s">
        <v>322</v>
      </c>
      <c r="D75" s="244" t="s">
        <v>382</v>
      </c>
      <c r="E75" s="241"/>
      <c r="F75" s="241" t="s">
        <v>367</v>
      </c>
      <c r="G75" s="248">
        <v>42551</v>
      </c>
      <c r="H75" s="245" t="s">
        <v>310</v>
      </c>
      <c r="I75" s="245" t="s">
        <v>309</v>
      </c>
      <c r="J75" s="245"/>
      <c r="K75" s="241" t="s">
        <v>428</v>
      </c>
      <c r="L75" s="284" t="s">
        <v>391</v>
      </c>
      <c r="M75" s="246">
        <v>113.94545454545454</v>
      </c>
      <c r="N75" s="246">
        <v>26.790909090909089</v>
      </c>
      <c r="O75" s="241"/>
      <c r="P75" s="241"/>
      <c r="Q75" s="246"/>
      <c r="R75" s="241"/>
      <c r="S75" s="244"/>
      <c r="T75" s="241"/>
      <c r="U75" s="246" t="s">
        <v>320</v>
      </c>
      <c r="V75" s="246" t="s">
        <v>320</v>
      </c>
      <c r="W75" s="246">
        <v>20.209090909090907</v>
      </c>
      <c r="X75" s="241"/>
      <c r="Y75" s="241"/>
      <c r="Z75" s="241"/>
      <c r="AA75" s="241"/>
      <c r="AB75" s="241"/>
      <c r="AC75" s="241"/>
      <c r="AD75" s="246" t="s">
        <v>320</v>
      </c>
      <c r="AE75" s="246"/>
      <c r="AF75" s="241"/>
      <c r="AG75" s="241"/>
      <c r="AH75" s="246">
        <v>20.745454545454542</v>
      </c>
      <c r="AI75" s="241"/>
      <c r="AJ75" s="241"/>
      <c r="AK75" s="246" t="s">
        <v>320</v>
      </c>
      <c r="AL75" s="241"/>
      <c r="AM75" s="246" t="s">
        <v>320</v>
      </c>
      <c r="AN75" s="246" t="s">
        <v>320</v>
      </c>
      <c r="AO75" s="241" t="s">
        <v>384</v>
      </c>
      <c r="AP75" s="245" t="s">
        <v>325</v>
      </c>
      <c r="AQ75" s="289" t="s">
        <v>620</v>
      </c>
    </row>
    <row r="76" spans="1:43" ht="13" customHeight="1" x14ac:dyDescent="0.35">
      <c r="A76" s="241"/>
      <c r="B76" s="279">
        <v>42559</v>
      </c>
      <c r="C76" s="243" t="s">
        <v>322</v>
      </c>
      <c r="D76" s="244" t="s">
        <v>382</v>
      </c>
      <c r="E76" s="241"/>
      <c r="F76" s="241" t="s">
        <v>367</v>
      </c>
      <c r="G76" s="248">
        <v>42551</v>
      </c>
      <c r="H76" s="245" t="s">
        <v>310</v>
      </c>
      <c r="I76" s="245" t="s">
        <v>309</v>
      </c>
      <c r="J76" s="245"/>
      <c r="K76" s="241" t="s">
        <v>501</v>
      </c>
      <c r="L76" s="284" t="s">
        <v>391</v>
      </c>
      <c r="M76" s="246">
        <v>119.99999999999999</v>
      </c>
      <c r="N76" s="246">
        <v>24.999999999999996</v>
      </c>
      <c r="O76" s="241"/>
      <c r="P76" s="241"/>
      <c r="Q76" s="246"/>
      <c r="R76" s="241"/>
      <c r="S76" s="244"/>
      <c r="T76" s="241"/>
      <c r="U76" s="246" t="s">
        <v>320</v>
      </c>
      <c r="V76" s="246" t="s">
        <v>320</v>
      </c>
      <c r="W76" s="246">
        <v>20</v>
      </c>
      <c r="X76" s="241"/>
      <c r="Y76" s="241"/>
      <c r="Z76" s="241"/>
      <c r="AA76" s="241"/>
      <c r="AB76" s="241"/>
      <c r="AC76" s="241"/>
      <c r="AD76" s="246" t="s">
        <v>320</v>
      </c>
      <c r="AE76" s="246"/>
      <c r="AF76" s="241"/>
      <c r="AG76" s="241"/>
      <c r="AH76" s="246">
        <v>21.999999999999996</v>
      </c>
      <c r="AI76" s="241"/>
      <c r="AJ76" s="241"/>
      <c r="AK76" s="246" t="s">
        <v>320</v>
      </c>
      <c r="AL76" s="241"/>
      <c r="AM76" s="246" t="s">
        <v>320</v>
      </c>
      <c r="AN76" s="246" t="s">
        <v>320</v>
      </c>
      <c r="AO76" s="241" t="s">
        <v>384</v>
      </c>
      <c r="AP76" s="245" t="s">
        <v>325</v>
      </c>
      <c r="AQ76" s="289" t="s">
        <v>621</v>
      </c>
    </row>
    <row r="77" spans="1:43" ht="13" customHeight="1" x14ac:dyDescent="0.35">
      <c r="A77" s="241"/>
      <c r="B77" s="279">
        <v>42559</v>
      </c>
      <c r="C77" s="243" t="s">
        <v>322</v>
      </c>
      <c r="D77" s="244" t="s">
        <v>382</v>
      </c>
      <c r="E77" s="241"/>
      <c r="F77" s="241" t="s">
        <v>367</v>
      </c>
      <c r="G77" s="248">
        <v>42551</v>
      </c>
      <c r="H77" s="245" t="s">
        <v>310</v>
      </c>
      <c r="I77" s="245" t="s">
        <v>309</v>
      </c>
      <c r="J77" s="245"/>
      <c r="K77" s="241" t="s">
        <v>503</v>
      </c>
      <c r="L77" s="284" t="s">
        <v>391</v>
      </c>
      <c r="M77" s="246">
        <v>99.999999999999986</v>
      </c>
      <c r="N77" s="246">
        <v>29.999999999999996</v>
      </c>
      <c r="O77" s="241"/>
      <c r="P77" s="241"/>
      <c r="Q77" s="246"/>
      <c r="R77" s="241"/>
      <c r="S77" s="244"/>
      <c r="T77" s="241"/>
      <c r="U77" s="246" t="s">
        <v>320</v>
      </c>
      <c r="V77" s="246" t="s">
        <v>320</v>
      </c>
      <c r="W77" s="246">
        <v>18</v>
      </c>
      <c r="X77" s="241"/>
      <c r="Y77" s="241"/>
      <c r="Z77" s="241"/>
      <c r="AA77" s="241"/>
      <c r="AB77" s="241"/>
      <c r="AC77" s="241"/>
      <c r="AD77" s="246" t="s">
        <v>320</v>
      </c>
      <c r="AE77" s="246"/>
      <c r="AF77" s="241"/>
      <c r="AG77" s="241"/>
      <c r="AH77" s="246">
        <v>23</v>
      </c>
      <c r="AI77" s="241"/>
      <c r="AJ77" s="241"/>
      <c r="AK77" s="246" t="s">
        <v>320</v>
      </c>
      <c r="AL77" s="241"/>
      <c r="AM77" s="246" t="s">
        <v>320</v>
      </c>
      <c r="AN77" s="246" t="s">
        <v>320</v>
      </c>
      <c r="AO77" s="241" t="s">
        <v>384</v>
      </c>
      <c r="AP77" s="245" t="s">
        <v>325</v>
      </c>
      <c r="AQ77" s="289" t="s">
        <v>622</v>
      </c>
    </row>
  </sheetData>
  <sheetProtection algorithmName="SHA-512" hashValue="+vZG7PFEpd5d/u8q9Dny8QbLzf17fYD5p1ck0TTnVXTKC0PGjGuPmGXnsakt+r2k5wasU9EMYZswuRUENWFmPQ==" saltValue="8XSkg8Dxprazw0cW2q2iyw==" spinCount="100000" sheet="1" objects="1" scenarios="1"/>
  <hyperlinks>
    <hyperlink ref="AQ3" r:id="rId1" xr:uid="{B592AABE-A68E-D14D-AD18-C7033B8078E8}"/>
    <hyperlink ref="AQ2" r:id="rId2" xr:uid="{9C209AA3-100E-8540-9D9B-DA4F696789D6}"/>
    <hyperlink ref="AQ4" r:id="rId3" xr:uid="{80BF2662-47F4-9348-B3EE-DDE273FE9EE6}"/>
    <hyperlink ref="AQ5" r:id="rId4" xr:uid="{8CEBA02F-2A00-2D41-9D9B-F0192672C884}"/>
    <hyperlink ref="AQ6" r:id="rId5" xr:uid="{5A5D1840-7255-4340-8CED-C030D5052B30}"/>
    <hyperlink ref="AQ8" r:id="rId6" xr:uid="{5FA9C3E1-9782-F84D-ACE9-DC112B798178}"/>
    <hyperlink ref="AQ9" r:id="rId7" xr:uid="{66C3F9E3-AAD2-274C-B57E-1E63EAF1E11D}"/>
    <hyperlink ref="AQ11" r:id="rId8" xr:uid="{7DA1A8C6-6B67-FA44-B08C-C81992F366DE}"/>
    <hyperlink ref="AQ12" r:id="rId9" xr:uid="{5FE75B7B-6C13-8F40-9AE4-635DE8228150}"/>
    <hyperlink ref="AQ14" r:id="rId10" xr:uid="{9143A4C8-67A1-FA46-B35C-E622C4AAFB86}"/>
    <hyperlink ref="AQ15" r:id="rId11" xr:uid="{40469DF7-6076-2F4F-ADF5-F2CEFEA7F89F}"/>
    <hyperlink ref="AQ16" r:id="rId12" xr:uid="{FB60D094-B099-1C46-8150-00849A16AB08}"/>
    <hyperlink ref="AQ17" r:id="rId13" xr:uid="{59F8C141-8EFA-F24C-8705-059F10A0865C}"/>
    <hyperlink ref="AQ18" r:id="rId14" xr:uid="{8E884B23-BE45-8043-9C52-65B3E50E9376}"/>
    <hyperlink ref="AQ19" r:id="rId15" xr:uid="{4E07E515-AC24-014C-9A66-5055C1821412}"/>
    <hyperlink ref="AQ25" r:id="rId16" xr:uid="{4A8E07F3-0870-C647-9D5B-2FF97E9BC7D2}"/>
    <hyperlink ref="AQ26" r:id="rId17" xr:uid="{24A0F404-1864-BF46-B6B5-A290BE09C1A5}"/>
    <hyperlink ref="AQ20" r:id="rId18" xr:uid="{020CBDF6-52BE-C043-8451-DEA186989101}"/>
    <hyperlink ref="AQ21" r:id="rId19" xr:uid="{ED6DEB4F-CEA4-1D46-9749-408E219031F8}"/>
    <hyperlink ref="AQ22" r:id="rId20" xr:uid="{ACE42FCA-EDAC-9D4B-8E94-A8B21DA4EFD9}"/>
    <hyperlink ref="AQ23" r:id="rId21" xr:uid="{589B889A-49E6-B145-AF02-F252BA8878F9}"/>
    <hyperlink ref="AQ24" r:id="rId22" xr:uid="{78B08570-1D42-4E4C-B8C4-86D6D634995A}"/>
    <hyperlink ref="AQ27" r:id="rId23" xr:uid="{BC49D5B0-6BCF-9044-90FA-2DE633D67E05}"/>
    <hyperlink ref="AQ28" r:id="rId24" xr:uid="{90D1B89C-6E86-994D-8812-233455CBAF21}"/>
    <hyperlink ref="AQ30" r:id="rId25" xr:uid="{06BC5E8A-45BD-7840-85FA-F1975A0779B0}"/>
    <hyperlink ref="AQ29" r:id="rId26" xr:uid="{143800FB-1B05-124A-A498-A6D73FA3C4C9}"/>
    <hyperlink ref="AQ31" r:id="rId27" xr:uid="{40C70310-F527-D44B-B6A0-46230EFDA1AC}"/>
    <hyperlink ref="AQ32" r:id="rId28" xr:uid="{53B3B9E4-9F94-C04C-8727-E3422FF5F6E2}"/>
    <hyperlink ref="AQ33" r:id="rId29" xr:uid="{BBD6F555-B0ED-DA41-9822-E4FD34BF4F74}"/>
    <hyperlink ref="AQ35" r:id="rId30" xr:uid="{B88D8E2F-F26D-494B-83A6-7A454F05E692}"/>
    <hyperlink ref="AQ36" r:id="rId31" xr:uid="{B8FFA58C-304F-1046-98FE-737DE6D394B9}"/>
    <hyperlink ref="AQ38" r:id="rId32" xr:uid="{1B6287B2-0AC0-AC4F-BF1B-B83C003FE5E2}"/>
    <hyperlink ref="AQ39" r:id="rId33" xr:uid="{69ABB2D1-11C5-BF43-B1DC-3A68E91A0D83}"/>
    <hyperlink ref="AQ41" r:id="rId34" xr:uid="{24E26CB9-D165-114F-8494-8509A0F8136C}"/>
    <hyperlink ref="AQ42" r:id="rId35" xr:uid="{5AEEA409-22F8-154A-9259-004F629173A3}"/>
    <hyperlink ref="AQ43" r:id="rId36" xr:uid="{72E127C8-B9FC-C943-8EEC-A0A8624AE6E9}"/>
    <hyperlink ref="AQ44" r:id="rId37" xr:uid="{861BEB23-F383-2149-A52D-C7634402344F}"/>
    <hyperlink ref="AQ45" r:id="rId38" xr:uid="{D7B9FC59-3440-FA45-95EA-6FD6817E564C}"/>
    <hyperlink ref="AQ46" r:id="rId39" xr:uid="{EE0D7236-2A5A-734C-964D-786EC3A46247}"/>
    <hyperlink ref="AQ56" r:id="rId40" xr:uid="{71D6E713-CCF0-924C-8052-87D5BF22589A}"/>
    <hyperlink ref="AQ55" r:id="rId41" xr:uid="{1DE287D2-3BF1-3F44-BB0F-9621F56DDA4A}"/>
    <hyperlink ref="AQ57" r:id="rId42" xr:uid="{F286FBFA-64AB-B14B-B238-755F9D4B2101}"/>
    <hyperlink ref="AQ58" r:id="rId43" xr:uid="{CEBE3A3C-30F7-E344-963E-34802B8F782C}"/>
    <hyperlink ref="AQ75" r:id="rId44" xr:uid="{1E1C3E8A-E815-8344-AB1F-9518C383340D}"/>
    <hyperlink ref="AQ59" r:id="rId45" xr:uid="{578F6076-1037-0748-9D97-ABA44D791B89}"/>
    <hyperlink ref="AQ61" r:id="rId46" xr:uid="{642DFC45-7EB7-824B-B837-0FB46DFA3FC4}"/>
    <hyperlink ref="AQ62" r:id="rId47" xr:uid="{0793D88D-1602-2948-BB09-02D49C2F39CC}"/>
    <hyperlink ref="AQ64" r:id="rId48" xr:uid="{0CF87AF7-B3C7-B646-A7F3-95DBF28BB82B}"/>
    <hyperlink ref="AQ65" r:id="rId49" xr:uid="{754B0D83-0E33-4740-8E7C-06748CF444B7}"/>
    <hyperlink ref="AQ67" r:id="rId50" xr:uid="{EE1FF2A6-3AE9-E049-A603-3C5B0BDB5142}"/>
    <hyperlink ref="AQ68" r:id="rId51" xr:uid="{EA0BB2EC-711B-E641-9F5D-A4F3377846D2}"/>
    <hyperlink ref="AQ69" r:id="rId52" xr:uid="{73D42FBE-8F4E-9445-84CB-5D9935A38228}"/>
    <hyperlink ref="AQ70" r:id="rId53" xr:uid="{83C233FD-618B-D543-AD4C-C12318E1430D}"/>
    <hyperlink ref="AQ71" r:id="rId54" xr:uid="{DA4D08E0-F302-9345-9FD1-DADE51DDA049}"/>
    <hyperlink ref="AQ47" r:id="rId55" xr:uid="{7B3AF0FB-56F5-EA45-B854-91745C5DD046}"/>
    <hyperlink ref="AQ72" r:id="rId56" xr:uid="{C0C787FF-32B0-1642-8866-4DDBD3D1EC0C}"/>
    <hyperlink ref="AQ52" r:id="rId57" xr:uid="{769F3B7C-AD4C-0240-BA8F-2BFEE87C9C56}"/>
    <hyperlink ref="AQ48" r:id="rId58" xr:uid="{95F9DB4B-3D10-A043-A3D6-BAE9D568DD14}"/>
    <hyperlink ref="AQ49" r:id="rId59" xr:uid="{6E7FE074-F05D-2B4D-903D-CD10533BADC1}"/>
    <hyperlink ref="AQ73" r:id="rId60" xr:uid="{A781D8F5-31AC-E44E-B98B-8E3433709B35}"/>
    <hyperlink ref="AQ50" r:id="rId61" xr:uid="{F66848CE-BCD1-AB4D-922F-B66E68C51311}"/>
    <hyperlink ref="AQ51" r:id="rId62" xr:uid="{860C6C24-9D43-F149-9BC5-F390E43CD9B5}"/>
    <hyperlink ref="AQ74" r:id="rId63" xr:uid="{F635D650-AB57-8D45-88CC-0AE5BE2838C3}"/>
    <hyperlink ref="AQ53" r:id="rId64" xr:uid="{5CE44443-2B77-9840-8D2F-AC30BE7FEBBE}"/>
    <hyperlink ref="AQ76" r:id="rId65" xr:uid="{7220C64D-64F0-0048-8E84-504783AF21D3}"/>
    <hyperlink ref="AQ54" r:id="rId66" xr:uid="{44DEBCCA-B510-124A-A232-EE50D03C4E5C}"/>
    <hyperlink ref="AQ77" r:id="rId67" xr:uid="{A081870E-D39D-794A-8CA3-1B4FFE4C5107}"/>
  </hyperlink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7D2E-F6B9-4244-BC5A-CCCAB49330B9}">
  <sheetPr codeName="Sheet63"/>
  <dimension ref="A1:AYR1570"/>
  <sheetViews>
    <sheetView zoomScaleNormal="100" workbookViewId="0">
      <selection activeCell="A8" sqref="A8:A26"/>
    </sheetView>
  </sheetViews>
  <sheetFormatPr defaultColWidth="10.84375" defaultRowHeight="13.5" x14ac:dyDescent="0.3"/>
  <cols>
    <col min="1" max="1" width="19.3046875" style="263" customWidth="1"/>
    <col min="2" max="2" width="11.4609375" style="263" customWidth="1"/>
    <col min="3" max="9" width="12.15234375" style="263" customWidth="1"/>
    <col min="1345" max="16384" width="10.84375" style="263"/>
  </cols>
  <sheetData>
    <row r="1" spans="1:33" s="1" customFormat="1" x14ac:dyDescent="0.3">
      <c r="A1" s="331" t="s">
        <v>76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</row>
    <row r="2" spans="1:33" s="1" customFormat="1" x14ac:dyDescent="0.3">
      <c r="A2" s="332" t="s">
        <v>101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  <c r="Y2" s="331"/>
      <c r="Z2" s="331"/>
      <c r="AA2" s="331"/>
      <c r="AB2" s="331"/>
      <c r="AC2" s="331"/>
      <c r="AD2" s="331"/>
      <c r="AE2" s="331"/>
      <c r="AF2" s="331"/>
      <c r="AG2" s="331"/>
    </row>
    <row r="3" spans="1:33" s="1" customFormat="1" ht="14" thickBot="1" x14ac:dyDescent="0.35">
      <c r="A3" s="331"/>
      <c r="B3" s="33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</row>
    <row r="4" spans="1:33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  <c r="AA4" s="330"/>
      <c r="AB4" s="330"/>
      <c r="AC4" s="330"/>
      <c r="AD4" s="330"/>
      <c r="AE4" s="330"/>
      <c r="AF4" s="330"/>
      <c r="AG4" s="330"/>
    </row>
    <row r="5" spans="1:33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  <c r="AA5" s="330"/>
      <c r="AB5" s="330"/>
      <c r="AC5" s="330"/>
      <c r="AD5" s="330"/>
      <c r="AE5" s="330"/>
      <c r="AF5" s="330"/>
      <c r="AG5" s="330"/>
    </row>
    <row r="6" spans="1:33" ht="14" x14ac:dyDescent="0.3">
      <c r="A6" s="92"/>
      <c r="B6" s="93"/>
      <c r="C6" s="93"/>
      <c r="D6" s="93"/>
      <c r="E6" s="93"/>
      <c r="F6" s="93"/>
      <c r="G6" s="93"/>
      <c r="H6" s="93"/>
      <c r="I6" s="178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  <c r="AA6" s="330"/>
      <c r="AB6" s="330"/>
      <c r="AC6" s="330"/>
      <c r="AD6" s="330"/>
      <c r="AE6" s="330"/>
      <c r="AF6" s="330"/>
      <c r="AG6" s="330"/>
    </row>
    <row r="7" spans="1:33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</row>
    <row r="8" spans="1:33" x14ac:dyDescent="0.3">
      <c r="A8" s="179" t="str">
        <f>'END Jul 2022'!K2</f>
        <v>AGL</v>
      </c>
      <c r="B8" s="180">
        <f>'END Jul 2022'!G2</f>
        <v>43284</v>
      </c>
      <c r="C8" s="181">
        <f>91*'END Jul 2022'!M2/100</f>
        <v>88.906999999999982</v>
      </c>
      <c r="D8" s="181">
        <f>$C$5*'END Jul 2022'!N2/100</f>
        <v>482.07272727272726</v>
      </c>
      <c r="E8" s="182">
        <v>0</v>
      </c>
      <c r="F8" s="181">
        <v>0</v>
      </c>
      <c r="G8" s="181">
        <v>0</v>
      </c>
      <c r="H8" s="183">
        <f t="shared" ref="H8:H25" si="0">SUM(C8:G8)</f>
        <v>570.97972727272725</v>
      </c>
      <c r="I8" s="202">
        <f t="shared" ref="I8:I26" si="1">(H8*4)*1.1</f>
        <v>2512.3108000000002</v>
      </c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</row>
    <row r="9" spans="1:33" x14ac:dyDescent="0.3">
      <c r="A9" s="179" t="str">
        <f>'END Jul 2022'!K3</f>
        <v>Alinta Energy</v>
      </c>
      <c r="B9" s="180">
        <f>'END Jul 2022'!G3</f>
        <v>43281</v>
      </c>
      <c r="C9" s="181">
        <f>91*'END Jul 2022'!M3/100</f>
        <v>79.00454545454545</v>
      </c>
      <c r="D9" s="181">
        <f>$C$5*'END Jul 2022'!N3/100</f>
        <v>496.14545454545458</v>
      </c>
      <c r="E9" s="182">
        <v>0</v>
      </c>
      <c r="F9" s="181">
        <v>0</v>
      </c>
      <c r="G9" s="181">
        <v>0</v>
      </c>
      <c r="H9" s="183">
        <f t="shared" si="0"/>
        <v>575.15000000000009</v>
      </c>
      <c r="I9" s="202">
        <f t="shared" si="1"/>
        <v>2530.6600000000008</v>
      </c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</row>
    <row r="10" spans="1:33" x14ac:dyDescent="0.3">
      <c r="A10" s="179" t="str">
        <f>'END Jul 2022'!K4</f>
        <v>CovaU</v>
      </c>
      <c r="B10" s="180">
        <f>'END Jul 2022'!G4</f>
        <v>43281</v>
      </c>
      <c r="C10" s="181">
        <f>91*'END Jul 2022'!M4/100</f>
        <v>54.599999999999994</v>
      </c>
      <c r="D10" s="181">
        <f>$C$5*'END Jul 2022'!N4/100</f>
        <v>532.47272727272718</v>
      </c>
      <c r="E10" s="182">
        <v>0</v>
      </c>
      <c r="F10" s="181">
        <v>0</v>
      </c>
      <c r="G10" s="181">
        <v>0</v>
      </c>
      <c r="H10" s="183">
        <f t="shared" si="0"/>
        <v>587.07272727272721</v>
      </c>
      <c r="I10" s="202">
        <f t="shared" si="1"/>
        <v>2583.12</v>
      </c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</row>
    <row r="11" spans="1:33" x14ac:dyDescent="0.3">
      <c r="A11" s="179" t="str">
        <f>'END Jul 2022'!K5</f>
        <v>Diamond Energy</v>
      </c>
      <c r="B11" s="180">
        <f>'END Jul 2022'!G5</f>
        <v>43281</v>
      </c>
      <c r="C11" s="181">
        <f>91*'END Jul 2022'!M5/100</f>
        <v>70.069999999999993</v>
      </c>
      <c r="D11" s="181">
        <f>IF($C$5&lt;='END Jul 2022'!P5,($C$5*'END Jul 2022'!N5/100),('END Jul 2022'!P5*'END Jul 2022'!N5/100))</f>
        <v>69.463636363636354</v>
      </c>
      <c r="E11" s="182">
        <v>0</v>
      </c>
      <c r="F11" s="181">
        <v>0</v>
      </c>
      <c r="G11" s="181">
        <f>IF(($C$5&lt;'END Jul 2022'!P5),(0),($C$5-'END Jul 2022'!P5)*'END Jul 2022'!Q5/100)</f>
        <v>449.99999999999994</v>
      </c>
      <c r="H11" s="183">
        <f t="shared" si="0"/>
        <v>589.53363636363633</v>
      </c>
      <c r="I11" s="202">
        <f t="shared" si="1"/>
        <v>2593.9479999999999</v>
      </c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</row>
    <row r="12" spans="1:33" x14ac:dyDescent="0.3">
      <c r="A12" s="179" t="str">
        <f>'END Jul 2022'!K6</f>
        <v>Dodo Power &amp; Gas</v>
      </c>
      <c r="B12" s="180">
        <f>'END Jul 2022'!G6</f>
        <v>43281</v>
      </c>
      <c r="C12" s="181">
        <f>91*'END Jul 2022'!M6/100</f>
        <v>111.93827272727272</v>
      </c>
      <c r="D12" s="181">
        <f>$C$5*'END Jul 2022'!N6/100</f>
        <v>447.21818181818168</v>
      </c>
      <c r="E12" s="182">
        <v>0</v>
      </c>
      <c r="F12" s="181">
        <v>0</v>
      </c>
      <c r="G12" s="181">
        <v>0</v>
      </c>
      <c r="H12" s="183">
        <f t="shared" si="0"/>
        <v>559.15645454545438</v>
      </c>
      <c r="I12" s="202">
        <f t="shared" si="1"/>
        <v>2460.2883999999995</v>
      </c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  <c r="AG12" s="330"/>
    </row>
    <row r="13" spans="1:33" x14ac:dyDescent="0.3">
      <c r="A13" s="179" t="str">
        <f>'END Jul 2022'!K7</f>
        <v>EnergyAustralia</v>
      </c>
      <c r="B13" s="180">
        <f>'END Jul 2022'!G7</f>
        <v>43281</v>
      </c>
      <c r="C13" s="181">
        <f>91*'END Jul 2022'!M7/100</f>
        <v>77.804999999999993</v>
      </c>
      <c r="D13" s="181">
        <f>$C$5*'END Jul 2022'!N7/100</f>
        <v>498.43636363636358</v>
      </c>
      <c r="E13" s="182">
        <v>0</v>
      </c>
      <c r="F13" s="181">
        <v>0</v>
      </c>
      <c r="G13" s="181">
        <v>0</v>
      </c>
      <c r="H13" s="183">
        <f t="shared" si="0"/>
        <v>576.24136363636353</v>
      </c>
      <c r="I13" s="202">
        <f t="shared" si="1"/>
        <v>2535.4619999999995</v>
      </c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  <c r="AA13" s="330"/>
      <c r="AB13" s="330"/>
      <c r="AC13" s="330"/>
      <c r="AD13" s="330"/>
      <c r="AE13" s="330"/>
      <c r="AF13" s="330"/>
      <c r="AG13" s="330"/>
    </row>
    <row r="14" spans="1:33" x14ac:dyDescent="0.3">
      <c r="A14" s="179" t="str">
        <f>'END Jul 2022'!K8</f>
        <v>Momentum Energy</v>
      </c>
      <c r="B14" s="180">
        <f>'END Jul 2022'!G8</f>
        <v>43281</v>
      </c>
      <c r="C14" s="181">
        <f>91*'END Jul 2022'!M8/100</f>
        <v>90.999999999999986</v>
      </c>
      <c r="D14" s="181">
        <f>$C$5*'END Jul 2022'!N8/100</f>
        <v>478.47272727272718</v>
      </c>
      <c r="E14" s="182">
        <v>0</v>
      </c>
      <c r="F14" s="181">
        <v>0</v>
      </c>
      <c r="G14" s="181">
        <v>0</v>
      </c>
      <c r="H14" s="183">
        <f t="shared" si="0"/>
        <v>569.47272727272718</v>
      </c>
      <c r="I14" s="202">
        <f t="shared" si="1"/>
        <v>2505.6799999999998</v>
      </c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</row>
    <row r="15" spans="1:33" x14ac:dyDescent="0.3">
      <c r="A15" s="179" t="str">
        <f>'END Jul 2022'!K9</f>
        <v>Origin Energy</v>
      </c>
      <c r="B15" s="180">
        <f>'END Jul 2022'!G9</f>
        <v>43281</v>
      </c>
      <c r="C15" s="181">
        <f>91*'END Jul 2022'!M9/100</f>
        <v>74.174099999999996</v>
      </c>
      <c r="D15" s="181">
        <f>$C$5*'END Jul 2022'!N9/100</f>
        <v>503.63999999999993</v>
      </c>
      <c r="E15" s="182">
        <v>0</v>
      </c>
      <c r="F15" s="181">
        <v>0</v>
      </c>
      <c r="G15" s="181">
        <v>0</v>
      </c>
      <c r="H15" s="183">
        <f t="shared" si="0"/>
        <v>577.81409999999994</v>
      </c>
      <c r="I15" s="202">
        <f t="shared" si="1"/>
        <v>2542.38204</v>
      </c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  <c r="AG15" s="330"/>
    </row>
    <row r="16" spans="1:33" x14ac:dyDescent="0.3">
      <c r="A16" s="179" t="str">
        <f>'END Jul 2022'!K10</f>
        <v>Powerdirect</v>
      </c>
      <c r="B16" s="180">
        <f>'END Jul 2022'!G10</f>
        <v>43284</v>
      </c>
      <c r="C16" s="181">
        <f>91*'END Jul 2022'!M10/100</f>
        <v>88.906999999999982</v>
      </c>
      <c r="D16" s="181">
        <f>$C$5*'END Jul 2022'!N10/100</f>
        <v>482.07272727272726</v>
      </c>
      <c r="E16" s="182">
        <v>0</v>
      </c>
      <c r="F16" s="181">
        <v>0</v>
      </c>
      <c r="G16" s="181">
        <v>0</v>
      </c>
      <c r="H16" s="183">
        <f t="shared" si="0"/>
        <v>570.97972727272725</v>
      </c>
      <c r="I16" s="202">
        <f t="shared" si="1"/>
        <v>2512.3108000000002</v>
      </c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  <c r="AG16" s="330"/>
    </row>
    <row r="17" spans="1:33" x14ac:dyDescent="0.3">
      <c r="A17" s="179" t="str">
        <f>'END Jul 2022'!K11</f>
        <v>Powershop</v>
      </c>
      <c r="B17" s="180">
        <f>'END Jul 2022'!G11</f>
        <v>43281</v>
      </c>
      <c r="C17" s="181">
        <f>91*'END Jul 2022'!M11/100</f>
        <v>109.02627272727271</v>
      </c>
      <c r="D17" s="181">
        <f>$C$5*'END Jul 2022'!N11/100</f>
        <v>451.79999999999995</v>
      </c>
      <c r="E17" s="182">
        <v>0</v>
      </c>
      <c r="F17" s="181">
        <v>0</v>
      </c>
      <c r="G17" s="181">
        <v>0</v>
      </c>
      <c r="H17" s="183">
        <f t="shared" si="0"/>
        <v>560.82627272727268</v>
      </c>
      <c r="I17" s="202">
        <f t="shared" si="1"/>
        <v>2467.6356000000001</v>
      </c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  <c r="AG17" s="330"/>
    </row>
    <row r="18" spans="1:33" x14ac:dyDescent="0.3">
      <c r="A18" s="179" t="str">
        <f>'END Jul 2022'!K12</f>
        <v>Red Energy</v>
      </c>
      <c r="B18" s="180">
        <f>'END Jul 2022'!G12</f>
        <v>43281</v>
      </c>
      <c r="C18" s="181">
        <f>91*'END Jul 2022'!M12/100</f>
        <v>100.09999999999998</v>
      </c>
      <c r="D18" s="181">
        <f>$C$5*'END Jul 2022'!N12/100</f>
        <v>460.79999999999995</v>
      </c>
      <c r="E18" s="182">
        <v>0</v>
      </c>
      <c r="F18" s="181">
        <v>0</v>
      </c>
      <c r="G18" s="181">
        <v>0</v>
      </c>
      <c r="H18" s="183">
        <f t="shared" si="0"/>
        <v>560.9</v>
      </c>
      <c r="I18" s="202">
        <f t="shared" si="1"/>
        <v>2467.96</v>
      </c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  <c r="AG18" s="330"/>
    </row>
    <row r="19" spans="1:33" x14ac:dyDescent="0.3">
      <c r="A19" s="179" t="str">
        <f>'END Jul 2022'!K13</f>
        <v>Simply Energy</v>
      </c>
      <c r="B19" s="180">
        <f>'END Jul 2022'!G13</f>
        <v>43281</v>
      </c>
      <c r="C19" s="181">
        <f>91*'END Jul 2022'!M13/100</f>
        <v>77.490636363636369</v>
      </c>
      <c r="D19" s="181">
        <f>IF($C$5&lt;='END Jul 2022'!P13,($C$5*'END Jul 2022'!N13/100),('END Jul 2022'!P13*'END Jul 2022'!N13/100))</f>
        <v>353.12963636363634</v>
      </c>
      <c r="E19" s="182">
        <v>0</v>
      </c>
      <c r="F19" s="181">
        <v>0</v>
      </c>
      <c r="G19" s="181">
        <f>IF(($C$5&lt;'END Jul 2022'!P13),(0),($C$5-'END Jul 2022'!P13)*'END Jul 2022'!Q13/100)</f>
        <v>153.68763636363636</v>
      </c>
      <c r="H19" s="183">
        <f t="shared" si="0"/>
        <v>584.30790909090911</v>
      </c>
      <c r="I19" s="202">
        <f t="shared" si="1"/>
        <v>2570.9548000000004</v>
      </c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  <c r="AG19" s="330"/>
    </row>
    <row r="20" spans="1:33" x14ac:dyDescent="0.3">
      <c r="A20" s="179" t="str">
        <f>'END Jul 2022'!K14</f>
        <v>1st Energy</v>
      </c>
      <c r="B20" s="180">
        <f>'END Jul 2022'!G14</f>
        <v>43281</v>
      </c>
      <c r="C20" s="181">
        <f>91*'END Jul 2022'!M14/100</f>
        <v>95.549999999999983</v>
      </c>
      <c r="D20" s="181">
        <f>IF($C$5&lt;='END Jul 2022'!P14,($C$5*'END Jul 2022'!N14/100),('END Jul 2022'!P14*'END Jul 2022'!N14/100))</f>
        <v>353.7</v>
      </c>
      <c r="E20" s="182">
        <v>0</v>
      </c>
      <c r="F20" s="181">
        <v>0</v>
      </c>
      <c r="G20" s="181">
        <f>IF(($C$5&lt;'END Jul 2022'!P14),(0),($C$5-'END Jul 2022'!P14)*'END Jul 2022'!Q14/100)</f>
        <v>137.69999999999999</v>
      </c>
      <c r="H20" s="183">
        <f t="shared" si="0"/>
        <v>586.95000000000005</v>
      </c>
      <c r="I20" s="202">
        <f t="shared" si="1"/>
        <v>2582.5800000000004</v>
      </c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  <c r="AG20" s="330"/>
    </row>
    <row r="21" spans="1:33" x14ac:dyDescent="0.3">
      <c r="A21" s="179" t="str">
        <f>'END Jul 2022'!K15</f>
        <v>ReAmped Energy</v>
      </c>
      <c r="B21" s="180">
        <f>'END Jul 2022'!G15</f>
        <v>43281</v>
      </c>
      <c r="C21" s="181">
        <f>91*'END Jul 2022'!M15/100</f>
        <v>70.069999999999993</v>
      </c>
      <c r="D21" s="181">
        <f>$C$5*'END Jul 2022'!N15/100</f>
        <v>509.23636363636359</v>
      </c>
      <c r="E21" s="182">
        <v>0</v>
      </c>
      <c r="F21" s="181">
        <v>0</v>
      </c>
      <c r="G21" s="181">
        <v>0</v>
      </c>
      <c r="H21" s="183">
        <f t="shared" si="0"/>
        <v>579.30636363636359</v>
      </c>
      <c r="I21" s="202">
        <f t="shared" si="1"/>
        <v>2548.9479999999999</v>
      </c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</row>
    <row r="22" spans="1:33" x14ac:dyDescent="0.3">
      <c r="A22" s="179" t="str">
        <f>'END Jul 2022'!K16</f>
        <v>Nectr</v>
      </c>
      <c r="B22" s="180">
        <f>'END Jul 2022'!G16</f>
        <v>43284</v>
      </c>
      <c r="C22" s="181">
        <f>91*'END Jul 2022'!M16/100</f>
        <v>80.08</v>
      </c>
      <c r="D22" s="181">
        <f>$C$5*'END Jul 2022'!N16/100</f>
        <v>495</v>
      </c>
      <c r="E22" s="182">
        <v>0</v>
      </c>
      <c r="F22" s="181">
        <v>0</v>
      </c>
      <c r="G22" s="181">
        <v>0</v>
      </c>
      <c r="H22" s="183">
        <f t="shared" ref="H22" si="2">SUM(C22:G22)</f>
        <v>575.08000000000004</v>
      </c>
      <c r="I22" s="202">
        <f t="shared" ref="I22" si="3">(H22*4)*1.1</f>
        <v>2530.3520000000003</v>
      </c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  <c r="AG22" s="330"/>
    </row>
    <row r="23" spans="1:33" x14ac:dyDescent="0.3">
      <c r="A23" s="179" t="str">
        <f>'END Jul 2022'!K17</f>
        <v>OVO Energy</v>
      </c>
      <c r="B23" s="180">
        <f>'END Jul 2022'!G17</f>
        <v>43281</v>
      </c>
      <c r="C23" s="181">
        <f>91*'END Jul 2022'!M17/100</f>
        <v>64.245999999999995</v>
      </c>
      <c r="D23" s="181">
        <f>$C$5*'END Jul 2022'!N17/100</f>
        <v>518.4</v>
      </c>
      <c r="E23" s="182">
        <v>0</v>
      </c>
      <c r="F23" s="181">
        <v>0</v>
      </c>
      <c r="G23" s="181">
        <v>0</v>
      </c>
      <c r="H23" s="183">
        <f t="shared" si="0"/>
        <v>582.64599999999996</v>
      </c>
      <c r="I23" s="202">
        <f t="shared" si="1"/>
        <v>2563.6424000000002</v>
      </c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</row>
    <row r="24" spans="1:33" x14ac:dyDescent="0.3">
      <c r="A24" s="179" t="str">
        <f>'END Jul 2022'!K18</f>
        <v>Sumo Power</v>
      </c>
      <c r="B24" s="180">
        <f>'END Jul 2022'!G18</f>
        <v>43281</v>
      </c>
      <c r="C24" s="181">
        <f>91*'END Jul 2022'!M18/100</f>
        <v>104.64999999999998</v>
      </c>
      <c r="D24" s="181">
        <f>$C$5*'END Jul 2022'!N18/100</f>
        <v>458.83636363636361</v>
      </c>
      <c r="E24" s="182">
        <v>0</v>
      </c>
      <c r="F24" s="181">
        <v>0</v>
      </c>
      <c r="G24" s="181">
        <v>0</v>
      </c>
      <c r="H24" s="183">
        <f t="shared" si="0"/>
        <v>563.48636363636365</v>
      </c>
      <c r="I24" s="202">
        <f t="shared" si="1"/>
        <v>2479.34</v>
      </c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  <c r="AG24" s="330"/>
    </row>
    <row r="25" spans="1:33" x14ac:dyDescent="0.3">
      <c r="A25" s="179" t="str">
        <f>'END Jul 2022'!K19</f>
        <v>Tango Energy</v>
      </c>
      <c r="B25" s="180">
        <f>'END Jul 2022'!G19</f>
        <v>43281</v>
      </c>
      <c r="C25" s="181">
        <f>91*'END Jul 2022'!M19/100</f>
        <v>83.628999999999991</v>
      </c>
      <c r="D25" s="181">
        <f>$C$5*'END Jul 2022'!N19/100</f>
        <v>489.76363636363635</v>
      </c>
      <c r="E25" s="182">
        <v>0</v>
      </c>
      <c r="F25" s="181">
        <v>0</v>
      </c>
      <c r="G25" s="181">
        <v>0</v>
      </c>
      <c r="H25" s="183">
        <f t="shared" si="0"/>
        <v>573.39263636363637</v>
      </c>
      <c r="I25" s="202">
        <f t="shared" si="1"/>
        <v>2522.9276000000004</v>
      </c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  <c r="AG25" s="330"/>
    </row>
    <row r="26" spans="1:33" x14ac:dyDescent="0.3">
      <c r="A26" s="179" t="str">
        <f>'END Jul 2022'!K20</f>
        <v>GloBird</v>
      </c>
      <c r="B26" s="180">
        <f>'END Jul 2022'!G20</f>
        <v>43280</v>
      </c>
      <c r="C26" s="181">
        <f>91*'END Jul 2022'!M20/100</f>
        <v>80.079999999999984</v>
      </c>
      <c r="D26" s="181">
        <f>IF($C$5&lt;='END Jul 2022'!P20,($C$5*'END Jul 2022'!N20/100),('END Jul 2022'!P20*'END Jul 2022'!N20/100))</f>
        <v>374.83199999999999</v>
      </c>
      <c r="E26" s="182">
        <v>0</v>
      </c>
      <c r="F26" s="181">
        <v>0</v>
      </c>
      <c r="G26" s="181">
        <f>IF(($C$5&lt;'END Jul 2022'!P20),(0),($C$5-'END Jul 2022'!P20)*'END Jul 2022'!Q20/100)</f>
        <v>375.84</v>
      </c>
      <c r="H26" s="183">
        <f t="shared" ref="H26" si="4">SUM(C26:G26)</f>
        <v>830.75199999999995</v>
      </c>
      <c r="I26" s="202">
        <f t="shared" si="1"/>
        <v>3655.3088000000002</v>
      </c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  <c r="AG26" s="330"/>
    </row>
    <row r="27" spans="1:33" customFormat="1" x14ac:dyDescent="0.3">
      <c r="A27" s="330"/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  <c r="AG27" s="330"/>
    </row>
    <row r="28" spans="1:33" customFormat="1" ht="14" thickBot="1" x14ac:dyDescent="0.35">
      <c r="A28" s="330"/>
      <c r="B28" s="330"/>
      <c r="C28" s="330"/>
      <c r="D28" s="330"/>
      <c r="E28" s="330"/>
      <c r="F28" s="330"/>
      <c r="G28" s="330"/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</row>
    <row r="29" spans="1:33" ht="14" x14ac:dyDescent="0.3">
      <c r="A29" s="176" t="s">
        <v>89</v>
      </c>
      <c r="B29" s="91"/>
      <c r="C29" s="91"/>
      <c r="D29" s="91"/>
      <c r="E29" s="91"/>
      <c r="F29" s="91"/>
      <c r="G29" s="91"/>
      <c r="H29" s="91"/>
      <c r="I29" s="177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  <c r="AG29" s="330"/>
    </row>
    <row r="30" spans="1:33" ht="14" x14ac:dyDescent="0.3">
      <c r="A30" s="92" t="s">
        <v>79</v>
      </c>
      <c r="B30" s="93"/>
      <c r="C30" s="168">
        <v>2000</v>
      </c>
      <c r="D30" s="93"/>
      <c r="E30" s="93"/>
      <c r="F30" s="93"/>
      <c r="G30" s="93"/>
      <c r="H30" s="93"/>
      <c r="I30" s="178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  <c r="AG30" s="330"/>
    </row>
    <row r="31" spans="1:33" ht="14" x14ac:dyDescent="0.3">
      <c r="A31" s="92" t="s">
        <v>91</v>
      </c>
      <c r="B31" s="93"/>
      <c r="C31" s="257">
        <v>0.7</v>
      </c>
      <c r="D31" s="93"/>
      <c r="E31" s="93"/>
      <c r="F31" s="93"/>
      <c r="G31" s="93"/>
      <c r="H31" s="93"/>
      <c r="I31" s="178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  <c r="AG31" s="330"/>
    </row>
    <row r="32" spans="1:33" ht="14" x14ac:dyDescent="0.3">
      <c r="A32" s="92" t="s">
        <v>92</v>
      </c>
      <c r="B32" s="93"/>
      <c r="C32" s="257">
        <v>0.3</v>
      </c>
      <c r="D32" s="93"/>
      <c r="E32" s="93"/>
      <c r="F32" s="93"/>
      <c r="G32" s="93"/>
      <c r="H32" s="93"/>
      <c r="I32" s="178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  <c r="AG32" s="330"/>
    </row>
    <row r="33" spans="1:33" ht="14" x14ac:dyDescent="0.3">
      <c r="A33" s="92"/>
      <c r="B33" s="93"/>
      <c r="C33" s="93"/>
      <c r="D33" s="93"/>
      <c r="E33" s="93"/>
      <c r="F33" s="93"/>
      <c r="G33" s="93"/>
      <c r="H33" s="93"/>
      <c r="I33" s="178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  <c r="AG33" s="330"/>
    </row>
    <row r="34" spans="1:33" ht="28" x14ac:dyDescent="0.3">
      <c r="A34" s="301" t="s">
        <v>80</v>
      </c>
      <c r="B34" s="298" t="s">
        <v>81</v>
      </c>
      <c r="C34" s="298" t="s">
        <v>82</v>
      </c>
      <c r="D34" s="298" t="s">
        <v>83</v>
      </c>
      <c r="E34" s="298" t="s">
        <v>84</v>
      </c>
      <c r="F34" s="298" t="s">
        <v>86</v>
      </c>
      <c r="G34" s="298" t="s">
        <v>93</v>
      </c>
      <c r="H34" s="298" t="s">
        <v>87</v>
      </c>
      <c r="I34" s="300" t="s">
        <v>88</v>
      </c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</row>
    <row r="35" spans="1:33" x14ac:dyDescent="0.3">
      <c r="A35" s="179" t="str">
        <f>'END Jul 2022'!K21</f>
        <v>AGL</v>
      </c>
      <c r="B35" s="180">
        <f>'END Jul 2022'!G21</f>
        <v>43284</v>
      </c>
      <c r="C35" s="181">
        <f>91*'END Jul 2022'!M21/100</f>
        <v>95.276999999999987</v>
      </c>
      <c r="D35" s="181">
        <f>($C$30*$C$31)*'END Jul 2022'!N21/100</f>
        <v>374.94545454545454</v>
      </c>
      <c r="E35" s="182">
        <v>0</v>
      </c>
      <c r="F35" s="181">
        <v>0</v>
      </c>
      <c r="G35" s="181">
        <f>($C$30*$C$32)*'END Jul 2022'!AE21/100</f>
        <v>106.79999999999998</v>
      </c>
      <c r="H35" s="183">
        <f t="shared" ref="H35:H51" si="5">SUM(C35:G35)</f>
        <v>577.02245454545448</v>
      </c>
      <c r="I35" s="202">
        <f t="shared" ref="I35:I51" si="6">(H35*4)*1.1</f>
        <v>2538.8987999999999</v>
      </c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  <c r="AG35" s="330"/>
    </row>
    <row r="36" spans="1:33" x14ac:dyDescent="0.3">
      <c r="A36" s="179" t="str">
        <f>'END Jul 2022'!K22</f>
        <v>Alinta Energy</v>
      </c>
      <c r="B36" s="180">
        <f>'END Jul 2022'!G22</f>
        <v>43281</v>
      </c>
      <c r="C36" s="181">
        <f>91*'END Jul 2022'!M22/100</f>
        <v>84.811999999999983</v>
      </c>
      <c r="D36" s="181">
        <f>($C$30*$C$31)*'END Jul 2022'!N22/100</f>
        <v>385.89090909090902</v>
      </c>
      <c r="E36" s="182">
        <v>0</v>
      </c>
      <c r="F36" s="181">
        <v>0</v>
      </c>
      <c r="G36" s="181">
        <f>($C$30*$C$32)*'END Jul 2022'!AE22/100</f>
        <v>98.999999999999986</v>
      </c>
      <c r="H36" s="183">
        <f t="shared" si="5"/>
        <v>569.70290909090897</v>
      </c>
      <c r="I36" s="202">
        <f t="shared" si="6"/>
        <v>2506.6927999999998</v>
      </c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</row>
    <row r="37" spans="1:33" x14ac:dyDescent="0.3">
      <c r="A37" s="179" t="str">
        <f>'END Jul 2022'!K23</f>
        <v>CovaU</v>
      </c>
      <c r="B37" s="180">
        <f>'END Jul 2022'!G23</f>
        <v>43281</v>
      </c>
      <c r="C37" s="181">
        <f>91*'END Jul 2022'!M23/100</f>
        <v>59.15</v>
      </c>
      <c r="D37" s="181">
        <f>($C$30*$C$31)*'END Jul 2022'!N23/100</f>
        <v>414.14545454545447</v>
      </c>
      <c r="E37" s="182">
        <v>0</v>
      </c>
      <c r="F37" s="181">
        <v>0</v>
      </c>
      <c r="G37" s="181">
        <f>($C$30*$C$32)*'END Jul 2022'!AE23/100</f>
        <v>106.52727272727272</v>
      </c>
      <c r="H37" s="183">
        <f t="shared" si="5"/>
        <v>579.82272727272721</v>
      </c>
      <c r="I37" s="202">
        <f t="shared" si="6"/>
        <v>2551.2199999999998</v>
      </c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  <c r="AG37" s="330"/>
    </row>
    <row r="38" spans="1:33" x14ac:dyDescent="0.3">
      <c r="A38" s="179" t="str">
        <f>'END Jul 2022'!K24</f>
        <v>Diamond Energy</v>
      </c>
      <c r="B38" s="180">
        <f>'END Jul 2022'!G24</f>
        <v>43281</v>
      </c>
      <c r="C38" s="181">
        <f>91*'END Jul 2022'!M24/100</f>
        <v>70.616</v>
      </c>
      <c r="D38" s="181">
        <f>IF($C$30*$C$31&gt;='END Jul 2022'!P24,('END Jul 2022'!P24*'END Jul 2022'!N24/100),(($C$30*$C$31)*'END Jul 2022'!N24/100))</f>
        <v>69.463636363636354</v>
      </c>
      <c r="E38" s="182">
        <v>0</v>
      </c>
      <c r="F38" s="181">
        <f>IF(($C$30*$C$31&lt;'END Jul 2022'!P24),(0),($C$30*$C$31-'END Jul 2022'!P24)*'END Jul 2022'!Q24/100)</f>
        <v>329.99999999999994</v>
      </c>
      <c r="G38" s="181">
        <f>($C$30*$C$32)*'END Jul 2022'!AE24/100</f>
        <v>111</v>
      </c>
      <c r="H38" s="183">
        <f t="shared" si="5"/>
        <v>581.07963636363627</v>
      </c>
      <c r="I38" s="202">
        <f t="shared" si="6"/>
        <v>2556.7503999999999</v>
      </c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  <c r="AG38" s="330"/>
    </row>
    <row r="39" spans="1:33" x14ac:dyDescent="0.3">
      <c r="A39" s="179" t="str">
        <f>'END Jul 2022'!K25</f>
        <v>Dodo Power &amp; Gas</v>
      </c>
      <c r="B39" s="180">
        <f>'END Jul 2022'!G25</f>
        <v>43281</v>
      </c>
      <c r="C39" s="181">
        <f>91*'END Jul 2022'!M25/100</f>
        <v>111.93827272727272</v>
      </c>
      <c r="D39" s="181">
        <f>($C$30*$C$31)*'END Jul 2022'!N25/100</f>
        <v>347.83636363636356</v>
      </c>
      <c r="E39" s="182">
        <v>0</v>
      </c>
      <c r="F39" s="181">
        <v>0</v>
      </c>
      <c r="G39" s="181">
        <f>($C$30*$C$32)*'END Jul 2022'!AE25/100</f>
        <v>115.96363636363635</v>
      </c>
      <c r="H39" s="183">
        <f t="shared" si="5"/>
        <v>575.7382727272726</v>
      </c>
      <c r="I39" s="202">
        <f t="shared" si="6"/>
        <v>2533.2483999999995</v>
      </c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  <c r="AG39" s="330"/>
    </row>
    <row r="40" spans="1:33" x14ac:dyDescent="0.3">
      <c r="A40" s="179" t="str">
        <f>'END Jul 2022'!K26</f>
        <v>EnergyAustralia</v>
      </c>
      <c r="B40" s="180">
        <f>'END Jul 2022'!G26</f>
        <v>43281</v>
      </c>
      <c r="C40" s="181">
        <f>91*'END Jul 2022'!M26/100</f>
        <v>79.625</v>
      </c>
      <c r="D40" s="181">
        <f>($C$30*$C$31)*'END Jul 2022'!N26/100</f>
        <v>387.67272727272723</v>
      </c>
      <c r="E40" s="182">
        <v>0</v>
      </c>
      <c r="F40" s="181">
        <v>0</v>
      </c>
      <c r="G40" s="181">
        <f>($C$30*$C$32)*'END Jul 2022'!AE26/100</f>
        <v>102.54545454545455</v>
      </c>
      <c r="H40" s="183">
        <f t="shared" si="5"/>
        <v>569.84318181818173</v>
      </c>
      <c r="I40" s="202">
        <f t="shared" si="6"/>
        <v>2507.31</v>
      </c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  <c r="AG40" s="330"/>
    </row>
    <row r="41" spans="1:33" x14ac:dyDescent="0.3">
      <c r="A41" s="179" t="str">
        <f>'END Jul 2022'!K27</f>
        <v>Momentum Energy</v>
      </c>
      <c r="B41" s="180">
        <f>'END Jul 2022'!G27</f>
        <v>43281</v>
      </c>
      <c r="C41" s="181">
        <f>91*'END Jul 2022'!M27/100</f>
        <v>110.02727272727272</v>
      </c>
      <c r="D41" s="181">
        <f>($C$30*$C$31)*'END Jul 2022'!N27/100</f>
        <v>366.5454545454545</v>
      </c>
      <c r="E41" s="182">
        <v>0</v>
      </c>
      <c r="F41" s="181">
        <v>0</v>
      </c>
      <c r="G41" s="181">
        <f>($C$30*$C$32)*'END Jul 2022'!AE27/100</f>
        <v>98.72727272727272</v>
      </c>
      <c r="H41" s="183">
        <f t="shared" si="5"/>
        <v>575.29999999999995</v>
      </c>
      <c r="I41" s="202">
        <f t="shared" si="6"/>
        <v>2531.3200000000002</v>
      </c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</row>
    <row r="42" spans="1:33" x14ac:dyDescent="0.3">
      <c r="A42" s="179" t="str">
        <f>'END Jul 2022'!K28</f>
        <v>Origin Energy</v>
      </c>
      <c r="B42" s="180">
        <f>'END Jul 2022'!G28</f>
        <v>43281</v>
      </c>
      <c r="C42" s="181">
        <f>91*'END Jul 2022'!M28/100</f>
        <v>82.063799999999986</v>
      </c>
      <c r="D42" s="181">
        <f>($C$30*$C$31)*'END Jul 2022'!N28/100</f>
        <v>391.71999999999991</v>
      </c>
      <c r="E42" s="182">
        <v>0</v>
      </c>
      <c r="F42" s="181">
        <v>0</v>
      </c>
      <c r="G42" s="181">
        <f>($C$30*$C$32)*'END Jul 2022'!AE28/100</f>
        <v>85.199999999999989</v>
      </c>
      <c r="H42" s="183">
        <f t="shared" si="5"/>
        <v>558.98379999999997</v>
      </c>
      <c r="I42" s="202">
        <f t="shared" si="6"/>
        <v>2459.5287200000002</v>
      </c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  <c r="AG42" s="330"/>
    </row>
    <row r="43" spans="1:33" x14ac:dyDescent="0.3">
      <c r="A43" s="179" t="str">
        <f>'END Jul 2022'!K29</f>
        <v>Powerdirect</v>
      </c>
      <c r="B43" s="180">
        <f>'END Jul 2022'!G29</f>
        <v>43284</v>
      </c>
      <c r="C43" s="181">
        <f>91*'END Jul 2022'!M29/100</f>
        <v>95.276999999999987</v>
      </c>
      <c r="D43" s="181">
        <f>($C$30*$C$31)*'END Jul 2022'!N29/100</f>
        <v>374.94545454545454</v>
      </c>
      <c r="E43" s="182">
        <v>0</v>
      </c>
      <c r="F43" s="181">
        <v>0</v>
      </c>
      <c r="G43" s="181">
        <f>($C$30*$C$32)*'END Jul 2022'!AE29/100</f>
        <v>106.79999999999998</v>
      </c>
      <c r="H43" s="183">
        <f t="shared" si="5"/>
        <v>577.02245454545448</v>
      </c>
      <c r="I43" s="202">
        <f t="shared" si="6"/>
        <v>2538.8987999999999</v>
      </c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  <c r="AG43" s="330"/>
    </row>
    <row r="44" spans="1:33" x14ac:dyDescent="0.3">
      <c r="A44" s="179" t="str">
        <f>'END Jul 2022'!K30</f>
        <v>Powershop</v>
      </c>
      <c r="B44" s="180">
        <f>'END Jul 2022'!G30</f>
        <v>43281</v>
      </c>
      <c r="C44" s="181">
        <f>91*'END Jul 2022'!M30/100</f>
        <v>115.2639090909091</v>
      </c>
      <c r="D44" s="181">
        <f>($C$30*$C$31)*'END Jul 2022'!N30/100</f>
        <v>351.4</v>
      </c>
      <c r="E44" s="182">
        <v>0</v>
      </c>
      <c r="F44" s="181">
        <v>0</v>
      </c>
      <c r="G44" s="181">
        <f>($C$30*$C$32)*'END Jul 2022'!AE30/100</f>
        <v>108.43636363636362</v>
      </c>
      <c r="H44" s="183">
        <f t="shared" si="5"/>
        <v>575.10027272727268</v>
      </c>
      <c r="I44" s="202">
        <f t="shared" si="6"/>
        <v>2530.4412000000002</v>
      </c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  <c r="AG44" s="330"/>
    </row>
    <row r="45" spans="1:33" x14ac:dyDescent="0.3">
      <c r="A45" s="179" t="str">
        <f>'END Jul 2022'!K31</f>
        <v>Red Energy</v>
      </c>
      <c r="B45" s="180">
        <f>'END Jul 2022'!G31</f>
        <v>43281</v>
      </c>
      <c r="C45" s="181">
        <f>91*'END Jul 2022'!M31/100</f>
        <v>100.09999999999998</v>
      </c>
      <c r="D45" s="181">
        <f>($C$30*$C$31)*'END Jul 2022'!N31/100</f>
        <v>358.4</v>
      </c>
      <c r="E45" s="182">
        <v>0</v>
      </c>
      <c r="F45" s="181">
        <v>0</v>
      </c>
      <c r="G45" s="181">
        <f>($C$30*$C$32)*'END Jul 2022'!AE31/100</f>
        <v>113.99999999999999</v>
      </c>
      <c r="H45" s="183">
        <f t="shared" si="5"/>
        <v>572.49999999999989</v>
      </c>
      <c r="I45" s="202">
        <f t="shared" si="6"/>
        <v>2518.9999999999995</v>
      </c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</row>
    <row r="46" spans="1:33" x14ac:dyDescent="0.3">
      <c r="A46" s="179" t="str">
        <f>'END Jul 2022'!K32</f>
        <v>Simply Energy</v>
      </c>
      <c r="B46" s="180">
        <f>'END Jul 2022'!G32</f>
        <v>43281</v>
      </c>
      <c r="C46" s="181">
        <f>91*'END Jul 2022'!M32/100</f>
        <v>81.279545454545456</v>
      </c>
      <c r="D46" s="181">
        <f>IF($C$30*$C$31&gt;='END Jul 2022'!P32,('END Jul 2022'!P32*'END Jul 2022'!N32/100),(($C$30*$C$31)*'END Jul 2022'!N32/100))</f>
        <v>353.12963636363634</v>
      </c>
      <c r="E46" s="182">
        <v>0</v>
      </c>
      <c r="F46" s="181">
        <f>IF(($C$30*$C$31&lt;'END Jul 2022'!P32),(0),($C$30*$C$31-'END Jul 2022'!P32)*'END Jul 2022'!Q32/100)</f>
        <v>36.814909090909083</v>
      </c>
      <c r="G46" s="181">
        <f>($C$30*$C$32)*'END Jul 2022'!AE32/100</f>
        <v>108.43636363636362</v>
      </c>
      <c r="H46" s="183">
        <f t="shared" si="5"/>
        <v>579.6604545454544</v>
      </c>
      <c r="I46" s="202">
        <f t="shared" si="6"/>
        <v>2550.5059999999994</v>
      </c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  <c r="AG46" s="330"/>
    </row>
    <row r="47" spans="1:33" x14ac:dyDescent="0.3">
      <c r="A47" s="179" t="str">
        <f>'END Jul 2022'!K33</f>
        <v>1st Energy</v>
      </c>
      <c r="B47" s="180">
        <f>'END Jul 2022'!G33</f>
        <v>43281</v>
      </c>
      <c r="C47" s="181">
        <f>91*'END Jul 2022'!M33/100</f>
        <v>100.09999999999998</v>
      </c>
      <c r="D47" s="181">
        <f>IF($C$30*$C$31&gt;='END Jul 2022'!P33,('END Jul 2022'!P33*'END Jul 2022'!N33/100),(($C$30*$C$31)*'END Jul 2022'!N33/100))</f>
        <v>353.7</v>
      </c>
      <c r="E47" s="182">
        <v>0</v>
      </c>
      <c r="F47" s="181">
        <f>IF(($C$30*$C$31&lt;'END Jul 2022'!P33),(0),($C$30*$C$31-'END Jul 2022'!P33)*'END Jul 2022'!Q33/100)</f>
        <v>15.299999999999997</v>
      </c>
      <c r="G47" s="181">
        <f>($C$30*$C$32)*'END Jul 2022'!AE33/100</f>
        <v>100.8</v>
      </c>
      <c r="H47" s="183">
        <f t="shared" si="5"/>
        <v>569.9</v>
      </c>
      <c r="I47" s="202">
        <f t="shared" si="6"/>
        <v>2507.56</v>
      </c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</row>
    <row r="48" spans="1:33" x14ac:dyDescent="0.3">
      <c r="A48" s="179" t="str">
        <f>'END Jul 2022'!K34</f>
        <v>ReAmped Energy</v>
      </c>
      <c r="B48" s="180">
        <f>'END Jul 2022'!G34</f>
        <v>43281</v>
      </c>
      <c r="C48" s="181">
        <f>91*'END Jul 2022'!M34/100</f>
        <v>70.069999999999993</v>
      </c>
      <c r="D48" s="181">
        <f>($C$30*$C$31)*'END Jul 2022'!N34/100</f>
        <v>396.07272727272726</v>
      </c>
      <c r="E48" s="182">
        <v>0</v>
      </c>
      <c r="F48" s="181">
        <v>0</v>
      </c>
      <c r="G48" s="181">
        <f>($C$30*$C$32)*'END Jul 2022'!AE34/100</f>
        <v>112.2</v>
      </c>
      <c r="H48" s="183">
        <f t="shared" si="5"/>
        <v>578.3427272727273</v>
      </c>
      <c r="I48" s="202">
        <f t="shared" si="6"/>
        <v>2544.7080000000005</v>
      </c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  <c r="AG48" s="330"/>
    </row>
    <row r="49" spans="1:1344" x14ac:dyDescent="0.3">
      <c r="A49" s="179" t="str">
        <f>'END Jul 2022'!K35</f>
        <v>Nectr</v>
      </c>
      <c r="B49" s="180">
        <f>'END Jul 2022'!G35</f>
        <v>43284</v>
      </c>
      <c r="C49" s="181">
        <f>91*'END Jul 2022'!M35/100</f>
        <v>80.08</v>
      </c>
      <c r="D49" s="181">
        <f>($C$30*$C$31)*'END Jul 2022'!N35/100</f>
        <v>385</v>
      </c>
      <c r="E49" s="182">
        <v>0</v>
      </c>
      <c r="F49" s="181">
        <v>0</v>
      </c>
      <c r="G49" s="181">
        <f>($C$30*$C$32)*'END Jul 2022'!AE35/100</f>
        <v>112.56000000000002</v>
      </c>
      <c r="H49" s="183">
        <f t="shared" ref="H49" si="7">SUM(C49:G49)</f>
        <v>577.64</v>
      </c>
      <c r="I49" s="202">
        <f t="shared" ref="I49" si="8">(H49*4)*1.1</f>
        <v>2541.616</v>
      </c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  <c r="AG49" s="330"/>
    </row>
    <row r="50" spans="1:1344" x14ac:dyDescent="0.3">
      <c r="A50" s="179" t="str">
        <f>'END Jul 2022'!K36</f>
        <v>Sumo Power</v>
      </c>
      <c r="B50" s="180">
        <f>'END Jul 2022'!G36</f>
        <v>43281</v>
      </c>
      <c r="C50" s="181">
        <f>91*'END Jul 2022'!M36/100</f>
        <v>104.64999999999998</v>
      </c>
      <c r="D50" s="181">
        <f>($C$30*$C$31)*'END Jul 2022'!N36/100</f>
        <v>356.87272727272722</v>
      </c>
      <c r="E50" s="182">
        <v>0</v>
      </c>
      <c r="F50" s="181">
        <v>0</v>
      </c>
      <c r="G50" s="181">
        <f>($C$30*$C$32)*'END Jul 2022'!AE36/100</f>
        <v>114.81818181818181</v>
      </c>
      <c r="H50" s="183">
        <f t="shared" si="5"/>
        <v>576.34090909090901</v>
      </c>
      <c r="I50" s="202">
        <f t="shared" si="6"/>
        <v>2535.8999999999996</v>
      </c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  <c r="AG50" s="330"/>
    </row>
    <row r="51" spans="1:1344" s="266" customFormat="1" x14ac:dyDescent="0.3">
      <c r="A51" s="179" t="str">
        <f>'END Jul 2022'!K37</f>
        <v>Tango Energy</v>
      </c>
      <c r="B51" s="180">
        <f>'END Jul 2022'!G37</f>
        <v>43281</v>
      </c>
      <c r="C51" s="181">
        <f>91*'END Jul 2022'!M37/100</f>
        <v>89.634999999999977</v>
      </c>
      <c r="D51" s="181">
        <f>($C$30*$C$31)*'END Jul 2022'!N37/100</f>
        <v>380.92727272727274</v>
      </c>
      <c r="E51" s="181">
        <v>0</v>
      </c>
      <c r="F51" s="181">
        <v>0</v>
      </c>
      <c r="G51" s="181">
        <f>($C$30*$C$32)*'END Jul 2022'!AE37/100</f>
        <v>106.79999999999998</v>
      </c>
      <c r="H51" s="183">
        <f t="shared" si="5"/>
        <v>577.36227272727274</v>
      </c>
      <c r="I51" s="202">
        <f t="shared" si="6"/>
        <v>2540.3940000000002</v>
      </c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  <c r="AG51" s="330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</row>
    <row r="52" spans="1:1344" customFormat="1" x14ac:dyDescent="0.3">
      <c r="A52" s="330"/>
      <c r="B52" s="330"/>
      <c r="C52" s="330"/>
      <c r="D52" s="330"/>
      <c r="E52" s="330"/>
      <c r="F52" s="330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  <c r="AG52" s="330"/>
    </row>
    <row r="53" spans="1:1344" customFormat="1" ht="14" thickBot="1" x14ac:dyDescent="0.35">
      <c r="A53" s="330"/>
      <c r="B53" s="330"/>
      <c r="C53" s="330"/>
      <c r="D53" s="330"/>
      <c r="E53" s="330"/>
      <c r="F53" s="330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  <c r="AG53" s="330"/>
    </row>
    <row r="54" spans="1:1344" ht="14" x14ac:dyDescent="0.3">
      <c r="A54" s="176" t="s">
        <v>94</v>
      </c>
      <c r="B54" s="91"/>
      <c r="C54" s="91"/>
      <c r="D54" s="91"/>
      <c r="E54" s="91"/>
      <c r="F54" s="91"/>
      <c r="G54" s="91"/>
      <c r="H54" s="91"/>
      <c r="I54" s="177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  <c r="AG54" s="330"/>
    </row>
    <row r="55" spans="1:1344" ht="14" x14ac:dyDescent="0.3">
      <c r="A55" s="92" t="s">
        <v>79</v>
      </c>
      <c r="B55" s="93"/>
      <c r="C55" s="168">
        <v>2000</v>
      </c>
      <c r="D55" s="93"/>
      <c r="E55" s="93"/>
      <c r="F55" s="93"/>
      <c r="G55" s="93"/>
      <c r="H55" s="93"/>
      <c r="I55" s="178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  <c r="AG55" s="330"/>
    </row>
    <row r="56" spans="1:1344" ht="14" x14ac:dyDescent="0.3">
      <c r="A56" s="92" t="s">
        <v>91</v>
      </c>
      <c r="B56" s="93"/>
      <c r="C56" s="257">
        <v>0.2</v>
      </c>
      <c r="D56" s="93"/>
      <c r="E56" s="93"/>
      <c r="F56" s="93"/>
      <c r="G56" s="93"/>
      <c r="H56" s="93"/>
      <c r="I56" s="178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  <c r="AG56" s="330"/>
    </row>
    <row r="57" spans="1:1344" ht="14" x14ac:dyDescent="0.3">
      <c r="A57" s="92" t="s">
        <v>95</v>
      </c>
      <c r="B57" s="93"/>
      <c r="C57" s="257">
        <v>0.5</v>
      </c>
      <c r="D57" s="93"/>
      <c r="E57" s="93"/>
      <c r="F57" s="93"/>
      <c r="G57" s="93"/>
      <c r="H57" s="93"/>
      <c r="I57" s="178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  <c r="AG57" s="330"/>
    </row>
    <row r="58" spans="1:1344" ht="14" x14ac:dyDescent="0.3">
      <c r="A58" s="92" t="s">
        <v>92</v>
      </c>
      <c r="B58" s="93"/>
      <c r="C58" s="257">
        <v>0.3</v>
      </c>
      <c r="D58" s="93"/>
      <c r="E58" s="93"/>
      <c r="F58" s="93"/>
      <c r="G58" s="93"/>
      <c r="H58" s="93"/>
      <c r="I58" s="178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  <c r="AG58" s="330"/>
    </row>
    <row r="59" spans="1:1344" ht="14" x14ac:dyDescent="0.3">
      <c r="A59" s="92"/>
      <c r="B59" s="93"/>
      <c r="C59" s="93"/>
      <c r="D59" s="93"/>
      <c r="E59" s="93"/>
      <c r="F59" s="93"/>
      <c r="G59" s="93"/>
      <c r="H59" s="93"/>
      <c r="I59" s="178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  <c r="AG59" s="330"/>
    </row>
    <row r="60" spans="1:1344" ht="28" x14ac:dyDescent="0.3">
      <c r="A60" s="301" t="s">
        <v>80</v>
      </c>
      <c r="B60" s="298" t="s">
        <v>81</v>
      </c>
      <c r="C60" s="298" t="s">
        <v>82</v>
      </c>
      <c r="D60" s="298" t="s">
        <v>96</v>
      </c>
      <c r="E60" s="298" t="s">
        <v>86</v>
      </c>
      <c r="F60" s="298" t="s">
        <v>97</v>
      </c>
      <c r="G60" s="298" t="s">
        <v>98</v>
      </c>
      <c r="H60" s="298" t="s">
        <v>87</v>
      </c>
      <c r="I60" s="300" t="s">
        <v>88</v>
      </c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  <c r="AG60" s="330"/>
    </row>
    <row r="61" spans="1:1344" x14ac:dyDescent="0.3">
      <c r="A61" s="179" t="str">
        <f>'END Jul 2022'!K38</f>
        <v>AGL</v>
      </c>
      <c r="B61" s="180">
        <f>'END Jul 2022'!G38</f>
        <v>43284</v>
      </c>
      <c r="C61" s="181">
        <f>91*'END Jul 2022'!M38/100</f>
        <v>92.381545454545446</v>
      </c>
      <c r="D61" s="181">
        <f>($C$55*$C$56)*'END Jul 2022'!N38/100</f>
        <v>152.39999999999998</v>
      </c>
      <c r="E61" s="181">
        <v>0</v>
      </c>
      <c r="F61" s="181">
        <f>($C$55*$C$57)*'END Jul 2022'!AH38/100</f>
        <v>327.63636363636357</v>
      </c>
      <c r="G61" s="181">
        <f>($C$55*$C$58)*'END Jul 2022'!W38/100</f>
        <v>111.1090909090909</v>
      </c>
      <c r="H61" s="183">
        <f t="shared" ref="H61:H72" si="9">SUM(C61:G61)</f>
        <v>683.52699999999993</v>
      </c>
      <c r="I61" s="202">
        <f t="shared" ref="I61:I72" si="10">(H61*4)*1.1</f>
        <v>3007.5187999999998</v>
      </c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  <c r="AG61" s="330"/>
    </row>
    <row r="62" spans="1:1344" x14ac:dyDescent="0.3">
      <c r="A62" s="179" t="str">
        <f>'END Jul 2022'!K39</f>
        <v>Alinta Energy</v>
      </c>
      <c r="B62" s="180">
        <f>'END Jul 2022'!G39</f>
        <v>43281</v>
      </c>
      <c r="C62" s="181">
        <f>91*'END Jul 2022'!M39/100</f>
        <v>89.279272727272726</v>
      </c>
      <c r="D62" s="181">
        <f>($C$55*$C$56)*'END Jul 2022'!N39/100</f>
        <v>133.70909090909092</v>
      </c>
      <c r="E62" s="181">
        <v>0</v>
      </c>
      <c r="F62" s="181">
        <f>($C$55*$C$57)*'END Jul 2022'!AH39/100</f>
        <v>285.90909090909082</v>
      </c>
      <c r="G62" s="181">
        <f>($C$55*$C$58)*'END Jul 2022'!W39/100</f>
        <v>113.29090909090908</v>
      </c>
      <c r="H62" s="183">
        <f t="shared" si="9"/>
        <v>622.18836363636353</v>
      </c>
      <c r="I62" s="202">
        <f t="shared" si="10"/>
        <v>2737.6288</v>
      </c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  <c r="AG62" s="330"/>
    </row>
    <row r="63" spans="1:1344" x14ac:dyDescent="0.3">
      <c r="A63" s="179" t="str">
        <f>'END Jul 2022'!K40</f>
        <v>CovaU</v>
      </c>
      <c r="B63" s="180">
        <f>'END Jul 2022'!G40</f>
        <v>43281</v>
      </c>
      <c r="C63" s="181">
        <f>91*'END Jul 2022'!M40/100</f>
        <v>81.899999999999991</v>
      </c>
      <c r="D63" s="181">
        <f>($C$55*$C$56)*'END Jul 2022'!N40/100</f>
        <v>145.19999999999999</v>
      </c>
      <c r="E63" s="181">
        <v>0</v>
      </c>
      <c r="F63" s="181">
        <f>($C$55*$C$57)*'END Jul 2022'!AH40/100</f>
        <v>280</v>
      </c>
      <c r="G63" s="181">
        <f>($C$55*$C$58)*'END Jul 2022'!W40/100</f>
        <v>138</v>
      </c>
      <c r="H63" s="183">
        <f t="shared" si="9"/>
        <v>645.09999999999991</v>
      </c>
      <c r="I63" s="202">
        <f t="shared" si="10"/>
        <v>2838.44</v>
      </c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</row>
    <row r="64" spans="1:1344" x14ac:dyDescent="0.3">
      <c r="A64" s="179" t="str">
        <f>'END Jul 2022'!K41</f>
        <v>Diamond Energy</v>
      </c>
      <c r="B64" s="180">
        <f>'END Jul 2022'!G41</f>
        <v>43281</v>
      </c>
      <c r="C64" s="181">
        <f>91*'END Jul 2022'!M41/100</f>
        <v>100.09999999999998</v>
      </c>
      <c r="D64" s="182">
        <f>IF($C$55*$C$56&gt;='END Jul 2022'!P41,('END Jul 2022'!P41*'END Jul 2022'!N41/100),(($C$55*$C$56)*'END Jul 2022'!N41/100))</f>
        <v>34.471363636363634</v>
      </c>
      <c r="E64" s="181">
        <f>IF(($C$55*$C$56&lt;'END Jul 2022'!P41),(0),($C$55*$C$56-'END Jul 2022'!P41)*'END Jul 2022'!Q41/100)</f>
        <v>141.74999999999997</v>
      </c>
      <c r="F64" s="181">
        <f>($C$55*$C$57)*'END Jul 2022'!AH41/100</f>
        <v>260</v>
      </c>
      <c r="G64" s="181">
        <f>($C$55*$C$58)*'END Jul 2022'!W41/100</f>
        <v>108</v>
      </c>
      <c r="H64" s="183">
        <f t="shared" si="9"/>
        <v>644.32136363636357</v>
      </c>
      <c r="I64" s="202">
        <f t="shared" si="10"/>
        <v>2835.0140000000001</v>
      </c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  <c r="AG64" s="330"/>
    </row>
    <row r="65" spans="1:1344" x14ac:dyDescent="0.3">
      <c r="A65" s="179" t="str">
        <f>'END Jul 2022'!K42</f>
        <v>Dodo Power &amp; Gas</v>
      </c>
      <c r="B65" s="180">
        <f>'END Jul 2022'!G42</f>
        <v>43281</v>
      </c>
      <c r="C65" s="181">
        <f>91*'END Jul 2022'!M42/100</f>
        <v>94.88818181818182</v>
      </c>
      <c r="D65" s="181">
        <f>($C$55*$C$56)*'END Jul 2022'!N42/100</f>
        <v>118.72727272727272</v>
      </c>
      <c r="E65" s="181">
        <v>0</v>
      </c>
      <c r="F65" s="181">
        <f>($C$55*$C$57)*'END Jul 2022'!AH42/100</f>
        <v>250.72727272727272</v>
      </c>
      <c r="G65" s="181">
        <f>($C$55*$C$58)*'END Jul 2022'!W42/100</f>
        <v>146.99999999999997</v>
      </c>
      <c r="H65" s="183">
        <f t="shared" si="9"/>
        <v>611.3427272727273</v>
      </c>
      <c r="I65" s="202">
        <f t="shared" si="10"/>
        <v>2689.9080000000004</v>
      </c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  <c r="AG65" s="330"/>
    </row>
    <row r="66" spans="1:1344" x14ac:dyDescent="0.3">
      <c r="A66" s="179" t="str">
        <f>'END Jul 2022'!K43</f>
        <v>Origin Energy</v>
      </c>
      <c r="B66" s="180">
        <f>'END Jul 2022'!G43</f>
        <v>43281</v>
      </c>
      <c r="C66" s="181">
        <f>91*'END Jul 2022'!M43/100</f>
        <v>91.718899999999991</v>
      </c>
      <c r="D66" s="181">
        <f>($C$55*$C$56)*'END Jul 2022'!N43/100</f>
        <v>150.96</v>
      </c>
      <c r="E66" s="181">
        <v>0</v>
      </c>
      <c r="F66" s="181">
        <f>($C$55*$C$57)*'END Jul 2022'!AH43/100</f>
        <v>303.19999999999993</v>
      </c>
      <c r="G66" s="181">
        <f>($C$55*$C$58)*'END Jul 2022'!W43/100</f>
        <v>115.43999999999998</v>
      </c>
      <c r="H66" s="183">
        <f t="shared" si="9"/>
        <v>661.31889999999987</v>
      </c>
      <c r="I66" s="202">
        <f t="shared" si="10"/>
        <v>2909.8031599999995</v>
      </c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  <c r="AG66" s="330"/>
    </row>
    <row r="67" spans="1:1344" x14ac:dyDescent="0.3">
      <c r="A67" s="179" t="str">
        <f>'END Jul 2022'!K44</f>
        <v>Powerdirect</v>
      </c>
      <c r="B67" s="180">
        <f>'END Jul 2022'!G44</f>
        <v>43284</v>
      </c>
      <c r="C67" s="181">
        <f>91*'END Jul 2022'!M44/100</f>
        <v>92.381545454545446</v>
      </c>
      <c r="D67" s="181">
        <f>($C$55*$C$56)*'END Jul 2022'!N44/100</f>
        <v>152.39999999999998</v>
      </c>
      <c r="E67" s="181">
        <v>0</v>
      </c>
      <c r="F67" s="181">
        <f>($C$55*$C$57)*'END Jul 2022'!AH44/100</f>
        <v>327.63636363636357</v>
      </c>
      <c r="G67" s="181">
        <f>($C$55*$C$58)*'END Jul 2022'!W44/100</f>
        <v>111.1090909090909</v>
      </c>
      <c r="H67" s="183">
        <f t="shared" si="9"/>
        <v>683.52699999999993</v>
      </c>
      <c r="I67" s="202">
        <f t="shared" si="10"/>
        <v>3007.5187999999998</v>
      </c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  <c r="AG67" s="330"/>
    </row>
    <row r="68" spans="1:1344" x14ac:dyDescent="0.3">
      <c r="A68" s="179" t="str">
        <f>'END Jul 2022'!K45</f>
        <v>Powershop</v>
      </c>
      <c r="B68" s="180">
        <f>'END Jul 2022'!G45</f>
        <v>43281</v>
      </c>
      <c r="C68" s="181">
        <f>91*'END Jul 2022'!M45/100</f>
        <v>119.40854545454546</v>
      </c>
      <c r="D68" s="181">
        <f>($C$55*$C$56)*'END Jul 2022'!N45/100</f>
        <v>110.43636363636364</v>
      </c>
      <c r="E68" s="181">
        <v>0</v>
      </c>
      <c r="F68" s="181">
        <f>($C$55*$C$57)*'END Jul 2022'!AH45/100</f>
        <v>240.54545454545456</v>
      </c>
      <c r="G68" s="181">
        <f>($C$55*$C$58)*'END Jul 2022'!W45/100</f>
        <v>137.1272727272727</v>
      </c>
      <c r="H68" s="183">
        <f t="shared" si="9"/>
        <v>607.51763636363637</v>
      </c>
      <c r="I68" s="202">
        <f t="shared" si="10"/>
        <v>2673.0776000000001</v>
      </c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</row>
    <row r="69" spans="1:1344" x14ac:dyDescent="0.3">
      <c r="A69" s="179" t="str">
        <f>'END Jul 2022'!K46</f>
        <v>Simply Energy</v>
      </c>
      <c r="B69" s="180">
        <f>'END Jul 2022'!G46</f>
        <v>43281</v>
      </c>
      <c r="C69" s="181">
        <f>91*'END Jul 2022'!M46/100</f>
        <v>84.174999999999983</v>
      </c>
      <c r="D69" s="181">
        <f>($C$55*$C$56)*'END Jul 2022'!N46/100</f>
        <v>140</v>
      </c>
      <c r="E69" s="181">
        <v>0</v>
      </c>
      <c r="F69" s="181">
        <f>($C$55*$C$57)*'END Jul 2022'!AH46/100</f>
        <v>269.99999999999994</v>
      </c>
      <c r="G69" s="181">
        <f>($C$55*$C$58)*'END Jul 2022'!W46/100</f>
        <v>140.83636363636364</v>
      </c>
      <c r="H69" s="183">
        <f t="shared" si="9"/>
        <v>635.01136363636363</v>
      </c>
      <c r="I69" s="202">
        <f t="shared" si="10"/>
        <v>2794.05</v>
      </c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</row>
    <row r="70" spans="1:1344" x14ac:dyDescent="0.3">
      <c r="A70" s="179" t="str">
        <f>'END Jul 2022'!K47</f>
        <v>1st Energy</v>
      </c>
      <c r="B70" s="180">
        <f>'END Jul 2022'!G47</f>
        <v>43281</v>
      </c>
      <c r="C70" s="181">
        <f>91*'END Jul 2022'!M47/100</f>
        <v>95.549999999999983</v>
      </c>
      <c r="D70" s="181">
        <f>($C$55*$C$56)*'END Jul 2022'!N47/100</f>
        <v>122.8</v>
      </c>
      <c r="E70" s="181">
        <v>0</v>
      </c>
      <c r="F70" s="181">
        <f>($C$55*$C$57)*'END Jul 2022'!AH47/100</f>
        <v>269</v>
      </c>
      <c r="G70" s="181">
        <f>($C$55*$C$58)*'END Jul 2022'!W47/100</f>
        <v>128.4</v>
      </c>
      <c r="H70" s="183">
        <f t="shared" si="9"/>
        <v>615.75</v>
      </c>
      <c r="I70" s="202">
        <f t="shared" si="10"/>
        <v>2709.3</v>
      </c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  <c r="AG70" s="330"/>
    </row>
    <row r="71" spans="1:1344" x14ac:dyDescent="0.3">
      <c r="A71" s="179" t="str">
        <f>'END Jul 2022'!K48</f>
        <v>Sumo Power</v>
      </c>
      <c r="B71" s="180">
        <f>'END Jul 2022'!G48</f>
        <v>43281</v>
      </c>
      <c r="C71" s="181">
        <f>91*'END Jul 2022'!M48/100</f>
        <v>100.09999999999998</v>
      </c>
      <c r="D71" s="181">
        <f>($C$55*$C$56)*'END Jul 2022'!N48/100</f>
        <v>116.79999999999998</v>
      </c>
      <c r="E71" s="181">
        <v>0</v>
      </c>
      <c r="F71" s="181">
        <f>($C$55*$C$57)*'END Jul 2022'!AH48/100</f>
        <v>252.99999999999997</v>
      </c>
      <c r="G71" s="181">
        <f>($C$55*$C$58)*'END Jul 2022'!W48/100</f>
        <v>143.99999999999997</v>
      </c>
      <c r="H71" s="183">
        <f t="shared" si="9"/>
        <v>613.9</v>
      </c>
      <c r="I71" s="202">
        <f t="shared" si="10"/>
        <v>2701.1600000000003</v>
      </c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  <c r="AG71" s="330"/>
    </row>
    <row r="72" spans="1:1344" s="266" customFormat="1" x14ac:dyDescent="0.3">
      <c r="A72" s="179" t="str">
        <f>'END Jul 2022'!K49</f>
        <v>Tango Energy</v>
      </c>
      <c r="B72" s="180">
        <f>'END Jul 2022'!G49</f>
        <v>43281</v>
      </c>
      <c r="C72" s="181">
        <f>91*'END Jul 2022'!M49/100</f>
        <v>84.539000000000001</v>
      </c>
      <c r="D72" s="181">
        <f>($C$55*$C$56)*'END Jul 2022'!N49/100</f>
        <v>127.56363636363635</v>
      </c>
      <c r="E72" s="181">
        <v>0</v>
      </c>
      <c r="F72" s="181">
        <f>($C$55*$C$57)*'END Jul 2022'!AH49/100</f>
        <v>267.99999999999994</v>
      </c>
      <c r="G72" s="181">
        <f>($C$55*$C$58)*'END Jul 2022'!W49/100</f>
        <v>156.43636363636361</v>
      </c>
      <c r="H72" s="183">
        <f t="shared" si="9"/>
        <v>636.53899999999987</v>
      </c>
      <c r="I72" s="202">
        <f t="shared" si="10"/>
        <v>2800.7715999999996</v>
      </c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  <c r="AG72" s="330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</row>
    <row r="73" spans="1:1344" customFormat="1" x14ac:dyDescent="0.3">
      <c r="A73" s="330"/>
      <c r="B73" s="330"/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</row>
    <row r="74" spans="1:1344" customFormat="1" x14ac:dyDescent="0.3">
      <c r="A74" s="330"/>
      <c r="B74" s="330"/>
      <c r="C74" s="330"/>
      <c r="D74" s="330"/>
      <c r="E74" s="330"/>
      <c r="F74" s="330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  <c r="AG74" s="330"/>
    </row>
    <row r="75" spans="1:1344" customFormat="1" x14ac:dyDescent="0.3">
      <c r="A75" s="330"/>
      <c r="B75" s="330"/>
      <c r="C75" s="330"/>
      <c r="D75" s="330"/>
      <c r="E75" s="330"/>
      <c r="F75" s="330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  <c r="AG75" s="330"/>
    </row>
    <row r="76" spans="1:1344" customFormat="1" x14ac:dyDescent="0.3">
      <c r="A76" s="330"/>
      <c r="B76" s="330"/>
      <c r="C76" s="330"/>
      <c r="D76" s="330"/>
      <c r="E76" s="330"/>
      <c r="F76" s="330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  <c r="AG76" s="330"/>
    </row>
    <row r="77" spans="1:1344" customFormat="1" x14ac:dyDescent="0.3">
      <c r="A77" s="330"/>
      <c r="B77" s="330"/>
      <c r="C77" s="330"/>
      <c r="D77" s="330"/>
      <c r="E77" s="330"/>
      <c r="F77" s="330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  <c r="AG77" s="330"/>
    </row>
    <row r="78" spans="1:1344" customFormat="1" x14ac:dyDescent="0.3">
      <c r="A78" s="330"/>
      <c r="B78" s="330"/>
      <c r="C78" s="330"/>
      <c r="D78" s="330"/>
      <c r="E78" s="330"/>
      <c r="F78" s="330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</row>
    <row r="79" spans="1:1344" customFormat="1" x14ac:dyDescent="0.3">
      <c r="A79" s="330"/>
      <c r="B79" s="330"/>
      <c r="C79" s="330"/>
      <c r="D79" s="330"/>
      <c r="E79" s="330"/>
      <c r="F79" s="330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  <c r="AG79" s="330"/>
    </row>
    <row r="80" spans="1:1344" customFormat="1" x14ac:dyDescent="0.3">
      <c r="A80" s="330"/>
      <c r="B80" s="330"/>
      <c r="C80" s="330"/>
      <c r="D80" s="330"/>
      <c r="E80" s="330"/>
      <c r="F80" s="330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  <c r="AG80" s="330"/>
    </row>
    <row r="81" spans="1:33" customFormat="1" x14ac:dyDescent="0.3">
      <c r="A81" s="330"/>
      <c r="B81" s="330"/>
      <c r="C81" s="330"/>
      <c r="D81" s="330"/>
      <c r="E81" s="330"/>
      <c r="F81" s="330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  <c r="AG81" s="330"/>
    </row>
    <row r="82" spans="1:33" customFormat="1" x14ac:dyDescent="0.3">
      <c r="A82" s="330"/>
      <c r="B82" s="330"/>
      <c r="C82" s="330"/>
      <c r="D82" s="330"/>
      <c r="E82" s="330"/>
      <c r="F82" s="330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  <c r="AG82" s="330"/>
    </row>
    <row r="83" spans="1:33" customFormat="1" x14ac:dyDescent="0.3">
      <c r="A83" s="330"/>
      <c r="B83" s="330"/>
      <c r="C83" s="330"/>
      <c r="D83" s="330"/>
      <c r="E83" s="330"/>
      <c r="F83" s="330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  <c r="AG83" s="330"/>
    </row>
    <row r="84" spans="1:33" customFormat="1" x14ac:dyDescent="0.3">
      <c r="A84" s="330"/>
      <c r="B84" s="330"/>
      <c r="C84" s="330"/>
      <c r="D84" s="330"/>
      <c r="E84" s="330"/>
      <c r="F84" s="330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  <c r="AG84" s="330"/>
    </row>
    <row r="85" spans="1:33" customFormat="1" x14ac:dyDescent="0.3">
      <c r="A85" s="330"/>
      <c r="B85" s="330"/>
      <c r="C85" s="330"/>
      <c r="D85" s="330"/>
      <c r="E85" s="330"/>
      <c r="F85" s="330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  <c r="AG85" s="330"/>
    </row>
    <row r="86" spans="1:33" customFormat="1" x14ac:dyDescent="0.3">
      <c r="A86" s="330"/>
      <c r="B86" s="330"/>
      <c r="C86" s="330"/>
      <c r="D86" s="330"/>
      <c r="E86" s="330"/>
      <c r="F86" s="330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</row>
    <row r="87" spans="1:33" customFormat="1" x14ac:dyDescent="0.3">
      <c r="A87" s="330"/>
      <c r="B87" s="330"/>
      <c r="C87" s="330"/>
      <c r="D87" s="330"/>
      <c r="E87" s="330"/>
      <c r="F87" s="330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</row>
    <row r="88" spans="1:33" customFormat="1" x14ac:dyDescent="0.3">
      <c r="A88" s="330"/>
      <c r="B88" s="330"/>
      <c r="C88" s="330"/>
      <c r="D88" s="330"/>
      <c r="E88" s="330"/>
      <c r="F88" s="330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  <c r="AG88" s="330"/>
    </row>
    <row r="89" spans="1:33" customFormat="1" x14ac:dyDescent="0.3">
      <c r="A89" s="330"/>
      <c r="B89" s="330"/>
      <c r="C89" s="330"/>
      <c r="D89" s="330"/>
      <c r="E89" s="330"/>
      <c r="F89" s="330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  <c r="AG89" s="330"/>
    </row>
    <row r="90" spans="1:33" customFormat="1" x14ac:dyDescent="0.3">
      <c r="A90" s="330"/>
      <c r="B90" s="330"/>
      <c r="C90" s="330"/>
      <c r="D90" s="330"/>
      <c r="E90" s="330"/>
      <c r="F90" s="330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  <c r="AG90" s="330"/>
    </row>
    <row r="91" spans="1:33" customFormat="1" x14ac:dyDescent="0.3">
      <c r="A91" s="330"/>
      <c r="B91" s="330"/>
      <c r="C91" s="330"/>
      <c r="D91" s="330"/>
      <c r="E91" s="330"/>
      <c r="F91" s="330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  <c r="AG91" s="330"/>
    </row>
    <row r="92" spans="1:33" customFormat="1" x14ac:dyDescent="0.3">
      <c r="A92" s="330"/>
      <c r="B92" s="330"/>
      <c r="C92" s="330"/>
      <c r="D92" s="330"/>
      <c r="E92" s="330"/>
      <c r="F92" s="330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  <c r="AG92" s="330"/>
    </row>
    <row r="93" spans="1:33" customFormat="1" x14ac:dyDescent="0.3">
      <c r="A93" s="330"/>
      <c r="B93" s="330"/>
      <c r="C93" s="330"/>
      <c r="D93" s="330"/>
      <c r="E93" s="330"/>
      <c r="F93" s="330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  <c r="AG93" s="330"/>
    </row>
    <row r="94" spans="1:33" customFormat="1" x14ac:dyDescent="0.3">
      <c r="A94" s="330"/>
      <c r="B94" s="330"/>
      <c r="C94" s="330"/>
      <c r="D94" s="330"/>
      <c r="E94" s="330"/>
      <c r="F94" s="330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  <c r="AG94" s="330"/>
    </row>
    <row r="95" spans="1:33" customFormat="1" x14ac:dyDescent="0.3">
      <c r="A95" s="330"/>
      <c r="B95" s="330"/>
      <c r="C95" s="330"/>
      <c r="D95" s="330"/>
      <c r="E95" s="330"/>
      <c r="F95" s="330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</row>
    <row r="96" spans="1:33" customFormat="1" x14ac:dyDescent="0.3">
      <c r="A96" s="330"/>
      <c r="B96" s="330"/>
      <c r="C96" s="330"/>
      <c r="D96" s="330"/>
      <c r="E96" s="330"/>
      <c r="F96" s="330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  <c r="AG96" s="330"/>
    </row>
    <row r="97" spans="1:33" customFormat="1" x14ac:dyDescent="0.3">
      <c r="A97" s="330"/>
      <c r="B97" s="330"/>
      <c r="C97" s="330"/>
      <c r="D97" s="330"/>
      <c r="E97" s="330"/>
      <c r="F97" s="330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</row>
    <row r="98" spans="1:33" customFormat="1" x14ac:dyDescent="0.3">
      <c r="A98" s="330"/>
      <c r="B98" s="330"/>
      <c r="C98" s="330"/>
      <c r="D98" s="330"/>
      <c r="E98" s="330"/>
      <c r="F98" s="330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  <c r="AG98" s="330"/>
    </row>
    <row r="99" spans="1:33" customFormat="1" x14ac:dyDescent="0.3">
      <c r="A99" s="330"/>
      <c r="B99" s="330"/>
      <c r="C99" s="330"/>
      <c r="D99" s="330"/>
      <c r="E99" s="330"/>
      <c r="F99" s="330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</row>
    <row r="100" spans="1:33" customFormat="1" x14ac:dyDescent="0.3">
      <c r="A100" s="330"/>
      <c r="B100" s="330"/>
      <c r="C100" s="330"/>
      <c r="D100" s="330"/>
      <c r="E100" s="330"/>
      <c r="F100" s="330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  <c r="AG100" s="330"/>
    </row>
    <row r="101" spans="1:33" customFormat="1" x14ac:dyDescent="0.3">
      <c r="A101" s="330"/>
      <c r="B101" s="330"/>
      <c r="C101" s="330"/>
      <c r="D101" s="330"/>
      <c r="E101" s="330"/>
      <c r="F101" s="330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  <c r="AG101" s="330"/>
    </row>
    <row r="102" spans="1:33" customFormat="1" x14ac:dyDescent="0.3">
      <c r="A102" s="330"/>
      <c r="B102" s="330"/>
      <c r="C102" s="330"/>
      <c r="D102" s="330"/>
      <c r="E102" s="330"/>
      <c r="F102" s="330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</row>
    <row r="103" spans="1:33" customFormat="1" x14ac:dyDescent="0.3">
      <c r="A103" s="330"/>
      <c r="B103" s="330"/>
      <c r="C103" s="330"/>
      <c r="D103" s="330"/>
      <c r="E103" s="330"/>
      <c r="F103" s="330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  <c r="AG103" s="330"/>
    </row>
    <row r="104" spans="1:33" customFormat="1" x14ac:dyDescent="0.3">
      <c r="A104" s="330"/>
      <c r="B104" s="330"/>
      <c r="C104" s="330"/>
      <c r="D104" s="330"/>
      <c r="E104" s="330"/>
      <c r="F104" s="330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</row>
    <row r="105" spans="1:33" customFormat="1" x14ac:dyDescent="0.3">
      <c r="A105" s="330"/>
      <c r="B105" s="330"/>
      <c r="C105" s="330"/>
      <c r="D105" s="330"/>
      <c r="E105" s="330"/>
      <c r="F105" s="330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  <c r="AG105" s="330"/>
    </row>
    <row r="106" spans="1:33" customFormat="1" x14ac:dyDescent="0.3">
      <c r="A106" s="330"/>
      <c r="B106" s="330"/>
      <c r="C106" s="330"/>
      <c r="D106" s="330"/>
      <c r="E106" s="330"/>
      <c r="F106" s="330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  <c r="AG106" s="330"/>
    </row>
    <row r="107" spans="1:33" customFormat="1" x14ac:dyDescent="0.3">
      <c r="A107" s="330"/>
      <c r="B107" s="330"/>
      <c r="C107" s="330"/>
      <c r="D107" s="330"/>
      <c r="E107" s="330"/>
      <c r="F107" s="330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  <c r="AG107" s="330"/>
    </row>
    <row r="108" spans="1:33" customFormat="1" x14ac:dyDescent="0.3">
      <c r="A108" s="330"/>
      <c r="B108" s="330"/>
      <c r="C108" s="330"/>
      <c r="D108" s="330"/>
      <c r="E108" s="330"/>
      <c r="F108" s="330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  <c r="AG108" s="330"/>
    </row>
    <row r="109" spans="1:33" customFormat="1" x14ac:dyDescent="0.3">
      <c r="A109" s="330"/>
      <c r="B109" s="330"/>
      <c r="C109" s="330"/>
      <c r="D109" s="330"/>
      <c r="E109" s="330"/>
      <c r="F109" s="330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  <c r="AG109" s="330"/>
    </row>
    <row r="110" spans="1:33" customFormat="1" x14ac:dyDescent="0.3">
      <c r="A110" s="330"/>
      <c r="B110" s="330"/>
      <c r="C110" s="330"/>
      <c r="D110" s="330"/>
      <c r="E110" s="330"/>
      <c r="F110" s="330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  <c r="AG110" s="330"/>
    </row>
    <row r="111" spans="1:33" customFormat="1" x14ac:dyDescent="0.3">
      <c r="A111" s="330"/>
      <c r="B111" s="330"/>
      <c r="C111" s="330"/>
      <c r="D111" s="330"/>
      <c r="E111" s="330"/>
      <c r="F111" s="330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  <c r="AG111" s="330"/>
    </row>
    <row r="112" spans="1:33" customFormat="1" x14ac:dyDescent="0.3">
      <c r="A112" s="330"/>
      <c r="B112" s="330"/>
      <c r="C112" s="330"/>
      <c r="D112" s="330"/>
      <c r="E112" s="330"/>
      <c r="F112" s="330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</row>
    <row r="113" spans="1:33" customFormat="1" x14ac:dyDescent="0.3">
      <c r="A113" s="330"/>
      <c r="B113" s="330"/>
      <c r="C113" s="330"/>
      <c r="D113" s="330"/>
      <c r="E113" s="330"/>
      <c r="F113" s="330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</row>
    <row r="114" spans="1:33" customFormat="1" x14ac:dyDescent="0.3">
      <c r="A114" s="330"/>
      <c r="B114" s="330"/>
      <c r="C114" s="330"/>
      <c r="D114" s="330"/>
      <c r="E114" s="330"/>
      <c r="F114" s="330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  <c r="AG114" s="330"/>
    </row>
    <row r="115" spans="1:33" customFormat="1" x14ac:dyDescent="0.3">
      <c r="A115" s="330"/>
      <c r="B115" s="330"/>
      <c r="C115" s="330"/>
      <c r="D115" s="330"/>
      <c r="E115" s="330"/>
      <c r="F115" s="330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</row>
    <row r="116" spans="1:33" customFormat="1" x14ac:dyDescent="0.3">
      <c r="A116" s="330"/>
      <c r="B116" s="330"/>
      <c r="C116" s="330"/>
      <c r="D116" s="330"/>
      <c r="E116" s="330"/>
      <c r="F116" s="330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</row>
    <row r="117" spans="1:33" customFormat="1" x14ac:dyDescent="0.3">
      <c r="A117" s="330"/>
      <c r="B117" s="330"/>
      <c r="C117" s="330"/>
      <c r="D117" s="330"/>
      <c r="E117" s="330"/>
      <c r="F117" s="330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</row>
    <row r="118" spans="1:33" customFormat="1" x14ac:dyDescent="0.3"/>
    <row r="119" spans="1:33" customFormat="1" x14ac:dyDescent="0.3"/>
    <row r="120" spans="1:33" customFormat="1" x14ac:dyDescent="0.3"/>
    <row r="121" spans="1:33" customFormat="1" x14ac:dyDescent="0.3"/>
    <row r="122" spans="1:33" customFormat="1" x14ac:dyDescent="0.3"/>
    <row r="123" spans="1:33" customFormat="1" x14ac:dyDescent="0.3"/>
    <row r="124" spans="1:33" customFormat="1" x14ac:dyDescent="0.3"/>
    <row r="125" spans="1:33" customFormat="1" x14ac:dyDescent="0.3"/>
    <row r="126" spans="1:33" customFormat="1" x14ac:dyDescent="0.3"/>
    <row r="127" spans="1:33" customFormat="1" x14ac:dyDescent="0.3"/>
    <row r="128" spans="1:33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</sheetData>
  <sheetProtection algorithmName="SHA-512" hashValue="hYanjPYFCzRh+r6NYIOT4Ihf2flp6Qw6EtBh4V218l8UEoviF4pWCWa1oW011NrFDgB3XHd17jyN8je/PC393w==" saltValue="7uEXyIkiVHjM+TFy7fouzg==" spinCount="100000" sheet="1" objects="1" scenarios="1"/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E5A6-A950-4C48-9D9E-8FF453EB346D}">
  <sheetPr codeName="Sheet28"/>
  <dimension ref="A1:CS61"/>
  <sheetViews>
    <sheetView zoomScale="107" zoomScaleNormal="120" workbookViewId="0">
      <selection activeCell="A63" activeCellId="2" sqref="A57:XFD57 A59:XFD59 A63:XFD63"/>
    </sheetView>
  </sheetViews>
  <sheetFormatPr defaultColWidth="11" defaultRowHeight="13.5" x14ac:dyDescent="0.3"/>
  <cols>
    <col min="11" max="11" width="18" bestFit="1" customWidth="1"/>
    <col min="12" max="12" width="18.15234375" customWidth="1"/>
    <col min="13" max="13" width="7.69140625" bestFit="1" customWidth="1"/>
    <col min="23" max="23" width="12.69140625" bestFit="1" customWidth="1"/>
    <col min="41" max="41" width="13.69140625" customWidth="1"/>
  </cols>
  <sheetData>
    <row r="1" spans="1:97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</row>
    <row r="2" spans="1:97" x14ac:dyDescent="0.3">
      <c r="A2" s="241">
        <v>10014</v>
      </c>
      <c r="B2" s="242">
        <v>42203</v>
      </c>
      <c r="C2" s="243" t="s">
        <v>223</v>
      </c>
      <c r="D2" s="244" t="s">
        <v>190</v>
      </c>
      <c r="E2" s="241"/>
      <c r="F2" s="244" t="s">
        <v>318</v>
      </c>
      <c r="G2" s="242">
        <v>42187</v>
      </c>
      <c r="H2" s="245" t="s">
        <v>226</v>
      </c>
      <c r="I2" s="245" t="s">
        <v>227</v>
      </c>
      <c r="J2" s="245"/>
      <c r="K2" s="241" t="s">
        <v>319</v>
      </c>
      <c r="L2" s="254" t="s">
        <v>387</v>
      </c>
      <c r="M2" s="246">
        <v>182.27272727272725</v>
      </c>
      <c r="N2" s="246">
        <v>24.09090909090909</v>
      </c>
      <c r="O2" s="241"/>
      <c r="P2" s="241"/>
      <c r="Q2" s="241"/>
      <c r="R2" s="241"/>
      <c r="S2" s="244" t="s">
        <v>320</v>
      </c>
      <c r="T2" s="241"/>
      <c r="U2" s="246" t="s">
        <v>320</v>
      </c>
      <c r="V2" s="246" t="s">
        <v>320</v>
      </c>
      <c r="W2" s="246" t="s">
        <v>320</v>
      </c>
      <c r="X2" s="241"/>
      <c r="Y2" s="241"/>
      <c r="Z2" s="241"/>
      <c r="AA2" s="241"/>
      <c r="AB2" s="241"/>
      <c r="AC2" s="241"/>
      <c r="AD2" s="246" t="s">
        <v>320</v>
      </c>
      <c r="AE2" s="246" t="s">
        <v>320</v>
      </c>
      <c r="AF2" s="241"/>
      <c r="AG2" s="241"/>
      <c r="AH2" s="246" t="s">
        <v>320</v>
      </c>
      <c r="AI2" s="241"/>
      <c r="AJ2" s="241"/>
      <c r="AK2" s="246" t="s">
        <v>320</v>
      </c>
      <c r="AL2" s="241"/>
      <c r="AM2" s="246" t="s">
        <v>320</v>
      </c>
      <c r="AN2" s="246" t="s">
        <v>320</v>
      </c>
      <c r="AO2" s="241" t="s">
        <v>321</v>
      </c>
      <c r="AP2" s="245" t="s">
        <v>227</v>
      </c>
      <c r="AQ2" s="245"/>
      <c r="AR2" s="245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x14ac:dyDescent="0.3">
      <c r="A3" s="241">
        <v>10426</v>
      </c>
      <c r="B3" s="242">
        <v>42202</v>
      </c>
      <c r="C3" s="243" t="s">
        <v>322</v>
      </c>
      <c r="D3" s="244" t="s">
        <v>190</v>
      </c>
      <c r="E3" s="241"/>
      <c r="F3" s="241" t="s">
        <v>323</v>
      </c>
      <c r="G3" s="242">
        <v>42187</v>
      </c>
      <c r="H3" s="245" t="s">
        <v>324</v>
      </c>
      <c r="I3" s="245" t="s">
        <v>325</v>
      </c>
      <c r="J3" s="245"/>
      <c r="K3" s="241" t="s">
        <v>326</v>
      </c>
      <c r="L3" s="254" t="s">
        <v>387</v>
      </c>
      <c r="M3" s="246">
        <v>140</v>
      </c>
      <c r="N3" s="246">
        <v>27.554545454545451</v>
      </c>
      <c r="O3" s="241"/>
      <c r="P3" s="241"/>
      <c r="Q3" s="241"/>
      <c r="R3" s="241"/>
      <c r="S3" s="244" t="s">
        <v>320</v>
      </c>
      <c r="T3" s="241"/>
      <c r="U3" s="246" t="s">
        <v>320</v>
      </c>
      <c r="V3" s="246" t="s">
        <v>320</v>
      </c>
      <c r="W3" s="246" t="s">
        <v>320</v>
      </c>
      <c r="X3" s="241"/>
      <c r="Y3" s="241"/>
      <c r="Z3" s="241"/>
      <c r="AA3" s="241"/>
      <c r="AB3" s="241"/>
      <c r="AC3" s="241"/>
      <c r="AD3" s="246" t="s">
        <v>320</v>
      </c>
      <c r="AE3" s="246" t="s">
        <v>320</v>
      </c>
      <c r="AF3" s="241"/>
      <c r="AG3" s="241"/>
      <c r="AH3" s="246" t="s">
        <v>320</v>
      </c>
      <c r="AI3" s="241"/>
      <c r="AJ3" s="241"/>
      <c r="AK3" s="246" t="s">
        <v>320</v>
      </c>
      <c r="AL3" s="241"/>
      <c r="AM3" s="246" t="s">
        <v>320</v>
      </c>
      <c r="AN3" s="246" t="s">
        <v>320</v>
      </c>
      <c r="AO3" s="241" t="s">
        <v>327</v>
      </c>
      <c r="AP3" s="245" t="s">
        <v>325</v>
      </c>
      <c r="AQ3" s="245"/>
      <c r="AR3" s="245"/>
    </row>
    <row r="4" spans="1:97" x14ac:dyDescent="0.3">
      <c r="A4" s="241">
        <v>10505</v>
      </c>
      <c r="B4" s="242">
        <v>42202</v>
      </c>
      <c r="C4" s="243" t="s">
        <v>322</v>
      </c>
      <c r="D4" s="244" t="s">
        <v>190</v>
      </c>
      <c r="E4" s="241"/>
      <c r="F4" s="241" t="s">
        <v>323</v>
      </c>
      <c r="G4" s="247">
        <v>42185</v>
      </c>
      <c r="H4" s="245" t="s">
        <v>324</v>
      </c>
      <c r="I4" s="245" t="s">
        <v>325</v>
      </c>
      <c r="J4" s="245"/>
      <c r="K4" s="241" t="s">
        <v>328</v>
      </c>
      <c r="L4" s="254" t="s">
        <v>387</v>
      </c>
      <c r="M4" s="246">
        <v>141.5</v>
      </c>
      <c r="N4" s="246">
        <v>22.881818181818183</v>
      </c>
      <c r="O4" s="241"/>
      <c r="P4" s="241"/>
      <c r="Q4" s="241"/>
      <c r="R4" s="241"/>
      <c r="S4" s="244" t="s">
        <v>320</v>
      </c>
      <c r="T4" s="241"/>
      <c r="U4" s="246" t="s">
        <v>320</v>
      </c>
      <c r="V4" s="246" t="s">
        <v>320</v>
      </c>
      <c r="W4" s="246" t="s">
        <v>320</v>
      </c>
      <c r="X4" s="241"/>
      <c r="Y4" s="241"/>
      <c r="Z4" s="241"/>
      <c r="AA4" s="241"/>
      <c r="AB4" s="241"/>
      <c r="AC4" s="241"/>
      <c r="AD4" s="246" t="s">
        <v>320</v>
      </c>
      <c r="AE4" s="246" t="s">
        <v>320</v>
      </c>
      <c r="AF4" s="241"/>
      <c r="AG4" s="241"/>
      <c r="AH4" s="246" t="s">
        <v>320</v>
      </c>
      <c r="AI4" s="241"/>
      <c r="AJ4" s="241"/>
      <c r="AK4" s="246" t="s">
        <v>320</v>
      </c>
      <c r="AL4" s="241"/>
      <c r="AM4" s="246" t="s">
        <v>320</v>
      </c>
      <c r="AN4" s="246" t="s">
        <v>320</v>
      </c>
      <c r="AO4" s="241" t="s">
        <v>327</v>
      </c>
      <c r="AP4" s="245" t="s">
        <v>325</v>
      </c>
      <c r="AQ4" s="245"/>
      <c r="AR4" s="245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x14ac:dyDescent="0.3">
      <c r="A5" s="241">
        <v>10605</v>
      </c>
      <c r="B5" s="242">
        <v>42202</v>
      </c>
      <c r="C5" s="243" t="s">
        <v>322</v>
      </c>
      <c r="D5" s="244" t="s">
        <v>190</v>
      </c>
      <c r="E5" s="241"/>
      <c r="F5" s="241" t="s">
        <v>323</v>
      </c>
      <c r="G5" s="248">
        <v>42188</v>
      </c>
      <c r="H5" s="245" t="s">
        <v>310</v>
      </c>
      <c r="I5" s="245" t="s">
        <v>309</v>
      </c>
      <c r="J5" s="245"/>
      <c r="K5" s="241" t="s">
        <v>329</v>
      </c>
      <c r="L5" s="255" t="s">
        <v>387</v>
      </c>
      <c r="M5" s="246">
        <v>136.99999999999997</v>
      </c>
      <c r="N5" s="246">
        <v>27.799999999999997</v>
      </c>
      <c r="O5" s="241"/>
      <c r="P5" s="241"/>
      <c r="Q5" s="241"/>
      <c r="R5" s="241"/>
      <c r="S5" s="244" t="s">
        <v>320</v>
      </c>
      <c r="T5" s="241"/>
      <c r="U5" s="246" t="s">
        <v>320</v>
      </c>
      <c r="V5" s="246" t="s">
        <v>320</v>
      </c>
      <c r="W5" s="246" t="s">
        <v>320</v>
      </c>
      <c r="X5" s="241"/>
      <c r="Y5" s="241"/>
      <c r="Z5" s="241"/>
      <c r="AA5" s="241"/>
      <c r="AB5" s="241"/>
      <c r="AC5" s="241"/>
      <c r="AD5" s="246" t="s">
        <v>320</v>
      </c>
      <c r="AE5" s="246" t="s">
        <v>320</v>
      </c>
      <c r="AF5" s="241"/>
      <c r="AG5" s="241"/>
      <c r="AH5" s="246" t="s">
        <v>320</v>
      </c>
      <c r="AI5" s="241"/>
      <c r="AJ5" s="241"/>
      <c r="AK5" s="246" t="s">
        <v>320</v>
      </c>
      <c r="AL5" s="241"/>
      <c r="AM5" s="246" t="s">
        <v>320</v>
      </c>
      <c r="AN5" s="246" t="s">
        <v>320</v>
      </c>
      <c r="AO5" s="241" t="s">
        <v>327</v>
      </c>
      <c r="AP5" s="245" t="s">
        <v>325</v>
      </c>
      <c r="AQ5" s="245"/>
      <c r="AR5" s="245"/>
    </row>
    <row r="6" spans="1:97" x14ac:dyDescent="0.3">
      <c r="A6" s="241">
        <v>1477</v>
      </c>
      <c r="B6" s="242">
        <v>42202</v>
      </c>
      <c r="C6" s="243" t="s">
        <v>322</v>
      </c>
      <c r="D6" s="244" t="s">
        <v>190</v>
      </c>
      <c r="E6" s="241"/>
      <c r="F6" s="241" t="s">
        <v>323</v>
      </c>
      <c r="G6" s="248">
        <v>42185</v>
      </c>
      <c r="H6" s="245" t="s">
        <v>324</v>
      </c>
      <c r="I6" s="245" t="s">
        <v>325</v>
      </c>
      <c r="J6" s="245"/>
      <c r="K6" s="241" t="s">
        <v>330</v>
      </c>
      <c r="L6" s="255" t="s">
        <v>387</v>
      </c>
      <c r="M6" s="246">
        <v>139.38181818181818</v>
      </c>
      <c r="N6" s="246">
        <v>27.61</v>
      </c>
      <c r="O6" s="241"/>
      <c r="P6" s="241"/>
      <c r="Q6" s="241"/>
      <c r="R6" s="241"/>
      <c r="S6" s="244" t="s">
        <v>320</v>
      </c>
      <c r="T6" s="241"/>
      <c r="U6" s="246" t="s">
        <v>320</v>
      </c>
      <c r="V6" s="246" t="s">
        <v>320</v>
      </c>
      <c r="W6" s="246" t="s">
        <v>320</v>
      </c>
      <c r="X6" s="241"/>
      <c r="Y6" s="241"/>
      <c r="Z6" s="241"/>
      <c r="AA6" s="241"/>
      <c r="AB6" s="241"/>
      <c r="AC6" s="241"/>
      <c r="AD6" s="246" t="s">
        <v>320</v>
      </c>
      <c r="AE6" s="246" t="s">
        <v>320</v>
      </c>
      <c r="AF6" s="241"/>
      <c r="AG6" s="241"/>
      <c r="AH6" s="246" t="s">
        <v>320</v>
      </c>
      <c r="AI6" s="241"/>
      <c r="AJ6" s="241"/>
      <c r="AK6" s="246" t="s">
        <v>320</v>
      </c>
      <c r="AL6" s="241"/>
      <c r="AM6" s="246" t="s">
        <v>320</v>
      </c>
      <c r="AN6" s="246" t="s">
        <v>320</v>
      </c>
      <c r="AO6" s="241" t="s">
        <v>327</v>
      </c>
      <c r="AP6" s="245" t="s">
        <v>325</v>
      </c>
      <c r="AQ6" s="245"/>
      <c r="AR6" s="245"/>
    </row>
    <row r="7" spans="1:97" x14ac:dyDescent="0.3">
      <c r="A7" s="241">
        <v>4658</v>
      </c>
      <c r="B7" s="242">
        <v>42202</v>
      </c>
      <c r="C7" s="243" t="s">
        <v>322</v>
      </c>
      <c r="D7" s="244" t="s">
        <v>190</v>
      </c>
      <c r="E7" s="241"/>
      <c r="F7" s="241" t="s">
        <v>323</v>
      </c>
      <c r="G7" s="248">
        <v>42185</v>
      </c>
      <c r="H7" s="245" t="s">
        <v>324</v>
      </c>
      <c r="I7" s="245" t="s">
        <v>325</v>
      </c>
      <c r="J7" s="245"/>
      <c r="K7" s="241" t="s">
        <v>331</v>
      </c>
      <c r="L7" s="255" t="s">
        <v>387</v>
      </c>
      <c r="M7" s="246">
        <v>165</v>
      </c>
      <c r="N7" s="246">
        <v>25</v>
      </c>
      <c r="O7" s="241"/>
      <c r="P7" s="241"/>
      <c r="Q7" s="246" t="s">
        <v>320</v>
      </c>
      <c r="R7" s="241"/>
      <c r="S7" s="244" t="s">
        <v>320</v>
      </c>
      <c r="T7" s="241"/>
      <c r="U7" s="246" t="s">
        <v>320</v>
      </c>
      <c r="V7" s="246" t="s">
        <v>320</v>
      </c>
      <c r="W7" s="246" t="s">
        <v>320</v>
      </c>
      <c r="X7" s="241"/>
      <c r="Y7" s="241"/>
      <c r="Z7" s="241"/>
      <c r="AA7" s="241"/>
      <c r="AB7" s="241"/>
      <c r="AC7" s="241"/>
      <c r="AD7" s="246" t="s">
        <v>320</v>
      </c>
      <c r="AE7" s="246" t="s">
        <v>320</v>
      </c>
      <c r="AF7" s="241"/>
      <c r="AG7" s="241"/>
      <c r="AH7" s="246" t="s">
        <v>320</v>
      </c>
      <c r="AI7" s="241"/>
      <c r="AJ7" s="241"/>
      <c r="AK7" s="246" t="s">
        <v>320</v>
      </c>
      <c r="AL7" s="241"/>
      <c r="AM7" s="246" t="s">
        <v>320</v>
      </c>
      <c r="AN7" s="246" t="s">
        <v>320</v>
      </c>
      <c r="AO7" s="241" t="s">
        <v>327</v>
      </c>
      <c r="AP7" s="245" t="s">
        <v>325</v>
      </c>
      <c r="AQ7" s="245"/>
      <c r="AR7" s="245"/>
    </row>
    <row r="8" spans="1:97" x14ac:dyDescent="0.3">
      <c r="A8" s="241">
        <v>1451</v>
      </c>
      <c r="B8" s="242">
        <v>42202</v>
      </c>
      <c r="C8" s="243" t="s">
        <v>332</v>
      </c>
      <c r="D8" s="244" t="s">
        <v>190</v>
      </c>
      <c r="E8" s="241"/>
      <c r="F8" s="241" t="s">
        <v>333</v>
      </c>
      <c r="G8" s="248">
        <v>42185</v>
      </c>
      <c r="H8" s="245" t="s">
        <v>334</v>
      </c>
      <c r="I8" s="245" t="s">
        <v>335</v>
      </c>
      <c r="J8" s="245"/>
      <c r="K8" s="241" t="s">
        <v>336</v>
      </c>
      <c r="L8" s="255" t="s">
        <v>387</v>
      </c>
      <c r="M8" s="246">
        <v>137.5</v>
      </c>
      <c r="N8" s="246">
        <v>26.84</v>
      </c>
      <c r="O8" s="241"/>
      <c r="P8" s="241"/>
      <c r="Q8" s="246"/>
      <c r="R8" s="246"/>
      <c r="S8" s="244"/>
      <c r="T8" s="241"/>
      <c r="U8" s="246" t="s">
        <v>320</v>
      </c>
      <c r="V8" s="246" t="s">
        <v>320</v>
      </c>
      <c r="W8" s="246" t="s">
        <v>320</v>
      </c>
      <c r="X8" s="241"/>
      <c r="Y8" s="241"/>
      <c r="Z8" s="241"/>
      <c r="AA8" s="241"/>
      <c r="AB8" s="241"/>
      <c r="AC8" s="241"/>
      <c r="AD8" s="246" t="s">
        <v>320</v>
      </c>
      <c r="AE8" s="246" t="s">
        <v>320</v>
      </c>
      <c r="AF8" s="241"/>
      <c r="AG8" s="241"/>
      <c r="AH8" s="246" t="s">
        <v>320</v>
      </c>
      <c r="AI8" s="241"/>
      <c r="AJ8" s="241"/>
      <c r="AK8" s="246" t="s">
        <v>320</v>
      </c>
      <c r="AL8" s="241"/>
      <c r="AM8" s="246" t="s">
        <v>320</v>
      </c>
      <c r="AN8" s="246" t="s">
        <v>320</v>
      </c>
      <c r="AO8" s="241" t="s">
        <v>338</v>
      </c>
      <c r="AP8" s="245" t="s">
        <v>335</v>
      </c>
      <c r="AQ8" s="245"/>
      <c r="AR8" s="245"/>
    </row>
    <row r="9" spans="1:97" x14ac:dyDescent="0.3">
      <c r="A9" s="241">
        <v>1489</v>
      </c>
      <c r="B9" s="242">
        <v>42202</v>
      </c>
      <c r="C9" s="243" t="s">
        <v>332</v>
      </c>
      <c r="D9" s="244" t="s">
        <v>190</v>
      </c>
      <c r="E9" s="241"/>
      <c r="F9" s="241" t="s">
        <v>333</v>
      </c>
      <c r="G9" s="248">
        <v>42185</v>
      </c>
      <c r="H9" s="245" t="s">
        <v>334</v>
      </c>
      <c r="I9" s="245" t="s">
        <v>335</v>
      </c>
      <c r="J9" s="245"/>
      <c r="K9" s="241" t="s">
        <v>339</v>
      </c>
      <c r="L9" s="255" t="s">
        <v>387</v>
      </c>
      <c r="M9" s="246">
        <v>139.38181818181818</v>
      </c>
      <c r="N9" s="246">
        <v>27.61</v>
      </c>
      <c r="O9" s="241"/>
      <c r="P9" s="241"/>
      <c r="Q9" s="246" t="s">
        <v>320</v>
      </c>
      <c r="R9" s="241"/>
      <c r="S9" s="244" t="s">
        <v>320</v>
      </c>
      <c r="T9" s="241"/>
      <c r="U9" s="246" t="s">
        <v>320</v>
      </c>
      <c r="V9" s="246" t="s">
        <v>320</v>
      </c>
      <c r="W9" s="246" t="s">
        <v>320</v>
      </c>
      <c r="X9" s="241"/>
      <c r="Y9" s="241"/>
      <c r="Z9" s="241"/>
      <c r="AA9" s="241"/>
      <c r="AB9" s="241"/>
      <c r="AC9" s="241"/>
      <c r="AD9" s="246" t="s">
        <v>320</v>
      </c>
      <c r="AE9" s="246" t="s">
        <v>320</v>
      </c>
      <c r="AF9" s="241"/>
      <c r="AG9" s="241"/>
      <c r="AH9" s="246" t="s">
        <v>320</v>
      </c>
      <c r="AI9" s="241"/>
      <c r="AJ9" s="241"/>
      <c r="AK9" s="246" t="s">
        <v>320</v>
      </c>
      <c r="AL9" s="241"/>
      <c r="AM9" s="246" t="s">
        <v>320</v>
      </c>
      <c r="AN9" s="246" t="s">
        <v>320</v>
      </c>
      <c r="AO9" s="241" t="s">
        <v>338</v>
      </c>
      <c r="AP9" s="245" t="s">
        <v>335</v>
      </c>
      <c r="AQ9" s="245"/>
      <c r="AR9" s="245"/>
    </row>
    <row r="10" spans="1:97" x14ac:dyDescent="0.3">
      <c r="A10" s="241">
        <v>10274</v>
      </c>
      <c r="B10" s="242">
        <v>42202</v>
      </c>
      <c r="C10" s="243" t="s">
        <v>322</v>
      </c>
      <c r="D10" s="244" t="s">
        <v>190</v>
      </c>
      <c r="E10" s="241"/>
      <c r="F10" s="241" t="s">
        <v>323</v>
      </c>
      <c r="G10" s="248">
        <v>42214</v>
      </c>
      <c r="H10" s="245" t="s">
        <v>324</v>
      </c>
      <c r="I10" s="245" t="s">
        <v>325</v>
      </c>
      <c r="J10" s="245"/>
      <c r="K10" s="241" t="s">
        <v>340</v>
      </c>
      <c r="L10" s="254" t="s">
        <v>387</v>
      </c>
      <c r="M10" s="246">
        <v>128</v>
      </c>
      <c r="N10" s="246">
        <v>28.518181818181816</v>
      </c>
      <c r="O10" s="241"/>
      <c r="P10" s="241"/>
      <c r="Q10" s="246" t="s">
        <v>320</v>
      </c>
      <c r="R10" s="241"/>
      <c r="S10" s="244" t="s">
        <v>320</v>
      </c>
      <c r="T10" s="241"/>
      <c r="U10" s="246" t="s">
        <v>320</v>
      </c>
      <c r="V10" s="246" t="s">
        <v>320</v>
      </c>
      <c r="W10" s="246" t="s">
        <v>320</v>
      </c>
      <c r="X10" s="241"/>
      <c r="Y10" s="241"/>
      <c r="Z10" s="241"/>
      <c r="AA10" s="241"/>
      <c r="AB10" s="241"/>
      <c r="AC10" s="241"/>
      <c r="AD10" s="246" t="s">
        <v>320</v>
      </c>
      <c r="AE10" s="246" t="s">
        <v>320</v>
      </c>
      <c r="AF10" s="241"/>
      <c r="AG10" s="241"/>
      <c r="AH10" s="246" t="s">
        <v>320</v>
      </c>
      <c r="AI10" s="241"/>
      <c r="AJ10" s="241"/>
      <c r="AK10" s="246" t="s">
        <v>320</v>
      </c>
      <c r="AL10" s="241"/>
      <c r="AM10" s="246" t="s">
        <v>320</v>
      </c>
      <c r="AN10" s="246" t="s">
        <v>320</v>
      </c>
      <c r="AO10" s="241" t="s">
        <v>327</v>
      </c>
      <c r="AP10" s="245" t="s">
        <v>325</v>
      </c>
      <c r="AQ10" s="245"/>
      <c r="AR10" s="245"/>
    </row>
    <row r="11" spans="1:97" x14ac:dyDescent="0.3">
      <c r="A11" s="241">
        <v>5660</v>
      </c>
      <c r="B11" s="242">
        <v>42202</v>
      </c>
      <c r="C11" s="243" t="s">
        <v>332</v>
      </c>
      <c r="D11" s="244" t="s">
        <v>190</v>
      </c>
      <c r="E11" s="241"/>
      <c r="F11" s="241" t="s">
        <v>333</v>
      </c>
      <c r="G11" s="248">
        <v>41820</v>
      </c>
      <c r="H11" s="245" t="s">
        <v>334</v>
      </c>
      <c r="I11" s="245" t="s">
        <v>335</v>
      </c>
      <c r="J11" s="245"/>
      <c r="K11" s="241" t="s">
        <v>341</v>
      </c>
      <c r="L11" s="254" t="s">
        <v>387</v>
      </c>
      <c r="M11" s="246">
        <v>207.05</v>
      </c>
      <c r="N11" s="246">
        <v>25.41</v>
      </c>
      <c r="O11" s="241"/>
      <c r="P11" s="241"/>
      <c r="Q11" s="246" t="s">
        <v>320</v>
      </c>
      <c r="R11" s="241"/>
      <c r="S11" s="244" t="s">
        <v>320</v>
      </c>
      <c r="T11" s="241"/>
      <c r="U11" s="246" t="s">
        <v>320</v>
      </c>
      <c r="V11" s="246" t="s">
        <v>320</v>
      </c>
      <c r="W11" s="246" t="s">
        <v>320</v>
      </c>
      <c r="X11" s="241"/>
      <c r="Y11" s="241"/>
      <c r="Z11" s="241"/>
      <c r="AA11" s="241"/>
      <c r="AB11" s="241"/>
      <c r="AC11" s="241"/>
      <c r="AD11" s="246" t="s">
        <v>320</v>
      </c>
      <c r="AE11" s="246" t="s">
        <v>320</v>
      </c>
      <c r="AF11" s="241"/>
      <c r="AG11" s="241"/>
      <c r="AH11" s="246" t="s">
        <v>320</v>
      </c>
      <c r="AI11" s="241"/>
      <c r="AJ11" s="241"/>
      <c r="AK11" s="246" t="s">
        <v>320</v>
      </c>
      <c r="AL11" s="241"/>
      <c r="AM11" s="246" t="s">
        <v>320</v>
      </c>
      <c r="AN11" s="246" t="s">
        <v>320</v>
      </c>
      <c r="AO11" s="241" t="s">
        <v>338</v>
      </c>
      <c r="AP11" s="245" t="s">
        <v>335</v>
      </c>
      <c r="AQ11" s="245"/>
      <c r="AR11" s="245"/>
    </row>
    <row r="12" spans="1:97" x14ac:dyDescent="0.3">
      <c r="A12" s="241">
        <v>4379</v>
      </c>
      <c r="B12" s="242">
        <v>42202</v>
      </c>
      <c r="C12" s="243" t="s">
        <v>342</v>
      </c>
      <c r="D12" s="244" t="s">
        <v>190</v>
      </c>
      <c r="E12" s="241"/>
      <c r="F12" s="241" t="s">
        <v>343</v>
      </c>
      <c r="G12" s="248">
        <v>42185</v>
      </c>
      <c r="H12" s="245" t="s">
        <v>344</v>
      </c>
      <c r="I12" s="245" t="s">
        <v>345</v>
      </c>
      <c r="J12" s="245"/>
      <c r="K12" s="241" t="s">
        <v>346</v>
      </c>
      <c r="L12" s="255" t="s">
        <v>387</v>
      </c>
      <c r="M12" s="246">
        <v>141.30000000000001</v>
      </c>
      <c r="N12" s="246">
        <v>27.46</v>
      </c>
      <c r="O12" s="241"/>
      <c r="P12" s="241"/>
      <c r="Q12" s="246"/>
      <c r="R12" s="241"/>
      <c r="S12" s="244" t="s">
        <v>320</v>
      </c>
      <c r="T12" s="241"/>
      <c r="U12" s="246" t="s">
        <v>320</v>
      </c>
      <c r="V12" s="246" t="s">
        <v>320</v>
      </c>
      <c r="W12" s="246" t="s">
        <v>320</v>
      </c>
      <c r="X12" s="241"/>
      <c r="Y12" s="241"/>
      <c r="Z12" s="241"/>
      <c r="AA12" s="241"/>
      <c r="AB12" s="241"/>
      <c r="AC12" s="241"/>
      <c r="AD12" s="246" t="s">
        <v>320</v>
      </c>
      <c r="AE12" s="246" t="s">
        <v>320</v>
      </c>
      <c r="AF12" s="241"/>
      <c r="AG12" s="241"/>
      <c r="AH12" s="246" t="s">
        <v>320</v>
      </c>
      <c r="AI12" s="241"/>
      <c r="AJ12" s="241"/>
      <c r="AK12" s="246" t="s">
        <v>320</v>
      </c>
      <c r="AL12" s="241"/>
      <c r="AM12" s="246" t="s">
        <v>320</v>
      </c>
      <c r="AN12" s="246" t="s">
        <v>320</v>
      </c>
      <c r="AO12" s="241" t="s">
        <v>347</v>
      </c>
      <c r="AP12" s="245" t="s">
        <v>345</v>
      </c>
      <c r="AQ12" s="245"/>
      <c r="AR12" s="245"/>
    </row>
    <row r="13" spans="1:97" x14ac:dyDescent="0.3">
      <c r="A13" s="241">
        <v>10529</v>
      </c>
      <c r="B13" s="242">
        <v>42202</v>
      </c>
      <c r="C13" s="243" t="s">
        <v>322</v>
      </c>
      <c r="D13" s="244" t="s">
        <v>190</v>
      </c>
      <c r="E13" s="241"/>
      <c r="F13" s="241" t="s">
        <v>323</v>
      </c>
      <c r="G13" s="247">
        <v>42201</v>
      </c>
      <c r="H13" s="245" t="s">
        <v>324</v>
      </c>
      <c r="I13" s="245" t="s">
        <v>325</v>
      </c>
      <c r="J13" s="245"/>
      <c r="K13" s="241" t="s">
        <v>348</v>
      </c>
      <c r="L13" s="254" t="s">
        <v>387</v>
      </c>
      <c r="M13" s="246">
        <v>137.5</v>
      </c>
      <c r="N13" s="246">
        <v>27.763636363636362</v>
      </c>
      <c r="O13" s="241"/>
      <c r="P13" s="241"/>
      <c r="Q13" s="246" t="s">
        <v>320</v>
      </c>
      <c r="R13" s="241"/>
      <c r="S13" s="244" t="s">
        <v>320</v>
      </c>
      <c r="T13" s="241"/>
      <c r="U13" s="246" t="s">
        <v>320</v>
      </c>
      <c r="V13" s="246" t="s">
        <v>320</v>
      </c>
      <c r="W13" s="246" t="s">
        <v>320</v>
      </c>
      <c r="X13" s="241"/>
      <c r="Y13" s="241"/>
      <c r="Z13" s="241"/>
      <c r="AA13" s="241"/>
      <c r="AB13" s="241"/>
      <c r="AC13" s="241"/>
      <c r="AD13" s="246" t="s">
        <v>320</v>
      </c>
      <c r="AE13" s="246" t="s">
        <v>320</v>
      </c>
      <c r="AF13" s="241"/>
      <c r="AG13" s="241"/>
      <c r="AH13" s="246" t="s">
        <v>320</v>
      </c>
      <c r="AI13" s="241"/>
      <c r="AJ13" s="241"/>
      <c r="AK13" s="246" t="s">
        <v>320</v>
      </c>
      <c r="AL13" s="241"/>
      <c r="AM13" s="246" t="s">
        <v>320</v>
      </c>
      <c r="AN13" s="246" t="s">
        <v>320</v>
      </c>
      <c r="AO13" s="241" t="s">
        <v>327</v>
      </c>
      <c r="AP13" s="245" t="s">
        <v>325</v>
      </c>
      <c r="AQ13" s="245"/>
      <c r="AR13" s="245"/>
    </row>
    <row r="14" spans="1:97" x14ac:dyDescent="0.3">
      <c r="A14" s="241">
        <v>10345</v>
      </c>
      <c r="B14" s="242">
        <v>42202</v>
      </c>
      <c r="C14" s="243" t="s">
        <v>332</v>
      </c>
      <c r="D14" s="244" t="s">
        <v>190</v>
      </c>
      <c r="E14" s="241"/>
      <c r="F14" s="241" t="s">
        <v>333</v>
      </c>
      <c r="G14" s="248">
        <v>42187</v>
      </c>
      <c r="H14" s="245" t="s">
        <v>334</v>
      </c>
      <c r="I14" s="245" t="s">
        <v>335</v>
      </c>
      <c r="J14" s="245"/>
      <c r="K14" s="241" t="s">
        <v>349</v>
      </c>
      <c r="L14" s="254" t="s">
        <v>387</v>
      </c>
      <c r="M14" s="246">
        <v>140</v>
      </c>
      <c r="N14" s="246">
        <v>27.554545454545451</v>
      </c>
      <c r="O14" s="241"/>
      <c r="P14" s="241"/>
      <c r="Q14" s="246" t="s">
        <v>320</v>
      </c>
      <c r="R14" s="241"/>
      <c r="S14" s="244" t="s">
        <v>320</v>
      </c>
      <c r="T14" s="241"/>
      <c r="U14" s="246" t="s">
        <v>320</v>
      </c>
      <c r="V14" s="246" t="s">
        <v>320</v>
      </c>
      <c r="W14" s="246" t="s">
        <v>320</v>
      </c>
      <c r="X14" s="241"/>
      <c r="Y14" s="241"/>
      <c r="Z14" s="241"/>
      <c r="AA14" s="241"/>
      <c r="AB14" s="241"/>
      <c r="AC14" s="241"/>
      <c r="AD14" s="246" t="s">
        <v>320</v>
      </c>
      <c r="AE14" s="246" t="s">
        <v>320</v>
      </c>
      <c r="AF14" s="241"/>
      <c r="AG14" s="241"/>
      <c r="AH14" s="246" t="s">
        <v>320</v>
      </c>
      <c r="AI14" s="241"/>
      <c r="AJ14" s="241"/>
      <c r="AK14" s="246" t="s">
        <v>320</v>
      </c>
      <c r="AL14" s="241"/>
      <c r="AM14" s="246" t="s">
        <v>320</v>
      </c>
      <c r="AN14" s="246" t="s">
        <v>320</v>
      </c>
      <c r="AO14" s="241" t="s">
        <v>338</v>
      </c>
      <c r="AP14" s="245" t="s">
        <v>335</v>
      </c>
      <c r="AQ14" s="245"/>
      <c r="AR14" s="245"/>
    </row>
    <row r="15" spans="1:97" x14ac:dyDescent="0.3">
      <c r="A15" s="241">
        <v>10687</v>
      </c>
      <c r="B15" s="242">
        <v>42202</v>
      </c>
      <c r="C15" s="243" t="s">
        <v>236</v>
      </c>
      <c r="D15" s="244" t="s">
        <v>190</v>
      </c>
      <c r="E15" s="241"/>
      <c r="F15" s="241" t="s">
        <v>237</v>
      </c>
      <c r="G15" s="248">
        <v>42195</v>
      </c>
      <c r="H15" s="245" t="s">
        <v>241</v>
      </c>
      <c r="I15" s="245" t="s">
        <v>197</v>
      </c>
      <c r="J15" s="245"/>
      <c r="K15" s="241" t="s">
        <v>252</v>
      </c>
      <c r="L15" s="254" t="s">
        <v>387</v>
      </c>
      <c r="M15" s="246">
        <v>149.45454545454544</v>
      </c>
      <c r="N15" s="246">
        <v>26.790909090909089</v>
      </c>
      <c r="O15" s="241"/>
      <c r="P15" s="241"/>
      <c r="Q15" s="246" t="s">
        <v>320</v>
      </c>
      <c r="R15" s="241"/>
      <c r="S15" s="244" t="s">
        <v>320</v>
      </c>
      <c r="T15" s="241"/>
      <c r="U15" s="246" t="s">
        <v>320</v>
      </c>
      <c r="V15" s="246" t="s">
        <v>320</v>
      </c>
      <c r="W15" s="246" t="s">
        <v>320</v>
      </c>
      <c r="X15" s="241"/>
      <c r="Y15" s="241"/>
      <c r="Z15" s="241"/>
      <c r="AA15" s="241"/>
      <c r="AB15" s="241"/>
      <c r="AC15" s="241"/>
      <c r="AD15" s="246" t="s">
        <v>320</v>
      </c>
      <c r="AE15" s="246" t="s">
        <v>320</v>
      </c>
      <c r="AF15" s="241"/>
      <c r="AG15" s="241"/>
      <c r="AH15" s="246" t="s">
        <v>320</v>
      </c>
      <c r="AI15" s="241"/>
      <c r="AJ15" s="241"/>
      <c r="AK15" s="246" t="s">
        <v>320</v>
      </c>
      <c r="AL15" s="241"/>
      <c r="AM15" s="246" t="s">
        <v>320</v>
      </c>
      <c r="AN15" s="246" t="s">
        <v>320</v>
      </c>
      <c r="AO15" s="241" t="s">
        <v>196</v>
      </c>
      <c r="AP15" s="245" t="s">
        <v>197</v>
      </c>
      <c r="AQ15" s="245"/>
      <c r="AR15" s="245"/>
    </row>
    <row r="16" spans="1:97" x14ac:dyDescent="0.3">
      <c r="A16" s="241">
        <v>1409</v>
      </c>
      <c r="B16" s="242">
        <v>42202</v>
      </c>
      <c r="C16" s="243" t="s">
        <v>332</v>
      </c>
      <c r="D16" s="244" t="s">
        <v>190</v>
      </c>
      <c r="E16" s="241"/>
      <c r="F16" s="241" t="s">
        <v>333</v>
      </c>
      <c r="G16" s="247">
        <v>42185</v>
      </c>
      <c r="H16" s="245" t="s">
        <v>334</v>
      </c>
      <c r="I16" s="245" t="s">
        <v>335</v>
      </c>
      <c r="J16" s="245"/>
      <c r="K16" s="241" t="s">
        <v>350</v>
      </c>
      <c r="L16" s="255" t="s">
        <v>387</v>
      </c>
      <c r="M16" s="246">
        <v>145.6</v>
      </c>
      <c r="N16" s="246">
        <v>27</v>
      </c>
      <c r="O16" s="244"/>
      <c r="P16" s="241"/>
      <c r="Q16" s="246"/>
      <c r="R16" s="241"/>
      <c r="S16" s="244" t="s">
        <v>320</v>
      </c>
      <c r="T16" s="241"/>
      <c r="U16" s="246" t="s">
        <v>320</v>
      </c>
      <c r="V16" s="246" t="s">
        <v>320</v>
      </c>
      <c r="W16" s="246" t="s">
        <v>320</v>
      </c>
      <c r="X16" s="241"/>
      <c r="Y16" s="241"/>
      <c r="Z16" s="241"/>
      <c r="AA16" s="241"/>
      <c r="AB16" s="241"/>
      <c r="AC16" s="241"/>
      <c r="AD16" s="246" t="s">
        <v>320</v>
      </c>
      <c r="AE16" s="246" t="s">
        <v>320</v>
      </c>
      <c r="AF16" s="241"/>
      <c r="AG16" s="241"/>
      <c r="AH16" s="246" t="s">
        <v>320</v>
      </c>
      <c r="AI16" s="241"/>
      <c r="AJ16" s="241"/>
      <c r="AK16" s="246" t="s">
        <v>320</v>
      </c>
      <c r="AL16" s="241"/>
      <c r="AM16" s="246" t="s">
        <v>320</v>
      </c>
      <c r="AN16" s="246" t="s">
        <v>320</v>
      </c>
      <c r="AO16" s="241" t="s">
        <v>338</v>
      </c>
      <c r="AP16" s="245" t="s">
        <v>335</v>
      </c>
      <c r="AQ16" s="245"/>
      <c r="AR16" s="245"/>
    </row>
    <row r="17" spans="1:97" x14ac:dyDescent="0.3">
      <c r="A17" s="241">
        <v>3609</v>
      </c>
      <c r="B17" s="242">
        <v>42202</v>
      </c>
      <c r="C17" s="243" t="s">
        <v>223</v>
      </c>
      <c r="D17" s="244" t="s">
        <v>190</v>
      </c>
      <c r="E17" s="241"/>
      <c r="F17" s="241" t="s">
        <v>225</v>
      </c>
      <c r="G17" s="248">
        <v>42192</v>
      </c>
      <c r="H17" s="245" t="s">
        <v>226</v>
      </c>
      <c r="I17" s="245" t="s">
        <v>227</v>
      </c>
      <c r="J17" s="245"/>
      <c r="K17" s="241" t="s">
        <v>352</v>
      </c>
      <c r="L17" s="254" t="s">
        <v>387</v>
      </c>
      <c r="M17" s="246">
        <v>136.99090909090907</v>
      </c>
      <c r="N17" s="246">
        <v>26.190909090909088</v>
      </c>
      <c r="O17" s="241"/>
      <c r="P17" s="241"/>
      <c r="Q17" s="246" t="s">
        <v>320</v>
      </c>
      <c r="R17" s="241"/>
      <c r="S17" s="244" t="s">
        <v>320</v>
      </c>
      <c r="T17" s="241"/>
      <c r="U17" s="246" t="s">
        <v>320</v>
      </c>
      <c r="V17" s="246" t="s">
        <v>320</v>
      </c>
      <c r="W17" s="246" t="s">
        <v>320</v>
      </c>
      <c r="X17" s="241"/>
      <c r="Y17" s="241"/>
      <c r="Z17" s="241"/>
      <c r="AA17" s="241"/>
      <c r="AB17" s="241"/>
      <c r="AC17" s="241"/>
      <c r="AD17" s="246" t="s">
        <v>320</v>
      </c>
      <c r="AE17" s="246" t="s">
        <v>320</v>
      </c>
      <c r="AF17" s="241"/>
      <c r="AG17" s="241"/>
      <c r="AH17" s="246" t="s">
        <v>320</v>
      </c>
      <c r="AI17" s="241"/>
      <c r="AJ17" s="241"/>
      <c r="AK17" s="246" t="s">
        <v>320</v>
      </c>
      <c r="AL17" s="241"/>
      <c r="AM17" s="246" t="s">
        <v>320</v>
      </c>
      <c r="AN17" s="246" t="s">
        <v>320</v>
      </c>
      <c r="AO17" s="241" t="s">
        <v>321</v>
      </c>
      <c r="AP17" s="245" t="s">
        <v>227</v>
      </c>
      <c r="AQ17" s="245"/>
      <c r="AR17" s="245"/>
    </row>
    <row r="18" spans="1:97" x14ac:dyDescent="0.3">
      <c r="A18" s="241">
        <v>10380</v>
      </c>
      <c r="B18" s="242">
        <v>42202</v>
      </c>
      <c r="C18" s="243" t="s">
        <v>322</v>
      </c>
      <c r="D18" s="244" t="s">
        <v>190</v>
      </c>
      <c r="E18" s="241"/>
      <c r="F18" s="241" t="s">
        <v>323</v>
      </c>
      <c r="G18" s="247">
        <v>42185</v>
      </c>
      <c r="H18" s="245" t="s">
        <v>310</v>
      </c>
      <c r="I18" s="245" t="s">
        <v>309</v>
      </c>
      <c r="J18" s="245"/>
      <c r="K18" s="241" t="s">
        <v>239</v>
      </c>
      <c r="L18" s="254" t="s">
        <v>387</v>
      </c>
      <c r="M18" s="246">
        <v>181.5</v>
      </c>
      <c r="N18" s="246">
        <v>25.5</v>
      </c>
      <c r="O18" s="241" t="s">
        <v>351</v>
      </c>
      <c r="P18" s="241">
        <v>1350</v>
      </c>
      <c r="Q18" s="246">
        <v>29.3</v>
      </c>
      <c r="R18" s="256">
        <v>1350</v>
      </c>
      <c r="S18" s="246">
        <v>29.3</v>
      </c>
      <c r="T18" s="241"/>
      <c r="U18" s="246" t="s">
        <v>320</v>
      </c>
      <c r="V18" s="246" t="s">
        <v>320</v>
      </c>
      <c r="W18" s="246" t="s">
        <v>320</v>
      </c>
      <c r="X18" s="241"/>
      <c r="Y18" s="241"/>
      <c r="Z18" s="241"/>
      <c r="AA18" s="241"/>
      <c r="AB18" s="241"/>
      <c r="AC18" s="241"/>
      <c r="AD18" s="246" t="s">
        <v>320</v>
      </c>
      <c r="AE18" s="246" t="s">
        <v>320</v>
      </c>
      <c r="AF18" s="241"/>
      <c r="AG18" s="241"/>
      <c r="AH18" s="246" t="s">
        <v>320</v>
      </c>
      <c r="AI18" s="241"/>
      <c r="AJ18" s="241"/>
      <c r="AK18" s="246" t="s">
        <v>320</v>
      </c>
      <c r="AL18" s="241"/>
      <c r="AM18" s="246" t="s">
        <v>320</v>
      </c>
      <c r="AN18" s="246" t="s">
        <v>320</v>
      </c>
      <c r="AO18" s="241" t="s">
        <v>327</v>
      </c>
      <c r="AP18" s="245" t="s">
        <v>325</v>
      </c>
      <c r="AQ18" s="245"/>
      <c r="AR18" s="245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</row>
    <row r="19" spans="1:97" x14ac:dyDescent="0.3">
      <c r="A19" s="241">
        <v>9682</v>
      </c>
      <c r="B19" s="242">
        <v>42202</v>
      </c>
      <c r="C19" s="243" t="s">
        <v>322</v>
      </c>
      <c r="D19" s="244" t="s">
        <v>190</v>
      </c>
      <c r="E19" s="241"/>
      <c r="F19" s="241" t="s">
        <v>323</v>
      </c>
      <c r="G19" s="248">
        <v>42188</v>
      </c>
      <c r="H19" s="245" t="s">
        <v>325</v>
      </c>
      <c r="I19" s="245" t="s">
        <v>353</v>
      </c>
      <c r="J19" s="245"/>
      <c r="K19" s="241" t="s">
        <v>307</v>
      </c>
      <c r="L19" s="255" t="s">
        <v>387</v>
      </c>
      <c r="M19" s="246">
        <v>137</v>
      </c>
      <c r="N19" s="246">
        <v>27.8</v>
      </c>
      <c r="O19" s="241"/>
      <c r="P19" s="241"/>
      <c r="Q19" s="246" t="s">
        <v>320</v>
      </c>
      <c r="R19" s="241"/>
      <c r="S19" s="244" t="s">
        <v>320</v>
      </c>
      <c r="T19" s="241"/>
      <c r="U19" s="246" t="s">
        <v>320</v>
      </c>
      <c r="V19" s="246" t="s">
        <v>320</v>
      </c>
      <c r="W19" s="246" t="s">
        <v>320</v>
      </c>
      <c r="X19" s="241"/>
      <c r="Y19" s="241"/>
      <c r="Z19" s="241"/>
      <c r="AA19" s="241"/>
      <c r="AB19" s="241"/>
      <c r="AC19" s="241"/>
      <c r="AD19" s="246" t="s">
        <v>320</v>
      </c>
      <c r="AE19" s="246" t="s">
        <v>320</v>
      </c>
      <c r="AF19" s="241"/>
      <c r="AG19" s="241"/>
      <c r="AH19" s="246" t="s">
        <v>320</v>
      </c>
      <c r="AI19" s="241"/>
      <c r="AJ19" s="241"/>
      <c r="AK19" s="246" t="s">
        <v>320</v>
      </c>
      <c r="AL19" s="241"/>
      <c r="AM19" s="246" t="s">
        <v>320</v>
      </c>
      <c r="AN19" s="246" t="s">
        <v>320</v>
      </c>
      <c r="AO19" s="241" t="s">
        <v>327</v>
      </c>
      <c r="AP19" s="245" t="s">
        <v>325</v>
      </c>
      <c r="AQ19" s="245"/>
      <c r="AR19" s="245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</row>
    <row r="20" spans="1:97" x14ac:dyDescent="0.3">
      <c r="A20" s="241">
        <v>9908</v>
      </c>
      <c r="B20" s="242">
        <v>42202</v>
      </c>
      <c r="C20" s="243" t="s">
        <v>332</v>
      </c>
      <c r="D20" s="244" t="s">
        <v>190</v>
      </c>
      <c r="E20" s="241"/>
      <c r="F20" s="241" t="s">
        <v>333</v>
      </c>
      <c r="G20" s="248">
        <v>42185</v>
      </c>
      <c r="H20" s="245" t="s">
        <v>334</v>
      </c>
      <c r="I20" s="245" t="s">
        <v>335</v>
      </c>
      <c r="J20" s="245"/>
      <c r="K20" s="244" t="s">
        <v>354</v>
      </c>
      <c r="L20" s="255" t="s">
        <v>387</v>
      </c>
      <c r="M20" s="246">
        <v>195.07</v>
      </c>
      <c r="N20" s="246">
        <v>23</v>
      </c>
      <c r="O20" s="241"/>
      <c r="P20" s="241"/>
      <c r="Q20" s="246" t="s">
        <v>320</v>
      </c>
      <c r="R20" s="241"/>
      <c r="S20" s="244" t="s">
        <v>320</v>
      </c>
      <c r="T20" s="241"/>
      <c r="U20" s="246" t="s">
        <v>320</v>
      </c>
      <c r="V20" s="246" t="s">
        <v>320</v>
      </c>
      <c r="W20" s="246" t="s">
        <v>320</v>
      </c>
      <c r="X20" s="241"/>
      <c r="Y20" s="241"/>
      <c r="Z20" s="241"/>
      <c r="AA20" s="241"/>
      <c r="AB20" s="241"/>
      <c r="AC20" s="241"/>
      <c r="AD20" s="246" t="s">
        <v>320</v>
      </c>
      <c r="AE20" s="246" t="s">
        <v>320</v>
      </c>
      <c r="AF20" s="241"/>
      <c r="AG20" s="241"/>
      <c r="AH20" s="246" t="s">
        <v>320</v>
      </c>
      <c r="AI20" s="241"/>
      <c r="AJ20" s="241"/>
      <c r="AK20" s="246" t="s">
        <v>320</v>
      </c>
      <c r="AL20" s="241"/>
      <c r="AM20" s="246" t="s">
        <v>320</v>
      </c>
      <c r="AN20" s="246" t="s">
        <v>320</v>
      </c>
      <c r="AO20" s="241" t="s">
        <v>338</v>
      </c>
      <c r="AP20" s="245" t="s">
        <v>335</v>
      </c>
      <c r="AQ20" s="245"/>
      <c r="AR20" s="245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</row>
    <row r="21" spans="1:97" x14ac:dyDescent="0.3">
      <c r="A21" s="241">
        <v>10034</v>
      </c>
      <c r="B21" s="242">
        <v>42202</v>
      </c>
      <c r="C21" s="243" t="s">
        <v>189</v>
      </c>
      <c r="D21" s="244" t="s">
        <v>190</v>
      </c>
      <c r="E21" s="241"/>
      <c r="F21" s="241" t="s">
        <v>191</v>
      </c>
      <c r="G21" s="248">
        <v>42185</v>
      </c>
      <c r="H21" s="249" t="s">
        <v>309</v>
      </c>
      <c r="I21" s="249" t="s">
        <v>355</v>
      </c>
      <c r="J21" s="245"/>
      <c r="K21" s="244" t="s">
        <v>356</v>
      </c>
      <c r="L21" s="254" t="s">
        <v>387</v>
      </c>
      <c r="M21" s="246">
        <v>116.23636363636362</v>
      </c>
      <c r="N21" s="246">
        <v>29.45</v>
      </c>
      <c r="O21" s="241"/>
      <c r="P21" s="241"/>
      <c r="Q21" s="246" t="s">
        <v>320</v>
      </c>
      <c r="R21" s="241"/>
      <c r="S21" s="244" t="s">
        <v>320</v>
      </c>
      <c r="T21" s="241"/>
      <c r="U21" s="246" t="s">
        <v>320</v>
      </c>
      <c r="V21" s="246" t="s">
        <v>320</v>
      </c>
      <c r="W21" s="246" t="s">
        <v>320</v>
      </c>
      <c r="X21" s="241"/>
      <c r="Y21" s="241"/>
      <c r="Z21" s="241"/>
      <c r="AA21" s="241"/>
      <c r="AB21" s="241"/>
      <c r="AC21" s="241"/>
      <c r="AD21" s="246" t="s">
        <v>320</v>
      </c>
      <c r="AE21" s="246" t="s">
        <v>320</v>
      </c>
      <c r="AF21" s="241"/>
      <c r="AG21" s="241"/>
      <c r="AH21" s="246" t="s">
        <v>320</v>
      </c>
      <c r="AI21" s="241"/>
      <c r="AJ21" s="241"/>
      <c r="AK21" s="246" t="s">
        <v>320</v>
      </c>
      <c r="AL21" s="241"/>
      <c r="AM21" s="246" t="s">
        <v>320</v>
      </c>
      <c r="AN21" s="246" t="s">
        <v>320</v>
      </c>
      <c r="AO21" s="241" t="s">
        <v>357</v>
      </c>
      <c r="AP21" s="245" t="s">
        <v>193</v>
      </c>
      <c r="AQ21" s="245"/>
      <c r="AR21" s="245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</row>
    <row r="22" spans="1:97" x14ac:dyDescent="0.3">
      <c r="A22" s="241">
        <v>5191</v>
      </c>
      <c r="B22" s="242">
        <v>42202</v>
      </c>
      <c r="C22" s="243" t="s">
        <v>322</v>
      </c>
      <c r="D22" s="244" t="s">
        <v>190</v>
      </c>
      <c r="E22" s="241"/>
      <c r="F22" s="241" t="s">
        <v>323</v>
      </c>
      <c r="G22" s="248">
        <v>42185</v>
      </c>
      <c r="H22" s="245" t="s">
        <v>324</v>
      </c>
      <c r="I22" s="245" t="s">
        <v>325</v>
      </c>
      <c r="J22" s="245"/>
      <c r="K22" s="241" t="s">
        <v>358</v>
      </c>
      <c r="L22" s="254" t="s">
        <v>387</v>
      </c>
      <c r="M22" s="246">
        <v>149</v>
      </c>
      <c r="N22" s="246">
        <v>25.199999999999996</v>
      </c>
      <c r="O22" s="241"/>
      <c r="P22" s="241"/>
      <c r="Q22" s="246" t="s">
        <v>320</v>
      </c>
      <c r="R22" s="241"/>
      <c r="S22" s="244" t="s">
        <v>320</v>
      </c>
      <c r="T22" s="241"/>
      <c r="U22" s="246" t="s">
        <v>320</v>
      </c>
      <c r="V22" s="246" t="s">
        <v>320</v>
      </c>
      <c r="W22" s="246" t="s">
        <v>320</v>
      </c>
      <c r="X22" s="241"/>
      <c r="Y22" s="241"/>
      <c r="Z22" s="241"/>
      <c r="AA22" s="241"/>
      <c r="AB22" s="241"/>
      <c r="AC22" s="241"/>
      <c r="AD22" s="246" t="s">
        <v>320</v>
      </c>
      <c r="AE22" s="246" t="s">
        <v>320</v>
      </c>
      <c r="AF22" s="241"/>
      <c r="AG22" s="241"/>
      <c r="AH22" s="246" t="s">
        <v>320</v>
      </c>
      <c r="AI22" s="241"/>
      <c r="AJ22" s="241"/>
      <c r="AK22" s="246" t="s">
        <v>320</v>
      </c>
      <c r="AL22" s="241"/>
      <c r="AM22" s="246" t="s">
        <v>320</v>
      </c>
      <c r="AN22" s="246" t="s">
        <v>320</v>
      </c>
      <c r="AO22" s="241" t="s">
        <v>327</v>
      </c>
      <c r="AP22" s="245" t="s">
        <v>325</v>
      </c>
      <c r="AQ22" s="245"/>
      <c r="AR22" s="245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</row>
    <row r="23" spans="1:97" x14ac:dyDescent="0.3">
      <c r="A23" s="241">
        <v>10015</v>
      </c>
      <c r="B23" s="242">
        <v>42203</v>
      </c>
      <c r="C23" s="243" t="s">
        <v>223</v>
      </c>
      <c r="D23" s="244" t="s">
        <v>190</v>
      </c>
      <c r="E23" s="241"/>
      <c r="F23" s="241" t="s">
        <v>229</v>
      </c>
      <c r="G23" s="242">
        <v>42187</v>
      </c>
      <c r="H23" s="245" t="s">
        <v>226</v>
      </c>
      <c r="I23" s="245" t="s">
        <v>227</v>
      </c>
      <c r="J23" s="245"/>
      <c r="K23" s="241" t="s">
        <v>319</v>
      </c>
      <c r="L23" s="254" t="s">
        <v>387</v>
      </c>
      <c r="M23" s="246">
        <v>198.63636363636363</v>
      </c>
      <c r="N23" s="246">
        <v>24.09090909090909</v>
      </c>
      <c r="O23" s="241"/>
      <c r="P23" s="241"/>
      <c r="Q23" s="246" t="s">
        <v>320</v>
      </c>
      <c r="R23" s="241"/>
      <c r="S23" s="244" t="s">
        <v>320</v>
      </c>
      <c r="T23" s="241"/>
      <c r="U23" s="246" t="s">
        <v>320</v>
      </c>
      <c r="V23" s="246" t="s">
        <v>320</v>
      </c>
      <c r="W23" s="246" t="s">
        <v>320</v>
      </c>
      <c r="X23" s="241"/>
      <c r="Y23" s="241"/>
      <c r="Z23" s="241"/>
      <c r="AA23" s="241"/>
      <c r="AB23" s="241"/>
      <c r="AC23" s="241"/>
      <c r="AD23" s="246" t="s">
        <v>320</v>
      </c>
      <c r="AE23" s="246">
        <v>15.454545454545453</v>
      </c>
      <c r="AF23" s="241"/>
      <c r="AG23" s="241"/>
      <c r="AH23" s="246" t="s">
        <v>320</v>
      </c>
      <c r="AI23" s="241"/>
      <c r="AJ23" s="241"/>
      <c r="AK23" s="246" t="s">
        <v>320</v>
      </c>
      <c r="AL23" s="241"/>
      <c r="AM23" s="246" t="s">
        <v>320</v>
      </c>
      <c r="AN23" s="246" t="s">
        <v>320</v>
      </c>
      <c r="AO23" s="241" t="s">
        <v>359</v>
      </c>
      <c r="AP23" s="245" t="s">
        <v>227</v>
      </c>
      <c r="AQ23" s="245"/>
      <c r="AR23" s="245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</row>
    <row r="24" spans="1:97" x14ac:dyDescent="0.3">
      <c r="A24" s="241">
        <v>10427</v>
      </c>
      <c r="B24" s="242">
        <v>42202</v>
      </c>
      <c r="C24" s="243" t="s">
        <v>322</v>
      </c>
      <c r="D24" s="244" t="s">
        <v>190</v>
      </c>
      <c r="E24" s="241"/>
      <c r="F24" s="241" t="s">
        <v>360</v>
      </c>
      <c r="G24" s="242">
        <v>42187</v>
      </c>
      <c r="H24" s="245" t="s">
        <v>324</v>
      </c>
      <c r="I24" s="245" t="s">
        <v>325</v>
      </c>
      <c r="J24" s="245"/>
      <c r="K24" s="241" t="s">
        <v>326</v>
      </c>
      <c r="L24" s="254" t="s">
        <v>387</v>
      </c>
      <c r="M24" s="246">
        <v>153</v>
      </c>
      <c r="N24" s="246">
        <v>27.554545454545451</v>
      </c>
      <c r="O24" s="241"/>
      <c r="P24" s="241"/>
      <c r="Q24" s="246" t="s">
        <v>320</v>
      </c>
      <c r="R24" s="241"/>
      <c r="S24" s="244" t="s">
        <v>320</v>
      </c>
      <c r="T24" s="241"/>
      <c r="U24" s="246" t="s">
        <v>320</v>
      </c>
      <c r="V24" s="246" t="s">
        <v>320</v>
      </c>
      <c r="W24" s="246" t="s">
        <v>320</v>
      </c>
      <c r="X24" s="241"/>
      <c r="Y24" s="241"/>
      <c r="Z24" s="241"/>
      <c r="AA24" s="241"/>
      <c r="AB24" s="241"/>
      <c r="AC24" s="241"/>
      <c r="AD24" s="246" t="s">
        <v>320</v>
      </c>
      <c r="AE24" s="246">
        <v>15.972727272727271</v>
      </c>
      <c r="AF24" s="241"/>
      <c r="AG24" s="241"/>
      <c r="AH24" s="246" t="s">
        <v>320</v>
      </c>
      <c r="AI24" s="241"/>
      <c r="AJ24" s="241"/>
      <c r="AK24" s="246" t="s">
        <v>320</v>
      </c>
      <c r="AL24" s="241"/>
      <c r="AM24" s="246" t="s">
        <v>320</v>
      </c>
      <c r="AN24" s="246" t="s">
        <v>320</v>
      </c>
      <c r="AO24" s="241" t="s">
        <v>361</v>
      </c>
      <c r="AP24" s="245" t="s">
        <v>325</v>
      </c>
      <c r="AQ24" s="245"/>
      <c r="AR24" s="245"/>
    </row>
    <row r="25" spans="1:97" x14ac:dyDescent="0.3">
      <c r="A25" s="241">
        <v>10506</v>
      </c>
      <c r="B25" s="242">
        <v>42202</v>
      </c>
      <c r="C25" s="243" t="s">
        <v>322</v>
      </c>
      <c r="D25" s="244" t="s">
        <v>190</v>
      </c>
      <c r="E25" s="241"/>
      <c r="F25" s="241" t="s">
        <v>360</v>
      </c>
      <c r="G25" s="247">
        <v>42185</v>
      </c>
      <c r="H25" s="245" t="s">
        <v>324</v>
      </c>
      <c r="I25" s="245" t="s">
        <v>325</v>
      </c>
      <c r="J25" s="245"/>
      <c r="K25" s="241" t="s">
        <v>328</v>
      </c>
      <c r="L25" s="254" t="s">
        <v>387</v>
      </c>
      <c r="M25" s="246">
        <v>155</v>
      </c>
      <c r="N25" s="246">
        <v>22.881818181818183</v>
      </c>
      <c r="O25" s="241"/>
      <c r="P25" s="241"/>
      <c r="Q25" s="246" t="s">
        <v>320</v>
      </c>
      <c r="R25" s="241"/>
      <c r="S25" s="244" t="s">
        <v>320</v>
      </c>
      <c r="T25" s="241"/>
      <c r="U25" s="246" t="s">
        <v>320</v>
      </c>
      <c r="V25" s="246" t="s">
        <v>320</v>
      </c>
      <c r="W25" s="246" t="s">
        <v>320</v>
      </c>
      <c r="X25" s="241"/>
      <c r="Y25" s="241"/>
      <c r="Z25" s="241"/>
      <c r="AA25" s="241"/>
      <c r="AB25" s="241"/>
      <c r="AC25" s="241"/>
      <c r="AD25" s="246" t="s">
        <v>320</v>
      </c>
      <c r="AE25" s="246">
        <v>12.354545454545454</v>
      </c>
      <c r="AF25" s="241"/>
      <c r="AG25" s="241"/>
      <c r="AH25" s="246" t="s">
        <v>320</v>
      </c>
      <c r="AI25" s="241"/>
      <c r="AJ25" s="241"/>
      <c r="AK25" s="246" t="s">
        <v>320</v>
      </c>
      <c r="AL25" s="241"/>
      <c r="AM25" s="246" t="s">
        <v>320</v>
      </c>
      <c r="AN25" s="246" t="s">
        <v>320</v>
      </c>
      <c r="AO25" s="241" t="s">
        <v>361</v>
      </c>
      <c r="AP25" s="245" t="s">
        <v>325</v>
      </c>
      <c r="AQ25" s="245"/>
      <c r="AR25" s="245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</row>
    <row r="26" spans="1:97" x14ac:dyDescent="0.3">
      <c r="A26" s="241">
        <v>10606</v>
      </c>
      <c r="B26" s="242">
        <v>42202</v>
      </c>
      <c r="C26" s="243" t="s">
        <v>322</v>
      </c>
      <c r="D26" s="244" t="s">
        <v>190</v>
      </c>
      <c r="E26" s="241"/>
      <c r="F26" s="241" t="s">
        <v>360</v>
      </c>
      <c r="G26" s="248">
        <v>42188</v>
      </c>
      <c r="H26" s="245" t="s">
        <v>310</v>
      </c>
      <c r="I26" s="245" t="s">
        <v>309</v>
      </c>
      <c r="J26" s="245"/>
      <c r="K26" s="241" t="s">
        <v>329</v>
      </c>
      <c r="L26" s="255" t="s">
        <v>387</v>
      </c>
      <c r="M26" s="246">
        <v>136.99999999999997</v>
      </c>
      <c r="N26" s="246">
        <v>27.799999999999997</v>
      </c>
      <c r="O26" s="241"/>
      <c r="P26" s="241"/>
      <c r="Q26" s="246" t="s">
        <v>320</v>
      </c>
      <c r="R26" s="241"/>
      <c r="S26" s="244" t="s">
        <v>320</v>
      </c>
      <c r="T26" s="241"/>
      <c r="U26" s="246" t="s">
        <v>320</v>
      </c>
      <c r="V26" s="246" t="s">
        <v>320</v>
      </c>
      <c r="W26" s="246" t="s">
        <v>320</v>
      </c>
      <c r="X26" s="241"/>
      <c r="Y26" s="241"/>
      <c r="Z26" s="241"/>
      <c r="AA26" s="241"/>
      <c r="AB26" s="241"/>
      <c r="AC26" s="241"/>
      <c r="AD26" s="246" t="s">
        <v>320</v>
      </c>
      <c r="AE26" s="246">
        <v>19</v>
      </c>
      <c r="AF26" s="241"/>
      <c r="AG26" s="241"/>
      <c r="AH26" s="246" t="s">
        <v>320</v>
      </c>
      <c r="AI26" s="241"/>
      <c r="AJ26" s="241"/>
      <c r="AK26" s="246" t="s">
        <v>320</v>
      </c>
      <c r="AL26" s="241"/>
      <c r="AM26" s="246" t="s">
        <v>320</v>
      </c>
      <c r="AN26" s="246" t="s">
        <v>320</v>
      </c>
      <c r="AO26" s="241" t="s">
        <v>361</v>
      </c>
      <c r="AP26" s="245" t="s">
        <v>325</v>
      </c>
      <c r="AQ26" s="245"/>
      <c r="AR26" s="245"/>
    </row>
    <row r="27" spans="1:97" x14ac:dyDescent="0.3">
      <c r="A27" s="241">
        <v>1478</v>
      </c>
      <c r="B27" s="242">
        <v>42202</v>
      </c>
      <c r="C27" s="243" t="s">
        <v>322</v>
      </c>
      <c r="D27" s="244" t="s">
        <v>190</v>
      </c>
      <c r="E27" s="241"/>
      <c r="F27" s="241" t="s">
        <v>360</v>
      </c>
      <c r="G27" s="248">
        <v>42185</v>
      </c>
      <c r="H27" s="245" t="s">
        <v>324</v>
      </c>
      <c r="I27" s="245" t="s">
        <v>325</v>
      </c>
      <c r="J27" s="245"/>
      <c r="K27" s="241" t="s">
        <v>330</v>
      </c>
      <c r="L27" s="255" t="s">
        <v>387</v>
      </c>
      <c r="M27" s="246">
        <v>148.18181818181816</v>
      </c>
      <c r="N27" s="246">
        <v>27.61</v>
      </c>
      <c r="O27" s="241"/>
      <c r="P27" s="241"/>
      <c r="Q27" s="246" t="s">
        <v>320</v>
      </c>
      <c r="R27" s="241"/>
      <c r="S27" s="244" t="s">
        <v>320</v>
      </c>
      <c r="T27" s="241"/>
      <c r="U27" s="246" t="s">
        <v>320</v>
      </c>
      <c r="V27" s="246" t="s">
        <v>320</v>
      </c>
      <c r="W27" s="246" t="s">
        <v>320</v>
      </c>
      <c r="X27" s="241"/>
      <c r="Y27" s="241"/>
      <c r="Z27" s="241"/>
      <c r="AA27" s="241"/>
      <c r="AB27" s="241"/>
      <c r="AC27" s="241"/>
      <c r="AD27" s="246" t="s">
        <v>320</v>
      </c>
      <c r="AE27" s="246">
        <v>17.39</v>
      </c>
      <c r="AF27" s="241"/>
      <c r="AG27" s="241"/>
      <c r="AH27" s="246" t="s">
        <v>320</v>
      </c>
      <c r="AI27" s="241"/>
      <c r="AJ27" s="241"/>
      <c r="AK27" s="246" t="s">
        <v>320</v>
      </c>
      <c r="AL27" s="241"/>
      <c r="AM27" s="246" t="s">
        <v>320</v>
      </c>
      <c r="AN27" s="246" t="s">
        <v>320</v>
      </c>
      <c r="AO27" s="241" t="s">
        <v>361</v>
      </c>
      <c r="AP27" s="245" t="s">
        <v>325</v>
      </c>
      <c r="AQ27" s="245"/>
      <c r="AR27" s="245"/>
    </row>
    <row r="28" spans="1:97" x14ac:dyDescent="0.3">
      <c r="A28" s="241">
        <v>4659</v>
      </c>
      <c r="B28" s="242">
        <v>42202</v>
      </c>
      <c r="C28" s="243" t="s">
        <v>322</v>
      </c>
      <c r="D28" s="244" t="s">
        <v>190</v>
      </c>
      <c r="E28" s="241"/>
      <c r="F28" s="241" t="s">
        <v>360</v>
      </c>
      <c r="G28" s="248">
        <v>42185</v>
      </c>
      <c r="H28" s="245" t="s">
        <v>324</v>
      </c>
      <c r="I28" s="245" t="s">
        <v>325</v>
      </c>
      <c r="J28" s="245"/>
      <c r="K28" s="241" t="s">
        <v>331</v>
      </c>
      <c r="L28" s="255" t="s">
        <v>387</v>
      </c>
      <c r="M28" s="246">
        <v>165</v>
      </c>
      <c r="N28" s="246">
        <v>33.92</v>
      </c>
      <c r="O28" s="241"/>
      <c r="P28" s="241"/>
      <c r="Q28" s="246" t="s">
        <v>320</v>
      </c>
      <c r="R28" s="241"/>
      <c r="S28" s="244" t="s">
        <v>320</v>
      </c>
      <c r="T28" s="241"/>
      <c r="U28" s="246" t="s">
        <v>320</v>
      </c>
      <c r="V28" s="246" t="s">
        <v>320</v>
      </c>
      <c r="W28" s="246" t="s">
        <v>320</v>
      </c>
      <c r="X28" s="241"/>
      <c r="Y28" s="241"/>
      <c r="Z28" s="241"/>
      <c r="AA28" s="241"/>
      <c r="AB28" s="241"/>
      <c r="AC28" s="241"/>
      <c r="AD28" s="246" t="s">
        <v>320</v>
      </c>
      <c r="AE28" s="246">
        <v>21.12</v>
      </c>
      <c r="AF28" s="241"/>
      <c r="AG28" s="241"/>
      <c r="AH28" s="246" t="s">
        <v>320</v>
      </c>
      <c r="AI28" s="241"/>
      <c r="AJ28" s="241"/>
      <c r="AK28" s="246" t="s">
        <v>320</v>
      </c>
      <c r="AL28" s="241"/>
      <c r="AM28" s="246" t="s">
        <v>320</v>
      </c>
      <c r="AN28" s="246" t="s">
        <v>320</v>
      </c>
      <c r="AO28" s="241" t="s">
        <v>361</v>
      </c>
      <c r="AP28" s="245" t="s">
        <v>325</v>
      </c>
      <c r="AQ28" s="245"/>
      <c r="AR28" s="245"/>
    </row>
    <row r="29" spans="1:97" x14ac:dyDescent="0.3">
      <c r="A29" s="241">
        <v>1452</v>
      </c>
      <c r="B29" s="242">
        <v>42202</v>
      </c>
      <c r="C29" s="243" t="s">
        <v>332</v>
      </c>
      <c r="D29" s="244" t="s">
        <v>190</v>
      </c>
      <c r="E29" s="241"/>
      <c r="F29" s="241" t="s">
        <v>362</v>
      </c>
      <c r="G29" s="248">
        <v>42185</v>
      </c>
      <c r="H29" s="245" t="s">
        <v>334</v>
      </c>
      <c r="I29" s="245" t="s">
        <v>335</v>
      </c>
      <c r="J29" s="245"/>
      <c r="K29" s="241" t="s">
        <v>336</v>
      </c>
      <c r="L29" s="255" t="s">
        <v>387</v>
      </c>
      <c r="M29" s="246">
        <v>151</v>
      </c>
      <c r="N29" s="246">
        <v>26.84</v>
      </c>
      <c r="O29" s="241"/>
      <c r="P29" s="241"/>
      <c r="Q29" s="246"/>
      <c r="R29" s="246"/>
      <c r="S29" s="244"/>
      <c r="T29" s="241"/>
      <c r="U29" s="246" t="s">
        <v>320</v>
      </c>
      <c r="V29" s="246" t="s">
        <v>320</v>
      </c>
      <c r="W29" s="246" t="s">
        <v>320</v>
      </c>
      <c r="X29" s="241"/>
      <c r="Y29" s="241"/>
      <c r="Z29" s="241"/>
      <c r="AA29" s="241"/>
      <c r="AB29" s="241"/>
      <c r="AC29" s="241"/>
      <c r="AD29" s="246" t="s">
        <v>320</v>
      </c>
      <c r="AE29" s="246">
        <v>15.1</v>
      </c>
      <c r="AF29" s="241"/>
      <c r="AG29" s="241"/>
      <c r="AH29" s="246" t="s">
        <v>320</v>
      </c>
      <c r="AI29" s="241"/>
      <c r="AJ29" s="241"/>
      <c r="AK29" s="246" t="s">
        <v>320</v>
      </c>
      <c r="AL29" s="241"/>
      <c r="AM29" s="246" t="s">
        <v>320</v>
      </c>
      <c r="AN29" s="246" t="s">
        <v>320</v>
      </c>
      <c r="AO29" s="241" t="s">
        <v>363</v>
      </c>
      <c r="AP29" s="245" t="s">
        <v>335</v>
      </c>
      <c r="AQ29" s="245"/>
      <c r="AR29" s="245"/>
    </row>
    <row r="30" spans="1:97" x14ac:dyDescent="0.3">
      <c r="A30" s="241">
        <v>1490</v>
      </c>
      <c r="B30" s="242">
        <v>42202</v>
      </c>
      <c r="C30" s="243" t="s">
        <v>332</v>
      </c>
      <c r="D30" s="244" t="s">
        <v>190</v>
      </c>
      <c r="E30" s="241"/>
      <c r="F30" s="241" t="s">
        <v>362</v>
      </c>
      <c r="G30" s="248">
        <v>42185</v>
      </c>
      <c r="H30" s="245" t="s">
        <v>334</v>
      </c>
      <c r="I30" s="245" t="s">
        <v>335</v>
      </c>
      <c r="J30" s="245"/>
      <c r="K30" s="241" t="s">
        <v>339</v>
      </c>
      <c r="L30" s="255" t="s">
        <v>387</v>
      </c>
      <c r="M30" s="246">
        <v>148.18181818181816</v>
      </c>
      <c r="N30" s="246">
        <v>27.61</v>
      </c>
      <c r="O30" s="241"/>
      <c r="P30" s="241"/>
      <c r="Q30" s="246" t="s">
        <v>320</v>
      </c>
      <c r="R30" s="241"/>
      <c r="S30" s="244" t="s">
        <v>320</v>
      </c>
      <c r="T30" s="241"/>
      <c r="U30" s="246" t="s">
        <v>320</v>
      </c>
      <c r="V30" s="246" t="s">
        <v>320</v>
      </c>
      <c r="W30" s="246" t="s">
        <v>320</v>
      </c>
      <c r="X30" s="241"/>
      <c r="Y30" s="241"/>
      <c r="Z30" s="241"/>
      <c r="AA30" s="241"/>
      <c r="AB30" s="241"/>
      <c r="AC30" s="241"/>
      <c r="AD30" s="246" t="s">
        <v>320</v>
      </c>
      <c r="AE30" s="246">
        <v>17.39</v>
      </c>
      <c r="AF30" s="241"/>
      <c r="AG30" s="241"/>
      <c r="AH30" s="246" t="s">
        <v>320</v>
      </c>
      <c r="AI30" s="241"/>
      <c r="AJ30" s="241"/>
      <c r="AK30" s="246" t="s">
        <v>320</v>
      </c>
      <c r="AL30" s="241"/>
      <c r="AM30" s="246" t="s">
        <v>320</v>
      </c>
      <c r="AN30" s="246" t="s">
        <v>320</v>
      </c>
      <c r="AO30" s="241" t="s">
        <v>363</v>
      </c>
      <c r="AP30" s="245" t="s">
        <v>335</v>
      </c>
      <c r="AQ30" s="245"/>
      <c r="AR30" s="245"/>
    </row>
    <row r="31" spans="1:97" x14ac:dyDescent="0.3">
      <c r="A31" s="241">
        <v>10275</v>
      </c>
      <c r="B31" s="242">
        <v>42202</v>
      </c>
      <c r="C31" s="243" t="s">
        <v>322</v>
      </c>
      <c r="D31" s="244" t="s">
        <v>190</v>
      </c>
      <c r="E31" s="241"/>
      <c r="F31" s="241" t="s">
        <v>360</v>
      </c>
      <c r="G31" s="248">
        <v>42214</v>
      </c>
      <c r="H31" s="245" t="s">
        <v>324</v>
      </c>
      <c r="I31" s="245" t="s">
        <v>325</v>
      </c>
      <c r="J31" s="245"/>
      <c r="K31" s="241" t="s">
        <v>340</v>
      </c>
      <c r="L31" s="254" t="s">
        <v>387</v>
      </c>
      <c r="M31" s="246">
        <v>135</v>
      </c>
      <c r="N31" s="246">
        <v>28.518181818181816</v>
      </c>
      <c r="O31" s="241"/>
      <c r="P31" s="241"/>
      <c r="Q31" s="246" t="s">
        <v>320</v>
      </c>
      <c r="R31" s="241"/>
      <c r="S31" s="244" t="s">
        <v>320</v>
      </c>
      <c r="T31" s="241"/>
      <c r="U31" s="246" t="s">
        <v>320</v>
      </c>
      <c r="V31" s="246" t="s">
        <v>320</v>
      </c>
      <c r="W31" s="246" t="s">
        <v>320</v>
      </c>
      <c r="X31" s="241"/>
      <c r="Y31" s="241"/>
      <c r="Z31" s="241"/>
      <c r="AA31" s="241"/>
      <c r="AB31" s="241"/>
      <c r="AC31" s="241"/>
      <c r="AD31" s="246" t="s">
        <v>320</v>
      </c>
      <c r="AE31" s="246">
        <v>12.045454545454545</v>
      </c>
      <c r="AF31" s="241"/>
      <c r="AG31" s="241"/>
      <c r="AH31" s="246" t="s">
        <v>320</v>
      </c>
      <c r="AI31" s="241"/>
      <c r="AJ31" s="241"/>
      <c r="AK31" s="246" t="s">
        <v>320</v>
      </c>
      <c r="AL31" s="241"/>
      <c r="AM31" s="246" t="s">
        <v>320</v>
      </c>
      <c r="AN31" s="246" t="s">
        <v>320</v>
      </c>
      <c r="AO31" s="241" t="s">
        <v>361</v>
      </c>
      <c r="AP31" s="245" t="s">
        <v>325</v>
      </c>
      <c r="AQ31" s="245"/>
      <c r="AR31" s="245"/>
    </row>
    <row r="32" spans="1:97" x14ac:dyDescent="0.3">
      <c r="A32" s="241">
        <v>5661</v>
      </c>
      <c r="B32" s="242">
        <v>42202</v>
      </c>
      <c r="C32" s="243" t="s">
        <v>332</v>
      </c>
      <c r="D32" s="244" t="s">
        <v>190</v>
      </c>
      <c r="E32" s="241"/>
      <c r="F32" s="241" t="s">
        <v>362</v>
      </c>
      <c r="G32" s="248">
        <v>41820</v>
      </c>
      <c r="H32" s="245" t="s">
        <v>334</v>
      </c>
      <c r="I32" s="245" t="s">
        <v>335</v>
      </c>
      <c r="J32" s="245"/>
      <c r="K32" s="241" t="s">
        <v>341</v>
      </c>
      <c r="L32" s="254" t="s">
        <v>387</v>
      </c>
      <c r="M32" s="246">
        <v>218.94</v>
      </c>
      <c r="N32" s="246">
        <v>25.41</v>
      </c>
      <c r="O32" s="241"/>
      <c r="P32" s="241"/>
      <c r="Q32" s="246" t="s">
        <v>320</v>
      </c>
      <c r="R32" s="241"/>
      <c r="S32" s="244" t="s">
        <v>320</v>
      </c>
      <c r="T32" s="241"/>
      <c r="U32" s="246" t="s">
        <v>320</v>
      </c>
      <c r="V32" s="246" t="s">
        <v>320</v>
      </c>
      <c r="W32" s="246" t="s">
        <v>320</v>
      </c>
      <c r="X32" s="241"/>
      <c r="Y32" s="241"/>
      <c r="Z32" s="241"/>
      <c r="AA32" s="241"/>
      <c r="AB32" s="241"/>
      <c r="AC32" s="241"/>
      <c r="AD32" s="246" t="s">
        <v>320</v>
      </c>
      <c r="AE32" s="246">
        <v>14.730000000000002</v>
      </c>
      <c r="AF32" s="241"/>
      <c r="AG32" s="241"/>
      <c r="AH32" s="246" t="s">
        <v>320</v>
      </c>
      <c r="AI32" s="241"/>
      <c r="AJ32" s="241"/>
      <c r="AK32" s="246" t="s">
        <v>320</v>
      </c>
      <c r="AL32" s="241"/>
      <c r="AM32" s="246" t="s">
        <v>320</v>
      </c>
      <c r="AN32" s="246" t="s">
        <v>320</v>
      </c>
      <c r="AO32" s="241" t="s">
        <v>363</v>
      </c>
      <c r="AP32" s="245" t="s">
        <v>335</v>
      </c>
      <c r="AQ32" s="245"/>
      <c r="AR32" s="245"/>
    </row>
    <row r="33" spans="1:97" x14ac:dyDescent="0.3">
      <c r="A33" s="241">
        <v>4380</v>
      </c>
      <c r="B33" s="242">
        <v>42202</v>
      </c>
      <c r="C33" s="243" t="s">
        <v>342</v>
      </c>
      <c r="D33" s="244" t="s">
        <v>190</v>
      </c>
      <c r="E33" s="241"/>
      <c r="F33" s="241" t="s">
        <v>364</v>
      </c>
      <c r="G33" s="248">
        <v>42185</v>
      </c>
      <c r="H33" s="245" t="s">
        <v>344</v>
      </c>
      <c r="I33" s="245" t="s">
        <v>345</v>
      </c>
      <c r="J33" s="245"/>
      <c r="K33" s="241" t="s">
        <v>346</v>
      </c>
      <c r="L33" s="255" t="s">
        <v>387</v>
      </c>
      <c r="M33" s="246">
        <v>154.22</v>
      </c>
      <c r="N33" s="246">
        <v>27.46</v>
      </c>
      <c r="O33" s="241"/>
      <c r="P33" s="241"/>
      <c r="Q33" s="246"/>
      <c r="R33" s="241"/>
      <c r="S33" s="244" t="s">
        <v>320</v>
      </c>
      <c r="T33" s="241"/>
      <c r="U33" s="246" t="s">
        <v>320</v>
      </c>
      <c r="V33" s="246" t="s">
        <v>320</v>
      </c>
      <c r="W33" s="246" t="s">
        <v>320</v>
      </c>
      <c r="X33" s="241"/>
      <c r="Y33" s="241"/>
      <c r="Z33" s="241"/>
      <c r="AA33" s="241"/>
      <c r="AB33" s="241"/>
      <c r="AC33" s="241"/>
      <c r="AD33" s="246" t="s">
        <v>320</v>
      </c>
      <c r="AE33" s="246">
        <v>16.649999999999999</v>
      </c>
      <c r="AF33" s="241"/>
      <c r="AG33" s="241"/>
      <c r="AH33" s="246" t="s">
        <v>320</v>
      </c>
      <c r="AI33" s="241"/>
      <c r="AJ33" s="241"/>
      <c r="AK33" s="246" t="s">
        <v>320</v>
      </c>
      <c r="AL33" s="241"/>
      <c r="AM33" s="246" t="s">
        <v>320</v>
      </c>
      <c r="AN33" s="246" t="s">
        <v>320</v>
      </c>
      <c r="AO33" s="241" t="s">
        <v>365</v>
      </c>
      <c r="AP33" s="245" t="s">
        <v>345</v>
      </c>
      <c r="AQ33" s="245"/>
      <c r="AR33" s="245"/>
    </row>
    <row r="34" spans="1:97" x14ac:dyDescent="0.3">
      <c r="A34" s="241">
        <v>10530</v>
      </c>
      <c r="B34" s="242">
        <v>42202</v>
      </c>
      <c r="C34" s="243" t="s">
        <v>322</v>
      </c>
      <c r="D34" s="244" t="s">
        <v>190</v>
      </c>
      <c r="E34" s="241"/>
      <c r="F34" s="241" t="s">
        <v>360</v>
      </c>
      <c r="G34" s="247">
        <v>42201</v>
      </c>
      <c r="H34" s="245" t="s">
        <v>324</v>
      </c>
      <c r="I34" s="245" t="s">
        <v>325</v>
      </c>
      <c r="J34" s="245"/>
      <c r="K34" s="241" t="s">
        <v>348</v>
      </c>
      <c r="L34" s="254" t="s">
        <v>387</v>
      </c>
      <c r="M34" s="246">
        <v>150.99999999999997</v>
      </c>
      <c r="N34" s="246">
        <v>27.763636363636362</v>
      </c>
      <c r="O34" s="241"/>
      <c r="P34" s="241"/>
      <c r="Q34" s="246" t="s">
        <v>320</v>
      </c>
      <c r="R34" s="241"/>
      <c r="S34" s="244" t="s">
        <v>320</v>
      </c>
      <c r="T34" s="241"/>
      <c r="U34" s="246" t="s">
        <v>320</v>
      </c>
      <c r="V34" s="246" t="s">
        <v>320</v>
      </c>
      <c r="W34" s="246" t="s">
        <v>320</v>
      </c>
      <c r="X34" s="241"/>
      <c r="Y34" s="241"/>
      <c r="Z34" s="241"/>
      <c r="AA34" s="241"/>
      <c r="AB34" s="241"/>
      <c r="AC34" s="241"/>
      <c r="AD34" s="246" t="s">
        <v>320</v>
      </c>
      <c r="AE34" s="246">
        <v>16.536363636363635</v>
      </c>
      <c r="AF34" s="241"/>
      <c r="AG34" s="241"/>
      <c r="AH34" s="246" t="s">
        <v>320</v>
      </c>
      <c r="AI34" s="241"/>
      <c r="AJ34" s="241"/>
      <c r="AK34" s="246" t="s">
        <v>320</v>
      </c>
      <c r="AL34" s="241"/>
      <c r="AM34" s="246" t="s">
        <v>320</v>
      </c>
      <c r="AN34" s="246" t="s">
        <v>320</v>
      </c>
      <c r="AO34" s="241" t="s">
        <v>361</v>
      </c>
      <c r="AP34" s="245" t="s">
        <v>325</v>
      </c>
      <c r="AQ34" s="245"/>
      <c r="AR34" s="245"/>
    </row>
    <row r="35" spans="1:97" x14ac:dyDescent="0.3">
      <c r="A35" s="241">
        <v>10346</v>
      </c>
      <c r="B35" s="242">
        <v>42202</v>
      </c>
      <c r="C35" s="243" t="s">
        <v>332</v>
      </c>
      <c r="D35" s="244" t="s">
        <v>190</v>
      </c>
      <c r="E35" s="241"/>
      <c r="F35" s="241" t="s">
        <v>362</v>
      </c>
      <c r="G35" s="248">
        <v>42187</v>
      </c>
      <c r="H35" s="245" t="s">
        <v>334</v>
      </c>
      <c r="I35" s="245" t="s">
        <v>335</v>
      </c>
      <c r="J35" s="245"/>
      <c r="K35" s="241" t="s">
        <v>349</v>
      </c>
      <c r="L35" s="254" t="s">
        <v>387</v>
      </c>
      <c r="M35" s="246">
        <v>153</v>
      </c>
      <c r="N35" s="246">
        <v>27.554545454545451</v>
      </c>
      <c r="O35" s="241"/>
      <c r="P35" s="241"/>
      <c r="Q35" s="246" t="s">
        <v>320</v>
      </c>
      <c r="R35" s="241"/>
      <c r="S35" s="244" t="s">
        <v>320</v>
      </c>
      <c r="T35" s="241"/>
      <c r="U35" s="246" t="s">
        <v>320</v>
      </c>
      <c r="V35" s="246" t="s">
        <v>320</v>
      </c>
      <c r="W35" s="246" t="s">
        <v>320</v>
      </c>
      <c r="X35" s="241"/>
      <c r="Y35" s="241"/>
      <c r="Z35" s="241"/>
      <c r="AA35" s="241"/>
      <c r="AB35" s="241"/>
      <c r="AC35" s="241"/>
      <c r="AD35" s="246" t="s">
        <v>320</v>
      </c>
      <c r="AE35" s="246">
        <v>15.972727272727271</v>
      </c>
      <c r="AF35" s="241"/>
      <c r="AG35" s="241"/>
      <c r="AH35" s="246" t="s">
        <v>320</v>
      </c>
      <c r="AI35" s="241"/>
      <c r="AJ35" s="241"/>
      <c r="AK35" s="246" t="s">
        <v>320</v>
      </c>
      <c r="AL35" s="241"/>
      <c r="AM35" s="246" t="s">
        <v>320</v>
      </c>
      <c r="AN35" s="246" t="s">
        <v>320</v>
      </c>
      <c r="AO35" s="241" t="s">
        <v>363</v>
      </c>
      <c r="AP35" s="245" t="s">
        <v>335</v>
      </c>
      <c r="AQ35" s="245"/>
      <c r="AR35" s="245"/>
    </row>
    <row r="36" spans="1:97" x14ac:dyDescent="0.3">
      <c r="A36" s="241">
        <v>10688</v>
      </c>
      <c r="B36" s="242">
        <v>42202</v>
      </c>
      <c r="C36" s="243" t="s">
        <v>236</v>
      </c>
      <c r="D36" s="244" t="s">
        <v>190</v>
      </c>
      <c r="E36" s="241"/>
      <c r="F36" s="241" t="s">
        <v>256</v>
      </c>
      <c r="G36" s="248">
        <v>42195</v>
      </c>
      <c r="H36" s="245" t="s">
        <v>241</v>
      </c>
      <c r="I36" s="245" t="s">
        <v>197</v>
      </c>
      <c r="J36" s="245"/>
      <c r="K36" s="241" t="s">
        <v>252</v>
      </c>
      <c r="L36" s="254" t="s">
        <v>387</v>
      </c>
      <c r="M36" s="246">
        <v>164.87272727272727</v>
      </c>
      <c r="N36" s="246">
        <v>26.790909090909089</v>
      </c>
      <c r="O36" s="241"/>
      <c r="P36" s="250"/>
      <c r="Q36" s="246" t="s">
        <v>320</v>
      </c>
      <c r="R36" s="241"/>
      <c r="S36" s="244" t="s">
        <v>320</v>
      </c>
      <c r="T36" s="241"/>
      <c r="U36" s="246" t="s">
        <v>320</v>
      </c>
      <c r="V36" s="246" t="s">
        <v>320</v>
      </c>
      <c r="W36" s="246" t="s">
        <v>320</v>
      </c>
      <c r="X36" s="241"/>
      <c r="Y36" s="241"/>
      <c r="Z36" s="241"/>
      <c r="AA36" s="241"/>
      <c r="AB36" s="241"/>
      <c r="AC36" s="241"/>
      <c r="AD36" s="246" t="s">
        <v>320</v>
      </c>
      <c r="AE36" s="246">
        <v>15.899999999999997</v>
      </c>
      <c r="AF36" s="241"/>
      <c r="AG36" s="241"/>
      <c r="AH36" s="246" t="s">
        <v>320</v>
      </c>
      <c r="AI36" s="241"/>
      <c r="AJ36" s="241"/>
      <c r="AK36" s="246" t="s">
        <v>320</v>
      </c>
      <c r="AL36" s="241"/>
      <c r="AM36" s="246" t="s">
        <v>320</v>
      </c>
      <c r="AN36" s="246" t="s">
        <v>320</v>
      </c>
      <c r="AO36" s="241" t="s">
        <v>218</v>
      </c>
      <c r="AP36" s="245" t="s">
        <v>197</v>
      </c>
      <c r="AQ36" s="245"/>
      <c r="AR36" s="245"/>
    </row>
    <row r="37" spans="1:97" x14ac:dyDescent="0.3">
      <c r="A37" s="241">
        <v>1410</v>
      </c>
      <c r="B37" s="242">
        <v>42202</v>
      </c>
      <c r="C37" s="243" t="s">
        <v>332</v>
      </c>
      <c r="D37" s="244" t="s">
        <v>190</v>
      </c>
      <c r="E37" s="241"/>
      <c r="F37" s="241" t="s">
        <v>362</v>
      </c>
      <c r="G37" s="247">
        <v>42185</v>
      </c>
      <c r="H37" s="245" t="s">
        <v>334</v>
      </c>
      <c r="I37" s="245" t="s">
        <v>335</v>
      </c>
      <c r="J37" s="245"/>
      <c r="K37" s="241" t="s">
        <v>350</v>
      </c>
      <c r="L37" s="255" t="s">
        <v>387</v>
      </c>
      <c r="M37" s="246">
        <v>150.5</v>
      </c>
      <c r="N37" s="246">
        <v>27</v>
      </c>
      <c r="O37" s="244"/>
      <c r="P37" s="241"/>
      <c r="Q37" s="246"/>
      <c r="R37" s="241"/>
      <c r="S37" s="244" t="s">
        <v>320</v>
      </c>
      <c r="T37" s="241"/>
      <c r="U37" s="246" t="s">
        <v>320</v>
      </c>
      <c r="V37" s="246" t="s">
        <v>320</v>
      </c>
      <c r="W37" s="246" t="s">
        <v>320</v>
      </c>
      <c r="X37" s="241"/>
      <c r="Y37" s="241"/>
      <c r="Z37" s="241"/>
      <c r="AA37" s="241"/>
      <c r="AB37" s="241"/>
      <c r="AC37" s="241"/>
      <c r="AD37" s="246" t="s">
        <v>320</v>
      </c>
      <c r="AE37" s="246">
        <v>17.399999999999999</v>
      </c>
      <c r="AF37" s="241"/>
      <c r="AG37" s="241"/>
      <c r="AH37" s="246" t="s">
        <v>320</v>
      </c>
      <c r="AI37" s="241"/>
      <c r="AJ37" s="241"/>
      <c r="AK37" s="246" t="s">
        <v>320</v>
      </c>
      <c r="AL37" s="241"/>
      <c r="AM37" s="246" t="s">
        <v>320</v>
      </c>
      <c r="AN37" s="246" t="s">
        <v>320</v>
      </c>
      <c r="AO37" s="241" t="s">
        <v>363</v>
      </c>
      <c r="AP37" s="245" t="s">
        <v>335</v>
      </c>
      <c r="AQ37" s="245"/>
      <c r="AR37" s="245"/>
    </row>
    <row r="38" spans="1:97" x14ac:dyDescent="0.3">
      <c r="A38" s="241">
        <v>3610</v>
      </c>
      <c r="B38" s="242">
        <v>42202</v>
      </c>
      <c r="C38" s="243" t="s">
        <v>223</v>
      </c>
      <c r="D38" s="244" t="s">
        <v>190</v>
      </c>
      <c r="E38" s="241"/>
      <c r="F38" s="241" t="s">
        <v>229</v>
      </c>
      <c r="G38" s="248">
        <v>42192</v>
      </c>
      <c r="H38" s="245" t="s">
        <v>226</v>
      </c>
      <c r="I38" s="245" t="s">
        <v>227</v>
      </c>
      <c r="J38" s="245"/>
      <c r="K38" s="241" t="s">
        <v>352</v>
      </c>
      <c r="L38" s="254" t="s">
        <v>387</v>
      </c>
      <c r="M38" s="246">
        <v>154.41818181818181</v>
      </c>
      <c r="N38" s="246">
        <v>26.190909090909088</v>
      </c>
      <c r="O38" s="241"/>
      <c r="P38" s="241"/>
      <c r="Q38" s="246" t="s">
        <v>320</v>
      </c>
      <c r="R38" s="241"/>
      <c r="S38" s="244" t="s">
        <v>320</v>
      </c>
      <c r="T38" s="241"/>
      <c r="U38" s="246" t="s">
        <v>320</v>
      </c>
      <c r="V38" s="246" t="s">
        <v>320</v>
      </c>
      <c r="W38" s="246" t="s">
        <v>320</v>
      </c>
      <c r="X38" s="241"/>
      <c r="Y38" s="241"/>
      <c r="Z38" s="241"/>
      <c r="AA38" s="241"/>
      <c r="AB38" s="241"/>
      <c r="AC38" s="241"/>
      <c r="AD38" s="246" t="s">
        <v>320</v>
      </c>
      <c r="AE38" s="246">
        <v>15.109090909090909</v>
      </c>
      <c r="AF38" s="241"/>
      <c r="AG38" s="241"/>
      <c r="AH38" s="246" t="s">
        <v>320</v>
      </c>
      <c r="AI38" s="241"/>
      <c r="AJ38" s="241"/>
      <c r="AK38" s="246" t="s">
        <v>320</v>
      </c>
      <c r="AL38" s="241"/>
      <c r="AM38" s="246" t="s">
        <v>320</v>
      </c>
      <c r="AN38" s="246" t="s">
        <v>320</v>
      </c>
      <c r="AO38" s="241" t="s">
        <v>359</v>
      </c>
      <c r="AP38" s="245" t="s">
        <v>227</v>
      </c>
      <c r="AQ38" s="245"/>
      <c r="AR38" s="245"/>
    </row>
    <row r="39" spans="1:97" x14ac:dyDescent="0.3">
      <c r="A39" s="241">
        <v>10381</v>
      </c>
      <c r="B39" s="242">
        <v>42202</v>
      </c>
      <c r="C39" s="243" t="s">
        <v>322</v>
      </c>
      <c r="D39" s="244" t="s">
        <v>190</v>
      </c>
      <c r="E39" s="241"/>
      <c r="F39" s="241" t="s">
        <v>360</v>
      </c>
      <c r="G39" s="247">
        <v>42185</v>
      </c>
      <c r="H39" s="245" t="s">
        <v>310</v>
      </c>
      <c r="I39" s="245" t="s">
        <v>309</v>
      </c>
      <c r="J39" s="245"/>
      <c r="K39" s="241" t="s">
        <v>239</v>
      </c>
      <c r="L39" s="254" t="s">
        <v>387</v>
      </c>
      <c r="M39" s="246">
        <v>178</v>
      </c>
      <c r="N39" s="246">
        <v>25.5</v>
      </c>
      <c r="O39" s="241" t="s">
        <v>351</v>
      </c>
      <c r="P39" s="241">
        <v>1350</v>
      </c>
      <c r="Q39" s="246">
        <v>29.3</v>
      </c>
      <c r="R39" s="256">
        <v>1350</v>
      </c>
      <c r="S39" s="246">
        <v>29.3</v>
      </c>
      <c r="T39" s="241"/>
      <c r="U39" s="246" t="s">
        <v>320</v>
      </c>
      <c r="V39" s="246" t="s">
        <v>320</v>
      </c>
      <c r="W39" s="246" t="s">
        <v>320</v>
      </c>
      <c r="X39" s="241"/>
      <c r="Y39" s="241"/>
      <c r="Z39" s="241"/>
      <c r="AA39" s="241"/>
      <c r="AB39" s="241"/>
      <c r="AC39" s="241"/>
      <c r="AD39" s="246" t="s">
        <v>320</v>
      </c>
      <c r="AE39" s="246">
        <v>14</v>
      </c>
      <c r="AF39" s="241"/>
      <c r="AG39" s="241"/>
      <c r="AH39" s="246" t="s">
        <v>320</v>
      </c>
      <c r="AI39" s="241"/>
      <c r="AJ39" s="241"/>
      <c r="AK39" s="246" t="s">
        <v>320</v>
      </c>
      <c r="AL39" s="241"/>
      <c r="AM39" s="246" t="s">
        <v>320</v>
      </c>
      <c r="AN39" s="246" t="s">
        <v>320</v>
      </c>
      <c r="AO39" s="241" t="s">
        <v>361</v>
      </c>
      <c r="AP39" s="245" t="s">
        <v>325</v>
      </c>
      <c r="AQ39" s="245"/>
      <c r="AR39" s="245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</row>
    <row r="40" spans="1:97" x14ac:dyDescent="0.3">
      <c r="A40" s="241">
        <v>9683</v>
      </c>
      <c r="B40" s="242">
        <v>42202</v>
      </c>
      <c r="C40" s="243" t="s">
        <v>322</v>
      </c>
      <c r="D40" s="244" t="s">
        <v>190</v>
      </c>
      <c r="E40" s="241"/>
      <c r="F40" s="241" t="s">
        <v>360</v>
      </c>
      <c r="G40" s="248">
        <v>42188</v>
      </c>
      <c r="H40" s="245" t="s">
        <v>325</v>
      </c>
      <c r="I40" s="245" t="s">
        <v>353</v>
      </c>
      <c r="J40" s="245"/>
      <c r="K40" s="241" t="s">
        <v>307</v>
      </c>
      <c r="L40" s="255" t="s">
        <v>387</v>
      </c>
      <c r="M40" s="246">
        <v>137</v>
      </c>
      <c r="N40" s="246">
        <v>27.8</v>
      </c>
      <c r="O40" s="241"/>
      <c r="P40" s="241"/>
      <c r="Q40" s="246" t="s">
        <v>320</v>
      </c>
      <c r="R40" s="241"/>
      <c r="S40" s="244" t="s">
        <v>320</v>
      </c>
      <c r="T40" s="241"/>
      <c r="U40" s="246" t="s">
        <v>320</v>
      </c>
      <c r="V40" s="246" t="s">
        <v>320</v>
      </c>
      <c r="W40" s="246" t="s">
        <v>320</v>
      </c>
      <c r="X40" s="241"/>
      <c r="Y40" s="241"/>
      <c r="Z40" s="241"/>
      <c r="AA40" s="241"/>
      <c r="AB40" s="241"/>
      <c r="AC40" s="241"/>
      <c r="AD40" s="246" t="s">
        <v>320</v>
      </c>
      <c r="AE40" s="246">
        <v>19</v>
      </c>
      <c r="AF40" s="241"/>
      <c r="AG40" s="241"/>
      <c r="AH40" s="246" t="s">
        <v>320</v>
      </c>
      <c r="AI40" s="241"/>
      <c r="AJ40" s="241"/>
      <c r="AK40" s="246" t="s">
        <v>320</v>
      </c>
      <c r="AL40" s="241"/>
      <c r="AM40" s="246" t="s">
        <v>320</v>
      </c>
      <c r="AN40" s="246" t="s">
        <v>320</v>
      </c>
      <c r="AO40" s="241" t="s">
        <v>361</v>
      </c>
      <c r="AP40" s="245" t="s">
        <v>325</v>
      </c>
      <c r="AQ40" s="245"/>
      <c r="AR40" s="245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</row>
    <row r="41" spans="1:97" x14ac:dyDescent="0.3">
      <c r="A41" s="241">
        <v>9909</v>
      </c>
      <c r="B41" s="242">
        <v>42202</v>
      </c>
      <c r="C41" s="243" t="s">
        <v>332</v>
      </c>
      <c r="D41" s="244" t="s">
        <v>190</v>
      </c>
      <c r="E41" s="241"/>
      <c r="F41" s="241" t="s">
        <v>362</v>
      </c>
      <c r="G41" s="248">
        <v>42185</v>
      </c>
      <c r="H41" s="245" t="s">
        <v>334</v>
      </c>
      <c r="I41" s="245" t="s">
        <v>335</v>
      </c>
      <c r="J41" s="245"/>
      <c r="K41" s="244" t="s">
        <v>354</v>
      </c>
      <c r="L41" s="255" t="s">
        <v>387</v>
      </c>
      <c r="M41" s="246">
        <v>200.55</v>
      </c>
      <c r="N41" s="246">
        <v>23</v>
      </c>
      <c r="O41" s="241"/>
      <c r="P41" s="241"/>
      <c r="Q41" s="246" t="s">
        <v>320</v>
      </c>
      <c r="R41" s="241"/>
      <c r="S41" s="244" t="s">
        <v>320</v>
      </c>
      <c r="T41" s="241"/>
      <c r="U41" s="246" t="s">
        <v>320</v>
      </c>
      <c r="V41" s="246" t="s">
        <v>320</v>
      </c>
      <c r="W41" s="246" t="s">
        <v>320</v>
      </c>
      <c r="X41" s="241"/>
      <c r="Y41" s="241"/>
      <c r="Z41" s="241"/>
      <c r="AA41" s="241"/>
      <c r="AB41" s="241"/>
      <c r="AC41" s="241"/>
      <c r="AD41" s="246" t="s">
        <v>320</v>
      </c>
      <c r="AE41" s="246">
        <v>18</v>
      </c>
      <c r="AF41" s="241"/>
      <c r="AG41" s="241"/>
      <c r="AH41" s="246" t="s">
        <v>320</v>
      </c>
      <c r="AI41" s="241"/>
      <c r="AJ41" s="241"/>
      <c r="AK41" s="246" t="s">
        <v>320</v>
      </c>
      <c r="AL41" s="241"/>
      <c r="AM41" s="246" t="s">
        <v>320</v>
      </c>
      <c r="AN41" s="246" t="s">
        <v>320</v>
      </c>
      <c r="AO41" s="241" t="s">
        <v>363</v>
      </c>
      <c r="AP41" s="245" t="s">
        <v>335</v>
      </c>
      <c r="AQ41" s="245"/>
      <c r="AR41" s="245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</row>
    <row r="42" spans="1:97" x14ac:dyDescent="0.3">
      <c r="A42" s="241">
        <v>5192</v>
      </c>
      <c r="B42" s="242">
        <v>42202</v>
      </c>
      <c r="C42" s="243" t="s">
        <v>322</v>
      </c>
      <c r="D42" s="244" t="s">
        <v>190</v>
      </c>
      <c r="E42" s="241"/>
      <c r="F42" s="241" t="s">
        <v>360</v>
      </c>
      <c r="G42" s="248">
        <v>42185</v>
      </c>
      <c r="H42" s="245" t="s">
        <v>324</v>
      </c>
      <c r="I42" s="245" t="s">
        <v>325</v>
      </c>
      <c r="J42" s="245"/>
      <c r="K42" s="241" t="s">
        <v>358</v>
      </c>
      <c r="L42" s="254" t="s">
        <v>387</v>
      </c>
      <c r="M42" s="246">
        <v>163</v>
      </c>
      <c r="N42" s="246">
        <v>25.199999999999996</v>
      </c>
      <c r="O42" s="241"/>
      <c r="P42" s="241"/>
      <c r="Q42" s="246" t="s">
        <v>320</v>
      </c>
      <c r="R42" s="241"/>
      <c r="S42" s="244" t="s">
        <v>320</v>
      </c>
      <c r="T42" s="241"/>
      <c r="U42" s="246" t="s">
        <v>320</v>
      </c>
      <c r="V42" s="246" t="s">
        <v>320</v>
      </c>
      <c r="W42" s="246" t="s">
        <v>320</v>
      </c>
      <c r="X42" s="241"/>
      <c r="Y42" s="241"/>
      <c r="Z42" s="241"/>
      <c r="AA42" s="241"/>
      <c r="AB42" s="241"/>
      <c r="AC42" s="241"/>
      <c r="AD42" s="246" t="s">
        <v>320</v>
      </c>
      <c r="AE42" s="246">
        <v>16</v>
      </c>
      <c r="AF42" s="241"/>
      <c r="AG42" s="241"/>
      <c r="AH42" s="246" t="s">
        <v>320</v>
      </c>
      <c r="AI42" s="241"/>
      <c r="AJ42" s="241"/>
      <c r="AK42" s="246" t="s">
        <v>320</v>
      </c>
      <c r="AL42" s="241"/>
      <c r="AM42" s="246" t="s">
        <v>320</v>
      </c>
      <c r="AN42" s="246" t="s">
        <v>320</v>
      </c>
      <c r="AO42" s="241" t="s">
        <v>361</v>
      </c>
      <c r="AP42" s="245" t="s">
        <v>325</v>
      </c>
      <c r="AQ42" s="245"/>
      <c r="AR42" s="245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</row>
    <row r="43" spans="1:97" x14ac:dyDescent="0.3">
      <c r="A43" s="241">
        <v>10016</v>
      </c>
      <c r="B43" s="242">
        <v>42203</v>
      </c>
      <c r="C43" s="243" t="s">
        <v>223</v>
      </c>
      <c r="D43" s="244" t="s">
        <v>190</v>
      </c>
      <c r="E43" s="241"/>
      <c r="F43" s="241" t="s">
        <v>232</v>
      </c>
      <c r="G43" s="242">
        <v>42187</v>
      </c>
      <c r="H43" s="245" t="s">
        <v>226</v>
      </c>
      <c r="I43" s="245" t="s">
        <v>227</v>
      </c>
      <c r="J43" s="245"/>
      <c r="K43" s="241" t="s">
        <v>319</v>
      </c>
      <c r="L43" s="254" t="s">
        <v>222</v>
      </c>
      <c r="M43" s="246">
        <v>176.81818181818181</v>
      </c>
      <c r="N43" s="246">
        <v>27.27272727272727</v>
      </c>
      <c r="O43" s="241"/>
      <c r="P43" s="241"/>
      <c r="Q43" s="246" t="s">
        <v>320</v>
      </c>
      <c r="R43" s="241"/>
      <c r="S43" s="244" t="s">
        <v>320</v>
      </c>
      <c r="T43" s="241"/>
      <c r="U43" s="246" t="s">
        <v>320</v>
      </c>
      <c r="V43" s="246" t="s">
        <v>320</v>
      </c>
      <c r="W43" s="246">
        <v>18.18181818181818</v>
      </c>
      <c r="X43" s="241"/>
      <c r="Y43" s="241"/>
      <c r="Z43" s="241"/>
      <c r="AA43" s="241"/>
      <c r="AB43" s="241"/>
      <c r="AC43" s="241"/>
      <c r="AD43" s="246" t="s">
        <v>320</v>
      </c>
      <c r="AE43" s="246" t="s">
        <v>320</v>
      </c>
      <c r="AF43" s="241"/>
      <c r="AG43" s="241"/>
      <c r="AH43" s="246">
        <v>25.909090909090907</v>
      </c>
      <c r="AI43" s="241"/>
      <c r="AJ43" s="241"/>
      <c r="AK43" s="246" t="s">
        <v>320</v>
      </c>
      <c r="AL43" s="241"/>
      <c r="AM43" s="246" t="s">
        <v>320</v>
      </c>
      <c r="AN43" s="246" t="s">
        <v>320</v>
      </c>
      <c r="AO43" s="241" t="s">
        <v>366</v>
      </c>
      <c r="AP43" s="245" t="s">
        <v>227</v>
      </c>
      <c r="AQ43" s="245"/>
      <c r="AR43" s="245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</row>
    <row r="44" spans="1:97" x14ac:dyDescent="0.3">
      <c r="A44" s="241">
        <v>10429</v>
      </c>
      <c r="B44" s="242">
        <v>42202</v>
      </c>
      <c r="C44" s="243" t="s">
        <v>322</v>
      </c>
      <c r="D44" s="244" t="s">
        <v>190</v>
      </c>
      <c r="E44" s="241"/>
      <c r="F44" s="241" t="s">
        <v>367</v>
      </c>
      <c r="G44" s="242">
        <v>42187</v>
      </c>
      <c r="H44" s="245" t="s">
        <v>324</v>
      </c>
      <c r="I44" s="245" t="s">
        <v>325</v>
      </c>
      <c r="J44" s="245"/>
      <c r="K44" s="241" t="s">
        <v>326</v>
      </c>
      <c r="L44" s="254" t="s">
        <v>222</v>
      </c>
      <c r="M44" s="246">
        <v>140</v>
      </c>
      <c r="N44" s="246">
        <v>34.25454545454545</v>
      </c>
      <c r="O44" s="241"/>
      <c r="P44" s="241"/>
      <c r="Q44" s="246" t="s">
        <v>320</v>
      </c>
      <c r="R44" s="241"/>
      <c r="S44" s="244" t="s">
        <v>320</v>
      </c>
      <c r="T44" s="241"/>
      <c r="U44" s="246" t="s">
        <v>320</v>
      </c>
      <c r="V44" s="246" t="s">
        <v>320</v>
      </c>
      <c r="W44" s="246">
        <v>18.072727272727271</v>
      </c>
      <c r="X44" s="241"/>
      <c r="Y44" s="241"/>
      <c r="Z44" s="241"/>
      <c r="AA44" s="241"/>
      <c r="AB44" s="241"/>
      <c r="AC44" s="241"/>
      <c r="AD44" s="246" t="s">
        <v>320</v>
      </c>
      <c r="AE44" s="246" t="s">
        <v>320</v>
      </c>
      <c r="AF44" s="241"/>
      <c r="AG44" s="241"/>
      <c r="AH44" s="246">
        <v>33.299999999999997</v>
      </c>
      <c r="AI44" s="241"/>
      <c r="AJ44" s="241"/>
      <c r="AK44" s="246" t="s">
        <v>320</v>
      </c>
      <c r="AL44" s="241"/>
      <c r="AM44" s="246" t="s">
        <v>320</v>
      </c>
      <c r="AN44" s="246" t="s">
        <v>320</v>
      </c>
      <c r="AO44" s="241" t="s">
        <v>368</v>
      </c>
      <c r="AP44" s="245" t="s">
        <v>325</v>
      </c>
      <c r="AQ44" s="245"/>
      <c r="AR44" s="245"/>
    </row>
    <row r="45" spans="1:97" x14ac:dyDescent="0.3">
      <c r="A45" s="241">
        <v>10508</v>
      </c>
      <c r="B45" s="242">
        <v>42202</v>
      </c>
      <c r="C45" s="243" t="s">
        <v>322</v>
      </c>
      <c r="D45" s="244" t="s">
        <v>190</v>
      </c>
      <c r="E45" s="241"/>
      <c r="F45" s="241" t="s">
        <v>367</v>
      </c>
      <c r="G45" s="247">
        <v>42185</v>
      </c>
      <c r="H45" s="245" t="s">
        <v>324</v>
      </c>
      <c r="I45" s="245" t="s">
        <v>325</v>
      </c>
      <c r="J45" s="245"/>
      <c r="K45" s="241" t="s">
        <v>328</v>
      </c>
      <c r="L45" s="254" t="s">
        <v>222</v>
      </c>
      <c r="M45" s="246">
        <v>141.5</v>
      </c>
      <c r="N45" s="246">
        <v>27.86363636363636</v>
      </c>
      <c r="O45" s="241"/>
      <c r="P45" s="241"/>
      <c r="Q45" s="246" t="s">
        <v>320</v>
      </c>
      <c r="R45" s="241"/>
      <c r="S45" s="244" t="s">
        <v>320</v>
      </c>
      <c r="T45" s="241"/>
      <c r="U45" s="246" t="s">
        <v>320</v>
      </c>
      <c r="V45" s="246" t="s">
        <v>320</v>
      </c>
      <c r="W45" s="246">
        <v>15.463636363636363</v>
      </c>
      <c r="X45" s="241"/>
      <c r="Y45" s="241"/>
      <c r="Z45" s="241"/>
      <c r="AA45" s="241"/>
      <c r="AB45" s="241"/>
      <c r="AC45" s="241"/>
      <c r="AD45" s="246" t="s">
        <v>320</v>
      </c>
      <c r="AE45" s="246" t="s">
        <v>320</v>
      </c>
      <c r="AF45" s="241"/>
      <c r="AG45" s="241"/>
      <c r="AH45" s="246">
        <v>26.318181818181817</v>
      </c>
      <c r="AI45" s="241"/>
      <c r="AJ45" s="241"/>
      <c r="AK45" s="246" t="s">
        <v>320</v>
      </c>
      <c r="AL45" s="241"/>
      <c r="AM45" s="246" t="s">
        <v>320</v>
      </c>
      <c r="AN45" s="246" t="s">
        <v>320</v>
      </c>
      <c r="AO45" s="241" t="s">
        <v>368</v>
      </c>
      <c r="AP45" s="245" t="s">
        <v>325</v>
      </c>
      <c r="AQ45" s="245"/>
      <c r="AR45" s="245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</row>
    <row r="46" spans="1:97" x14ac:dyDescent="0.3">
      <c r="A46" s="241">
        <v>10608</v>
      </c>
      <c r="B46" s="242">
        <v>42202</v>
      </c>
      <c r="C46" s="243" t="s">
        <v>322</v>
      </c>
      <c r="D46" s="244" t="s">
        <v>190</v>
      </c>
      <c r="E46" s="241"/>
      <c r="F46" s="241" t="s">
        <v>367</v>
      </c>
      <c r="G46" s="248">
        <v>42188</v>
      </c>
      <c r="H46" s="245" t="s">
        <v>310</v>
      </c>
      <c r="I46" s="245" t="s">
        <v>309</v>
      </c>
      <c r="J46" s="245"/>
      <c r="K46" s="241" t="s">
        <v>329</v>
      </c>
      <c r="L46" s="255" t="s">
        <v>222</v>
      </c>
      <c r="M46" s="246">
        <v>136.99999999999997</v>
      </c>
      <c r="N46" s="246">
        <v>32.1</v>
      </c>
      <c r="O46" s="241"/>
      <c r="P46" s="241"/>
      <c r="Q46" s="246" t="s">
        <v>320</v>
      </c>
      <c r="R46" s="241"/>
      <c r="S46" s="244" t="s">
        <v>320</v>
      </c>
      <c r="T46" s="241"/>
      <c r="U46" s="246" t="s">
        <v>320</v>
      </c>
      <c r="V46" s="246" t="s">
        <v>320</v>
      </c>
      <c r="W46" s="246">
        <v>20.8</v>
      </c>
      <c r="X46" s="241"/>
      <c r="Y46" s="241"/>
      <c r="Z46" s="241"/>
      <c r="AA46" s="241"/>
      <c r="AB46" s="241"/>
      <c r="AC46" s="241"/>
      <c r="AD46" s="246" t="s">
        <v>320</v>
      </c>
      <c r="AE46" s="246" t="s">
        <v>320</v>
      </c>
      <c r="AF46" s="241"/>
      <c r="AG46" s="241"/>
      <c r="AH46" s="246">
        <v>29</v>
      </c>
      <c r="AI46" s="241"/>
      <c r="AJ46" s="241"/>
      <c r="AK46" s="246" t="s">
        <v>320</v>
      </c>
      <c r="AL46" s="241"/>
      <c r="AM46" s="246" t="s">
        <v>320</v>
      </c>
      <c r="AN46" s="246" t="s">
        <v>320</v>
      </c>
      <c r="AO46" s="241" t="s">
        <v>368</v>
      </c>
      <c r="AP46" s="245" t="s">
        <v>325</v>
      </c>
      <c r="AQ46" s="245"/>
      <c r="AR46" s="245"/>
    </row>
    <row r="47" spans="1:97" x14ac:dyDescent="0.3">
      <c r="A47" s="241">
        <v>1480</v>
      </c>
      <c r="B47" s="242">
        <v>42202</v>
      </c>
      <c r="C47" s="243" t="s">
        <v>322</v>
      </c>
      <c r="D47" s="244" t="s">
        <v>190</v>
      </c>
      <c r="E47" s="241"/>
      <c r="F47" s="241" t="s">
        <v>367</v>
      </c>
      <c r="G47" s="248">
        <v>42185</v>
      </c>
      <c r="H47" s="245" t="s">
        <v>324</v>
      </c>
      <c r="I47" s="245" t="s">
        <v>325</v>
      </c>
      <c r="J47" s="245"/>
      <c r="K47" s="241" t="s">
        <v>330</v>
      </c>
      <c r="L47" s="255" t="s">
        <v>222</v>
      </c>
      <c r="M47" s="246">
        <v>147.6</v>
      </c>
      <c r="N47" s="246">
        <v>33.92</v>
      </c>
      <c r="O47" s="241"/>
      <c r="P47" s="241"/>
      <c r="Q47" s="246" t="s">
        <v>320</v>
      </c>
      <c r="R47" s="241"/>
      <c r="S47" s="244" t="s">
        <v>320</v>
      </c>
      <c r="T47" s="241"/>
      <c r="U47" s="246" t="s">
        <v>320</v>
      </c>
      <c r="V47" s="246" t="s">
        <v>320</v>
      </c>
      <c r="W47" s="246">
        <v>21.12</v>
      </c>
      <c r="X47" s="241"/>
      <c r="Y47" s="241"/>
      <c r="Z47" s="241"/>
      <c r="AA47" s="241"/>
      <c r="AB47" s="241"/>
      <c r="AC47" s="241"/>
      <c r="AD47" s="246" t="s">
        <v>320</v>
      </c>
      <c r="AE47" s="246" t="s">
        <v>320</v>
      </c>
      <c r="AF47" s="241"/>
      <c r="AG47" s="241"/>
      <c r="AH47" s="246">
        <v>31.97</v>
      </c>
      <c r="AI47" s="241"/>
      <c r="AJ47" s="241"/>
      <c r="AK47" s="246" t="s">
        <v>320</v>
      </c>
      <c r="AL47" s="241"/>
      <c r="AM47" s="246" t="s">
        <v>320</v>
      </c>
      <c r="AN47" s="246" t="s">
        <v>320</v>
      </c>
      <c r="AO47" s="241" t="s">
        <v>368</v>
      </c>
      <c r="AP47" s="245" t="s">
        <v>325</v>
      </c>
      <c r="AQ47" s="245"/>
      <c r="AR47" s="245"/>
    </row>
    <row r="48" spans="1:97" x14ac:dyDescent="0.3">
      <c r="A48" s="241">
        <v>4661</v>
      </c>
      <c r="B48" s="242">
        <v>42202</v>
      </c>
      <c r="C48" s="243" t="s">
        <v>322</v>
      </c>
      <c r="D48" s="244" t="s">
        <v>190</v>
      </c>
      <c r="E48" s="241"/>
      <c r="F48" s="241" t="s">
        <v>367</v>
      </c>
      <c r="G48" s="248">
        <v>42185</v>
      </c>
      <c r="H48" s="245" t="s">
        <v>324</v>
      </c>
      <c r="I48" s="245" t="s">
        <v>325</v>
      </c>
      <c r="J48" s="245"/>
      <c r="K48" s="241" t="s">
        <v>331</v>
      </c>
      <c r="L48" s="255" t="s">
        <v>222</v>
      </c>
      <c r="M48" s="246">
        <v>183.6090909090909</v>
      </c>
      <c r="N48" s="246">
        <v>33.92</v>
      </c>
      <c r="O48" s="241"/>
      <c r="P48" s="241"/>
      <c r="Q48" s="246" t="s">
        <v>320</v>
      </c>
      <c r="R48" s="241"/>
      <c r="S48" s="244" t="s">
        <v>320</v>
      </c>
      <c r="T48" s="241"/>
      <c r="U48" s="246" t="s">
        <v>320</v>
      </c>
      <c r="V48" s="246" t="s">
        <v>320</v>
      </c>
      <c r="W48" s="246">
        <v>21.12</v>
      </c>
      <c r="X48" s="241"/>
      <c r="Y48" s="241"/>
      <c r="Z48" s="241"/>
      <c r="AA48" s="241"/>
      <c r="AB48" s="241"/>
      <c r="AC48" s="241"/>
      <c r="AD48" s="246" t="s">
        <v>320</v>
      </c>
      <c r="AE48" s="246" t="s">
        <v>320</v>
      </c>
      <c r="AF48" s="241"/>
      <c r="AG48" s="241"/>
      <c r="AH48" s="246">
        <v>31.97</v>
      </c>
      <c r="AI48" s="241"/>
      <c r="AJ48" s="241"/>
      <c r="AK48" s="246" t="s">
        <v>320</v>
      </c>
      <c r="AL48" s="241"/>
      <c r="AM48" s="246" t="s">
        <v>320</v>
      </c>
      <c r="AN48" s="246" t="s">
        <v>320</v>
      </c>
      <c r="AO48" s="241" t="s">
        <v>368</v>
      </c>
      <c r="AP48" s="245" t="s">
        <v>325</v>
      </c>
      <c r="AQ48" s="245"/>
      <c r="AR48" s="245"/>
    </row>
    <row r="49" spans="1:97" x14ac:dyDescent="0.3">
      <c r="A49" s="241">
        <v>1454</v>
      </c>
      <c r="B49" s="242">
        <v>42202</v>
      </c>
      <c r="C49" s="243" t="s">
        <v>332</v>
      </c>
      <c r="D49" s="244" t="s">
        <v>190</v>
      </c>
      <c r="E49" s="241"/>
      <c r="F49" s="241" t="s">
        <v>369</v>
      </c>
      <c r="G49" s="248">
        <v>42185</v>
      </c>
      <c r="H49" s="245" t="s">
        <v>334</v>
      </c>
      <c r="I49" s="245" t="s">
        <v>335</v>
      </c>
      <c r="J49" s="245"/>
      <c r="K49" s="241" t="s">
        <v>336</v>
      </c>
      <c r="L49" s="255" t="s">
        <v>222</v>
      </c>
      <c r="M49" s="246">
        <v>149.9</v>
      </c>
      <c r="N49" s="246">
        <v>32.24</v>
      </c>
      <c r="O49" s="241" t="s">
        <v>337</v>
      </c>
      <c r="P49" s="241">
        <v>1020</v>
      </c>
      <c r="Q49" s="246">
        <v>34.950000000000003</v>
      </c>
      <c r="R49" s="256">
        <v>1020</v>
      </c>
      <c r="S49" s="246">
        <v>34.950000000000003</v>
      </c>
      <c r="T49" s="241"/>
      <c r="U49" s="246" t="s">
        <v>320</v>
      </c>
      <c r="V49" s="246" t="s">
        <v>320</v>
      </c>
      <c r="W49" s="246">
        <v>19.39</v>
      </c>
      <c r="X49" s="241"/>
      <c r="Y49" s="241"/>
      <c r="Z49" s="241"/>
      <c r="AA49" s="241"/>
      <c r="AB49" s="241"/>
      <c r="AC49" s="241"/>
      <c r="AD49" s="246" t="s">
        <v>320</v>
      </c>
      <c r="AE49" s="246" t="s">
        <v>320</v>
      </c>
      <c r="AF49" s="241"/>
      <c r="AG49" s="241"/>
      <c r="AH49" s="246">
        <v>31.72</v>
      </c>
      <c r="AI49" s="241"/>
      <c r="AJ49" s="241"/>
      <c r="AK49" s="246" t="s">
        <v>320</v>
      </c>
      <c r="AL49" s="241"/>
      <c r="AM49" s="246" t="s">
        <v>320</v>
      </c>
      <c r="AN49" s="246" t="s">
        <v>320</v>
      </c>
      <c r="AO49" s="241" t="s">
        <v>370</v>
      </c>
      <c r="AP49" s="245" t="s">
        <v>335</v>
      </c>
      <c r="AQ49" s="245"/>
      <c r="AR49" s="245"/>
    </row>
    <row r="50" spans="1:97" x14ac:dyDescent="0.3">
      <c r="A50" s="241">
        <v>1492</v>
      </c>
      <c r="B50" s="242">
        <v>42202</v>
      </c>
      <c r="C50" s="243" t="s">
        <v>332</v>
      </c>
      <c r="D50" s="244" t="s">
        <v>190</v>
      </c>
      <c r="E50" s="241"/>
      <c r="F50" s="241" t="s">
        <v>369</v>
      </c>
      <c r="G50" s="248">
        <v>42185</v>
      </c>
      <c r="H50" s="245" t="s">
        <v>334</v>
      </c>
      <c r="I50" s="245" t="s">
        <v>335</v>
      </c>
      <c r="J50" s="245"/>
      <c r="K50" s="241" t="s">
        <v>339</v>
      </c>
      <c r="L50" s="255" t="s">
        <v>222</v>
      </c>
      <c r="M50" s="246">
        <v>147.6</v>
      </c>
      <c r="N50" s="246">
        <v>33.92</v>
      </c>
      <c r="O50" s="241"/>
      <c r="P50" s="241"/>
      <c r="Q50" s="246" t="s">
        <v>320</v>
      </c>
      <c r="R50" s="241"/>
      <c r="S50" s="246" t="s">
        <v>320</v>
      </c>
      <c r="T50" s="241"/>
      <c r="U50" s="246" t="s">
        <v>320</v>
      </c>
      <c r="V50" s="246" t="s">
        <v>320</v>
      </c>
      <c r="W50" s="246">
        <v>21.12</v>
      </c>
      <c r="X50" s="241"/>
      <c r="Y50" s="241"/>
      <c r="Z50" s="241"/>
      <c r="AA50" s="241"/>
      <c r="AB50" s="241"/>
      <c r="AC50" s="241"/>
      <c r="AD50" s="246" t="s">
        <v>320</v>
      </c>
      <c r="AE50" s="246" t="s">
        <v>320</v>
      </c>
      <c r="AF50" s="241"/>
      <c r="AG50" s="241"/>
      <c r="AH50" s="246">
        <v>31.97</v>
      </c>
      <c r="AI50" s="241"/>
      <c r="AJ50" s="241"/>
      <c r="AK50" s="246" t="s">
        <v>320</v>
      </c>
      <c r="AL50" s="241"/>
      <c r="AM50" s="246" t="s">
        <v>320</v>
      </c>
      <c r="AN50" s="246" t="s">
        <v>320</v>
      </c>
      <c r="AO50" s="241" t="s">
        <v>370</v>
      </c>
      <c r="AP50" s="245" t="s">
        <v>335</v>
      </c>
      <c r="AQ50" s="245"/>
      <c r="AR50" s="245"/>
    </row>
    <row r="51" spans="1:97" x14ac:dyDescent="0.3">
      <c r="A51" s="241">
        <v>10277</v>
      </c>
      <c r="B51" s="242">
        <v>42202</v>
      </c>
      <c r="C51" s="243" t="s">
        <v>322</v>
      </c>
      <c r="D51" s="244" t="s">
        <v>190</v>
      </c>
      <c r="E51" s="241"/>
      <c r="F51" s="241" t="s">
        <v>367</v>
      </c>
      <c r="G51" s="248">
        <v>42214</v>
      </c>
      <c r="H51" s="245" t="s">
        <v>324</v>
      </c>
      <c r="I51" s="245" t="s">
        <v>325</v>
      </c>
      <c r="J51" s="245"/>
      <c r="K51" s="241" t="s">
        <v>340</v>
      </c>
      <c r="L51" s="255" t="s">
        <v>222</v>
      </c>
      <c r="M51" s="246">
        <v>144.80000000000001</v>
      </c>
      <c r="N51" s="246">
        <v>36.07</v>
      </c>
      <c r="O51" s="241"/>
      <c r="P51" s="241"/>
      <c r="Q51" s="246" t="s">
        <v>320</v>
      </c>
      <c r="R51" s="241"/>
      <c r="S51" s="246" t="s">
        <v>320</v>
      </c>
      <c r="T51" s="241"/>
      <c r="U51" s="246" t="s">
        <v>320</v>
      </c>
      <c r="V51" s="246" t="s">
        <v>320</v>
      </c>
      <c r="W51" s="246">
        <v>18.62</v>
      </c>
      <c r="X51" s="241"/>
      <c r="Y51" s="241"/>
      <c r="Z51" s="241"/>
      <c r="AA51" s="241"/>
      <c r="AB51" s="241"/>
      <c r="AC51" s="241"/>
      <c r="AD51" s="246" t="s">
        <v>320</v>
      </c>
      <c r="AE51" s="246" t="s">
        <v>320</v>
      </c>
      <c r="AF51" s="241"/>
      <c r="AG51" s="241"/>
      <c r="AH51" s="246">
        <v>33.840000000000003</v>
      </c>
      <c r="AI51" s="241"/>
      <c r="AJ51" s="241"/>
      <c r="AK51" s="246" t="s">
        <v>320</v>
      </c>
      <c r="AL51" s="241"/>
      <c r="AM51" s="246" t="s">
        <v>320</v>
      </c>
      <c r="AN51" s="246" t="s">
        <v>320</v>
      </c>
      <c r="AO51" s="241" t="s">
        <v>368</v>
      </c>
      <c r="AP51" s="245" t="s">
        <v>325</v>
      </c>
      <c r="AQ51" s="245"/>
      <c r="AR51" s="245"/>
    </row>
    <row r="52" spans="1:97" x14ac:dyDescent="0.3">
      <c r="A52" s="241">
        <v>5663</v>
      </c>
      <c r="B52" s="242">
        <v>42202</v>
      </c>
      <c r="C52" s="243" t="s">
        <v>332</v>
      </c>
      <c r="D52" s="244" t="s">
        <v>190</v>
      </c>
      <c r="E52" s="241"/>
      <c r="F52" s="241" t="s">
        <v>369</v>
      </c>
      <c r="G52" s="248">
        <v>41820</v>
      </c>
      <c r="H52" s="245" t="s">
        <v>334</v>
      </c>
      <c r="I52" s="245" t="s">
        <v>335</v>
      </c>
      <c r="J52" s="245"/>
      <c r="K52" s="241" t="s">
        <v>341</v>
      </c>
      <c r="L52" s="254" t="s">
        <v>222</v>
      </c>
      <c r="M52" s="246">
        <v>209.47</v>
      </c>
      <c r="N52" s="246">
        <v>31.919999999999998</v>
      </c>
      <c r="O52" s="241"/>
      <c r="P52" s="241"/>
      <c r="Q52" s="246" t="s">
        <v>320</v>
      </c>
      <c r="R52" s="241"/>
      <c r="S52" s="246" t="s">
        <v>320</v>
      </c>
      <c r="T52" s="241"/>
      <c r="U52" s="246" t="s">
        <v>320</v>
      </c>
      <c r="V52" s="246" t="s">
        <v>320</v>
      </c>
      <c r="W52" s="246">
        <v>16.88</v>
      </c>
      <c r="X52" s="241"/>
      <c r="Y52" s="241"/>
      <c r="Z52" s="241"/>
      <c r="AA52" s="241"/>
      <c r="AB52" s="241"/>
      <c r="AC52" s="241"/>
      <c r="AD52" s="246" t="s">
        <v>320</v>
      </c>
      <c r="AE52" s="246" t="s">
        <v>320</v>
      </c>
      <c r="AF52" s="241"/>
      <c r="AG52" s="241"/>
      <c r="AH52" s="246">
        <v>29.230000000000004</v>
      </c>
      <c r="AI52" s="241"/>
      <c r="AJ52" s="241"/>
      <c r="AK52" s="246" t="s">
        <v>320</v>
      </c>
      <c r="AL52" s="241"/>
      <c r="AM52" s="246" t="s">
        <v>320</v>
      </c>
      <c r="AN52" s="246" t="s">
        <v>320</v>
      </c>
      <c r="AO52" s="241" t="s">
        <v>370</v>
      </c>
      <c r="AP52" s="245" t="s">
        <v>335</v>
      </c>
      <c r="AQ52" s="245"/>
      <c r="AR52" s="245"/>
    </row>
    <row r="53" spans="1:97" x14ac:dyDescent="0.3">
      <c r="A53" s="241">
        <v>4382</v>
      </c>
      <c r="B53" s="242">
        <v>42202</v>
      </c>
      <c r="C53" s="243" t="s">
        <v>342</v>
      </c>
      <c r="D53" s="244" t="s">
        <v>190</v>
      </c>
      <c r="E53" s="241"/>
      <c r="F53" s="241" t="s">
        <v>371</v>
      </c>
      <c r="G53" s="248">
        <v>42185</v>
      </c>
      <c r="H53" s="245" t="s">
        <v>344</v>
      </c>
      <c r="I53" s="245" t="s">
        <v>345</v>
      </c>
      <c r="J53" s="245"/>
      <c r="K53" s="241" t="s">
        <v>346</v>
      </c>
      <c r="L53" s="255" t="s">
        <v>222</v>
      </c>
      <c r="M53" s="246">
        <v>141.30000000000001</v>
      </c>
      <c r="N53" s="246">
        <v>35.82</v>
      </c>
      <c r="O53" s="241" t="s">
        <v>304</v>
      </c>
      <c r="P53" s="241">
        <v>600</v>
      </c>
      <c r="Q53" s="246">
        <v>41.78</v>
      </c>
      <c r="R53" s="256">
        <v>600</v>
      </c>
      <c r="S53" s="246">
        <v>41.78</v>
      </c>
      <c r="T53" s="241"/>
      <c r="U53" s="246" t="s">
        <v>320</v>
      </c>
      <c r="V53" s="246" t="s">
        <v>320</v>
      </c>
      <c r="W53" s="246">
        <v>19.3</v>
      </c>
      <c r="X53" s="241"/>
      <c r="Y53" s="241"/>
      <c r="Z53" s="241"/>
      <c r="AA53" s="241"/>
      <c r="AB53" s="241"/>
      <c r="AC53" s="241"/>
      <c r="AD53" s="246" t="s">
        <v>320</v>
      </c>
      <c r="AE53" s="246" t="s">
        <v>320</v>
      </c>
      <c r="AF53" s="241"/>
      <c r="AG53" s="241"/>
      <c r="AH53" s="246">
        <v>34.83</v>
      </c>
      <c r="AI53" s="241"/>
      <c r="AJ53" s="241"/>
      <c r="AK53" s="246" t="s">
        <v>320</v>
      </c>
      <c r="AL53" s="241"/>
      <c r="AM53" s="246" t="s">
        <v>320</v>
      </c>
      <c r="AN53" s="246" t="s">
        <v>320</v>
      </c>
      <c r="AO53" s="241" t="s">
        <v>372</v>
      </c>
      <c r="AP53" s="245" t="s">
        <v>345</v>
      </c>
      <c r="AQ53" s="245"/>
      <c r="AR53" s="245"/>
    </row>
    <row r="54" spans="1:97" x14ac:dyDescent="0.3">
      <c r="A54" s="241">
        <v>10532</v>
      </c>
      <c r="B54" s="242">
        <v>42202</v>
      </c>
      <c r="C54" s="243" t="s">
        <v>322</v>
      </c>
      <c r="D54" s="244" t="s">
        <v>190</v>
      </c>
      <c r="E54" s="241"/>
      <c r="F54" s="241" t="s">
        <v>367</v>
      </c>
      <c r="G54" s="247">
        <v>42201</v>
      </c>
      <c r="H54" s="245" t="s">
        <v>324</v>
      </c>
      <c r="I54" s="245" t="s">
        <v>325</v>
      </c>
      <c r="J54" s="245"/>
      <c r="K54" s="241" t="s">
        <v>348</v>
      </c>
      <c r="L54" s="254" t="s">
        <v>222</v>
      </c>
      <c r="M54" s="246">
        <v>137.5</v>
      </c>
      <c r="N54" s="246">
        <v>34.690909090909088</v>
      </c>
      <c r="O54" s="241"/>
      <c r="P54" s="241"/>
      <c r="Q54" s="246" t="s">
        <v>320</v>
      </c>
      <c r="R54" s="241"/>
      <c r="S54" s="244" t="s">
        <v>320</v>
      </c>
      <c r="T54" s="241"/>
      <c r="U54" s="246" t="s">
        <v>320</v>
      </c>
      <c r="V54" s="246" t="s">
        <v>320</v>
      </c>
      <c r="W54" s="246">
        <v>18.918181818181814</v>
      </c>
      <c r="X54" s="241"/>
      <c r="Y54" s="241"/>
      <c r="Z54" s="241"/>
      <c r="AA54" s="241"/>
      <c r="AB54" s="241"/>
      <c r="AC54" s="241"/>
      <c r="AD54" s="246" t="s">
        <v>320</v>
      </c>
      <c r="AE54" s="246" t="s">
        <v>320</v>
      </c>
      <c r="AF54" s="241"/>
      <c r="AG54" s="241"/>
      <c r="AH54" s="246">
        <v>32.490909090909092</v>
      </c>
      <c r="AI54" s="241"/>
      <c r="AJ54" s="241"/>
      <c r="AK54" s="246" t="s">
        <v>320</v>
      </c>
      <c r="AL54" s="241"/>
      <c r="AM54" s="246" t="s">
        <v>320</v>
      </c>
      <c r="AN54" s="246" t="s">
        <v>320</v>
      </c>
      <c r="AO54" s="241" t="s">
        <v>368</v>
      </c>
      <c r="AP54" s="245" t="s">
        <v>325</v>
      </c>
      <c r="AQ54" s="245"/>
      <c r="AR54" s="245"/>
    </row>
    <row r="55" spans="1:97" x14ac:dyDescent="0.3">
      <c r="A55" s="241">
        <v>10348</v>
      </c>
      <c r="B55" s="242">
        <v>42202</v>
      </c>
      <c r="C55" s="243" t="s">
        <v>332</v>
      </c>
      <c r="D55" s="244" t="s">
        <v>190</v>
      </c>
      <c r="E55" s="241"/>
      <c r="F55" s="241" t="s">
        <v>369</v>
      </c>
      <c r="G55" s="248">
        <v>42187</v>
      </c>
      <c r="H55" s="245" t="s">
        <v>334</v>
      </c>
      <c r="I55" s="245" t="s">
        <v>335</v>
      </c>
      <c r="J55" s="245"/>
      <c r="K55" s="241" t="s">
        <v>349</v>
      </c>
      <c r="L55" s="254" t="s">
        <v>222</v>
      </c>
      <c r="M55" s="246">
        <v>140</v>
      </c>
      <c r="N55" s="246">
        <v>34.25454545454545</v>
      </c>
      <c r="O55" s="241"/>
      <c r="P55" s="241"/>
      <c r="Q55" s="246" t="s">
        <v>320</v>
      </c>
      <c r="R55" s="241"/>
      <c r="S55" s="244" t="s">
        <v>320</v>
      </c>
      <c r="T55" s="241"/>
      <c r="U55" s="246" t="s">
        <v>320</v>
      </c>
      <c r="V55" s="246" t="s">
        <v>320</v>
      </c>
      <c r="W55" s="246">
        <v>18.072727272727271</v>
      </c>
      <c r="X55" s="241"/>
      <c r="Y55" s="241"/>
      <c r="Z55" s="241"/>
      <c r="AA55" s="241"/>
      <c r="AB55" s="241"/>
      <c r="AC55" s="241"/>
      <c r="AD55" s="246" t="s">
        <v>320</v>
      </c>
      <c r="AE55" s="246" t="s">
        <v>320</v>
      </c>
      <c r="AF55" s="241"/>
      <c r="AG55" s="241"/>
      <c r="AH55" s="246">
        <v>33.299999999999997</v>
      </c>
      <c r="AI55" s="241"/>
      <c r="AJ55" s="241"/>
      <c r="AK55" s="246" t="s">
        <v>320</v>
      </c>
      <c r="AL55" s="241"/>
      <c r="AM55" s="246" t="s">
        <v>320</v>
      </c>
      <c r="AN55" s="246" t="s">
        <v>320</v>
      </c>
      <c r="AO55" s="241" t="s">
        <v>370</v>
      </c>
      <c r="AP55" s="245" t="s">
        <v>335</v>
      </c>
      <c r="AQ55" s="245"/>
      <c r="AR55" s="245"/>
    </row>
    <row r="56" spans="1:97" x14ac:dyDescent="0.3">
      <c r="A56" s="241">
        <v>10690</v>
      </c>
      <c r="B56" s="242">
        <v>42202</v>
      </c>
      <c r="C56" s="243" t="s">
        <v>236</v>
      </c>
      <c r="D56" s="244" t="s">
        <v>190</v>
      </c>
      <c r="E56" s="241"/>
      <c r="F56" s="241" t="s">
        <v>257</v>
      </c>
      <c r="G56" s="248">
        <v>42195</v>
      </c>
      <c r="H56" s="245" t="s">
        <v>241</v>
      </c>
      <c r="I56" s="245" t="s">
        <v>197</v>
      </c>
      <c r="J56" s="245"/>
      <c r="K56" s="241" t="s">
        <v>252</v>
      </c>
      <c r="L56" s="254" t="s">
        <v>222</v>
      </c>
      <c r="M56" s="246">
        <v>152.89090909090908</v>
      </c>
      <c r="N56" s="246">
        <v>30.9</v>
      </c>
      <c r="O56" s="241"/>
      <c r="P56" s="241"/>
      <c r="Q56" s="246" t="s">
        <v>320</v>
      </c>
      <c r="R56" s="241"/>
      <c r="S56" s="244" t="s">
        <v>320</v>
      </c>
      <c r="T56" s="241"/>
      <c r="U56" s="246" t="s">
        <v>320</v>
      </c>
      <c r="V56" s="246" t="s">
        <v>320</v>
      </c>
      <c r="W56" s="246">
        <v>19.154545454545453</v>
      </c>
      <c r="X56" s="241"/>
      <c r="Y56" s="241"/>
      <c r="Z56" s="241"/>
      <c r="AA56" s="241"/>
      <c r="AB56" s="241"/>
      <c r="AC56" s="241"/>
      <c r="AD56" s="246" t="s">
        <v>320</v>
      </c>
      <c r="AE56" s="246" t="s">
        <v>320</v>
      </c>
      <c r="AF56" s="241"/>
      <c r="AG56" s="241"/>
      <c r="AH56" s="246">
        <v>27.881818181818183</v>
      </c>
      <c r="AI56" s="241"/>
      <c r="AJ56" s="241"/>
      <c r="AK56" s="246" t="s">
        <v>320</v>
      </c>
      <c r="AL56" s="241"/>
      <c r="AM56" s="246" t="s">
        <v>320</v>
      </c>
      <c r="AN56" s="246" t="s">
        <v>320</v>
      </c>
      <c r="AO56" s="241" t="s">
        <v>220</v>
      </c>
      <c r="AP56" s="245" t="s">
        <v>197</v>
      </c>
      <c r="AQ56" s="245"/>
      <c r="AR56" s="245"/>
    </row>
    <row r="57" spans="1:97" x14ac:dyDescent="0.3">
      <c r="A57" s="241">
        <v>1412</v>
      </c>
      <c r="B57" s="242">
        <v>42202</v>
      </c>
      <c r="C57" s="243" t="s">
        <v>332</v>
      </c>
      <c r="D57" s="244" t="s">
        <v>190</v>
      </c>
      <c r="E57" s="241"/>
      <c r="F57" s="241" t="s">
        <v>369</v>
      </c>
      <c r="G57" s="247">
        <v>42185</v>
      </c>
      <c r="H57" s="245" t="s">
        <v>334</v>
      </c>
      <c r="I57" s="245" t="s">
        <v>335</v>
      </c>
      <c r="J57" s="245"/>
      <c r="K57" s="241" t="s">
        <v>350</v>
      </c>
      <c r="L57" s="254" t="s">
        <v>222</v>
      </c>
      <c r="M57" s="246">
        <v>145.6</v>
      </c>
      <c r="N57" s="246">
        <v>32</v>
      </c>
      <c r="O57" s="244"/>
      <c r="P57" s="241"/>
      <c r="Q57" s="246"/>
      <c r="R57" s="241"/>
      <c r="S57" s="244" t="s">
        <v>320</v>
      </c>
      <c r="T57" s="241"/>
      <c r="U57" s="246" t="s">
        <v>320</v>
      </c>
      <c r="V57" s="246" t="s">
        <v>320</v>
      </c>
      <c r="W57" s="246">
        <v>16.8</v>
      </c>
      <c r="X57" s="241"/>
      <c r="Y57" s="241"/>
      <c r="Z57" s="241"/>
      <c r="AA57" s="241"/>
      <c r="AB57" s="241"/>
      <c r="AC57" s="241"/>
      <c r="AD57" s="246" t="s">
        <v>320</v>
      </c>
      <c r="AE57" s="246" t="s">
        <v>320</v>
      </c>
      <c r="AF57" s="241"/>
      <c r="AG57" s="241"/>
      <c r="AH57" s="246">
        <v>29.999999999999996</v>
      </c>
      <c r="AI57" s="241"/>
      <c r="AJ57" s="241"/>
      <c r="AK57" s="246" t="s">
        <v>320</v>
      </c>
      <c r="AL57" s="241"/>
      <c r="AM57" s="246" t="s">
        <v>320</v>
      </c>
      <c r="AN57" s="246" t="s">
        <v>320</v>
      </c>
      <c r="AO57" s="241" t="s">
        <v>370</v>
      </c>
      <c r="AP57" s="245" t="s">
        <v>335</v>
      </c>
      <c r="AQ57" s="245"/>
      <c r="AR57" s="245"/>
    </row>
    <row r="58" spans="1:97" x14ac:dyDescent="0.3">
      <c r="A58" s="241">
        <v>3612</v>
      </c>
      <c r="B58" s="242">
        <v>42202</v>
      </c>
      <c r="C58" s="243" t="s">
        <v>223</v>
      </c>
      <c r="D58" s="244" t="s">
        <v>190</v>
      </c>
      <c r="E58" s="241"/>
      <c r="F58" s="241" t="s">
        <v>232</v>
      </c>
      <c r="G58" s="248">
        <v>42192</v>
      </c>
      <c r="H58" s="245" t="s">
        <v>226</v>
      </c>
      <c r="I58" s="245" t="s">
        <v>227</v>
      </c>
      <c r="J58" s="245"/>
      <c r="K58" s="241" t="s">
        <v>352</v>
      </c>
      <c r="L58" s="254" t="s">
        <v>222</v>
      </c>
      <c r="M58" s="246">
        <v>136.99090909090907</v>
      </c>
      <c r="N58" s="246">
        <v>30.8</v>
      </c>
      <c r="O58" s="241"/>
      <c r="P58" s="241"/>
      <c r="Q58" s="246" t="s">
        <v>320</v>
      </c>
      <c r="R58" s="241"/>
      <c r="S58" s="244" t="s">
        <v>320</v>
      </c>
      <c r="T58" s="241"/>
      <c r="U58" s="246" t="s">
        <v>320</v>
      </c>
      <c r="V58" s="246" t="s">
        <v>320</v>
      </c>
      <c r="W58" s="246">
        <v>18.518181818181816</v>
      </c>
      <c r="X58" s="241"/>
      <c r="Y58" s="241"/>
      <c r="Z58" s="241"/>
      <c r="AA58" s="241"/>
      <c r="AB58" s="241"/>
      <c r="AC58" s="241"/>
      <c r="AD58" s="246" t="s">
        <v>320</v>
      </c>
      <c r="AE58" s="246" t="s">
        <v>320</v>
      </c>
      <c r="AF58" s="241"/>
      <c r="AG58" s="241"/>
      <c r="AH58" s="246">
        <v>29.436363636363637</v>
      </c>
      <c r="AI58" s="241"/>
      <c r="AJ58" s="241"/>
      <c r="AK58" s="246" t="s">
        <v>320</v>
      </c>
      <c r="AL58" s="241"/>
      <c r="AM58" s="246" t="s">
        <v>320</v>
      </c>
      <c r="AN58" s="246" t="s">
        <v>320</v>
      </c>
      <c r="AO58" s="241" t="s">
        <v>366</v>
      </c>
      <c r="AP58" s="245" t="s">
        <v>227</v>
      </c>
      <c r="AQ58" s="245"/>
      <c r="AR58" s="245"/>
    </row>
    <row r="59" spans="1:97" x14ac:dyDescent="0.3">
      <c r="A59" s="241">
        <v>10383</v>
      </c>
      <c r="B59" s="242">
        <v>42202</v>
      </c>
      <c r="C59" s="243" t="s">
        <v>322</v>
      </c>
      <c r="D59" s="244" t="s">
        <v>190</v>
      </c>
      <c r="E59" s="241"/>
      <c r="F59" s="241" t="s">
        <v>367</v>
      </c>
      <c r="G59" s="247">
        <v>42185</v>
      </c>
      <c r="H59" s="245" t="s">
        <v>310</v>
      </c>
      <c r="I59" s="245" t="s">
        <v>309</v>
      </c>
      <c r="J59" s="245"/>
      <c r="K59" s="241" t="s">
        <v>239</v>
      </c>
      <c r="L59" s="254" t="s">
        <v>222</v>
      </c>
      <c r="M59" s="246">
        <v>165</v>
      </c>
      <c r="N59" s="246">
        <v>30.4</v>
      </c>
      <c r="O59" s="241"/>
      <c r="P59" s="241"/>
      <c r="Q59" s="246" t="s">
        <v>320</v>
      </c>
      <c r="R59" s="241"/>
      <c r="S59" s="244" t="s">
        <v>320</v>
      </c>
      <c r="T59" s="241"/>
      <c r="U59" s="246" t="s">
        <v>320</v>
      </c>
      <c r="V59" s="246" t="s">
        <v>320</v>
      </c>
      <c r="W59" s="246">
        <v>18.8</v>
      </c>
      <c r="X59" s="241"/>
      <c r="Y59" s="241"/>
      <c r="Z59" s="241"/>
      <c r="AA59" s="241"/>
      <c r="AB59" s="241"/>
      <c r="AC59" s="241"/>
      <c r="AD59" s="246" t="s">
        <v>320</v>
      </c>
      <c r="AE59" s="246" t="s">
        <v>320</v>
      </c>
      <c r="AF59" s="241"/>
      <c r="AG59" s="241"/>
      <c r="AH59" s="246">
        <v>27.1</v>
      </c>
      <c r="AI59" s="241"/>
      <c r="AJ59" s="241"/>
      <c r="AK59" s="246" t="s">
        <v>320</v>
      </c>
      <c r="AL59" s="241"/>
      <c r="AM59" s="246" t="s">
        <v>320</v>
      </c>
      <c r="AN59" s="246" t="s">
        <v>320</v>
      </c>
      <c r="AO59" s="241" t="s">
        <v>368</v>
      </c>
      <c r="AP59" s="245" t="s">
        <v>325</v>
      </c>
      <c r="AQ59" s="245"/>
      <c r="AR59" s="245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</row>
    <row r="60" spans="1:97" x14ac:dyDescent="0.3">
      <c r="A60" s="241">
        <v>9685</v>
      </c>
      <c r="B60" s="242">
        <v>42202</v>
      </c>
      <c r="C60" s="243" t="s">
        <v>322</v>
      </c>
      <c r="D60" s="244" t="s">
        <v>190</v>
      </c>
      <c r="E60" s="241"/>
      <c r="F60" s="241" t="s">
        <v>367</v>
      </c>
      <c r="G60" s="248">
        <v>42188</v>
      </c>
      <c r="H60" s="245" t="s">
        <v>325</v>
      </c>
      <c r="I60" s="245" t="s">
        <v>353</v>
      </c>
      <c r="J60" s="245"/>
      <c r="K60" s="241" t="s">
        <v>307</v>
      </c>
      <c r="L60" s="255" t="s">
        <v>222</v>
      </c>
      <c r="M60" s="246">
        <v>137</v>
      </c>
      <c r="N60" s="246">
        <v>32.1</v>
      </c>
      <c r="O60" s="241"/>
      <c r="P60" s="241"/>
      <c r="Q60" s="246" t="s">
        <v>320</v>
      </c>
      <c r="R60" s="241"/>
      <c r="S60" s="244" t="s">
        <v>320</v>
      </c>
      <c r="T60" s="241"/>
      <c r="U60" s="246" t="s">
        <v>320</v>
      </c>
      <c r="V60" s="246" t="s">
        <v>320</v>
      </c>
      <c r="W60" s="246">
        <v>20.8</v>
      </c>
      <c r="X60" s="241"/>
      <c r="Y60" s="241"/>
      <c r="Z60" s="241"/>
      <c r="AA60" s="241"/>
      <c r="AB60" s="241"/>
      <c r="AC60" s="241"/>
      <c r="AD60" s="246" t="s">
        <v>320</v>
      </c>
      <c r="AE60" s="246" t="s">
        <v>320</v>
      </c>
      <c r="AF60" s="241"/>
      <c r="AG60" s="241"/>
      <c r="AH60" s="246">
        <v>29</v>
      </c>
      <c r="AI60" s="241"/>
      <c r="AJ60" s="241"/>
      <c r="AK60" s="246" t="s">
        <v>320</v>
      </c>
      <c r="AL60" s="241"/>
      <c r="AM60" s="246" t="s">
        <v>320</v>
      </c>
      <c r="AN60" s="246" t="s">
        <v>320</v>
      </c>
      <c r="AO60" s="241" t="s">
        <v>368</v>
      </c>
      <c r="AP60" s="245" t="s">
        <v>325</v>
      </c>
      <c r="AQ60" s="245"/>
      <c r="AR60" s="245"/>
    </row>
    <row r="61" spans="1:97" x14ac:dyDescent="0.3">
      <c r="A61" s="241">
        <v>5194</v>
      </c>
      <c r="B61" s="242">
        <v>42202</v>
      </c>
      <c r="C61" s="243" t="s">
        <v>322</v>
      </c>
      <c r="D61" s="244" t="s">
        <v>190</v>
      </c>
      <c r="E61" s="241"/>
      <c r="F61" s="241" t="s">
        <v>367</v>
      </c>
      <c r="G61" s="248">
        <v>42185</v>
      </c>
      <c r="H61" s="245" t="s">
        <v>324</v>
      </c>
      <c r="I61" s="245" t="s">
        <v>325</v>
      </c>
      <c r="J61" s="245"/>
      <c r="K61" s="241" t="s">
        <v>358</v>
      </c>
      <c r="L61" s="254" t="s">
        <v>222</v>
      </c>
      <c r="M61" s="246">
        <v>151.99999999999997</v>
      </c>
      <c r="N61" s="246">
        <v>33.9</v>
      </c>
      <c r="O61" s="241"/>
      <c r="P61" s="241"/>
      <c r="Q61" s="246" t="s">
        <v>320</v>
      </c>
      <c r="R61" s="241"/>
      <c r="S61" s="244" t="s">
        <v>320</v>
      </c>
      <c r="T61" s="241"/>
      <c r="U61" s="246" t="s">
        <v>320</v>
      </c>
      <c r="V61" s="246" t="s">
        <v>320</v>
      </c>
      <c r="W61" s="246">
        <v>17.5</v>
      </c>
      <c r="X61" s="241"/>
      <c r="Y61" s="241"/>
      <c r="Z61" s="241"/>
      <c r="AA61" s="241"/>
      <c r="AB61" s="241"/>
      <c r="AC61" s="241"/>
      <c r="AD61" s="246" t="s">
        <v>320</v>
      </c>
      <c r="AE61" s="246" t="s">
        <v>320</v>
      </c>
      <c r="AF61" s="241"/>
      <c r="AG61" s="241"/>
      <c r="AH61" s="246">
        <v>24.9</v>
      </c>
      <c r="AI61" s="241"/>
      <c r="AJ61" s="241"/>
      <c r="AK61" s="246" t="s">
        <v>320</v>
      </c>
      <c r="AL61" s="241"/>
      <c r="AM61" s="246" t="s">
        <v>320</v>
      </c>
      <c r="AN61" s="246" t="s">
        <v>320</v>
      </c>
      <c r="AO61" s="241" t="s">
        <v>368</v>
      </c>
      <c r="AP61" s="245" t="s">
        <v>325</v>
      </c>
      <c r="AQ61" s="245"/>
      <c r="AR61" s="245"/>
    </row>
  </sheetData>
  <sheetProtection algorithmName="SHA-512" hashValue="8B3GoidynBIGc+zeVfMXnlablvPoM2VX9dhxjhlzoHLdYlIEbEdE2cTfmBfcq5i/q69rMJWnmXDg3XkbPhmlHA==" saltValue="Ulo3+buHHwU9Ij0Afhr2pw==" spinCount="100000" sheet="1" objects="1" scenarios="1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DCD33-6B6A-074D-850D-5D65BFA6FBED}">
  <sheetPr codeName="Sheet29"/>
  <dimension ref="A1:CP60"/>
  <sheetViews>
    <sheetView topLeftCell="A15"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.4609375" bestFit="1" customWidth="1"/>
    <col min="12" max="12" width="15.15234375" customWidth="1"/>
    <col min="31" max="31" width="12.84375" bestFit="1" customWidth="1"/>
    <col min="38" max="38" width="17.4609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241">
        <v>10008</v>
      </c>
      <c r="B2" s="242">
        <v>42203</v>
      </c>
      <c r="C2" s="243" t="s">
        <v>223</v>
      </c>
      <c r="D2" s="244" t="s">
        <v>373</v>
      </c>
      <c r="E2" s="241"/>
      <c r="F2" s="241" t="s">
        <v>225</v>
      </c>
      <c r="G2" s="242">
        <v>42187</v>
      </c>
      <c r="H2" s="245" t="s">
        <v>226</v>
      </c>
      <c r="I2" s="245" t="s">
        <v>227</v>
      </c>
      <c r="J2" s="245"/>
      <c r="K2" s="241" t="s">
        <v>319</v>
      </c>
      <c r="L2" s="254" t="s">
        <v>387</v>
      </c>
      <c r="M2" s="246">
        <v>130.90909090909091</v>
      </c>
      <c r="N2" s="246">
        <v>21.818181818181817</v>
      </c>
      <c r="O2" s="241"/>
      <c r="P2" s="241"/>
      <c r="Q2" s="241"/>
      <c r="R2" s="241"/>
      <c r="S2" s="244" t="s">
        <v>320</v>
      </c>
      <c r="T2" s="241"/>
      <c r="U2" s="246" t="s">
        <v>320</v>
      </c>
      <c r="V2" s="246" t="s">
        <v>320</v>
      </c>
      <c r="W2" s="246" t="s">
        <v>320</v>
      </c>
      <c r="X2" s="241"/>
      <c r="Y2" s="241"/>
      <c r="Z2" s="241"/>
      <c r="AA2" s="241"/>
      <c r="AB2" s="241"/>
      <c r="AC2" s="241"/>
      <c r="AD2" s="246" t="s">
        <v>320</v>
      </c>
      <c r="AE2" s="246" t="s">
        <v>320</v>
      </c>
      <c r="AF2" s="241"/>
      <c r="AG2" s="241"/>
      <c r="AH2" s="246" t="s">
        <v>320</v>
      </c>
      <c r="AI2" s="241"/>
      <c r="AJ2" s="241"/>
      <c r="AK2" s="246" t="s">
        <v>320</v>
      </c>
      <c r="AL2" s="241"/>
      <c r="AM2" s="246" t="s">
        <v>320</v>
      </c>
      <c r="AN2" s="246" t="s">
        <v>320</v>
      </c>
      <c r="AO2" s="241" t="s">
        <v>321</v>
      </c>
      <c r="AP2" s="245" t="s">
        <v>227</v>
      </c>
      <c r="AQ2" s="245"/>
      <c r="AR2" s="245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241">
        <v>10410</v>
      </c>
      <c r="B3" s="242">
        <v>42202</v>
      </c>
      <c r="C3" s="243" t="s">
        <v>322</v>
      </c>
      <c r="D3" s="244" t="s">
        <v>373</v>
      </c>
      <c r="E3" s="241"/>
      <c r="F3" s="241" t="s">
        <v>323</v>
      </c>
      <c r="G3" s="242">
        <v>42187</v>
      </c>
      <c r="H3" s="245" t="s">
        <v>324</v>
      </c>
      <c r="I3" s="245" t="s">
        <v>325</v>
      </c>
      <c r="J3" s="245"/>
      <c r="K3" s="241" t="s">
        <v>326</v>
      </c>
      <c r="L3" s="254" t="s">
        <v>387</v>
      </c>
      <c r="M3" s="246">
        <v>82</v>
      </c>
      <c r="N3" s="246">
        <v>26.499999999999996</v>
      </c>
      <c r="O3" s="241"/>
      <c r="P3" s="241"/>
      <c r="Q3" s="241"/>
      <c r="R3" s="241"/>
      <c r="S3" s="244" t="s">
        <v>320</v>
      </c>
      <c r="T3" s="241"/>
      <c r="U3" s="246" t="s">
        <v>320</v>
      </c>
      <c r="V3" s="246" t="s">
        <v>320</v>
      </c>
      <c r="W3" s="246" t="s">
        <v>320</v>
      </c>
      <c r="X3" s="241"/>
      <c r="Y3" s="241"/>
      <c r="Z3" s="241"/>
      <c r="AA3" s="241"/>
      <c r="AB3" s="241"/>
      <c r="AC3" s="241"/>
      <c r="AD3" s="246" t="s">
        <v>320</v>
      </c>
      <c r="AE3" s="246" t="s">
        <v>320</v>
      </c>
      <c r="AF3" s="241"/>
      <c r="AG3" s="241"/>
      <c r="AH3" s="246" t="s">
        <v>320</v>
      </c>
      <c r="AI3" s="241"/>
      <c r="AJ3" s="241"/>
      <c r="AK3" s="246" t="s">
        <v>320</v>
      </c>
      <c r="AL3" s="241"/>
      <c r="AM3" s="246" t="s">
        <v>320</v>
      </c>
      <c r="AN3" s="246" t="s">
        <v>320</v>
      </c>
      <c r="AO3" s="241" t="s">
        <v>327</v>
      </c>
      <c r="AP3" s="245" t="s">
        <v>325</v>
      </c>
      <c r="AQ3" s="245"/>
      <c r="AR3" s="245"/>
    </row>
    <row r="4" spans="1:94" x14ac:dyDescent="0.3">
      <c r="A4" s="241">
        <v>10497</v>
      </c>
      <c r="B4" s="242">
        <v>42202</v>
      </c>
      <c r="C4" s="243" t="s">
        <v>322</v>
      </c>
      <c r="D4" s="244" t="s">
        <v>373</v>
      </c>
      <c r="E4" s="241"/>
      <c r="F4" s="241" t="s">
        <v>323</v>
      </c>
      <c r="G4" s="247">
        <v>42185</v>
      </c>
      <c r="H4" s="245" t="s">
        <v>324</v>
      </c>
      <c r="I4" s="245" t="s">
        <v>325</v>
      </c>
      <c r="J4" s="245"/>
      <c r="K4" s="241" t="s">
        <v>328</v>
      </c>
      <c r="L4" s="254" t="s">
        <v>387</v>
      </c>
      <c r="M4" s="246">
        <v>84</v>
      </c>
      <c r="N4" s="246">
        <v>22.709090909090907</v>
      </c>
      <c r="O4" s="241"/>
      <c r="P4" s="241"/>
      <c r="Q4" s="241"/>
      <c r="R4" s="241"/>
      <c r="S4" s="244" t="s">
        <v>320</v>
      </c>
      <c r="T4" s="241"/>
      <c r="U4" s="246" t="s">
        <v>320</v>
      </c>
      <c r="V4" s="246" t="s">
        <v>320</v>
      </c>
      <c r="W4" s="246" t="s">
        <v>320</v>
      </c>
      <c r="X4" s="241"/>
      <c r="Y4" s="241"/>
      <c r="Z4" s="241"/>
      <c r="AA4" s="241"/>
      <c r="AB4" s="241"/>
      <c r="AC4" s="241"/>
      <c r="AD4" s="246" t="s">
        <v>320</v>
      </c>
      <c r="AE4" s="246" t="s">
        <v>320</v>
      </c>
      <c r="AF4" s="241"/>
      <c r="AG4" s="241"/>
      <c r="AH4" s="246" t="s">
        <v>320</v>
      </c>
      <c r="AI4" s="241"/>
      <c r="AJ4" s="241"/>
      <c r="AK4" s="246" t="s">
        <v>320</v>
      </c>
      <c r="AL4" s="241"/>
      <c r="AM4" s="246" t="s">
        <v>320</v>
      </c>
      <c r="AN4" s="246" t="s">
        <v>320</v>
      </c>
      <c r="AO4" s="241" t="s">
        <v>327</v>
      </c>
      <c r="AP4" s="245" t="s">
        <v>325</v>
      </c>
      <c r="AQ4" s="245"/>
      <c r="AR4" s="245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241">
        <v>10589</v>
      </c>
      <c r="B5" s="242">
        <v>42202</v>
      </c>
      <c r="C5" s="243" t="s">
        <v>322</v>
      </c>
      <c r="D5" s="244" t="s">
        <v>373</v>
      </c>
      <c r="E5" s="241"/>
      <c r="F5" s="241" t="s">
        <v>323</v>
      </c>
      <c r="G5" s="248">
        <v>42188</v>
      </c>
      <c r="H5" s="245" t="s">
        <v>310</v>
      </c>
      <c r="I5" s="245" t="s">
        <v>309</v>
      </c>
      <c r="J5" s="245"/>
      <c r="K5" s="241" t="s">
        <v>329</v>
      </c>
      <c r="L5" s="255" t="s">
        <v>387</v>
      </c>
      <c r="M5" s="246">
        <v>90</v>
      </c>
      <c r="N5" s="246">
        <v>25.77</v>
      </c>
      <c r="O5" s="241"/>
      <c r="P5" s="241"/>
      <c r="Q5" s="241"/>
      <c r="R5" s="241"/>
      <c r="S5" s="244" t="s">
        <v>320</v>
      </c>
      <c r="T5" s="241"/>
      <c r="U5" s="246" t="s">
        <v>320</v>
      </c>
      <c r="V5" s="246" t="s">
        <v>320</v>
      </c>
      <c r="W5" s="246" t="s">
        <v>320</v>
      </c>
      <c r="X5" s="241"/>
      <c r="Y5" s="241"/>
      <c r="Z5" s="241"/>
      <c r="AA5" s="241"/>
      <c r="AB5" s="241"/>
      <c r="AC5" s="241"/>
      <c r="AD5" s="246" t="s">
        <v>320</v>
      </c>
      <c r="AE5" s="246" t="s">
        <v>320</v>
      </c>
      <c r="AF5" s="241"/>
      <c r="AG5" s="241"/>
      <c r="AH5" s="246" t="s">
        <v>320</v>
      </c>
      <c r="AI5" s="241"/>
      <c r="AJ5" s="241"/>
      <c r="AK5" s="246" t="s">
        <v>320</v>
      </c>
      <c r="AL5" s="241"/>
      <c r="AM5" s="246" t="s">
        <v>320</v>
      </c>
      <c r="AN5" s="246" t="s">
        <v>320</v>
      </c>
      <c r="AO5" s="241" t="s">
        <v>327</v>
      </c>
      <c r="AP5" s="245" t="s">
        <v>325</v>
      </c>
      <c r="AQ5" s="245"/>
      <c r="AR5" s="245"/>
    </row>
    <row r="6" spans="1:94" x14ac:dyDescent="0.3">
      <c r="A6" s="241">
        <v>1469</v>
      </c>
      <c r="B6" s="242">
        <v>42202</v>
      </c>
      <c r="C6" s="243" t="s">
        <v>322</v>
      </c>
      <c r="D6" s="244" t="s">
        <v>373</v>
      </c>
      <c r="E6" s="241"/>
      <c r="F6" s="241" t="s">
        <v>323</v>
      </c>
      <c r="G6" s="248">
        <v>42185</v>
      </c>
      <c r="H6" s="245" t="s">
        <v>324</v>
      </c>
      <c r="I6" s="245" t="s">
        <v>325</v>
      </c>
      <c r="J6" s="245"/>
      <c r="K6" s="241" t="s">
        <v>330</v>
      </c>
      <c r="L6" s="255" t="s">
        <v>387</v>
      </c>
      <c r="M6" s="246">
        <v>88.72727272727272</v>
      </c>
      <c r="N6" s="246">
        <v>25.89</v>
      </c>
      <c r="O6" s="241"/>
      <c r="P6" s="241"/>
      <c r="Q6" s="246" t="s">
        <v>320</v>
      </c>
      <c r="R6" s="241"/>
      <c r="S6" s="244" t="s">
        <v>320</v>
      </c>
      <c r="T6" s="241"/>
      <c r="U6" s="246" t="s">
        <v>320</v>
      </c>
      <c r="V6" s="246" t="s">
        <v>320</v>
      </c>
      <c r="W6" s="246" t="s">
        <v>320</v>
      </c>
      <c r="X6" s="241"/>
      <c r="Y6" s="241"/>
      <c r="Z6" s="241"/>
      <c r="AA6" s="241"/>
      <c r="AB6" s="241"/>
      <c r="AC6" s="241"/>
      <c r="AD6" s="246" t="s">
        <v>320</v>
      </c>
      <c r="AE6" s="246" t="s">
        <v>320</v>
      </c>
      <c r="AF6" s="241"/>
      <c r="AG6" s="241"/>
      <c r="AH6" s="246" t="s">
        <v>320</v>
      </c>
      <c r="AI6" s="241"/>
      <c r="AJ6" s="241"/>
      <c r="AK6" s="246" t="s">
        <v>320</v>
      </c>
      <c r="AL6" s="241"/>
      <c r="AM6" s="246" t="s">
        <v>320</v>
      </c>
      <c r="AN6" s="246" t="s">
        <v>320</v>
      </c>
      <c r="AO6" s="241" t="s">
        <v>327</v>
      </c>
      <c r="AP6" s="245" t="s">
        <v>325</v>
      </c>
      <c r="AQ6" s="245"/>
      <c r="AR6" s="245"/>
    </row>
    <row r="7" spans="1:94" x14ac:dyDescent="0.3">
      <c r="A7" s="241">
        <v>4650</v>
      </c>
      <c r="B7" s="242">
        <v>42202</v>
      </c>
      <c r="C7" s="243" t="s">
        <v>322</v>
      </c>
      <c r="D7" s="244" t="s">
        <v>373</v>
      </c>
      <c r="E7" s="241"/>
      <c r="F7" s="241" t="s">
        <v>323</v>
      </c>
      <c r="G7" s="248">
        <v>42185</v>
      </c>
      <c r="H7" s="245" t="s">
        <v>324</v>
      </c>
      <c r="I7" s="245" t="s">
        <v>325</v>
      </c>
      <c r="J7" s="245"/>
      <c r="K7" s="241" t="s">
        <v>331</v>
      </c>
      <c r="L7" s="255" t="s">
        <v>387</v>
      </c>
      <c r="M7" s="246">
        <v>89</v>
      </c>
      <c r="N7" s="246">
        <v>24.999999999999996</v>
      </c>
      <c r="O7" s="241"/>
      <c r="P7" s="241"/>
      <c r="Q7" s="246" t="s">
        <v>320</v>
      </c>
      <c r="R7" s="241"/>
      <c r="S7" s="244" t="s">
        <v>320</v>
      </c>
      <c r="T7" s="241"/>
      <c r="U7" s="246" t="s">
        <v>320</v>
      </c>
      <c r="V7" s="246" t="s">
        <v>320</v>
      </c>
      <c r="W7" s="246" t="s">
        <v>320</v>
      </c>
      <c r="X7" s="241"/>
      <c r="Y7" s="241"/>
      <c r="Z7" s="241"/>
      <c r="AA7" s="241"/>
      <c r="AB7" s="241"/>
      <c r="AC7" s="241"/>
      <c r="AD7" s="246" t="s">
        <v>320</v>
      </c>
      <c r="AE7" s="246" t="s">
        <v>320</v>
      </c>
      <c r="AF7" s="241"/>
      <c r="AG7" s="241"/>
      <c r="AH7" s="246" t="s">
        <v>320</v>
      </c>
      <c r="AI7" s="241"/>
      <c r="AJ7" s="241"/>
      <c r="AK7" s="246" t="s">
        <v>320</v>
      </c>
      <c r="AL7" s="241"/>
      <c r="AM7" s="246" t="s">
        <v>320</v>
      </c>
      <c r="AN7" s="246" t="s">
        <v>320</v>
      </c>
      <c r="AO7" s="241" t="s">
        <v>327</v>
      </c>
      <c r="AP7" s="245" t="s">
        <v>325</v>
      </c>
      <c r="AQ7" s="245"/>
      <c r="AR7" s="245"/>
    </row>
    <row r="8" spans="1:94" x14ac:dyDescent="0.3">
      <c r="A8" s="241">
        <v>1439</v>
      </c>
      <c r="B8" s="242">
        <v>42202</v>
      </c>
      <c r="C8" s="243" t="s">
        <v>332</v>
      </c>
      <c r="D8" s="244" t="s">
        <v>373</v>
      </c>
      <c r="E8" s="241"/>
      <c r="F8" s="241" t="s">
        <v>333</v>
      </c>
      <c r="G8" s="248">
        <v>42185</v>
      </c>
      <c r="H8" s="245" t="s">
        <v>334</v>
      </c>
      <c r="I8" s="245" t="s">
        <v>335</v>
      </c>
      <c r="J8" s="245"/>
      <c r="K8" s="241" t="s">
        <v>336</v>
      </c>
      <c r="L8" s="255" t="s">
        <v>387</v>
      </c>
      <c r="M8" s="246">
        <v>78.53</v>
      </c>
      <c r="N8" s="246">
        <v>26.84</v>
      </c>
      <c r="O8" s="241"/>
      <c r="P8" s="241"/>
      <c r="Q8" s="246"/>
      <c r="R8" s="246"/>
      <c r="S8" s="244"/>
      <c r="T8" s="241"/>
      <c r="U8" s="246" t="s">
        <v>320</v>
      </c>
      <c r="V8" s="246" t="s">
        <v>320</v>
      </c>
      <c r="W8" s="246" t="s">
        <v>320</v>
      </c>
      <c r="X8" s="241"/>
      <c r="Y8" s="241"/>
      <c r="Z8" s="241"/>
      <c r="AA8" s="241"/>
      <c r="AB8" s="241"/>
      <c r="AC8" s="241"/>
      <c r="AD8" s="246" t="s">
        <v>320</v>
      </c>
      <c r="AE8" s="246" t="s">
        <v>320</v>
      </c>
      <c r="AF8" s="241"/>
      <c r="AG8" s="241"/>
      <c r="AH8" s="246" t="s">
        <v>320</v>
      </c>
      <c r="AI8" s="241"/>
      <c r="AJ8" s="241"/>
      <c r="AK8" s="246" t="s">
        <v>320</v>
      </c>
      <c r="AL8" s="241"/>
      <c r="AM8" s="246" t="s">
        <v>320</v>
      </c>
      <c r="AN8" s="246" t="s">
        <v>320</v>
      </c>
      <c r="AO8" s="241" t="s">
        <v>338</v>
      </c>
      <c r="AP8" s="245" t="s">
        <v>335</v>
      </c>
      <c r="AQ8" s="245"/>
      <c r="AR8" s="245"/>
    </row>
    <row r="9" spans="1:94" x14ac:dyDescent="0.3">
      <c r="A9" s="241">
        <v>1481</v>
      </c>
      <c r="B9" s="242">
        <v>42202</v>
      </c>
      <c r="C9" s="243" t="s">
        <v>332</v>
      </c>
      <c r="D9" s="244" t="s">
        <v>373</v>
      </c>
      <c r="E9" s="241"/>
      <c r="F9" s="241" t="s">
        <v>333</v>
      </c>
      <c r="G9" s="248">
        <v>42185</v>
      </c>
      <c r="H9" s="245" t="s">
        <v>334</v>
      </c>
      <c r="I9" s="245" t="s">
        <v>335</v>
      </c>
      <c r="J9" s="245"/>
      <c r="K9" s="241" t="s">
        <v>339</v>
      </c>
      <c r="L9" s="255" t="s">
        <v>387</v>
      </c>
      <c r="M9" s="246">
        <v>88.72727272727272</v>
      </c>
      <c r="N9" s="246">
        <v>25.89</v>
      </c>
      <c r="O9" s="241"/>
      <c r="P9" s="241"/>
      <c r="Q9" s="246" t="s">
        <v>320</v>
      </c>
      <c r="R9" s="241"/>
      <c r="S9" s="244" t="s">
        <v>320</v>
      </c>
      <c r="T9" s="241"/>
      <c r="U9" s="246" t="s">
        <v>320</v>
      </c>
      <c r="V9" s="246" t="s">
        <v>320</v>
      </c>
      <c r="W9" s="246" t="s">
        <v>320</v>
      </c>
      <c r="X9" s="241"/>
      <c r="Y9" s="241"/>
      <c r="Z9" s="241"/>
      <c r="AA9" s="241"/>
      <c r="AB9" s="241"/>
      <c r="AC9" s="241"/>
      <c r="AD9" s="246" t="s">
        <v>320</v>
      </c>
      <c r="AE9" s="246" t="s">
        <v>320</v>
      </c>
      <c r="AF9" s="241"/>
      <c r="AG9" s="241"/>
      <c r="AH9" s="246" t="s">
        <v>320</v>
      </c>
      <c r="AI9" s="241"/>
      <c r="AJ9" s="241"/>
      <c r="AK9" s="246" t="s">
        <v>320</v>
      </c>
      <c r="AL9" s="241"/>
      <c r="AM9" s="246" t="s">
        <v>320</v>
      </c>
      <c r="AN9" s="246" t="s">
        <v>320</v>
      </c>
      <c r="AO9" s="241" t="s">
        <v>338</v>
      </c>
      <c r="AP9" s="245" t="s">
        <v>335</v>
      </c>
      <c r="AQ9" s="245"/>
      <c r="AR9" s="245"/>
    </row>
    <row r="10" spans="1:94" x14ac:dyDescent="0.3">
      <c r="A10" s="241">
        <v>10260</v>
      </c>
      <c r="B10" s="242">
        <v>42202</v>
      </c>
      <c r="C10" s="243" t="s">
        <v>322</v>
      </c>
      <c r="D10" s="244" t="s">
        <v>373</v>
      </c>
      <c r="E10" s="241"/>
      <c r="F10" s="241" t="s">
        <v>323</v>
      </c>
      <c r="G10" s="248">
        <v>42214</v>
      </c>
      <c r="H10" s="245" t="s">
        <v>324</v>
      </c>
      <c r="I10" s="245" t="s">
        <v>325</v>
      </c>
      <c r="J10" s="245"/>
      <c r="K10" s="241" t="s">
        <v>340</v>
      </c>
      <c r="L10" s="254" t="s">
        <v>387</v>
      </c>
      <c r="M10" s="246">
        <v>77</v>
      </c>
      <c r="N10" s="246">
        <v>26.990909090909089</v>
      </c>
      <c r="O10" s="241"/>
      <c r="P10" s="241"/>
      <c r="Q10" s="246" t="s">
        <v>320</v>
      </c>
      <c r="R10" s="241"/>
      <c r="S10" s="244" t="s">
        <v>320</v>
      </c>
      <c r="T10" s="241"/>
      <c r="U10" s="246" t="s">
        <v>320</v>
      </c>
      <c r="V10" s="246" t="s">
        <v>320</v>
      </c>
      <c r="W10" s="246" t="s">
        <v>320</v>
      </c>
      <c r="X10" s="241"/>
      <c r="Y10" s="241"/>
      <c r="Z10" s="241"/>
      <c r="AA10" s="241"/>
      <c r="AB10" s="241"/>
      <c r="AC10" s="241"/>
      <c r="AD10" s="246" t="s">
        <v>320</v>
      </c>
      <c r="AE10" s="246" t="s">
        <v>320</v>
      </c>
      <c r="AF10" s="241"/>
      <c r="AG10" s="241"/>
      <c r="AH10" s="246" t="s">
        <v>320</v>
      </c>
      <c r="AI10" s="241"/>
      <c r="AJ10" s="241"/>
      <c r="AK10" s="246" t="s">
        <v>320</v>
      </c>
      <c r="AL10" s="241"/>
      <c r="AM10" s="246" t="s">
        <v>320</v>
      </c>
      <c r="AN10" s="246" t="s">
        <v>320</v>
      </c>
      <c r="AO10" s="241" t="s">
        <v>327</v>
      </c>
      <c r="AP10" s="245" t="s">
        <v>325</v>
      </c>
      <c r="AQ10" s="245"/>
      <c r="AR10" s="245"/>
    </row>
    <row r="11" spans="1:94" x14ac:dyDescent="0.3">
      <c r="A11" s="241">
        <v>5636</v>
      </c>
      <c r="B11" s="242">
        <v>42202</v>
      </c>
      <c r="C11" s="243" t="s">
        <v>332</v>
      </c>
      <c r="D11" s="244" t="s">
        <v>373</v>
      </c>
      <c r="E11" s="241"/>
      <c r="F11" s="241" t="s">
        <v>333</v>
      </c>
      <c r="G11" s="248">
        <v>41901</v>
      </c>
      <c r="H11" s="245" t="s">
        <v>334</v>
      </c>
      <c r="I11" s="245" t="s">
        <v>335</v>
      </c>
      <c r="J11" s="245"/>
      <c r="K11" s="241" t="s">
        <v>341</v>
      </c>
      <c r="L11" s="254" t="s">
        <v>387</v>
      </c>
      <c r="M11" s="246">
        <v>163.82</v>
      </c>
      <c r="N11" s="246">
        <v>25.35</v>
      </c>
      <c r="O11" s="241"/>
      <c r="P11" s="241"/>
      <c r="Q11" s="246" t="s">
        <v>320</v>
      </c>
      <c r="R11" s="241"/>
      <c r="S11" s="244" t="s">
        <v>320</v>
      </c>
      <c r="T11" s="241"/>
      <c r="U11" s="246" t="s">
        <v>320</v>
      </c>
      <c r="V11" s="246" t="s">
        <v>320</v>
      </c>
      <c r="W11" s="246" t="s">
        <v>320</v>
      </c>
      <c r="X11" s="241"/>
      <c r="Y11" s="241"/>
      <c r="Z11" s="241"/>
      <c r="AA11" s="241"/>
      <c r="AB11" s="241"/>
      <c r="AC11" s="241"/>
      <c r="AD11" s="246" t="s">
        <v>320</v>
      </c>
      <c r="AE11" s="246" t="s">
        <v>320</v>
      </c>
      <c r="AF11" s="241"/>
      <c r="AG11" s="241"/>
      <c r="AH11" s="246" t="s">
        <v>320</v>
      </c>
      <c r="AI11" s="241"/>
      <c r="AJ11" s="241"/>
      <c r="AK11" s="246" t="s">
        <v>320</v>
      </c>
      <c r="AL11" s="241"/>
      <c r="AM11" s="246" t="s">
        <v>320</v>
      </c>
      <c r="AN11" s="246" t="s">
        <v>320</v>
      </c>
      <c r="AO11" s="241" t="s">
        <v>338</v>
      </c>
      <c r="AP11" s="245" t="s">
        <v>335</v>
      </c>
      <c r="AQ11" s="245"/>
      <c r="AR11" s="245"/>
    </row>
    <row r="12" spans="1:94" x14ac:dyDescent="0.3">
      <c r="A12" s="241">
        <v>4371</v>
      </c>
      <c r="B12" s="242">
        <v>42202</v>
      </c>
      <c r="C12" s="243" t="s">
        <v>342</v>
      </c>
      <c r="D12" s="244" t="s">
        <v>373</v>
      </c>
      <c r="E12" s="241"/>
      <c r="F12" s="241" t="s">
        <v>343</v>
      </c>
      <c r="G12" s="248">
        <v>42185</v>
      </c>
      <c r="H12" s="245" t="s">
        <v>344</v>
      </c>
      <c r="I12" s="245" t="s">
        <v>345</v>
      </c>
      <c r="J12" s="245"/>
      <c r="K12" s="241" t="s">
        <v>346</v>
      </c>
      <c r="L12" s="255" t="s">
        <v>387</v>
      </c>
      <c r="M12" s="246">
        <v>83.590909090909093</v>
      </c>
      <c r="N12" s="246">
        <v>26.372727272727271</v>
      </c>
      <c r="O12" s="241"/>
      <c r="P12" s="241"/>
      <c r="Q12" s="246"/>
      <c r="R12" s="155"/>
      <c r="S12" s="244"/>
      <c r="T12" s="241"/>
      <c r="U12" s="246" t="s">
        <v>320</v>
      </c>
      <c r="V12" s="246" t="s">
        <v>320</v>
      </c>
      <c r="W12" s="246" t="s">
        <v>320</v>
      </c>
      <c r="X12" s="241"/>
      <c r="Y12" s="241"/>
      <c r="Z12" s="241"/>
      <c r="AA12" s="241"/>
      <c r="AB12" s="241"/>
      <c r="AC12" s="241"/>
      <c r="AD12" s="246" t="s">
        <v>320</v>
      </c>
      <c r="AE12" s="246" t="s">
        <v>320</v>
      </c>
      <c r="AF12" s="241"/>
      <c r="AG12" s="241"/>
      <c r="AH12" s="246" t="s">
        <v>320</v>
      </c>
      <c r="AI12" s="241"/>
      <c r="AJ12" s="241"/>
      <c r="AK12" s="246" t="s">
        <v>320</v>
      </c>
      <c r="AL12" s="241"/>
      <c r="AM12" s="246" t="s">
        <v>320</v>
      </c>
      <c r="AN12" s="246" t="s">
        <v>320</v>
      </c>
      <c r="AO12" s="241" t="s">
        <v>347</v>
      </c>
      <c r="AP12" s="245" t="s">
        <v>345</v>
      </c>
      <c r="AQ12" s="245"/>
      <c r="AR12" s="245"/>
    </row>
    <row r="13" spans="1:94" x14ac:dyDescent="0.3">
      <c r="A13" s="241">
        <v>10521</v>
      </c>
      <c r="B13" s="242">
        <v>42202</v>
      </c>
      <c r="C13" s="243" t="s">
        <v>322</v>
      </c>
      <c r="D13" s="244" t="s">
        <v>373</v>
      </c>
      <c r="E13" s="241"/>
      <c r="F13" s="241" t="s">
        <v>323</v>
      </c>
      <c r="G13" s="247">
        <v>42201</v>
      </c>
      <c r="H13" s="245" t="s">
        <v>324</v>
      </c>
      <c r="I13" s="245" t="s">
        <v>325</v>
      </c>
      <c r="J13" s="245"/>
      <c r="K13" s="241" t="s">
        <v>348</v>
      </c>
      <c r="L13" s="254" t="s">
        <v>387</v>
      </c>
      <c r="M13" s="246">
        <v>78.527272727272717</v>
      </c>
      <c r="N13" s="246">
        <v>26.836363636363632</v>
      </c>
      <c r="O13" s="241"/>
      <c r="P13" s="241"/>
      <c r="Q13" s="246" t="s">
        <v>320</v>
      </c>
      <c r="R13" s="241"/>
      <c r="S13" s="244" t="s">
        <v>320</v>
      </c>
      <c r="T13" s="241"/>
      <c r="U13" s="246" t="s">
        <v>320</v>
      </c>
      <c r="V13" s="246" t="s">
        <v>320</v>
      </c>
      <c r="W13" s="246" t="s">
        <v>320</v>
      </c>
      <c r="X13" s="241"/>
      <c r="Y13" s="241"/>
      <c r="Z13" s="241"/>
      <c r="AA13" s="241"/>
      <c r="AB13" s="241"/>
      <c r="AC13" s="241"/>
      <c r="AD13" s="246" t="s">
        <v>320</v>
      </c>
      <c r="AE13" s="246" t="s">
        <v>320</v>
      </c>
      <c r="AF13" s="241"/>
      <c r="AG13" s="241"/>
      <c r="AH13" s="246" t="s">
        <v>320</v>
      </c>
      <c r="AI13" s="241"/>
      <c r="AJ13" s="241"/>
      <c r="AK13" s="246" t="s">
        <v>320</v>
      </c>
      <c r="AL13" s="241"/>
      <c r="AM13" s="246" t="s">
        <v>320</v>
      </c>
      <c r="AN13" s="246" t="s">
        <v>320</v>
      </c>
      <c r="AO13" s="241" t="s">
        <v>327</v>
      </c>
      <c r="AP13" s="245" t="s">
        <v>325</v>
      </c>
      <c r="AQ13" s="245"/>
      <c r="AR13" s="245"/>
    </row>
    <row r="14" spans="1:94" x14ac:dyDescent="0.3">
      <c r="A14" s="241">
        <v>10330</v>
      </c>
      <c r="B14" s="242">
        <v>42202</v>
      </c>
      <c r="C14" s="243" t="s">
        <v>332</v>
      </c>
      <c r="D14" s="244" t="s">
        <v>373</v>
      </c>
      <c r="E14" s="241"/>
      <c r="F14" s="241" t="s">
        <v>333</v>
      </c>
      <c r="G14" s="248">
        <v>42187</v>
      </c>
      <c r="H14" s="245" t="s">
        <v>334</v>
      </c>
      <c r="I14" s="245" t="s">
        <v>335</v>
      </c>
      <c r="J14" s="245"/>
      <c r="K14" s="241" t="s">
        <v>349</v>
      </c>
      <c r="L14" s="254" t="s">
        <v>387</v>
      </c>
      <c r="M14" s="246">
        <v>82</v>
      </c>
      <c r="N14" s="246">
        <v>26.499999999999996</v>
      </c>
      <c r="O14" s="241"/>
      <c r="P14" s="241"/>
      <c r="Q14" s="246" t="s">
        <v>320</v>
      </c>
      <c r="R14" s="241"/>
      <c r="S14" s="244" t="s">
        <v>320</v>
      </c>
      <c r="T14" s="241"/>
      <c r="U14" s="246" t="s">
        <v>320</v>
      </c>
      <c r="V14" s="246" t="s">
        <v>320</v>
      </c>
      <c r="W14" s="246" t="s">
        <v>320</v>
      </c>
      <c r="X14" s="241"/>
      <c r="Y14" s="241"/>
      <c r="Z14" s="241"/>
      <c r="AA14" s="241"/>
      <c r="AB14" s="241"/>
      <c r="AC14" s="241"/>
      <c r="AD14" s="246" t="s">
        <v>320</v>
      </c>
      <c r="AE14" s="246" t="s">
        <v>320</v>
      </c>
      <c r="AF14" s="241"/>
      <c r="AG14" s="241"/>
      <c r="AH14" s="246" t="s">
        <v>320</v>
      </c>
      <c r="AI14" s="241"/>
      <c r="AJ14" s="241"/>
      <c r="AK14" s="246" t="s">
        <v>320</v>
      </c>
      <c r="AL14" s="241"/>
      <c r="AM14" s="246" t="s">
        <v>320</v>
      </c>
      <c r="AN14" s="246" t="s">
        <v>320</v>
      </c>
      <c r="AO14" s="241" t="s">
        <v>338</v>
      </c>
      <c r="AP14" s="245" t="s">
        <v>335</v>
      </c>
      <c r="AQ14" s="245"/>
      <c r="AR14" s="245"/>
    </row>
    <row r="15" spans="1:94" x14ac:dyDescent="0.3">
      <c r="A15" s="241">
        <v>10665</v>
      </c>
      <c r="B15" s="242">
        <v>42202</v>
      </c>
      <c r="C15" s="243" t="s">
        <v>236</v>
      </c>
      <c r="D15" s="244" t="s">
        <v>373</v>
      </c>
      <c r="E15" s="241"/>
      <c r="F15" s="241" t="s">
        <v>237</v>
      </c>
      <c r="G15" s="248">
        <v>42185</v>
      </c>
      <c r="H15" s="245" t="s">
        <v>241</v>
      </c>
      <c r="I15" s="245" t="s">
        <v>197</v>
      </c>
      <c r="J15" s="245"/>
      <c r="K15" s="241" t="s">
        <v>252</v>
      </c>
      <c r="L15" s="254" t="s">
        <v>387</v>
      </c>
      <c r="M15" s="246">
        <v>99.72727272727272</v>
      </c>
      <c r="N15" s="246">
        <v>24.863636363636363</v>
      </c>
      <c r="O15" s="241"/>
      <c r="P15" s="241"/>
      <c r="Q15" s="246" t="s">
        <v>320</v>
      </c>
      <c r="R15" s="241"/>
      <c r="S15" s="244" t="s">
        <v>320</v>
      </c>
      <c r="T15" s="241"/>
      <c r="U15" s="246" t="s">
        <v>320</v>
      </c>
      <c r="V15" s="246" t="s">
        <v>320</v>
      </c>
      <c r="W15" s="246" t="s">
        <v>320</v>
      </c>
      <c r="X15" s="241"/>
      <c r="Y15" s="241"/>
      <c r="Z15" s="241"/>
      <c r="AA15" s="241"/>
      <c r="AB15" s="241"/>
      <c r="AC15" s="241"/>
      <c r="AD15" s="246" t="s">
        <v>320</v>
      </c>
      <c r="AE15" s="246" t="s">
        <v>320</v>
      </c>
      <c r="AF15" s="241"/>
      <c r="AG15" s="241"/>
      <c r="AH15" s="246" t="s">
        <v>320</v>
      </c>
      <c r="AI15" s="241"/>
      <c r="AJ15" s="241"/>
      <c r="AK15" s="246" t="s">
        <v>320</v>
      </c>
      <c r="AL15" s="241"/>
      <c r="AM15" s="246" t="s">
        <v>320</v>
      </c>
      <c r="AN15" s="246" t="s">
        <v>320</v>
      </c>
      <c r="AO15" s="241" t="s">
        <v>196</v>
      </c>
      <c r="AP15" s="245" t="s">
        <v>197</v>
      </c>
      <c r="AQ15" s="245"/>
      <c r="AR15" s="245"/>
    </row>
    <row r="16" spans="1:94" x14ac:dyDescent="0.3">
      <c r="A16" s="241">
        <v>1387</v>
      </c>
      <c r="B16" s="242">
        <v>42202</v>
      </c>
      <c r="C16" s="243" t="s">
        <v>332</v>
      </c>
      <c r="D16" s="244" t="s">
        <v>373</v>
      </c>
      <c r="E16" s="241"/>
      <c r="F16" s="241" t="s">
        <v>333</v>
      </c>
      <c r="G16" s="247">
        <v>42185</v>
      </c>
      <c r="H16" s="245" t="s">
        <v>334</v>
      </c>
      <c r="I16" s="245" t="s">
        <v>335</v>
      </c>
      <c r="J16" s="245"/>
      <c r="K16" s="241" t="s">
        <v>350</v>
      </c>
      <c r="L16" s="254" t="s">
        <v>387</v>
      </c>
      <c r="M16" s="246">
        <v>92.3</v>
      </c>
      <c r="N16" s="246">
        <v>25.5</v>
      </c>
      <c r="O16" s="244"/>
      <c r="P16" s="241"/>
      <c r="Q16" s="246"/>
      <c r="R16" s="241"/>
      <c r="S16" s="244" t="s">
        <v>320</v>
      </c>
      <c r="T16" s="241"/>
      <c r="U16" s="246" t="s">
        <v>320</v>
      </c>
      <c r="V16" s="246" t="s">
        <v>320</v>
      </c>
      <c r="W16" s="246" t="s">
        <v>320</v>
      </c>
      <c r="X16" s="241"/>
      <c r="Y16" s="241"/>
      <c r="Z16" s="241"/>
      <c r="AA16" s="241"/>
      <c r="AB16" s="241"/>
      <c r="AC16" s="241"/>
      <c r="AD16" s="246" t="s">
        <v>320</v>
      </c>
      <c r="AE16" s="246" t="s">
        <v>320</v>
      </c>
      <c r="AF16" s="241"/>
      <c r="AG16" s="241"/>
      <c r="AH16" s="246" t="s">
        <v>320</v>
      </c>
      <c r="AI16" s="241"/>
      <c r="AJ16" s="241"/>
      <c r="AK16" s="246" t="s">
        <v>320</v>
      </c>
      <c r="AL16" s="241"/>
      <c r="AM16" s="246" t="s">
        <v>320</v>
      </c>
      <c r="AN16" s="246" t="s">
        <v>320</v>
      </c>
      <c r="AO16" s="241" t="s">
        <v>338</v>
      </c>
      <c r="AP16" s="245" t="s">
        <v>335</v>
      </c>
      <c r="AQ16" s="245"/>
      <c r="AR16" s="245"/>
    </row>
    <row r="17" spans="1:94" x14ac:dyDescent="0.3">
      <c r="A17" s="241">
        <v>3593</v>
      </c>
      <c r="B17" s="242">
        <v>42202</v>
      </c>
      <c r="C17" s="243" t="s">
        <v>223</v>
      </c>
      <c r="D17" s="244" t="s">
        <v>373</v>
      </c>
      <c r="E17" s="241"/>
      <c r="F17" s="241" t="s">
        <v>225</v>
      </c>
      <c r="G17" s="248">
        <v>42192</v>
      </c>
      <c r="H17" s="245" t="s">
        <v>226</v>
      </c>
      <c r="I17" s="245" t="s">
        <v>227</v>
      </c>
      <c r="J17" s="245"/>
      <c r="K17" s="241" t="s">
        <v>352</v>
      </c>
      <c r="L17" s="254" t="s">
        <v>387</v>
      </c>
      <c r="M17" s="246">
        <v>82.081818181818178</v>
      </c>
      <c r="N17" s="246">
        <v>24.099999999999998</v>
      </c>
      <c r="O17" s="241"/>
      <c r="P17" s="241"/>
      <c r="Q17" s="246" t="s">
        <v>320</v>
      </c>
      <c r="R17" s="241"/>
      <c r="S17" s="244" t="s">
        <v>320</v>
      </c>
      <c r="T17" s="241"/>
      <c r="U17" s="246" t="s">
        <v>320</v>
      </c>
      <c r="V17" s="246" t="s">
        <v>320</v>
      </c>
      <c r="W17" s="246" t="s">
        <v>320</v>
      </c>
      <c r="X17" s="241"/>
      <c r="Y17" s="241"/>
      <c r="Z17" s="241"/>
      <c r="AA17" s="241"/>
      <c r="AB17" s="241"/>
      <c r="AC17" s="241"/>
      <c r="AD17" s="246" t="s">
        <v>320</v>
      </c>
      <c r="AE17" s="246" t="s">
        <v>320</v>
      </c>
      <c r="AF17" s="241"/>
      <c r="AG17" s="241"/>
      <c r="AH17" s="246" t="s">
        <v>320</v>
      </c>
      <c r="AI17" s="241"/>
      <c r="AJ17" s="241"/>
      <c r="AK17" s="246" t="s">
        <v>320</v>
      </c>
      <c r="AL17" s="241"/>
      <c r="AM17" s="246" t="s">
        <v>320</v>
      </c>
      <c r="AN17" s="246" t="s">
        <v>320</v>
      </c>
      <c r="AO17" s="241" t="s">
        <v>321</v>
      </c>
      <c r="AP17" s="245" t="s">
        <v>227</v>
      </c>
      <c r="AQ17" s="245"/>
      <c r="AR17" s="245"/>
    </row>
    <row r="18" spans="1:94" x14ac:dyDescent="0.3">
      <c r="A18" s="241">
        <v>10368</v>
      </c>
      <c r="B18" s="242">
        <v>42202</v>
      </c>
      <c r="C18" s="243" t="s">
        <v>322</v>
      </c>
      <c r="D18" s="244" t="s">
        <v>373</v>
      </c>
      <c r="E18" s="241"/>
      <c r="F18" s="241" t="s">
        <v>323</v>
      </c>
      <c r="G18" s="248">
        <v>42185</v>
      </c>
      <c r="H18" s="245" t="s">
        <v>310</v>
      </c>
      <c r="I18" s="245" t="s">
        <v>309</v>
      </c>
      <c r="J18" s="245"/>
      <c r="K18" s="241" t="s">
        <v>374</v>
      </c>
      <c r="L18" s="254" t="s">
        <v>387</v>
      </c>
      <c r="M18" s="246">
        <v>100</v>
      </c>
      <c r="N18" s="246">
        <v>24.8</v>
      </c>
      <c r="O18" s="241" t="s">
        <v>351</v>
      </c>
      <c r="P18" s="241">
        <v>1350</v>
      </c>
      <c r="Q18" s="246">
        <v>28</v>
      </c>
      <c r="R18" s="256">
        <v>1350</v>
      </c>
      <c r="S18" s="246">
        <v>28</v>
      </c>
      <c r="T18" s="241"/>
      <c r="U18" s="246" t="s">
        <v>320</v>
      </c>
      <c r="V18" s="246" t="s">
        <v>320</v>
      </c>
      <c r="W18" s="246" t="s">
        <v>320</v>
      </c>
      <c r="X18" s="241"/>
      <c r="Y18" s="241"/>
      <c r="Z18" s="241"/>
      <c r="AA18" s="241"/>
      <c r="AB18" s="241"/>
      <c r="AC18" s="241"/>
      <c r="AD18" s="246" t="s">
        <v>320</v>
      </c>
      <c r="AE18" s="246" t="s">
        <v>320</v>
      </c>
      <c r="AF18" s="241"/>
      <c r="AG18" s="241"/>
      <c r="AH18" s="246" t="s">
        <v>320</v>
      </c>
      <c r="AI18" s="241"/>
      <c r="AJ18" s="241"/>
      <c r="AK18" s="246" t="s">
        <v>320</v>
      </c>
      <c r="AL18" s="241"/>
      <c r="AM18" s="246" t="s">
        <v>320</v>
      </c>
      <c r="AN18" s="246" t="s">
        <v>320</v>
      </c>
      <c r="AO18" s="241" t="s">
        <v>327</v>
      </c>
      <c r="AP18" s="245" t="s">
        <v>325</v>
      </c>
      <c r="AQ18" s="245"/>
      <c r="AR18" s="245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241">
        <v>9674</v>
      </c>
      <c r="B19" s="242">
        <v>42202</v>
      </c>
      <c r="C19" s="243" t="s">
        <v>322</v>
      </c>
      <c r="D19" s="244" t="s">
        <v>373</v>
      </c>
      <c r="E19" s="241"/>
      <c r="F19" s="241" t="s">
        <v>323</v>
      </c>
      <c r="G19" s="248">
        <v>42188</v>
      </c>
      <c r="H19" s="245" t="s">
        <v>325</v>
      </c>
      <c r="I19" s="245" t="s">
        <v>353</v>
      </c>
      <c r="J19" s="245"/>
      <c r="K19" s="241" t="s">
        <v>307</v>
      </c>
      <c r="L19" s="255" t="s">
        <v>387</v>
      </c>
      <c r="M19" s="246">
        <v>90</v>
      </c>
      <c r="N19" s="246">
        <v>25.77</v>
      </c>
      <c r="O19" s="241"/>
      <c r="P19" s="241"/>
      <c r="Q19" s="246" t="s">
        <v>320</v>
      </c>
      <c r="R19" s="241"/>
      <c r="S19" s="244" t="s">
        <v>320</v>
      </c>
      <c r="T19" s="241"/>
      <c r="U19" s="246" t="s">
        <v>320</v>
      </c>
      <c r="V19" s="246" t="s">
        <v>320</v>
      </c>
      <c r="W19" s="246" t="s">
        <v>320</v>
      </c>
      <c r="X19" s="241"/>
      <c r="Y19" s="241"/>
      <c r="Z19" s="241"/>
      <c r="AA19" s="241"/>
      <c r="AB19" s="241"/>
      <c r="AC19" s="241"/>
      <c r="AD19" s="246" t="s">
        <v>320</v>
      </c>
      <c r="AE19" s="246" t="s">
        <v>320</v>
      </c>
      <c r="AF19" s="241"/>
      <c r="AG19" s="241"/>
      <c r="AH19" s="246" t="s">
        <v>320</v>
      </c>
      <c r="AI19" s="241"/>
      <c r="AJ19" s="241"/>
      <c r="AK19" s="246" t="s">
        <v>320</v>
      </c>
      <c r="AL19" s="241"/>
      <c r="AM19" s="246" t="s">
        <v>320</v>
      </c>
      <c r="AN19" s="246" t="s">
        <v>320</v>
      </c>
      <c r="AO19" s="241" t="s">
        <v>327</v>
      </c>
      <c r="AP19" s="245" t="s">
        <v>325</v>
      </c>
      <c r="AQ19" s="245"/>
      <c r="AR19" s="245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241">
        <v>9900</v>
      </c>
      <c r="B20" s="242">
        <v>42202</v>
      </c>
      <c r="C20" s="243" t="s">
        <v>332</v>
      </c>
      <c r="D20" s="244" t="s">
        <v>373</v>
      </c>
      <c r="E20" s="241"/>
      <c r="F20" s="241" t="s">
        <v>333</v>
      </c>
      <c r="G20" s="248">
        <v>42185</v>
      </c>
      <c r="H20" s="245" t="s">
        <v>334</v>
      </c>
      <c r="I20" s="245" t="s">
        <v>335</v>
      </c>
      <c r="J20" s="245"/>
      <c r="K20" s="244" t="s">
        <v>354</v>
      </c>
      <c r="L20" s="255" t="s">
        <v>387</v>
      </c>
      <c r="M20" s="246">
        <v>117.14</v>
      </c>
      <c r="N20" s="246">
        <v>23</v>
      </c>
      <c r="O20" s="241"/>
      <c r="P20" s="241"/>
      <c r="Q20" s="246" t="s">
        <v>320</v>
      </c>
      <c r="R20" s="241"/>
      <c r="S20" s="244" t="s">
        <v>320</v>
      </c>
      <c r="T20" s="241"/>
      <c r="U20" s="246" t="s">
        <v>320</v>
      </c>
      <c r="V20" s="246" t="s">
        <v>320</v>
      </c>
      <c r="W20" s="246" t="s">
        <v>320</v>
      </c>
      <c r="X20" s="241"/>
      <c r="Y20" s="241"/>
      <c r="Z20" s="241"/>
      <c r="AA20" s="241"/>
      <c r="AB20" s="241"/>
      <c r="AC20" s="241"/>
      <c r="AD20" s="246" t="s">
        <v>320</v>
      </c>
      <c r="AE20" s="246" t="s">
        <v>320</v>
      </c>
      <c r="AF20" s="241"/>
      <c r="AG20" s="241"/>
      <c r="AH20" s="246" t="s">
        <v>320</v>
      </c>
      <c r="AI20" s="241"/>
      <c r="AJ20" s="241"/>
      <c r="AK20" s="246" t="s">
        <v>320</v>
      </c>
      <c r="AL20" s="241"/>
      <c r="AM20" s="246" t="s">
        <v>320</v>
      </c>
      <c r="AN20" s="246" t="s">
        <v>320</v>
      </c>
      <c r="AO20" s="241" t="s">
        <v>338</v>
      </c>
      <c r="AP20" s="245" t="s">
        <v>335</v>
      </c>
      <c r="AQ20" s="245"/>
      <c r="AR20" s="245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</row>
    <row r="21" spans="1:94" x14ac:dyDescent="0.3">
      <c r="A21" s="241">
        <v>8971</v>
      </c>
      <c r="B21" s="242">
        <v>42202</v>
      </c>
      <c r="C21" s="243" t="s">
        <v>322</v>
      </c>
      <c r="D21" s="244" t="s">
        <v>373</v>
      </c>
      <c r="E21" s="241"/>
      <c r="F21" s="241" t="s">
        <v>323</v>
      </c>
      <c r="G21" s="242">
        <v>41934</v>
      </c>
      <c r="H21" s="245" t="s">
        <v>310</v>
      </c>
      <c r="I21" s="245" t="s">
        <v>325</v>
      </c>
      <c r="J21" s="245"/>
      <c r="K21" s="241" t="s">
        <v>375</v>
      </c>
      <c r="L21" s="254" t="s">
        <v>387</v>
      </c>
      <c r="M21" s="246">
        <v>92.88</v>
      </c>
      <c r="N21" s="246">
        <v>31.82</v>
      </c>
      <c r="O21" s="241"/>
      <c r="P21" s="241"/>
      <c r="Q21" s="246" t="s">
        <v>320</v>
      </c>
      <c r="R21" s="241"/>
      <c r="S21" s="244" t="s">
        <v>320</v>
      </c>
      <c r="T21" s="241"/>
      <c r="U21" s="246" t="s">
        <v>320</v>
      </c>
      <c r="V21" s="246" t="s">
        <v>320</v>
      </c>
      <c r="W21" s="246" t="s">
        <v>320</v>
      </c>
      <c r="X21" s="241"/>
      <c r="Y21" s="241"/>
      <c r="Z21" s="241"/>
      <c r="AA21" s="241"/>
      <c r="AB21" s="241"/>
      <c r="AC21" s="241"/>
      <c r="AD21" s="246" t="s">
        <v>320</v>
      </c>
      <c r="AE21" s="246" t="s">
        <v>320</v>
      </c>
      <c r="AF21" s="241"/>
      <c r="AG21" s="241"/>
      <c r="AH21" s="246" t="s">
        <v>320</v>
      </c>
      <c r="AI21" s="241"/>
      <c r="AJ21" s="241"/>
      <c r="AK21" s="246" t="s">
        <v>320</v>
      </c>
      <c r="AL21" s="241"/>
      <c r="AM21" s="246" t="s">
        <v>320</v>
      </c>
      <c r="AN21" s="246" t="s">
        <v>320</v>
      </c>
      <c r="AO21" s="241" t="s">
        <v>327</v>
      </c>
      <c r="AP21" s="245" t="s">
        <v>325</v>
      </c>
      <c r="AQ21" s="245"/>
      <c r="AR21" s="245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241">
        <v>10028</v>
      </c>
      <c r="B22" s="242">
        <v>42202</v>
      </c>
      <c r="C22" s="243" t="s">
        <v>189</v>
      </c>
      <c r="D22" s="244" t="s">
        <v>373</v>
      </c>
      <c r="E22" s="241"/>
      <c r="F22" s="241" t="s">
        <v>191</v>
      </c>
      <c r="G22" s="248">
        <v>42185</v>
      </c>
      <c r="H22" s="249" t="s">
        <v>309</v>
      </c>
      <c r="I22" s="249" t="s">
        <v>355</v>
      </c>
      <c r="J22" s="245"/>
      <c r="K22" s="244" t="s">
        <v>356</v>
      </c>
      <c r="L22" s="254" t="s">
        <v>387</v>
      </c>
      <c r="M22" s="246">
        <v>70.36363636363636</v>
      </c>
      <c r="N22" s="246">
        <v>27.61</v>
      </c>
      <c r="O22" s="241"/>
      <c r="P22" s="241"/>
      <c r="Q22" s="246" t="s">
        <v>320</v>
      </c>
      <c r="R22" s="241"/>
      <c r="S22" s="244" t="s">
        <v>320</v>
      </c>
      <c r="T22" s="241"/>
      <c r="U22" s="246" t="s">
        <v>320</v>
      </c>
      <c r="V22" s="246" t="s">
        <v>320</v>
      </c>
      <c r="W22" s="246" t="s">
        <v>320</v>
      </c>
      <c r="X22" s="241"/>
      <c r="Y22" s="241"/>
      <c r="Z22" s="241"/>
      <c r="AA22" s="241"/>
      <c r="AB22" s="241"/>
      <c r="AC22" s="241"/>
      <c r="AD22" s="246" t="s">
        <v>320</v>
      </c>
      <c r="AE22" s="246" t="s">
        <v>320</v>
      </c>
      <c r="AF22" s="241"/>
      <c r="AG22" s="241"/>
      <c r="AH22" s="246" t="s">
        <v>320</v>
      </c>
      <c r="AI22" s="241"/>
      <c r="AJ22" s="241"/>
      <c r="AK22" s="246" t="s">
        <v>320</v>
      </c>
      <c r="AL22" s="241"/>
      <c r="AM22" s="246" t="s">
        <v>320</v>
      </c>
      <c r="AN22" s="246" t="s">
        <v>320</v>
      </c>
      <c r="AO22" s="241" t="s">
        <v>357</v>
      </c>
      <c r="AP22" s="245" t="s">
        <v>193</v>
      </c>
      <c r="AQ22" s="245"/>
      <c r="AR22" s="245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</row>
    <row r="23" spans="1:94" x14ac:dyDescent="0.3">
      <c r="A23" s="241">
        <v>10009</v>
      </c>
      <c r="B23" s="242">
        <v>42203</v>
      </c>
      <c r="C23" s="243" t="s">
        <v>223</v>
      </c>
      <c r="D23" s="244" t="s">
        <v>373</v>
      </c>
      <c r="E23" s="241"/>
      <c r="F23" s="241" t="s">
        <v>229</v>
      </c>
      <c r="G23" s="242">
        <v>42187</v>
      </c>
      <c r="H23" s="245" t="s">
        <v>226</v>
      </c>
      <c r="I23" s="245" t="s">
        <v>227</v>
      </c>
      <c r="J23" s="245"/>
      <c r="K23" s="241" t="s">
        <v>319</v>
      </c>
      <c r="L23" s="254" t="s">
        <v>387</v>
      </c>
      <c r="M23" s="246">
        <v>140.90909090909091</v>
      </c>
      <c r="N23" s="246">
        <v>21.818181818181817</v>
      </c>
      <c r="O23" s="241"/>
      <c r="P23" s="241"/>
      <c r="Q23" s="246" t="s">
        <v>320</v>
      </c>
      <c r="R23" s="241"/>
      <c r="S23" s="244" t="s">
        <v>320</v>
      </c>
      <c r="T23" s="241"/>
      <c r="U23" s="246" t="s">
        <v>320</v>
      </c>
      <c r="V23" s="246" t="s">
        <v>320</v>
      </c>
      <c r="W23" s="246" t="s">
        <v>320</v>
      </c>
      <c r="X23" s="241"/>
      <c r="Y23" s="241"/>
      <c r="Z23" s="241"/>
      <c r="AA23" s="241"/>
      <c r="AB23" s="241"/>
      <c r="AC23" s="241"/>
      <c r="AD23" s="246" t="s">
        <v>320</v>
      </c>
      <c r="AE23" s="246">
        <v>14.999999999999998</v>
      </c>
      <c r="AF23" s="241"/>
      <c r="AG23" s="241"/>
      <c r="AH23" s="246" t="s">
        <v>320</v>
      </c>
      <c r="AI23" s="241"/>
      <c r="AJ23" s="241"/>
      <c r="AK23" s="246" t="s">
        <v>320</v>
      </c>
      <c r="AL23" s="241"/>
      <c r="AM23" s="246" t="s">
        <v>320</v>
      </c>
      <c r="AN23" s="246" t="s">
        <v>320</v>
      </c>
      <c r="AO23" s="241" t="s">
        <v>359</v>
      </c>
      <c r="AP23" s="245" t="s">
        <v>227</v>
      </c>
      <c r="AQ23" s="245"/>
      <c r="AR23" s="245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</row>
    <row r="24" spans="1:94" x14ac:dyDescent="0.3">
      <c r="A24" s="241">
        <v>10411</v>
      </c>
      <c r="B24" s="242">
        <v>42202</v>
      </c>
      <c r="C24" s="243" t="s">
        <v>322</v>
      </c>
      <c r="D24" s="244" t="s">
        <v>373</v>
      </c>
      <c r="E24" s="241"/>
      <c r="F24" s="241" t="s">
        <v>360</v>
      </c>
      <c r="G24" s="242">
        <v>42187</v>
      </c>
      <c r="H24" s="245" t="s">
        <v>324</v>
      </c>
      <c r="I24" s="245" t="s">
        <v>325</v>
      </c>
      <c r="J24" s="245"/>
      <c r="K24" s="241" t="s">
        <v>326</v>
      </c>
      <c r="L24" s="254" t="s">
        <v>387</v>
      </c>
      <c r="M24" s="246">
        <v>84</v>
      </c>
      <c r="N24" s="246">
        <v>26.499999999999996</v>
      </c>
      <c r="O24" s="241"/>
      <c r="P24" s="241"/>
      <c r="Q24" s="246" t="s">
        <v>320</v>
      </c>
      <c r="R24" s="241"/>
      <c r="S24" s="244" t="s">
        <v>320</v>
      </c>
      <c r="T24" s="241"/>
      <c r="U24" s="246" t="s">
        <v>320</v>
      </c>
      <c r="V24" s="246" t="s">
        <v>320</v>
      </c>
      <c r="W24" s="246" t="s">
        <v>320</v>
      </c>
      <c r="X24" s="241"/>
      <c r="Y24" s="241"/>
      <c r="Z24" s="241"/>
      <c r="AA24" s="241"/>
      <c r="AB24" s="241"/>
      <c r="AC24" s="241"/>
      <c r="AD24" s="246" t="s">
        <v>320</v>
      </c>
      <c r="AE24" s="246">
        <v>13.972727272727271</v>
      </c>
      <c r="AF24" s="241"/>
      <c r="AG24" s="241"/>
      <c r="AH24" s="246" t="s">
        <v>320</v>
      </c>
      <c r="AI24" s="241"/>
      <c r="AJ24" s="241"/>
      <c r="AK24" s="246" t="s">
        <v>320</v>
      </c>
      <c r="AL24" s="241"/>
      <c r="AM24" s="246" t="s">
        <v>320</v>
      </c>
      <c r="AN24" s="246" t="s">
        <v>320</v>
      </c>
      <c r="AO24" s="241" t="s">
        <v>361</v>
      </c>
      <c r="AP24" s="245" t="s">
        <v>325</v>
      </c>
      <c r="AQ24" s="245"/>
      <c r="AR24" s="245"/>
    </row>
    <row r="25" spans="1:94" x14ac:dyDescent="0.3">
      <c r="A25" s="241">
        <v>10498</v>
      </c>
      <c r="B25" s="242">
        <v>42202</v>
      </c>
      <c r="C25" s="243" t="s">
        <v>322</v>
      </c>
      <c r="D25" s="244" t="s">
        <v>373</v>
      </c>
      <c r="E25" s="241"/>
      <c r="F25" s="241" t="s">
        <v>360</v>
      </c>
      <c r="G25" s="247">
        <v>42185</v>
      </c>
      <c r="H25" s="245" t="s">
        <v>324</v>
      </c>
      <c r="I25" s="245" t="s">
        <v>325</v>
      </c>
      <c r="J25" s="245"/>
      <c r="K25" s="241" t="s">
        <v>328</v>
      </c>
      <c r="L25" s="254" t="s">
        <v>387</v>
      </c>
      <c r="M25" s="246">
        <v>88</v>
      </c>
      <c r="N25" s="246">
        <v>22.709090909090907</v>
      </c>
      <c r="O25" s="241"/>
      <c r="P25" s="241"/>
      <c r="Q25" s="246" t="s">
        <v>320</v>
      </c>
      <c r="R25" s="241"/>
      <c r="S25" s="244" t="s">
        <v>320</v>
      </c>
      <c r="T25" s="241"/>
      <c r="U25" s="246" t="s">
        <v>320</v>
      </c>
      <c r="V25" s="246" t="s">
        <v>320</v>
      </c>
      <c r="W25" s="246" t="s">
        <v>320</v>
      </c>
      <c r="X25" s="241"/>
      <c r="Y25" s="241"/>
      <c r="Z25" s="241"/>
      <c r="AA25" s="241"/>
      <c r="AB25" s="241"/>
      <c r="AC25" s="241"/>
      <c r="AD25" s="246" t="s">
        <v>320</v>
      </c>
      <c r="AE25" s="246">
        <v>9.290909090909091</v>
      </c>
      <c r="AF25" s="241"/>
      <c r="AG25" s="241"/>
      <c r="AH25" s="246" t="s">
        <v>320</v>
      </c>
      <c r="AI25" s="241"/>
      <c r="AJ25" s="241"/>
      <c r="AK25" s="246" t="s">
        <v>320</v>
      </c>
      <c r="AL25" s="241"/>
      <c r="AM25" s="246" t="s">
        <v>320</v>
      </c>
      <c r="AN25" s="246" t="s">
        <v>320</v>
      </c>
      <c r="AO25" s="241" t="s">
        <v>361</v>
      </c>
      <c r="AP25" s="245" t="s">
        <v>325</v>
      </c>
      <c r="AQ25" s="245"/>
      <c r="AR25" s="245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</row>
    <row r="26" spans="1:94" x14ac:dyDescent="0.3">
      <c r="A26" s="241">
        <v>10590</v>
      </c>
      <c r="B26" s="242">
        <v>42202</v>
      </c>
      <c r="C26" s="243" t="s">
        <v>322</v>
      </c>
      <c r="D26" s="244" t="s">
        <v>373</v>
      </c>
      <c r="E26" s="241"/>
      <c r="F26" s="241" t="s">
        <v>360</v>
      </c>
      <c r="G26" s="248">
        <v>42188</v>
      </c>
      <c r="H26" s="245" t="s">
        <v>310</v>
      </c>
      <c r="I26" s="245" t="s">
        <v>309</v>
      </c>
      <c r="J26" s="245"/>
      <c r="K26" s="241" t="s">
        <v>329</v>
      </c>
      <c r="L26" s="255" t="s">
        <v>387</v>
      </c>
      <c r="M26" s="246">
        <v>90</v>
      </c>
      <c r="N26" s="246">
        <v>25.77</v>
      </c>
      <c r="O26" s="241"/>
      <c r="P26" s="241"/>
      <c r="Q26" s="246" t="s">
        <v>320</v>
      </c>
      <c r="R26" s="241"/>
      <c r="S26" s="244" t="s">
        <v>320</v>
      </c>
      <c r="T26" s="241"/>
      <c r="U26" s="246" t="s">
        <v>320</v>
      </c>
      <c r="V26" s="246" t="s">
        <v>320</v>
      </c>
      <c r="W26" s="246" t="s">
        <v>320</v>
      </c>
      <c r="X26" s="241"/>
      <c r="Y26" s="241"/>
      <c r="Z26" s="241"/>
      <c r="AA26" s="241"/>
      <c r="AB26" s="241"/>
      <c r="AC26" s="241"/>
      <c r="AD26" s="246" t="s">
        <v>320</v>
      </c>
      <c r="AE26" s="246">
        <v>15.31</v>
      </c>
      <c r="AF26" s="241"/>
      <c r="AG26" s="241"/>
      <c r="AH26" s="246" t="s">
        <v>320</v>
      </c>
      <c r="AI26" s="241"/>
      <c r="AJ26" s="241"/>
      <c r="AK26" s="246" t="s">
        <v>320</v>
      </c>
      <c r="AL26" s="241"/>
      <c r="AM26" s="246" t="s">
        <v>320</v>
      </c>
      <c r="AN26" s="246" t="s">
        <v>320</v>
      </c>
      <c r="AO26" s="241" t="s">
        <v>361</v>
      </c>
      <c r="AP26" s="245" t="s">
        <v>325</v>
      </c>
      <c r="AQ26" s="245"/>
      <c r="AR26" s="245"/>
    </row>
    <row r="27" spans="1:94" x14ac:dyDescent="0.3">
      <c r="A27" s="241">
        <v>1470</v>
      </c>
      <c r="B27" s="242">
        <v>42202</v>
      </c>
      <c r="C27" s="243" t="s">
        <v>322</v>
      </c>
      <c r="D27" s="244" t="s">
        <v>373</v>
      </c>
      <c r="E27" s="241"/>
      <c r="F27" s="241" t="s">
        <v>360</v>
      </c>
      <c r="G27" s="248">
        <v>42185</v>
      </c>
      <c r="H27" s="245" t="s">
        <v>324</v>
      </c>
      <c r="I27" s="245" t="s">
        <v>325</v>
      </c>
      <c r="J27" s="245"/>
      <c r="K27" s="241" t="s">
        <v>330</v>
      </c>
      <c r="L27" s="255" t="s">
        <v>387</v>
      </c>
      <c r="M27" s="246">
        <v>91.93</v>
      </c>
      <c r="N27" s="246">
        <v>25.89</v>
      </c>
      <c r="O27" s="241"/>
      <c r="P27" s="241"/>
      <c r="Q27" s="246" t="s">
        <v>320</v>
      </c>
      <c r="R27" s="241"/>
      <c r="S27" s="244" t="s">
        <v>320</v>
      </c>
      <c r="T27" s="241"/>
      <c r="U27" s="246" t="s">
        <v>320</v>
      </c>
      <c r="V27" s="246" t="s">
        <v>320</v>
      </c>
      <c r="W27" s="246" t="s">
        <v>320</v>
      </c>
      <c r="X27" s="241"/>
      <c r="Y27" s="241"/>
      <c r="Z27" s="241"/>
      <c r="AA27" s="241"/>
      <c r="AB27" s="241"/>
      <c r="AC27" s="241"/>
      <c r="AD27" s="246" t="s">
        <v>320</v>
      </c>
      <c r="AE27" s="246">
        <v>14.67</v>
      </c>
      <c r="AF27" s="241"/>
      <c r="AG27" s="241"/>
      <c r="AH27" s="246" t="s">
        <v>320</v>
      </c>
      <c r="AI27" s="241"/>
      <c r="AJ27" s="241"/>
      <c r="AK27" s="246" t="s">
        <v>320</v>
      </c>
      <c r="AL27" s="241"/>
      <c r="AM27" s="246" t="s">
        <v>320</v>
      </c>
      <c r="AN27" s="246" t="s">
        <v>320</v>
      </c>
      <c r="AO27" s="241" t="s">
        <v>361</v>
      </c>
      <c r="AP27" s="245" t="s">
        <v>325</v>
      </c>
      <c r="AQ27" s="245"/>
      <c r="AR27" s="245"/>
    </row>
    <row r="28" spans="1:94" x14ac:dyDescent="0.3">
      <c r="A28" s="241">
        <v>4651</v>
      </c>
      <c r="B28" s="242">
        <v>42202</v>
      </c>
      <c r="C28" s="243" t="s">
        <v>322</v>
      </c>
      <c r="D28" s="244" t="s">
        <v>373</v>
      </c>
      <c r="E28" s="241"/>
      <c r="F28" s="241" t="s">
        <v>360</v>
      </c>
      <c r="G28" s="248">
        <v>42185</v>
      </c>
      <c r="H28" s="245" t="s">
        <v>324</v>
      </c>
      <c r="I28" s="245" t="s">
        <v>325</v>
      </c>
      <c r="J28" s="245"/>
      <c r="K28" s="241" t="s">
        <v>331</v>
      </c>
      <c r="L28" s="255" t="s">
        <v>387</v>
      </c>
      <c r="M28" s="246">
        <v>89</v>
      </c>
      <c r="N28" s="246">
        <v>24.999999999999996</v>
      </c>
      <c r="O28" s="241"/>
      <c r="P28" s="241"/>
      <c r="Q28" s="246" t="s">
        <v>320</v>
      </c>
      <c r="R28" s="241"/>
      <c r="S28" s="244" t="s">
        <v>320</v>
      </c>
      <c r="T28" s="241"/>
      <c r="U28" s="246" t="s">
        <v>320</v>
      </c>
      <c r="V28" s="246" t="s">
        <v>320</v>
      </c>
      <c r="W28" s="246" t="s">
        <v>320</v>
      </c>
      <c r="X28" s="241"/>
      <c r="Y28" s="241"/>
      <c r="Z28" s="241"/>
      <c r="AA28" s="241"/>
      <c r="AB28" s="241"/>
      <c r="AC28" s="241"/>
      <c r="AD28" s="246" t="s">
        <v>320</v>
      </c>
      <c r="AE28" s="246">
        <v>16.399999999999999</v>
      </c>
      <c r="AF28" s="241"/>
      <c r="AG28" s="241"/>
      <c r="AH28" s="246" t="s">
        <v>320</v>
      </c>
      <c r="AI28" s="241"/>
      <c r="AJ28" s="241"/>
      <c r="AK28" s="246" t="s">
        <v>320</v>
      </c>
      <c r="AL28" s="241"/>
      <c r="AM28" s="246" t="s">
        <v>320</v>
      </c>
      <c r="AN28" s="246" t="s">
        <v>320</v>
      </c>
      <c r="AO28" s="241" t="s">
        <v>361</v>
      </c>
      <c r="AP28" s="245" t="s">
        <v>325</v>
      </c>
      <c r="AQ28" s="245"/>
      <c r="AR28" s="245"/>
    </row>
    <row r="29" spans="1:94" x14ac:dyDescent="0.3">
      <c r="A29" s="241">
        <v>1440</v>
      </c>
      <c r="B29" s="242">
        <v>42202</v>
      </c>
      <c r="C29" s="243" t="s">
        <v>332</v>
      </c>
      <c r="D29" s="244" t="s">
        <v>373</v>
      </c>
      <c r="E29" s="241"/>
      <c r="F29" s="241" t="s">
        <v>362</v>
      </c>
      <c r="G29" s="248">
        <v>42185</v>
      </c>
      <c r="H29" s="245" t="s">
        <v>334</v>
      </c>
      <c r="I29" s="245" t="s">
        <v>335</v>
      </c>
      <c r="J29" s="245"/>
      <c r="K29" s="241" t="s">
        <v>336</v>
      </c>
      <c r="L29" s="255" t="s">
        <v>387</v>
      </c>
      <c r="M29" s="246">
        <v>78.53</v>
      </c>
      <c r="N29" s="246">
        <v>26.84</v>
      </c>
      <c r="O29" s="241"/>
      <c r="P29" s="241"/>
      <c r="Q29" s="246" t="s">
        <v>320</v>
      </c>
      <c r="R29" s="241"/>
      <c r="S29" s="244" t="s">
        <v>320</v>
      </c>
      <c r="T29" s="241"/>
      <c r="U29" s="246" t="s">
        <v>320</v>
      </c>
      <c r="V29" s="246" t="s">
        <v>320</v>
      </c>
      <c r="W29" s="246" t="s">
        <v>320</v>
      </c>
      <c r="X29" s="241"/>
      <c r="Y29" s="241"/>
      <c r="Z29" s="241"/>
      <c r="AA29" s="241"/>
      <c r="AB29" s="241"/>
      <c r="AC29" s="241"/>
      <c r="AD29" s="246" t="s">
        <v>320</v>
      </c>
      <c r="AE29" s="246">
        <v>12.29</v>
      </c>
      <c r="AF29" s="241"/>
      <c r="AG29" s="241"/>
      <c r="AH29" s="246" t="s">
        <v>320</v>
      </c>
      <c r="AI29" s="241"/>
      <c r="AJ29" s="241"/>
      <c r="AK29" s="246" t="s">
        <v>320</v>
      </c>
      <c r="AL29" s="241"/>
      <c r="AM29" s="246" t="s">
        <v>320</v>
      </c>
      <c r="AN29" s="246" t="s">
        <v>320</v>
      </c>
      <c r="AO29" s="241" t="s">
        <v>363</v>
      </c>
      <c r="AP29" s="245" t="s">
        <v>335</v>
      </c>
      <c r="AQ29" s="245"/>
      <c r="AR29" s="245"/>
    </row>
    <row r="30" spans="1:94" x14ac:dyDescent="0.3">
      <c r="A30" s="241">
        <v>1482</v>
      </c>
      <c r="B30" s="242">
        <v>42202</v>
      </c>
      <c r="C30" s="243" t="s">
        <v>332</v>
      </c>
      <c r="D30" s="244" t="s">
        <v>373</v>
      </c>
      <c r="E30" s="241"/>
      <c r="F30" s="241" t="s">
        <v>362</v>
      </c>
      <c r="G30" s="248">
        <v>42185</v>
      </c>
      <c r="H30" s="245" t="s">
        <v>334</v>
      </c>
      <c r="I30" s="245" t="s">
        <v>335</v>
      </c>
      <c r="J30" s="245"/>
      <c r="K30" s="241" t="s">
        <v>339</v>
      </c>
      <c r="L30" s="255" t="s">
        <v>387</v>
      </c>
      <c r="M30" s="246">
        <v>91.93</v>
      </c>
      <c r="N30" s="246">
        <v>25.89</v>
      </c>
      <c r="O30" s="241"/>
      <c r="P30" s="241"/>
      <c r="Q30" s="246" t="s">
        <v>320</v>
      </c>
      <c r="R30" s="241"/>
      <c r="S30" s="244" t="s">
        <v>320</v>
      </c>
      <c r="T30" s="241"/>
      <c r="U30" s="246" t="s">
        <v>320</v>
      </c>
      <c r="V30" s="246" t="s">
        <v>320</v>
      </c>
      <c r="W30" s="246" t="s">
        <v>320</v>
      </c>
      <c r="X30" s="241"/>
      <c r="Y30" s="241"/>
      <c r="Z30" s="241"/>
      <c r="AA30" s="241"/>
      <c r="AB30" s="241"/>
      <c r="AC30" s="241"/>
      <c r="AD30" s="246" t="s">
        <v>320</v>
      </c>
      <c r="AE30" s="246">
        <v>14.67</v>
      </c>
      <c r="AF30" s="241"/>
      <c r="AG30" s="241"/>
      <c r="AH30" s="246" t="s">
        <v>320</v>
      </c>
      <c r="AI30" s="241"/>
      <c r="AJ30" s="241"/>
      <c r="AK30" s="246" t="s">
        <v>320</v>
      </c>
      <c r="AL30" s="241"/>
      <c r="AM30" s="246" t="s">
        <v>320</v>
      </c>
      <c r="AN30" s="246" t="s">
        <v>320</v>
      </c>
      <c r="AO30" s="241" t="s">
        <v>363</v>
      </c>
      <c r="AP30" s="245" t="s">
        <v>335</v>
      </c>
      <c r="AQ30" s="245"/>
      <c r="AR30" s="245"/>
    </row>
    <row r="31" spans="1:94" x14ac:dyDescent="0.3">
      <c r="A31" s="241">
        <v>10261</v>
      </c>
      <c r="B31" s="242">
        <v>42202</v>
      </c>
      <c r="C31" s="243" t="s">
        <v>322</v>
      </c>
      <c r="D31" s="244" t="s">
        <v>373</v>
      </c>
      <c r="E31" s="241"/>
      <c r="F31" s="241" t="s">
        <v>360</v>
      </c>
      <c r="G31" s="248">
        <v>42214</v>
      </c>
      <c r="H31" s="245" t="s">
        <v>324</v>
      </c>
      <c r="I31" s="245" t="s">
        <v>325</v>
      </c>
      <c r="J31" s="245"/>
      <c r="K31" s="241" t="s">
        <v>340</v>
      </c>
      <c r="L31" s="254" t="s">
        <v>387</v>
      </c>
      <c r="M31" s="246">
        <v>82</v>
      </c>
      <c r="N31" s="246">
        <v>26.990909090909089</v>
      </c>
      <c r="O31" s="241"/>
      <c r="P31" s="241"/>
      <c r="Q31" s="246" t="s">
        <v>320</v>
      </c>
      <c r="R31" s="241"/>
      <c r="S31" s="244" t="s">
        <v>320</v>
      </c>
      <c r="T31" s="241"/>
      <c r="U31" s="246" t="s">
        <v>320</v>
      </c>
      <c r="V31" s="246" t="s">
        <v>320</v>
      </c>
      <c r="W31" s="246" t="s">
        <v>320</v>
      </c>
      <c r="X31" s="241"/>
      <c r="Y31" s="241"/>
      <c r="Z31" s="241"/>
      <c r="AA31" s="241"/>
      <c r="AB31" s="241"/>
      <c r="AC31" s="241"/>
      <c r="AD31" s="246" t="s">
        <v>320</v>
      </c>
      <c r="AE31" s="246">
        <v>11.299999999999999</v>
      </c>
      <c r="AF31" s="241"/>
      <c r="AG31" s="241"/>
      <c r="AH31" s="246" t="s">
        <v>320</v>
      </c>
      <c r="AI31" s="241"/>
      <c r="AJ31" s="241"/>
      <c r="AK31" s="246" t="s">
        <v>320</v>
      </c>
      <c r="AL31" s="241"/>
      <c r="AM31" s="246" t="s">
        <v>320</v>
      </c>
      <c r="AN31" s="246" t="s">
        <v>320</v>
      </c>
      <c r="AO31" s="241" t="s">
        <v>361</v>
      </c>
      <c r="AP31" s="245" t="s">
        <v>325</v>
      </c>
      <c r="AQ31" s="245"/>
      <c r="AR31" s="245"/>
    </row>
    <row r="32" spans="1:94" x14ac:dyDescent="0.3">
      <c r="A32" s="241">
        <v>5637</v>
      </c>
      <c r="B32" s="242">
        <v>42202</v>
      </c>
      <c r="C32" s="243" t="s">
        <v>332</v>
      </c>
      <c r="D32" s="244" t="s">
        <v>373</v>
      </c>
      <c r="E32" s="241"/>
      <c r="F32" s="241" t="s">
        <v>362</v>
      </c>
      <c r="G32" s="248">
        <v>41901</v>
      </c>
      <c r="H32" s="245" t="s">
        <v>334</v>
      </c>
      <c r="I32" s="245" t="s">
        <v>335</v>
      </c>
      <c r="J32" s="245"/>
      <c r="K32" s="241" t="s">
        <v>341</v>
      </c>
      <c r="L32" s="254" t="s">
        <v>387</v>
      </c>
      <c r="M32" s="246">
        <v>167.21</v>
      </c>
      <c r="N32" s="246">
        <v>25.35</v>
      </c>
      <c r="O32" s="241"/>
      <c r="P32" s="241"/>
      <c r="Q32" s="246" t="s">
        <v>320</v>
      </c>
      <c r="R32" s="241"/>
      <c r="S32" s="244" t="s">
        <v>320</v>
      </c>
      <c r="T32" s="241"/>
      <c r="U32" s="246" t="s">
        <v>320</v>
      </c>
      <c r="V32" s="246" t="s">
        <v>320</v>
      </c>
      <c r="W32" s="246" t="s">
        <v>320</v>
      </c>
      <c r="X32" s="241"/>
      <c r="Y32" s="241"/>
      <c r="Z32" s="241"/>
      <c r="AA32" s="241"/>
      <c r="AB32" s="241"/>
      <c r="AC32" s="241"/>
      <c r="AD32" s="246" t="s">
        <v>320</v>
      </c>
      <c r="AE32" s="246">
        <v>13.13</v>
      </c>
      <c r="AF32" s="241"/>
      <c r="AG32" s="241"/>
      <c r="AH32" s="246" t="s">
        <v>320</v>
      </c>
      <c r="AI32" s="241"/>
      <c r="AJ32" s="241"/>
      <c r="AK32" s="246" t="s">
        <v>320</v>
      </c>
      <c r="AL32" s="241"/>
      <c r="AM32" s="246" t="s">
        <v>320</v>
      </c>
      <c r="AN32" s="246" t="s">
        <v>320</v>
      </c>
      <c r="AO32" s="241" t="s">
        <v>363</v>
      </c>
      <c r="AP32" s="245" t="s">
        <v>335</v>
      </c>
      <c r="AQ32" s="245"/>
      <c r="AR32" s="245"/>
    </row>
    <row r="33" spans="1:94" x14ac:dyDescent="0.3">
      <c r="A33" s="241">
        <v>4372</v>
      </c>
      <c r="B33" s="242">
        <v>42202</v>
      </c>
      <c r="C33" s="243" t="s">
        <v>376</v>
      </c>
      <c r="D33" s="244" t="s">
        <v>373</v>
      </c>
      <c r="E33" s="241"/>
      <c r="F33" s="241" t="s">
        <v>364</v>
      </c>
      <c r="G33" s="248">
        <v>42185</v>
      </c>
      <c r="H33" s="245" t="s">
        <v>344</v>
      </c>
      <c r="I33" s="245" t="s">
        <v>345</v>
      </c>
      <c r="J33" s="245"/>
      <c r="K33" s="241" t="s">
        <v>346</v>
      </c>
      <c r="L33" s="255" t="s">
        <v>387</v>
      </c>
      <c r="M33" s="246">
        <v>83.590909090909093</v>
      </c>
      <c r="N33" s="246">
        <v>26.372727272727271</v>
      </c>
      <c r="O33" s="241"/>
      <c r="P33" s="241"/>
      <c r="Q33" s="246"/>
      <c r="R33" s="155"/>
      <c r="S33" s="244"/>
      <c r="T33" s="241"/>
      <c r="U33" s="246" t="s">
        <v>320</v>
      </c>
      <c r="V33" s="246" t="s">
        <v>320</v>
      </c>
      <c r="W33" s="246" t="s">
        <v>320</v>
      </c>
      <c r="X33" s="241"/>
      <c r="Y33" s="241"/>
      <c r="Z33" s="241"/>
      <c r="AA33" s="241"/>
      <c r="AB33" s="241"/>
      <c r="AC33" s="241"/>
      <c r="AD33" s="246" t="s">
        <v>320</v>
      </c>
      <c r="AE33" s="246">
        <v>15.04</v>
      </c>
      <c r="AF33" s="241"/>
      <c r="AG33" s="241"/>
      <c r="AH33" s="246" t="s">
        <v>320</v>
      </c>
      <c r="AI33" s="241"/>
      <c r="AJ33" s="241"/>
      <c r="AK33" s="246" t="s">
        <v>320</v>
      </c>
      <c r="AL33" s="241"/>
      <c r="AM33" s="246" t="s">
        <v>320</v>
      </c>
      <c r="AN33" s="246" t="s">
        <v>320</v>
      </c>
      <c r="AO33" s="241" t="s">
        <v>365</v>
      </c>
      <c r="AP33" s="245" t="s">
        <v>345</v>
      </c>
      <c r="AQ33" s="245"/>
      <c r="AR33" s="245"/>
    </row>
    <row r="34" spans="1:94" x14ac:dyDescent="0.3">
      <c r="A34" s="241">
        <v>10522</v>
      </c>
      <c r="B34" s="242">
        <v>42202</v>
      </c>
      <c r="C34" s="243" t="s">
        <v>322</v>
      </c>
      <c r="D34" s="244" t="s">
        <v>373</v>
      </c>
      <c r="E34" s="241"/>
      <c r="F34" s="241" t="s">
        <v>360</v>
      </c>
      <c r="G34" s="247">
        <v>42201</v>
      </c>
      <c r="H34" s="245" t="s">
        <v>324</v>
      </c>
      <c r="I34" s="245" t="s">
        <v>325</v>
      </c>
      <c r="J34" s="245"/>
      <c r="K34" s="241" t="s">
        <v>348</v>
      </c>
      <c r="L34" s="254" t="s">
        <v>387</v>
      </c>
      <c r="M34" s="246">
        <v>78.527272727272717</v>
      </c>
      <c r="N34" s="246">
        <v>26.836363636363632</v>
      </c>
      <c r="O34" s="241"/>
      <c r="P34" s="241"/>
      <c r="Q34" s="246" t="s">
        <v>320</v>
      </c>
      <c r="R34" s="241"/>
      <c r="S34" s="244" t="s">
        <v>320</v>
      </c>
      <c r="T34" s="241"/>
      <c r="U34" s="246" t="s">
        <v>320</v>
      </c>
      <c r="V34" s="246" t="s">
        <v>320</v>
      </c>
      <c r="W34" s="246" t="s">
        <v>320</v>
      </c>
      <c r="X34" s="241"/>
      <c r="Y34" s="241"/>
      <c r="Z34" s="241"/>
      <c r="AA34" s="241"/>
      <c r="AB34" s="241"/>
      <c r="AC34" s="241"/>
      <c r="AD34" s="246" t="s">
        <v>320</v>
      </c>
      <c r="AE34" s="246">
        <v>14.836363636363636</v>
      </c>
      <c r="AF34" s="241"/>
      <c r="AG34" s="241"/>
      <c r="AH34" s="246" t="s">
        <v>320</v>
      </c>
      <c r="AI34" s="241"/>
      <c r="AJ34" s="241"/>
      <c r="AK34" s="246" t="s">
        <v>320</v>
      </c>
      <c r="AL34" s="241"/>
      <c r="AM34" s="246" t="s">
        <v>320</v>
      </c>
      <c r="AN34" s="246" t="s">
        <v>320</v>
      </c>
      <c r="AO34" s="241" t="s">
        <v>361</v>
      </c>
      <c r="AP34" s="245" t="s">
        <v>325</v>
      </c>
      <c r="AQ34" s="245"/>
      <c r="AR34" s="245"/>
    </row>
    <row r="35" spans="1:94" x14ac:dyDescent="0.3">
      <c r="A35" s="241">
        <v>10331</v>
      </c>
      <c r="B35" s="242">
        <v>42202</v>
      </c>
      <c r="C35" s="243" t="s">
        <v>332</v>
      </c>
      <c r="D35" s="244" t="s">
        <v>373</v>
      </c>
      <c r="E35" s="241"/>
      <c r="F35" s="241" t="s">
        <v>362</v>
      </c>
      <c r="G35" s="248">
        <v>42187</v>
      </c>
      <c r="H35" s="245" t="s">
        <v>334</v>
      </c>
      <c r="I35" s="245" t="s">
        <v>335</v>
      </c>
      <c r="J35" s="245"/>
      <c r="K35" s="241" t="s">
        <v>349</v>
      </c>
      <c r="L35" s="254" t="s">
        <v>387</v>
      </c>
      <c r="M35" s="246">
        <v>82</v>
      </c>
      <c r="N35" s="246">
        <v>26.499999999999996</v>
      </c>
      <c r="O35" s="241"/>
      <c r="P35" s="241"/>
      <c r="Q35" s="246" t="s">
        <v>320</v>
      </c>
      <c r="R35" s="241"/>
      <c r="S35" s="244" t="s">
        <v>320</v>
      </c>
      <c r="T35" s="241"/>
      <c r="U35" s="246" t="s">
        <v>320</v>
      </c>
      <c r="V35" s="246" t="s">
        <v>320</v>
      </c>
      <c r="W35" s="246" t="s">
        <v>320</v>
      </c>
      <c r="X35" s="241"/>
      <c r="Y35" s="241"/>
      <c r="Z35" s="241"/>
      <c r="AA35" s="241"/>
      <c r="AB35" s="241"/>
      <c r="AC35" s="241"/>
      <c r="AD35" s="246" t="s">
        <v>320</v>
      </c>
      <c r="AE35" s="246">
        <v>13.972727272727271</v>
      </c>
      <c r="AF35" s="241"/>
      <c r="AG35" s="241"/>
      <c r="AH35" s="246" t="s">
        <v>320</v>
      </c>
      <c r="AI35" s="241"/>
      <c r="AJ35" s="241"/>
      <c r="AK35" s="246" t="s">
        <v>320</v>
      </c>
      <c r="AL35" s="241"/>
      <c r="AM35" s="246" t="s">
        <v>320</v>
      </c>
      <c r="AN35" s="246" t="s">
        <v>320</v>
      </c>
      <c r="AO35" s="241" t="s">
        <v>363</v>
      </c>
      <c r="AP35" s="245" t="s">
        <v>335</v>
      </c>
      <c r="AQ35" s="245"/>
      <c r="AR35" s="245"/>
    </row>
    <row r="36" spans="1:94" x14ac:dyDescent="0.3">
      <c r="A36" s="241">
        <v>10666</v>
      </c>
      <c r="B36" s="242">
        <v>42202</v>
      </c>
      <c r="C36" s="243" t="s">
        <v>236</v>
      </c>
      <c r="D36" s="244" t="s">
        <v>373</v>
      </c>
      <c r="E36" s="241"/>
      <c r="F36" s="241" t="s">
        <v>256</v>
      </c>
      <c r="G36" s="248">
        <v>42185</v>
      </c>
      <c r="H36" s="245" t="s">
        <v>241</v>
      </c>
      <c r="I36" s="245" t="s">
        <v>197</v>
      </c>
      <c r="J36" s="245"/>
      <c r="K36" s="241" t="s">
        <v>252</v>
      </c>
      <c r="L36" s="254" t="s">
        <v>387</v>
      </c>
      <c r="M36" s="246">
        <v>108.12727272727271</v>
      </c>
      <c r="N36" s="246">
        <v>24.863636363636363</v>
      </c>
      <c r="O36" s="241"/>
      <c r="P36" s="241"/>
      <c r="Q36" s="246" t="s">
        <v>320</v>
      </c>
      <c r="R36" s="241"/>
      <c r="S36" s="244" t="s">
        <v>320</v>
      </c>
      <c r="T36" s="241"/>
      <c r="U36" s="246" t="s">
        <v>320</v>
      </c>
      <c r="V36" s="246" t="s">
        <v>320</v>
      </c>
      <c r="W36" s="246" t="s">
        <v>320</v>
      </c>
      <c r="X36" s="241"/>
      <c r="Y36" s="241"/>
      <c r="Z36" s="241"/>
      <c r="AA36" s="241"/>
      <c r="AB36" s="241"/>
      <c r="AC36" s="241"/>
      <c r="AD36" s="246" t="s">
        <v>320</v>
      </c>
      <c r="AE36" s="246">
        <v>12.4</v>
      </c>
      <c r="AF36" s="241"/>
      <c r="AG36" s="241"/>
      <c r="AH36" s="246" t="s">
        <v>320</v>
      </c>
      <c r="AI36" s="241"/>
      <c r="AJ36" s="241"/>
      <c r="AK36" s="246" t="s">
        <v>320</v>
      </c>
      <c r="AL36" s="241"/>
      <c r="AM36" s="246" t="s">
        <v>320</v>
      </c>
      <c r="AN36" s="246" t="s">
        <v>320</v>
      </c>
      <c r="AO36" s="241" t="s">
        <v>218</v>
      </c>
      <c r="AP36" s="245" t="s">
        <v>197</v>
      </c>
      <c r="AQ36" s="245"/>
      <c r="AR36" s="245"/>
    </row>
    <row r="37" spans="1:94" x14ac:dyDescent="0.3">
      <c r="A37" s="241">
        <v>1388</v>
      </c>
      <c r="B37" s="242">
        <v>42202</v>
      </c>
      <c r="C37" s="243" t="s">
        <v>332</v>
      </c>
      <c r="D37" s="244" t="s">
        <v>373</v>
      </c>
      <c r="E37" s="241"/>
      <c r="F37" s="241" t="s">
        <v>362</v>
      </c>
      <c r="G37" s="247">
        <v>42185</v>
      </c>
      <c r="H37" s="245" t="s">
        <v>334</v>
      </c>
      <c r="I37" s="245" t="s">
        <v>335</v>
      </c>
      <c r="J37" s="245"/>
      <c r="K37" s="241" t="s">
        <v>350</v>
      </c>
      <c r="L37" s="254" t="s">
        <v>387</v>
      </c>
      <c r="M37" s="246">
        <v>98.5</v>
      </c>
      <c r="N37" s="246">
        <v>25.5</v>
      </c>
      <c r="O37" s="244"/>
      <c r="P37" s="241"/>
      <c r="Q37" s="246"/>
      <c r="R37" s="241"/>
      <c r="S37" s="244" t="s">
        <v>320</v>
      </c>
      <c r="T37" s="241"/>
      <c r="U37" s="246" t="s">
        <v>320</v>
      </c>
      <c r="V37" s="246" t="s">
        <v>320</v>
      </c>
      <c r="W37" s="246" t="s">
        <v>320</v>
      </c>
      <c r="X37" s="241"/>
      <c r="Y37" s="241"/>
      <c r="Z37" s="241"/>
      <c r="AA37" s="241"/>
      <c r="AB37" s="241"/>
      <c r="AC37" s="241"/>
      <c r="AD37" s="246" t="s">
        <v>320</v>
      </c>
      <c r="AE37" s="246">
        <v>13.2</v>
      </c>
      <c r="AF37" s="241"/>
      <c r="AG37" s="241"/>
      <c r="AH37" s="246" t="s">
        <v>320</v>
      </c>
      <c r="AI37" s="241"/>
      <c r="AJ37" s="241"/>
      <c r="AK37" s="246" t="s">
        <v>320</v>
      </c>
      <c r="AL37" s="241"/>
      <c r="AM37" s="246" t="s">
        <v>320</v>
      </c>
      <c r="AN37" s="246" t="s">
        <v>320</v>
      </c>
      <c r="AO37" s="241" t="s">
        <v>363</v>
      </c>
      <c r="AP37" s="245" t="s">
        <v>335</v>
      </c>
      <c r="AQ37" s="245"/>
      <c r="AR37" s="245"/>
    </row>
    <row r="38" spans="1:94" x14ac:dyDescent="0.3">
      <c r="A38" s="241">
        <v>3594</v>
      </c>
      <c r="B38" s="242">
        <v>42202</v>
      </c>
      <c r="C38" s="243" t="s">
        <v>223</v>
      </c>
      <c r="D38" s="244" t="s">
        <v>373</v>
      </c>
      <c r="E38" s="241"/>
      <c r="F38" s="241" t="s">
        <v>229</v>
      </c>
      <c r="G38" s="248">
        <v>42192</v>
      </c>
      <c r="H38" s="245" t="s">
        <v>226</v>
      </c>
      <c r="I38" s="245" t="s">
        <v>227</v>
      </c>
      <c r="J38" s="245"/>
      <c r="K38" s="241" t="s">
        <v>352</v>
      </c>
      <c r="L38" s="254" t="s">
        <v>387</v>
      </c>
      <c r="M38" s="246">
        <v>85.763636363636365</v>
      </c>
      <c r="N38" s="246">
        <v>24.099999999999998</v>
      </c>
      <c r="O38" s="241"/>
      <c r="P38" s="241"/>
      <c r="Q38" s="246" t="s">
        <v>320</v>
      </c>
      <c r="R38" s="241"/>
      <c r="S38" s="244" t="s">
        <v>320</v>
      </c>
      <c r="T38" s="241"/>
      <c r="U38" s="246" t="s">
        <v>320</v>
      </c>
      <c r="V38" s="246" t="s">
        <v>320</v>
      </c>
      <c r="W38" s="246" t="s">
        <v>320</v>
      </c>
      <c r="X38" s="241"/>
      <c r="Y38" s="241"/>
      <c r="Z38" s="241"/>
      <c r="AA38" s="241"/>
      <c r="AB38" s="241"/>
      <c r="AC38" s="241"/>
      <c r="AD38" s="246" t="s">
        <v>320</v>
      </c>
      <c r="AE38" s="246">
        <v>14.472727272727271</v>
      </c>
      <c r="AF38" s="241"/>
      <c r="AG38" s="241"/>
      <c r="AH38" s="246" t="s">
        <v>320</v>
      </c>
      <c r="AI38" s="241"/>
      <c r="AJ38" s="241"/>
      <c r="AK38" s="246" t="s">
        <v>320</v>
      </c>
      <c r="AL38" s="241"/>
      <c r="AM38" s="246" t="s">
        <v>320</v>
      </c>
      <c r="AN38" s="246" t="s">
        <v>320</v>
      </c>
      <c r="AO38" s="241" t="s">
        <v>359</v>
      </c>
      <c r="AP38" s="245" t="s">
        <v>227</v>
      </c>
      <c r="AQ38" s="245"/>
      <c r="AR38" s="245"/>
    </row>
    <row r="39" spans="1:94" x14ac:dyDescent="0.3">
      <c r="A39" s="241">
        <v>10369</v>
      </c>
      <c r="B39" s="242">
        <v>42202</v>
      </c>
      <c r="C39" s="243" t="s">
        <v>322</v>
      </c>
      <c r="D39" s="244" t="s">
        <v>373</v>
      </c>
      <c r="E39" s="241"/>
      <c r="F39" s="241" t="s">
        <v>360</v>
      </c>
      <c r="G39" s="248">
        <v>42185</v>
      </c>
      <c r="H39" s="245" t="s">
        <v>310</v>
      </c>
      <c r="I39" s="245" t="s">
        <v>309</v>
      </c>
      <c r="J39" s="245"/>
      <c r="K39" s="241" t="s">
        <v>374</v>
      </c>
      <c r="L39" s="254" t="s">
        <v>387</v>
      </c>
      <c r="M39" s="246">
        <v>105</v>
      </c>
      <c r="N39" s="246">
        <v>24.8</v>
      </c>
      <c r="O39" s="241" t="s">
        <v>351</v>
      </c>
      <c r="P39" s="241">
        <v>1350</v>
      </c>
      <c r="Q39" s="246">
        <v>28</v>
      </c>
      <c r="R39" s="256">
        <v>1350</v>
      </c>
      <c r="S39" s="246">
        <v>28</v>
      </c>
      <c r="T39" s="241"/>
      <c r="U39" s="246" t="s">
        <v>320</v>
      </c>
      <c r="V39" s="246" t="s">
        <v>320</v>
      </c>
      <c r="W39" s="246" t="s">
        <v>320</v>
      </c>
      <c r="X39" s="241"/>
      <c r="Y39" s="241"/>
      <c r="Z39" s="241"/>
      <c r="AA39" s="241"/>
      <c r="AB39" s="241"/>
      <c r="AC39" s="241"/>
      <c r="AD39" s="246" t="s">
        <v>320</v>
      </c>
      <c r="AE39" s="246">
        <v>13.5</v>
      </c>
      <c r="AF39" s="241"/>
      <c r="AG39" s="241"/>
      <c r="AH39" s="246" t="s">
        <v>320</v>
      </c>
      <c r="AI39" s="241"/>
      <c r="AJ39" s="241"/>
      <c r="AK39" s="246" t="s">
        <v>320</v>
      </c>
      <c r="AL39" s="241"/>
      <c r="AM39" s="246" t="s">
        <v>320</v>
      </c>
      <c r="AN39" s="246" t="s">
        <v>320</v>
      </c>
      <c r="AO39" s="241" t="s">
        <v>361</v>
      </c>
      <c r="AP39" s="245" t="s">
        <v>325</v>
      </c>
      <c r="AQ39" s="245"/>
      <c r="AR39" s="245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1:94" x14ac:dyDescent="0.3">
      <c r="A40" s="241">
        <v>9675</v>
      </c>
      <c r="B40" s="242">
        <v>42202</v>
      </c>
      <c r="C40" s="243" t="s">
        <v>322</v>
      </c>
      <c r="D40" s="244" t="s">
        <v>373</v>
      </c>
      <c r="E40" s="241"/>
      <c r="F40" s="241" t="s">
        <v>360</v>
      </c>
      <c r="G40" s="248">
        <v>42188</v>
      </c>
      <c r="H40" s="245" t="s">
        <v>325</v>
      </c>
      <c r="I40" s="245" t="s">
        <v>353</v>
      </c>
      <c r="J40" s="245"/>
      <c r="K40" s="241" t="s">
        <v>307</v>
      </c>
      <c r="L40" s="254" t="s">
        <v>387</v>
      </c>
      <c r="M40" s="246">
        <v>90</v>
      </c>
      <c r="N40" s="246">
        <v>25.77</v>
      </c>
      <c r="O40" s="241"/>
      <c r="P40" s="241"/>
      <c r="Q40" s="246" t="s">
        <v>320</v>
      </c>
      <c r="R40" s="241"/>
      <c r="S40" s="244" t="s">
        <v>320</v>
      </c>
      <c r="T40" s="241"/>
      <c r="U40" s="246" t="s">
        <v>320</v>
      </c>
      <c r="V40" s="246" t="s">
        <v>320</v>
      </c>
      <c r="W40" s="246" t="s">
        <v>320</v>
      </c>
      <c r="X40" s="241"/>
      <c r="Y40" s="241"/>
      <c r="Z40" s="241"/>
      <c r="AA40" s="241"/>
      <c r="AB40" s="241"/>
      <c r="AC40" s="241"/>
      <c r="AD40" s="246" t="s">
        <v>320</v>
      </c>
      <c r="AE40" s="246">
        <v>15.31</v>
      </c>
      <c r="AF40" s="241"/>
      <c r="AG40" s="241"/>
      <c r="AH40" s="246" t="s">
        <v>320</v>
      </c>
      <c r="AI40" s="241"/>
      <c r="AJ40" s="241"/>
      <c r="AK40" s="246" t="s">
        <v>320</v>
      </c>
      <c r="AL40" s="241"/>
      <c r="AM40" s="246" t="s">
        <v>320</v>
      </c>
      <c r="AN40" s="246" t="s">
        <v>320</v>
      </c>
      <c r="AO40" s="241" t="s">
        <v>361</v>
      </c>
      <c r="AP40" s="245" t="s">
        <v>325</v>
      </c>
      <c r="AQ40" s="245"/>
      <c r="AR40" s="245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1:94" x14ac:dyDescent="0.3">
      <c r="A41" s="241">
        <v>9901</v>
      </c>
      <c r="B41" s="242">
        <v>42202</v>
      </c>
      <c r="C41" s="243" t="s">
        <v>332</v>
      </c>
      <c r="D41" s="244" t="s">
        <v>373</v>
      </c>
      <c r="E41" s="241"/>
      <c r="F41" s="241" t="s">
        <v>362</v>
      </c>
      <c r="G41" s="248">
        <v>42185</v>
      </c>
      <c r="H41" s="245" t="s">
        <v>334</v>
      </c>
      <c r="I41" s="245" t="s">
        <v>335</v>
      </c>
      <c r="J41" s="245"/>
      <c r="K41" s="244" t="s">
        <v>354</v>
      </c>
      <c r="L41" s="255" t="s">
        <v>387</v>
      </c>
      <c r="M41" s="246">
        <v>109.24</v>
      </c>
      <c r="N41" s="246">
        <v>23</v>
      </c>
      <c r="O41" s="241"/>
      <c r="P41" s="241"/>
      <c r="Q41" s="246" t="s">
        <v>320</v>
      </c>
      <c r="R41" s="241"/>
      <c r="S41" s="244" t="s">
        <v>320</v>
      </c>
      <c r="T41" s="241"/>
      <c r="U41" s="246" t="s">
        <v>320</v>
      </c>
      <c r="V41" s="246" t="s">
        <v>320</v>
      </c>
      <c r="W41" s="246" t="s">
        <v>320</v>
      </c>
      <c r="X41" s="241"/>
      <c r="Y41" s="241"/>
      <c r="Z41" s="241"/>
      <c r="AA41" s="241"/>
      <c r="AB41" s="241"/>
      <c r="AC41" s="241"/>
      <c r="AD41" s="246" t="s">
        <v>320</v>
      </c>
      <c r="AE41" s="246">
        <v>18</v>
      </c>
      <c r="AF41" s="241"/>
      <c r="AG41" s="241"/>
      <c r="AH41" s="246" t="s">
        <v>320</v>
      </c>
      <c r="AI41" s="241"/>
      <c r="AJ41" s="241"/>
      <c r="AK41" s="246" t="s">
        <v>320</v>
      </c>
      <c r="AL41" s="241"/>
      <c r="AM41" s="246" t="s">
        <v>320</v>
      </c>
      <c r="AN41" s="246" t="s">
        <v>320</v>
      </c>
      <c r="AO41" s="241" t="s">
        <v>363</v>
      </c>
      <c r="AP41" s="245" t="s">
        <v>335</v>
      </c>
      <c r="AQ41" s="245"/>
      <c r="AR41" s="245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</row>
    <row r="42" spans="1:94" x14ac:dyDescent="0.3">
      <c r="A42" s="241">
        <v>10010</v>
      </c>
      <c r="B42" s="242">
        <v>42203</v>
      </c>
      <c r="C42" s="243" t="s">
        <v>223</v>
      </c>
      <c r="D42" s="244" t="s">
        <v>373</v>
      </c>
      <c r="E42" s="241"/>
      <c r="F42" s="241" t="s">
        <v>232</v>
      </c>
      <c r="G42" s="242">
        <v>42187</v>
      </c>
      <c r="H42" s="245" t="s">
        <v>226</v>
      </c>
      <c r="I42" s="245" t="s">
        <v>227</v>
      </c>
      <c r="J42" s="245"/>
      <c r="K42" s="241" t="s">
        <v>319</v>
      </c>
      <c r="L42" s="254" t="s">
        <v>222</v>
      </c>
      <c r="M42" s="246">
        <v>106.36363636363636</v>
      </c>
      <c r="N42" s="246">
        <v>37.272727272727266</v>
      </c>
      <c r="O42" s="241"/>
      <c r="P42" s="241"/>
      <c r="Q42" s="246" t="s">
        <v>320</v>
      </c>
      <c r="R42" s="241"/>
      <c r="S42" s="244" t="s">
        <v>320</v>
      </c>
      <c r="T42" s="241"/>
      <c r="U42" s="246" t="s">
        <v>320</v>
      </c>
      <c r="V42" s="246" t="s">
        <v>320</v>
      </c>
      <c r="W42" s="246">
        <v>16.818181818181817</v>
      </c>
      <c r="X42" s="241"/>
      <c r="Y42" s="241"/>
      <c r="Z42" s="241"/>
      <c r="AA42" s="241"/>
      <c r="AB42" s="241"/>
      <c r="AC42" s="241"/>
      <c r="AD42" s="246" t="s">
        <v>320</v>
      </c>
      <c r="AE42" s="246" t="s">
        <v>320</v>
      </c>
      <c r="AF42" s="241"/>
      <c r="AG42" s="241"/>
      <c r="AH42" s="246">
        <v>19.09090909090909</v>
      </c>
      <c r="AI42" s="241"/>
      <c r="AJ42" s="241"/>
      <c r="AK42" s="246" t="s">
        <v>320</v>
      </c>
      <c r="AL42" s="241"/>
      <c r="AM42" s="246" t="s">
        <v>320</v>
      </c>
      <c r="AN42" s="246" t="s">
        <v>320</v>
      </c>
      <c r="AO42" s="241" t="s">
        <v>377</v>
      </c>
      <c r="AP42" s="245" t="s">
        <v>227</v>
      </c>
      <c r="AQ42" s="245"/>
      <c r="AR42" s="245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</row>
    <row r="43" spans="1:94" x14ac:dyDescent="0.3">
      <c r="A43" s="241">
        <v>10413</v>
      </c>
      <c r="B43" s="242">
        <v>42202</v>
      </c>
      <c r="C43" s="243" t="s">
        <v>322</v>
      </c>
      <c r="D43" s="244" t="s">
        <v>373</v>
      </c>
      <c r="E43" s="241"/>
      <c r="F43" s="241" t="s">
        <v>367</v>
      </c>
      <c r="G43" s="242">
        <v>42187</v>
      </c>
      <c r="H43" s="245" t="s">
        <v>324</v>
      </c>
      <c r="I43" s="245" t="s">
        <v>325</v>
      </c>
      <c r="J43" s="245"/>
      <c r="K43" s="241" t="s">
        <v>326</v>
      </c>
      <c r="L43" s="254" t="s">
        <v>222</v>
      </c>
      <c r="M43" s="246">
        <v>94</v>
      </c>
      <c r="N43" s="246">
        <v>49.418181818181814</v>
      </c>
      <c r="O43" s="241"/>
      <c r="P43" s="241"/>
      <c r="Q43" s="246" t="s">
        <v>320</v>
      </c>
      <c r="R43" s="241"/>
      <c r="S43" s="244" t="s">
        <v>320</v>
      </c>
      <c r="T43" s="241"/>
      <c r="U43" s="246" t="s">
        <v>320</v>
      </c>
      <c r="V43" s="246" t="s">
        <v>320</v>
      </c>
      <c r="W43" s="246">
        <v>13.709090909090907</v>
      </c>
      <c r="X43" s="241"/>
      <c r="Y43" s="241"/>
      <c r="Z43" s="241"/>
      <c r="AA43" s="241"/>
      <c r="AB43" s="241"/>
      <c r="AC43" s="241"/>
      <c r="AD43" s="246" t="s">
        <v>320</v>
      </c>
      <c r="AE43" s="246" t="s">
        <v>320</v>
      </c>
      <c r="AF43" s="241"/>
      <c r="AG43" s="241"/>
      <c r="AH43" s="246">
        <v>21.036363636363635</v>
      </c>
      <c r="AI43" s="241"/>
      <c r="AJ43" s="241"/>
      <c r="AK43" s="246" t="s">
        <v>320</v>
      </c>
      <c r="AL43" s="241"/>
      <c r="AM43" s="246" t="s">
        <v>320</v>
      </c>
      <c r="AN43" s="246" t="s">
        <v>320</v>
      </c>
      <c r="AO43" s="241" t="s">
        <v>378</v>
      </c>
      <c r="AP43" s="245" t="s">
        <v>325</v>
      </c>
      <c r="AQ43" s="245"/>
      <c r="AR43" s="245"/>
    </row>
    <row r="44" spans="1:94" x14ac:dyDescent="0.3">
      <c r="A44" s="241">
        <v>10500</v>
      </c>
      <c r="B44" s="242">
        <v>42202</v>
      </c>
      <c r="C44" s="243" t="s">
        <v>322</v>
      </c>
      <c r="D44" s="244" t="s">
        <v>373</v>
      </c>
      <c r="E44" s="241"/>
      <c r="F44" s="241" t="s">
        <v>367</v>
      </c>
      <c r="G44" s="247">
        <v>42185</v>
      </c>
      <c r="H44" s="245" t="s">
        <v>324</v>
      </c>
      <c r="I44" s="245" t="s">
        <v>325</v>
      </c>
      <c r="J44" s="245"/>
      <c r="K44" s="241" t="s">
        <v>328</v>
      </c>
      <c r="L44" s="254" t="s">
        <v>222</v>
      </c>
      <c r="M44" s="246">
        <v>96</v>
      </c>
      <c r="N44" s="246">
        <v>42.4</v>
      </c>
      <c r="O44" s="241"/>
      <c r="P44" s="241"/>
      <c r="Q44" s="246" t="s">
        <v>320</v>
      </c>
      <c r="R44" s="241"/>
      <c r="S44" s="244" t="s">
        <v>320</v>
      </c>
      <c r="T44" s="241"/>
      <c r="U44" s="246" t="s">
        <v>320</v>
      </c>
      <c r="V44" s="246" t="s">
        <v>320</v>
      </c>
      <c r="W44" s="246">
        <v>11.609090909090908</v>
      </c>
      <c r="X44" s="241"/>
      <c r="Y44" s="241"/>
      <c r="Z44" s="241"/>
      <c r="AA44" s="241"/>
      <c r="AB44" s="241"/>
      <c r="AC44" s="241"/>
      <c r="AD44" s="246" t="s">
        <v>320</v>
      </c>
      <c r="AE44" s="246" t="s">
        <v>320</v>
      </c>
      <c r="AF44" s="241"/>
      <c r="AG44" s="241"/>
      <c r="AH44" s="246">
        <v>17.799999999999997</v>
      </c>
      <c r="AI44" s="241"/>
      <c r="AJ44" s="241"/>
      <c r="AK44" s="246" t="s">
        <v>320</v>
      </c>
      <c r="AL44" s="241"/>
      <c r="AM44" s="246" t="s">
        <v>320</v>
      </c>
      <c r="AN44" s="246" t="s">
        <v>320</v>
      </c>
      <c r="AO44" s="241" t="s">
        <v>378</v>
      </c>
      <c r="AP44" s="245" t="s">
        <v>325</v>
      </c>
      <c r="AQ44" s="245"/>
      <c r="AR44" s="245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</row>
    <row r="45" spans="1:94" x14ac:dyDescent="0.3">
      <c r="A45" s="241">
        <v>10592</v>
      </c>
      <c r="B45" s="242">
        <v>42202</v>
      </c>
      <c r="C45" s="243" t="s">
        <v>322</v>
      </c>
      <c r="D45" s="244" t="s">
        <v>373</v>
      </c>
      <c r="E45" s="241"/>
      <c r="F45" s="241" t="s">
        <v>367</v>
      </c>
      <c r="G45" s="248">
        <v>42188</v>
      </c>
      <c r="H45" s="245" t="s">
        <v>310</v>
      </c>
      <c r="I45" s="245" t="s">
        <v>309</v>
      </c>
      <c r="J45" s="245"/>
      <c r="K45" s="241" t="s">
        <v>329</v>
      </c>
      <c r="L45" s="255" t="s">
        <v>222</v>
      </c>
      <c r="M45" s="246">
        <v>90</v>
      </c>
      <c r="N45" s="246">
        <v>37.76</v>
      </c>
      <c r="O45" s="241"/>
      <c r="P45" s="241"/>
      <c r="Q45" s="246" t="s">
        <v>320</v>
      </c>
      <c r="R45" s="241"/>
      <c r="S45" s="244" t="s">
        <v>320</v>
      </c>
      <c r="T45" s="241"/>
      <c r="U45" s="246" t="s">
        <v>320</v>
      </c>
      <c r="V45" s="246" t="s">
        <v>320</v>
      </c>
      <c r="W45" s="246">
        <v>19</v>
      </c>
      <c r="X45" s="241"/>
      <c r="Y45" s="241"/>
      <c r="Z45" s="241"/>
      <c r="AA45" s="241"/>
      <c r="AB45" s="241"/>
      <c r="AC45" s="241"/>
      <c r="AD45" s="246" t="s">
        <v>320</v>
      </c>
      <c r="AE45" s="246" t="s">
        <v>320</v>
      </c>
      <c r="AF45" s="241"/>
      <c r="AG45" s="241"/>
      <c r="AH45" s="246">
        <v>20.95</v>
      </c>
      <c r="AI45" s="241"/>
      <c r="AJ45" s="241"/>
      <c r="AK45" s="246" t="s">
        <v>320</v>
      </c>
      <c r="AL45" s="241"/>
      <c r="AM45" s="246" t="s">
        <v>320</v>
      </c>
      <c r="AN45" s="246" t="s">
        <v>320</v>
      </c>
      <c r="AO45" s="241" t="s">
        <v>378</v>
      </c>
      <c r="AP45" s="245" t="s">
        <v>325</v>
      </c>
      <c r="AQ45" s="245"/>
      <c r="AR45" s="245"/>
    </row>
    <row r="46" spans="1:94" x14ac:dyDescent="0.3">
      <c r="A46" s="241">
        <v>1472</v>
      </c>
      <c r="B46" s="242">
        <v>42202</v>
      </c>
      <c r="C46" s="243" t="s">
        <v>322</v>
      </c>
      <c r="D46" s="244" t="s">
        <v>373</v>
      </c>
      <c r="E46" s="241"/>
      <c r="F46" s="241" t="s">
        <v>367</v>
      </c>
      <c r="G46" s="248">
        <v>42185</v>
      </c>
      <c r="H46" s="245" t="s">
        <v>324</v>
      </c>
      <c r="I46" s="245" t="s">
        <v>325</v>
      </c>
      <c r="J46" s="245"/>
      <c r="K46" s="241" t="s">
        <v>330</v>
      </c>
      <c r="L46" s="255" t="s">
        <v>222</v>
      </c>
      <c r="M46" s="246">
        <v>99.472727272727269</v>
      </c>
      <c r="N46" s="246">
        <v>45.53</v>
      </c>
      <c r="O46" s="241"/>
      <c r="P46" s="241"/>
      <c r="Q46" s="246" t="s">
        <v>320</v>
      </c>
      <c r="R46" s="241"/>
      <c r="S46" s="244" t="s">
        <v>320</v>
      </c>
      <c r="T46" s="241"/>
      <c r="U46" s="246" t="s">
        <v>320</v>
      </c>
      <c r="V46" s="246" t="s">
        <v>320</v>
      </c>
      <c r="W46" s="246">
        <v>18.690000000000001</v>
      </c>
      <c r="X46" s="241"/>
      <c r="Y46" s="241"/>
      <c r="Z46" s="241"/>
      <c r="AA46" s="241"/>
      <c r="AB46" s="241"/>
      <c r="AC46" s="241"/>
      <c r="AD46" s="246" t="s">
        <v>320</v>
      </c>
      <c r="AE46" s="246" t="s">
        <v>320</v>
      </c>
      <c r="AF46" s="241"/>
      <c r="AG46" s="241"/>
      <c r="AH46" s="246">
        <v>21.35</v>
      </c>
      <c r="AI46" s="241"/>
      <c r="AJ46" s="241"/>
      <c r="AK46" s="246" t="s">
        <v>320</v>
      </c>
      <c r="AL46" s="241"/>
      <c r="AM46" s="246" t="s">
        <v>320</v>
      </c>
      <c r="AN46" s="246" t="s">
        <v>320</v>
      </c>
      <c r="AO46" s="241" t="s">
        <v>378</v>
      </c>
      <c r="AP46" s="245" t="s">
        <v>325</v>
      </c>
      <c r="AQ46" s="245"/>
      <c r="AR46" s="245"/>
    </row>
    <row r="47" spans="1:94" x14ac:dyDescent="0.3">
      <c r="A47" s="241">
        <v>4653</v>
      </c>
      <c r="B47" s="242">
        <v>42202</v>
      </c>
      <c r="C47" s="243" t="s">
        <v>322</v>
      </c>
      <c r="D47" s="244" t="s">
        <v>373</v>
      </c>
      <c r="E47" s="241"/>
      <c r="F47" s="241" t="s">
        <v>367</v>
      </c>
      <c r="G47" s="248">
        <v>42185</v>
      </c>
      <c r="H47" s="245" t="s">
        <v>324</v>
      </c>
      <c r="I47" s="245" t="s">
        <v>325</v>
      </c>
      <c r="J47" s="245"/>
      <c r="K47" s="241" t="s">
        <v>331</v>
      </c>
      <c r="L47" s="255" t="s">
        <v>222</v>
      </c>
      <c r="M47" s="246">
        <v>117.31</v>
      </c>
      <c r="N47" s="246">
        <v>53</v>
      </c>
      <c r="O47" s="241"/>
      <c r="P47" s="241"/>
      <c r="Q47" s="246" t="s">
        <v>320</v>
      </c>
      <c r="R47" s="241"/>
      <c r="S47" s="244" t="s">
        <v>320</v>
      </c>
      <c r="T47" s="241"/>
      <c r="U47" s="246" t="s">
        <v>320</v>
      </c>
      <c r="V47" s="246" t="s">
        <v>320</v>
      </c>
      <c r="W47" s="246">
        <v>19.440000000000001</v>
      </c>
      <c r="X47" s="241"/>
      <c r="Y47" s="241"/>
      <c r="Z47" s="241"/>
      <c r="AA47" s="241"/>
      <c r="AB47" s="241"/>
      <c r="AC47" s="241"/>
      <c r="AD47" s="246" t="s">
        <v>320</v>
      </c>
      <c r="AE47" s="246" t="s">
        <v>320</v>
      </c>
      <c r="AF47" s="241"/>
      <c r="AG47" s="241"/>
      <c r="AH47" s="246">
        <v>25.92</v>
      </c>
      <c r="AI47" s="241"/>
      <c r="AJ47" s="241"/>
      <c r="AK47" s="246" t="s">
        <v>320</v>
      </c>
      <c r="AL47" s="241"/>
      <c r="AM47" s="246" t="s">
        <v>320</v>
      </c>
      <c r="AN47" s="246" t="s">
        <v>320</v>
      </c>
      <c r="AO47" s="241" t="s">
        <v>378</v>
      </c>
      <c r="AP47" s="245" t="s">
        <v>325</v>
      </c>
      <c r="AQ47" s="245"/>
      <c r="AR47" s="245"/>
    </row>
    <row r="48" spans="1:94" x14ac:dyDescent="0.3">
      <c r="A48" s="241">
        <v>1442</v>
      </c>
      <c r="B48" s="242">
        <v>42202</v>
      </c>
      <c r="C48" s="243" t="s">
        <v>332</v>
      </c>
      <c r="D48" s="244" t="s">
        <v>373</v>
      </c>
      <c r="E48" s="241"/>
      <c r="F48" s="241" t="s">
        <v>369</v>
      </c>
      <c r="G48" s="248">
        <v>42185</v>
      </c>
      <c r="H48" s="245" t="s">
        <v>334</v>
      </c>
      <c r="I48" s="245" t="s">
        <v>335</v>
      </c>
      <c r="J48" s="245"/>
      <c r="K48" s="241" t="s">
        <v>336</v>
      </c>
      <c r="L48" s="255" t="s">
        <v>222</v>
      </c>
      <c r="M48" s="246">
        <v>99.5</v>
      </c>
      <c r="N48" s="246">
        <v>49.5</v>
      </c>
      <c r="O48" s="241" t="s">
        <v>337</v>
      </c>
      <c r="P48" s="241">
        <v>1020</v>
      </c>
      <c r="Q48" s="246">
        <v>54.9</v>
      </c>
      <c r="R48" s="256">
        <v>1020</v>
      </c>
      <c r="S48" s="246">
        <v>54.9</v>
      </c>
      <c r="T48" s="241"/>
      <c r="U48" s="246" t="s">
        <v>320</v>
      </c>
      <c r="V48" s="246" t="s">
        <v>320</v>
      </c>
      <c r="W48" s="246">
        <v>17.95</v>
      </c>
      <c r="X48" s="241"/>
      <c r="Y48" s="241"/>
      <c r="Z48" s="241"/>
      <c r="AA48" s="241"/>
      <c r="AB48" s="241"/>
      <c r="AC48" s="241"/>
      <c r="AD48" s="246" t="s">
        <v>320</v>
      </c>
      <c r="AE48" s="246" t="s">
        <v>320</v>
      </c>
      <c r="AF48" s="241"/>
      <c r="AG48" s="241"/>
      <c r="AH48" s="246">
        <v>23.48</v>
      </c>
      <c r="AI48" s="241"/>
      <c r="AJ48" s="241"/>
      <c r="AK48" s="246" t="s">
        <v>320</v>
      </c>
      <c r="AL48" s="241"/>
      <c r="AM48" s="246" t="s">
        <v>320</v>
      </c>
      <c r="AN48" s="246" t="s">
        <v>320</v>
      </c>
      <c r="AO48" s="241" t="s">
        <v>379</v>
      </c>
      <c r="AP48" s="245" t="s">
        <v>335</v>
      </c>
      <c r="AQ48" s="245"/>
      <c r="AR48" s="245"/>
    </row>
    <row r="49" spans="1:94" x14ac:dyDescent="0.3">
      <c r="A49" s="241">
        <v>1484</v>
      </c>
      <c r="B49" s="242">
        <v>42202</v>
      </c>
      <c r="C49" s="243" t="s">
        <v>332</v>
      </c>
      <c r="D49" s="244" t="s">
        <v>373</v>
      </c>
      <c r="E49" s="241"/>
      <c r="F49" s="241" t="s">
        <v>369</v>
      </c>
      <c r="G49" s="248">
        <v>42185</v>
      </c>
      <c r="H49" s="245" t="s">
        <v>334</v>
      </c>
      <c r="I49" s="245" t="s">
        <v>335</v>
      </c>
      <c r="J49" s="245"/>
      <c r="K49" s="241" t="s">
        <v>339</v>
      </c>
      <c r="L49" s="255" t="s">
        <v>222</v>
      </c>
      <c r="M49" s="246">
        <v>99.472727272727269</v>
      </c>
      <c r="N49" s="246">
        <v>45.53</v>
      </c>
      <c r="O49" s="241"/>
      <c r="P49" s="241"/>
      <c r="Q49" s="246" t="s">
        <v>320</v>
      </c>
      <c r="R49" s="241"/>
      <c r="S49" s="246" t="s">
        <v>320</v>
      </c>
      <c r="T49" s="241"/>
      <c r="U49" s="246" t="s">
        <v>320</v>
      </c>
      <c r="V49" s="246" t="s">
        <v>320</v>
      </c>
      <c r="W49" s="246">
        <v>18.690000000000001</v>
      </c>
      <c r="X49" s="241"/>
      <c r="Y49" s="241"/>
      <c r="Z49" s="241"/>
      <c r="AA49" s="241"/>
      <c r="AB49" s="241"/>
      <c r="AC49" s="241"/>
      <c r="AD49" s="246" t="s">
        <v>320</v>
      </c>
      <c r="AE49" s="246" t="s">
        <v>320</v>
      </c>
      <c r="AF49" s="241"/>
      <c r="AG49" s="241"/>
      <c r="AH49" s="246">
        <v>21.35</v>
      </c>
      <c r="AI49" s="241"/>
      <c r="AJ49" s="241"/>
      <c r="AK49" s="246" t="s">
        <v>320</v>
      </c>
      <c r="AL49" s="241"/>
      <c r="AM49" s="246" t="s">
        <v>320</v>
      </c>
      <c r="AN49" s="246" t="s">
        <v>320</v>
      </c>
      <c r="AO49" s="241" t="s">
        <v>379</v>
      </c>
      <c r="AP49" s="245" t="s">
        <v>335</v>
      </c>
      <c r="AQ49" s="245"/>
      <c r="AR49" s="245"/>
    </row>
    <row r="50" spans="1:94" x14ac:dyDescent="0.3">
      <c r="A50" s="241">
        <v>10263</v>
      </c>
      <c r="B50" s="242">
        <v>42202</v>
      </c>
      <c r="C50" s="243" t="s">
        <v>322</v>
      </c>
      <c r="D50" s="244" t="s">
        <v>373</v>
      </c>
      <c r="E50" s="241"/>
      <c r="F50" s="241" t="s">
        <v>367</v>
      </c>
      <c r="G50" s="248">
        <v>42214</v>
      </c>
      <c r="H50" s="245" t="s">
        <v>324</v>
      </c>
      <c r="I50" s="245" t="s">
        <v>325</v>
      </c>
      <c r="J50" s="245"/>
      <c r="K50" s="241" t="s">
        <v>340</v>
      </c>
      <c r="L50" s="255" t="s">
        <v>222</v>
      </c>
      <c r="M50" s="246">
        <v>96.4</v>
      </c>
      <c r="N50" s="246">
        <v>53.9</v>
      </c>
      <c r="O50" s="241"/>
      <c r="P50" s="241"/>
      <c r="Q50" s="246" t="s">
        <v>320</v>
      </c>
      <c r="R50" s="241"/>
      <c r="S50" s="246" t="s">
        <v>320</v>
      </c>
      <c r="T50" s="241"/>
      <c r="U50" s="246" t="s">
        <v>320</v>
      </c>
      <c r="V50" s="246" t="s">
        <v>320</v>
      </c>
      <c r="W50" s="246">
        <v>17.2</v>
      </c>
      <c r="X50" s="241"/>
      <c r="Y50" s="241"/>
      <c r="Z50" s="241"/>
      <c r="AA50" s="241"/>
      <c r="AB50" s="241"/>
      <c r="AC50" s="241"/>
      <c r="AD50" s="246" t="s">
        <v>320</v>
      </c>
      <c r="AE50" s="246" t="s">
        <v>320</v>
      </c>
      <c r="AF50" s="241"/>
      <c r="AG50" s="241"/>
      <c r="AH50" s="246">
        <v>28.2</v>
      </c>
      <c r="AI50" s="241"/>
      <c r="AJ50" s="241"/>
      <c r="AK50" s="246" t="s">
        <v>320</v>
      </c>
      <c r="AL50" s="241"/>
      <c r="AM50" s="246" t="s">
        <v>320</v>
      </c>
      <c r="AN50" s="246" t="s">
        <v>320</v>
      </c>
      <c r="AO50" s="241" t="s">
        <v>378</v>
      </c>
      <c r="AP50" s="245" t="s">
        <v>325</v>
      </c>
      <c r="AQ50" s="245"/>
      <c r="AR50" s="245"/>
    </row>
    <row r="51" spans="1:94" x14ac:dyDescent="0.3">
      <c r="A51" s="241">
        <v>5639</v>
      </c>
      <c r="B51" s="242">
        <v>42202</v>
      </c>
      <c r="C51" s="243" t="s">
        <v>332</v>
      </c>
      <c r="D51" s="244" t="s">
        <v>373</v>
      </c>
      <c r="E51" s="241"/>
      <c r="F51" s="241" t="s">
        <v>369</v>
      </c>
      <c r="G51" s="248">
        <v>41901</v>
      </c>
      <c r="H51" s="245" t="s">
        <v>334</v>
      </c>
      <c r="I51" s="245" t="s">
        <v>335</v>
      </c>
      <c r="J51" s="245"/>
      <c r="K51" s="241" t="s">
        <v>341</v>
      </c>
      <c r="L51" s="254" t="s">
        <v>222</v>
      </c>
      <c r="M51" s="246">
        <v>177.23</v>
      </c>
      <c r="N51" s="246">
        <v>44.84</v>
      </c>
      <c r="O51" s="241"/>
      <c r="P51" s="241"/>
      <c r="Q51" s="246" t="s">
        <v>320</v>
      </c>
      <c r="R51" s="241"/>
      <c r="S51" s="246" t="s">
        <v>320</v>
      </c>
      <c r="T51" s="241"/>
      <c r="U51" s="246" t="s">
        <v>320</v>
      </c>
      <c r="V51" s="246" t="s">
        <v>320</v>
      </c>
      <c r="W51" s="246">
        <v>13.77</v>
      </c>
      <c r="X51" s="241"/>
      <c r="Y51" s="241"/>
      <c r="Z51" s="241"/>
      <c r="AA51" s="241"/>
      <c r="AB51" s="241"/>
      <c r="AC51" s="241"/>
      <c r="AD51" s="246" t="s">
        <v>320</v>
      </c>
      <c r="AE51" s="246" t="s">
        <v>320</v>
      </c>
      <c r="AF51" s="241"/>
      <c r="AG51" s="241"/>
      <c r="AH51" s="246">
        <v>20.61</v>
      </c>
      <c r="AI51" s="241"/>
      <c r="AJ51" s="241"/>
      <c r="AK51" s="246" t="s">
        <v>320</v>
      </c>
      <c r="AL51" s="241"/>
      <c r="AM51" s="246" t="s">
        <v>320</v>
      </c>
      <c r="AN51" s="246" t="s">
        <v>320</v>
      </c>
      <c r="AO51" s="241" t="s">
        <v>379</v>
      </c>
      <c r="AP51" s="245" t="s">
        <v>335</v>
      </c>
      <c r="AQ51" s="245"/>
      <c r="AR51" s="245"/>
    </row>
    <row r="52" spans="1:94" x14ac:dyDescent="0.3">
      <c r="A52" s="241">
        <v>4374</v>
      </c>
      <c r="B52" s="242">
        <v>42202</v>
      </c>
      <c r="C52" s="243" t="s">
        <v>342</v>
      </c>
      <c r="D52" s="244" t="s">
        <v>373</v>
      </c>
      <c r="E52" s="241"/>
      <c r="F52" s="241" t="s">
        <v>371</v>
      </c>
      <c r="G52" s="248">
        <v>42185</v>
      </c>
      <c r="H52" s="245" t="s">
        <v>344</v>
      </c>
      <c r="I52" s="245" t="s">
        <v>345</v>
      </c>
      <c r="J52" s="245"/>
      <c r="K52" s="241" t="s">
        <v>346</v>
      </c>
      <c r="L52" s="255" t="s">
        <v>222</v>
      </c>
      <c r="M52" s="246">
        <v>98.85</v>
      </c>
      <c r="N52" s="246">
        <v>30.54</v>
      </c>
      <c r="O52" s="241"/>
      <c r="P52" s="241"/>
      <c r="Q52" s="246" t="s">
        <v>320</v>
      </c>
      <c r="R52" s="241"/>
      <c r="S52" s="246" t="s">
        <v>320</v>
      </c>
      <c r="T52" s="241"/>
      <c r="U52" s="246" t="s">
        <v>320</v>
      </c>
      <c r="V52" s="246" t="s">
        <v>320</v>
      </c>
      <c r="W52" s="246">
        <v>24.54</v>
      </c>
      <c r="X52" s="241"/>
      <c r="Y52" s="241"/>
      <c r="Z52" s="241"/>
      <c r="AA52" s="241"/>
      <c r="AB52" s="241"/>
      <c r="AC52" s="241"/>
      <c r="AD52" s="246" t="s">
        <v>320</v>
      </c>
      <c r="AE52" s="246" t="s">
        <v>320</v>
      </c>
      <c r="AF52" s="241"/>
      <c r="AG52" s="241"/>
      <c r="AH52" s="246">
        <v>30.54</v>
      </c>
      <c r="AI52" s="241"/>
      <c r="AJ52" s="241"/>
      <c r="AK52" s="246" t="s">
        <v>320</v>
      </c>
      <c r="AL52" s="241"/>
      <c r="AM52" s="246" t="s">
        <v>320</v>
      </c>
      <c r="AN52" s="246" t="s">
        <v>320</v>
      </c>
      <c r="AO52" s="241" t="s">
        <v>380</v>
      </c>
      <c r="AP52" s="245" t="s">
        <v>345</v>
      </c>
      <c r="AQ52" s="245"/>
      <c r="AR52" s="245"/>
    </row>
    <row r="53" spans="1:94" x14ac:dyDescent="0.3">
      <c r="A53" s="241">
        <v>10524</v>
      </c>
      <c r="B53" s="242">
        <v>42202</v>
      </c>
      <c r="C53" s="243" t="s">
        <v>322</v>
      </c>
      <c r="D53" s="244" t="s">
        <v>373</v>
      </c>
      <c r="E53" s="241"/>
      <c r="F53" s="241" t="s">
        <v>367</v>
      </c>
      <c r="G53" s="247">
        <v>42201</v>
      </c>
      <c r="H53" s="245" t="s">
        <v>324</v>
      </c>
      <c r="I53" s="245" t="s">
        <v>325</v>
      </c>
      <c r="J53" s="245"/>
      <c r="K53" s="241" t="s">
        <v>348</v>
      </c>
      <c r="L53" s="254" t="s">
        <v>222</v>
      </c>
      <c r="M53" s="246">
        <v>91.154545454545442</v>
      </c>
      <c r="N53" s="246">
        <v>49.890909090909091</v>
      </c>
      <c r="O53" s="241"/>
      <c r="P53" s="241"/>
      <c r="Q53" s="246" t="s">
        <v>320</v>
      </c>
      <c r="R53" s="241"/>
      <c r="S53" s="246" t="s">
        <v>320</v>
      </c>
      <c r="T53" s="241"/>
      <c r="U53" s="246" t="s">
        <v>320</v>
      </c>
      <c r="V53" s="246" t="s">
        <v>320</v>
      </c>
      <c r="W53" s="246">
        <v>13.572727272727271</v>
      </c>
      <c r="X53" s="241"/>
      <c r="Y53" s="241"/>
      <c r="Z53" s="241"/>
      <c r="AA53" s="241"/>
      <c r="AB53" s="241"/>
      <c r="AC53" s="241"/>
      <c r="AD53" s="246" t="s">
        <v>320</v>
      </c>
      <c r="AE53" s="246" t="s">
        <v>320</v>
      </c>
      <c r="AF53" s="241"/>
      <c r="AG53" s="241"/>
      <c r="AH53" s="246">
        <v>23.799999999999997</v>
      </c>
      <c r="AI53" s="241"/>
      <c r="AJ53" s="241"/>
      <c r="AK53" s="246" t="s">
        <v>320</v>
      </c>
      <c r="AL53" s="241"/>
      <c r="AM53" s="246" t="s">
        <v>320</v>
      </c>
      <c r="AN53" s="246" t="s">
        <v>320</v>
      </c>
      <c r="AO53" s="241" t="s">
        <v>378</v>
      </c>
      <c r="AP53" s="245" t="s">
        <v>325</v>
      </c>
      <c r="AQ53" s="245"/>
      <c r="AR53" s="245"/>
    </row>
    <row r="54" spans="1:94" x14ac:dyDescent="0.3">
      <c r="A54" s="241">
        <v>10333</v>
      </c>
      <c r="B54" s="242">
        <v>42202</v>
      </c>
      <c r="C54" s="243" t="s">
        <v>332</v>
      </c>
      <c r="D54" s="244" t="s">
        <v>373</v>
      </c>
      <c r="E54" s="241"/>
      <c r="F54" s="241" t="s">
        <v>369</v>
      </c>
      <c r="G54" s="248">
        <v>42187</v>
      </c>
      <c r="H54" s="245" t="s">
        <v>334</v>
      </c>
      <c r="I54" s="245" t="s">
        <v>335</v>
      </c>
      <c r="J54" s="245"/>
      <c r="K54" s="241" t="s">
        <v>349</v>
      </c>
      <c r="L54" s="254" t="s">
        <v>222</v>
      </c>
      <c r="M54" s="246">
        <v>94</v>
      </c>
      <c r="N54" s="246">
        <v>49.418181818181814</v>
      </c>
      <c r="O54" s="241"/>
      <c r="P54" s="241"/>
      <c r="Q54" s="246" t="s">
        <v>320</v>
      </c>
      <c r="R54" s="241"/>
      <c r="S54" s="246" t="s">
        <v>320</v>
      </c>
      <c r="T54" s="241"/>
      <c r="U54" s="246" t="s">
        <v>320</v>
      </c>
      <c r="V54" s="246" t="s">
        <v>320</v>
      </c>
      <c r="W54" s="246">
        <v>13.709090909090907</v>
      </c>
      <c r="X54" s="241"/>
      <c r="Y54" s="241"/>
      <c r="Z54" s="241"/>
      <c r="AA54" s="241"/>
      <c r="AB54" s="241"/>
      <c r="AC54" s="241"/>
      <c r="AD54" s="246" t="s">
        <v>320</v>
      </c>
      <c r="AE54" s="246" t="s">
        <v>320</v>
      </c>
      <c r="AF54" s="241"/>
      <c r="AG54" s="241"/>
      <c r="AH54" s="246">
        <v>21.036363636363635</v>
      </c>
      <c r="AI54" s="241"/>
      <c r="AJ54" s="241"/>
      <c r="AK54" s="246" t="s">
        <v>320</v>
      </c>
      <c r="AL54" s="241"/>
      <c r="AM54" s="246" t="s">
        <v>320</v>
      </c>
      <c r="AN54" s="246" t="s">
        <v>320</v>
      </c>
      <c r="AO54" s="241" t="s">
        <v>379</v>
      </c>
      <c r="AP54" s="245" t="s">
        <v>335</v>
      </c>
      <c r="AQ54" s="245"/>
      <c r="AR54" s="245"/>
    </row>
    <row r="55" spans="1:94" ht="15.5" x14ac:dyDescent="0.35">
      <c r="A55" s="241">
        <v>10668</v>
      </c>
      <c r="B55" s="242">
        <v>42202</v>
      </c>
      <c r="C55" s="243" t="s">
        <v>236</v>
      </c>
      <c r="D55" s="244" t="s">
        <v>373</v>
      </c>
      <c r="E55" s="241"/>
      <c r="F55" s="241" t="s">
        <v>257</v>
      </c>
      <c r="G55" s="248">
        <v>42185</v>
      </c>
      <c r="H55" s="245" t="s">
        <v>241</v>
      </c>
      <c r="I55" s="245" t="s">
        <v>197</v>
      </c>
      <c r="J55" s="245"/>
      <c r="K55" s="241" t="s">
        <v>252</v>
      </c>
      <c r="L55" s="254" t="s">
        <v>222</v>
      </c>
      <c r="M55" s="246">
        <v>109.5181818181818</v>
      </c>
      <c r="N55" s="246">
        <v>36</v>
      </c>
      <c r="O55" s="241"/>
      <c r="P55" s="241"/>
      <c r="Q55" s="246" t="s">
        <v>320</v>
      </c>
      <c r="R55" s="241"/>
      <c r="S55" s="246" t="s">
        <v>320</v>
      </c>
      <c r="T55" s="241"/>
      <c r="U55" s="246" t="s">
        <v>320</v>
      </c>
      <c r="V55" s="246"/>
      <c r="W55" s="246">
        <v>16.454545454545453</v>
      </c>
      <c r="X55" s="241"/>
      <c r="Y55" s="241"/>
      <c r="Z55" s="241"/>
      <c r="AA55" s="241"/>
      <c r="AB55" s="241"/>
      <c r="AC55" s="241"/>
      <c r="AD55" s="246" t="s">
        <v>320</v>
      </c>
      <c r="AE55" s="246" t="s">
        <v>320</v>
      </c>
      <c r="AF55" s="241"/>
      <c r="AG55" s="241"/>
      <c r="AH55" s="246">
        <v>19.627272727272725</v>
      </c>
      <c r="AI55" s="241"/>
      <c r="AJ55" s="241"/>
      <c r="AK55" s="246" t="s">
        <v>320</v>
      </c>
      <c r="AL55" s="241"/>
      <c r="AM55" s="246" t="s">
        <v>320</v>
      </c>
      <c r="AN55" s="246" t="s">
        <v>320</v>
      </c>
      <c r="AO55" s="252" t="s">
        <v>381</v>
      </c>
      <c r="AP55" s="253" t="s">
        <v>310</v>
      </c>
      <c r="AQ55" s="253"/>
      <c r="AR55" s="253"/>
    </row>
    <row r="56" spans="1:94" x14ac:dyDescent="0.3">
      <c r="A56" s="241">
        <v>1389</v>
      </c>
      <c r="B56" s="242">
        <v>42202</v>
      </c>
      <c r="C56" s="243" t="s">
        <v>332</v>
      </c>
      <c r="D56" s="244" t="s">
        <v>373</v>
      </c>
      <c r="E56" s="241"/>
      <c r="F56" s="241" t="s">
        <v>369</v>
      </c>
      <c r="G56" s="247">
        <v>42185</v>
      </c>
      <c r="H56" s="245" t="s">
        <v>334</v>
      </c>
      <c r="I56" s="245" t="s">
        <v>335</v>
      </c>
      <c r="J56" s="245"/>
      <c r="K56" s="241" t="s">
        <v>350</v>
      </c>
      <c r="L56" s="254" t="s">
        <v>222</v>
      </c>
      <c r="M56" s="246">
        <v>100.1</v>
      </c>
      <c r="N56" s="246">
        <v>38.999999999999993</v>
      </c>
      <c r="O56" s="244" t="s">
        <v>351</v>
      </c>
      <c r="P56" s="241">
        <v>1300</v>
      </c>
      <c r="Q56" s="246">
        <v>37.999999999999993</v>
      </c>
      <c r="R56" s="256">
        <v>1300</v>
      </c>
      <c r="S56" s="246">
        <v>37.999999999999993</v>
      </c>
      <c r="T56" s="241"/>
      <c r="U56" s="246" t="s">
        <v>320</v>
      </c>
      <c r="V56" s="246" t="s">
        <v>320</v>
      </c>
      <c r="W56" s="246">
        <v>14</v>
      </c>
      <c r="X56" s="241"/>
      <c r="Y56" s="241"/>
      <c r="Z56" s="241"/>
      <c r="AA56" s="241"/>
      <c r="AB56" s="241"/>
      <c r="AC56" s="241"/>
      <c r="AD56" s="246" t="s">
        <v>320</v>
      </c>
      <c r="AE56" s="246" t="s">
        <v>320</v>
      </c>
      <c r="AF56" s="241"/>
      <c r="AG56" s="241"/>
      <c r="AH56" s="246">
        <v>21</v>
      </c>
      <c r="AI56" s="241"/>
      <c r="AJ56" s="241"/>
      <c r="AK56" s="246" t="s">
        <v>320</v>
      </c>
      <c r="AL56" s="241"/>
      <c r="AM56" s="246" t="s">
        <v>320</v>
      </c>
      <c r="AN56" s="246" t="s">
        <v>320</v>
      </c>
      <c r="AO56" s="241" t="s">
        <v>379</v>
      </c>
      <c r="AP56" s="245" t="s">
        <v>335</v>
      </c>
      <c r="AQ56" s="245"/>
      <c r="AR56" s="245"/>
    </row>
    <row r="57" spans="1:94" x14ac:dyDescent="0.3">
      <c r="A57" s="241">
        <v>3596</v>
      </c>
      <c r="B57" s="242">
        <v>42202</v>
      </c>
      <c r="C57" s="243" t="s">
        <v>223</v>
      </c>
      <c r="D57" s="244" t="s">
        <v>373</v>
      </c>
      <c r="E57" s="241"/>
      <c r="F57" s="241" t="s">
        <v>232</v>
      </c>
      <c r="G57" s="248">
        <v>42192</v>
      </c>
      <c r="H57" s="245" t="s">
        <v>226</v>
      </c>
      <c r="I57" s="245" t="s">
        <v>227</v>
      </c>
      <c r="J57" s="245"/>
      <c r="K57" s="241" t="s">
        <v>352</v>
      </c>
      <c r="L57" s="254" t="s">
        <v>222</v>
      </c>
      <c r="M57" s="246">
        <v>91.018181818181816</v>
      </c>
      <c r="N57" s="246">
        <v>40.190909090909088</v>
      </c>
      <c r="O57" s="241"/>
      <c r="P57" s="241"/>
      <c r="Q57" s="246" t="s">
        <v>320</v>
      </c>
      <c r="R57" s="241"/>
      <c r="S57" s="244" t="s">
        <v>320</v>
      </c>
      <c r="T57" s="241"/>
      <c r="U57" s="246" t="s">
        <v>320</v>
      </c>
      <c r="V57" s="246" t="s">
        <v>320</v>
      </c>
      <c r="W57" s="246">
        <v>16.872727272727271</v>
      </c>
      <c r="X57" s="241"/>
      <c r="Y57" s="241"/>
      <c r="Z57" s="241"/>
      <c r="AA57" s="241"/>
      <c r="AB57" s="241"/>
      <c r="AC57" s="241"/>
      <c r="AD57" s="246" t="s">
        <v>320</v>
      </c>
      <c r="AE57" s="246" t="s">
        <v>320</v>
      </c>
      <c r="AF57" s="241"/>
      <c r="AG57" s="241"/>
      <c r="AH57" s="246">
        <v>22.18181818181818</v>
      </c>
      <c r="AI57" s="241"/>
      <c r="AJ57" s="241"/>
      <c r="AK57" s="246" t="s">
        <v>320</v>
      </c>
      <c r="AL57" s="241"/>
      <c r="AM57" s="246" t="s">
        <v>320</v>
      </c>
      <c r="AN57" s="246" t="s">
        <v>320</v>
      </c>
      <c r="AO57" s="241" t="s">
        <v>377</v>
      </c>
      <c r="AP57" s="245" t="s">
        <v>227</v>
      </c>
      <c r="AQ57" s="245"/>
      <c r="AR57" s="245"/>
    </row>
    <row r="58" spans="1:94" x14ac:dyDescent="0.3">
      <c r="A58" s="241">
        <v>10371</v>
      </c>
      <c r="B58" s="242">
        <v>42202</v>
      </c>
      <c r="C58" s="243" t="s">
        <v>322</v>
      </c>
      <c r="D58" s="244" t="s">
        <v>373</v>
      </c>
      <c r="E58" s="241"/>
      <c r="F58" s="241" t="s">
        <v>367</v>
      </c>
      <c r="G58" s="248">
        <v>42185</v>
      </c>
      <c r="H58" s="245" t="s">
        <v>310</v>
      </c>
      <c r="I58" s="245" t="s">
        <v>309</v>
      </c>
      <c r="J58" s="245"/>
      <c r="K58" s="241" t="s">
        <v>374</v>
      </c>
      <c r="L58" s="254" t="s">
        <v>222</v>
      </c>
      <c r="M58" s="246">
        <v>100</v>
      </c>
      <c r="N58" s="246">
        <v>44</v>
      </c>
      <c r="O58" s="241"/>
      <c r="P58" s="241"/>
      <c r="Q58" s="246" t="s">
        <v>320</v>
      </c>
      <c r="R58" s="241"/>
      <c r="S58" s="244" t="s">
        <v>320</v>
      </c>
      <c r="T58" s="241"/>
      <c r="U58" s="246" t="s">
        <v>320</v>
      </c>
      <c r="V58" s="246" t="s">
        <v>320</v>
      </c>
      <c r="W58" s="246">
        <v>18.8</v>
      </c>
      <c r="X58" s="241"/>
      <c r="Y58" s="241"/>
      <c r="Z58" s="241"/>
      <c r="AA58" s="241"/>
      <c r="AB58" s="241"/>
      <c r="AC58" s="241"/>
      <c r="AD58" s="246" t="s">
        <v>320</v>
      </c>
      <c r="AE58" s="246" t="s">
        <v>320</v>
      </c>
      <c r="AF58" s="241"/>
      <c r="AG58" s="241"/>
      <c r="AH58" s="246">
        <v>23</v>
      </c>
      <c r="AI58" s="241"/>
      <c r="AJ58" s="241"/>
      <c r="AK58" s="246" t="s">
        <v>320</v>
      </c>
      <c r="AL58" s="241"/>
      <c r="AM58" s="246" t="s">
        <v>320</v>
      </c>
      <c r="AN58" s="246" t="s">
        <v>320</v>
      </c>
      <c r="AO58" s="241" t="s">
        <v>378</v>
      </c>
      <c r="AP58" s="245" t="s">
        <v>325</v>
      </c>
      <c r="AQ58" s="245"/>
      <c r="AR58" s="245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</row>
    <row r="59" spans="1:94" x14ac:dyDescent="0.3">
      <c r="A59" s="241">
        <v>9677</v>
      </c>
      <c r="B59" s="242">
        <v>42202</v>
      </c>
      <c r="C59" s="243" t="s">
        <v>322</v>
      </c>
      <c r="D59" s="244" t="s">
        <v>373</v>
      </c>
      <c r="E59" s="241"/>
      <c r="F59" s="241" t="s">
        <v>367</v>
      </c>
      <c r="G59" s="248">
        <v>42188</v>
      </c>
      <c r="H59" s="245" t="s">
        <v>325</v>
      </c>
      <c r="I59" s="245" t="s">
        <v>353</v>
      </c>
      <c r="J59" s="245"/>
      <c r="K59" s="241" t="s">
        <v>307</v>
      </c>
      <c r="L59" s="254" t="s">
        <v>222</v>
      </c>
      <c r="M59" s="246">
        <v>90</v>
      </c>
      <c r="N59" s="246">
        <v>37.799999999999997</v>
      </c>
      <c r="O59" s="241"/>
      <c r="P59" s="241"/>
      <c r="Q59" s="246" t="s">
        <v>320</v>
      </c>
      <c r="R59" s="241"/>
      <c r="S59" s="244" t="s">
        <v>320</v>
      </c>
      <c r="T59" s="241"/>
      <c r="U59" s="246" t="s">
        <v>320</v>
      </c>
      <c r="V59" s="246" t="s">
        <v>320</v>
      </c>
      <c r="W59" s="246">
        <v>19</v>
      </c>
      <c r="X59" s="241"/>
      <c r="Y59" s="241"/>
      <c r="Z59" s="241"/>
      <c r="AA59" s="241"/>
      <c r="AB59" s="241"/>
      <c r="AC59" s="241"/>
      <c r="AD59" s="246" t="s">
        <v>320</v>
      </c>
      <c r="AE59" s="246" t="s">
        <v>320</v>
      </c>
      <c r="AF59" s="241"/>
      <c r="AG59" s="241"/>
      <c r="AH59" s="246">
        <v>20.95</v>
      </c>
      <c r="AI59" s="241"/>
      <c r="AJ59" s="241"/>
      <c r="AK59" s="246" t="s">
        <v>320</v>
      </c>
      <c r="AL59" s="241"/>
      <c r="AM59" s="246" t="s">
        <v>320</v>
      </c>
      <c r="AN59" s="246" t="s">
        <v>320</v>
      </c>
      <c r="AO59" s="241" t="s">
        <v>378</v>
      </c>
      <c r="AP59" s="245" t="s">
        <v>325</v>
      </c>
      <c r="AQ59" s="245"/>
      <c r="AR59" s="245"/>
    </row>
    <row r="60" spans="1:94" x14ac:dyDescent="0.3">
      <c r="N60" s="220"/>
    </row>
  </sheetData>
  <sheetProtection algorithmName="SHA-512" hashValue="cm2hOSmjbMLlCoXUjtiEF/pIybkHC/cERjdcmNLWqcP+S9kVEWlZEMjwk/f4SurGAxsYF4kpoIoLdgSnwLjjLA==" saltValue="jDTSjljYJMAPxNhJvVCx7g==" spinCount="100000" sheet="1" objects="1" scenarios="1"/>
  <pageMargins left="0.75" right="0.75" top="1" bottom="1" header="0.5" footer="0.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33613-ABE4-0344-9368-C1F372482CA4}">
  <sheetPr codeName="Sheet30"/>
  <dimension ref="A1:CP58"/>
  <sheetViews>
    <sheetView zoomScale="110" zoomScaleNormal="110" workbookViewId="0">
      <selection activeCell="A63" activeCellId="2" sqref="A57:XFD57 A59:XFD59 A63:XFD63"/>
    </sheetView>
  </sheetViews>
  <sheetFormatPr defaultColWidth="11" defaultRowHeight="13.5" x14ac:dyDescent="0.3"/>
  <cols>
    <col min="11" max="11" width="17" bestFit="1" customWidth="1"/>
    <col min="12" max="12" width="22" bestFit="1" customWidth="1"/>
    <col min="13" max="13" width="12.3046875" bestFit="1" customWidth="1"/>
    <col min="38" max="38" width="15.84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241">
        <v>10011</v>
      </c>
      <c r="B2" s="242">
        <v>42203</v>
      </c>
      <c r="C2" s="243" t="s">
        <v>223</v>
      </c>
      <c r="D2" s="244" t="s">
        <v>382</v>
      </c>
      <c r="E2" s="241"/>
      <c r="F2" s="241" t="s">
        <v>225</v>
      </c>
      <c r="G2" s="242">
        <v>42187</v>
      </c>
      <c r="H2" s="245" t="s">
        <v>226</v>
      </c>
      <c r="I2" s="245" t="s">
        <v>227</v>
      </c>
      <c r="J2" s="245"/>
      <c r="K2" s="241" t="s">
        <v>319</v>
      </c>
      <c r="L2" s="254" t="s">
        <v>387</v>
      </c>
      <c r="M2" s="246">
        <v>128.63636363636363</v>
      </c>
      <c r="N2" s="246">
        <v>22.27272727272727</v>
      </c>
      <c r="O2" s="241"/>
      <c r="P2" s="241"/>
      <c r="Q2" s="241"/>
      <c r="R2" s="241"/>
      <c r="S2" s="244" t="s">
        <v>320</v>
      </c>
      <c r="T2" s="241"/>
      <c r="U2" s="246" t="s">
        <v>320</v>
      </c>
      <c r="V2" s="246" t="s">
        <v>320</v>
      </c>
      <c r="W2" s="246" t="s">
        <v>320</v>
      </c>
      <c r="X2" s="241"/>
      <c r="Y2" s="241"/>
      <c r="Z2" s="241"/>
      <c r="AA2" s="241"/>
      <c r="AB2" s="241"/>
      <c r="AC2" s="241"/>
      <c r="AD2" s="246" t="s">
        <v>320</v>
      </c>
      <c r="AE2" s="246" t="s">
        <v>320</v>
      </c>
      <c r="AF2" s="241"/>
      <c r="AG2" s="241"/>
      <c r="AH2" s="246" t="s">
        <v>320</v>
      </c>
      <c r="AI2" s="241"/>
      <c r="AJ2" s="241"/>
      <c r="AK2" s="246" t="s">
        <v>320</v>
      </c>
      <c r="AL2" s="241"/>
      <c r="AM2" s="246" t="s">
        <v>320</v>
      </c>
      <c r="AN2" s="246" t="s">
        <v>320</v>
      </c>
      <c r="AO2" s="241" t="s">
        <v>321</v>
      </c>
      <c r="AP2" s="245" t="s">
        <v>227</v>
      </c>
      <c r="AQ2" s="245"/>
      <c r="AR2" s="245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241">
        <v>10416</v>
      </c>
      <c r="B3" s="242">
        <v>42202</v>
      </c>
      <c r="C3" s="243" t="s">
        <v>322</v>
      </c>
      <c r="D3" s="244" t="s">
        <v>382</v>
      </c>
      <c r="E3" s="241"/>
      <c r="F3" s="241" t="s">
        <v>323</v>
      </c>
      <c r="G3" s="242">
        <v>42187</v>
      </c>
      <c r="H3" s="245" t="s">
        <v>324</v>
      </c>
      <c r="I3" s="245" t="s">
        <v>325</v>
      </c>
      <c r="J3" s="245"/>
      <c r="K3" s="241" t="s">
        <v>326</v>
      </c>
      <c r="L3" s="254" t="s">
        <v>387</v>
      </c>
      <c r="M3" s="246">
        <v>82</v>
      </c>
      <c r="N3" s="246">
        <v>25.790909090909089</v>
      </c>
      <c r="O3" s="241"/>
      <c r="P3" s="241"/>
      <c r="Q3" s="241"/>
      <c r="R3" s="241"/>
      <c r="S3" s="244" t="s">
        <v>320</v>
      </c>
      <c r="T3" s="241"/>
      <c r="U3" s="246" t="s">
        <v>320</v>
      </c>
      <c r="V3" s="246" t="s">
        <v>320</v>
      </c>
      <c r="W3" s="246" t="s">
        <v>320</v>
      </c>
      <c r="X3" s="241"/>
      <c r="Y3" s="241"/>
      <c r="Z3" s="241"/>
      <c r="AA3" s="241"/>
      <c r="AB3" s="241"/>
      <c r="AC3" s="241"/>
      <c r="AD3" s="246" t="s">
        <v>320</v>
      </c>
      <c r="AE3" s="246" t="s">
        <v>320</v>
      </c>
      <c r="AF3" s="241"/>
      <c r="AG3" s="241"/>
      <c r="AH3" s="246" t="s">
        <v>320</v>
      </c>
      <c r="AI3" s="241"/>
      <c r="AJ3" s="241"/>
      <c r="AK3" s="246" t="s">
        <v>320</v>
      </c>
      <c r="AL3" s="241"/>
      <c r="AM3" s="246" t="s">
        <v>320</v>
      </c>
      <c r="AN3" s="246" t="s">
        <v>320</v>
      </c>
      <c r="AO3" s="241" t="s">
        <v>327</v>
      </c>
      <c r="AP3" s="245" t="s">
        <v>325</v>
      </c>
      <c r="AQ3" s="245"/>
      <c r="AR3" s="245"/>
    </row>
    <row r="4" spans="1:94" x14ac:dyDescent="0.3">
      <c r="A4" s="241">
        <v>10501</v>
      </c>
      <c r="B4" s="242">
        <v>42202</v>
      </c>
      <c r="C4" s="243" t="s">
        <v>322</v>
      </c>
      <c r="D4" s="244" t="s">
        <v>382</v>
      </c>
      <c r="E4" s="241"/>
      <c r="F4" s="241" t="s">
        <v>323</v>
      </c>
      <c r="G4" s="247">
        <v>42185</v>
      </c>
      <c r="H4" s="245" t="s">
        <v>324</v>
      </c>
      <c r="I4" s="245" t="s">
        <v>325</v>
      </c>
      <c r="J4" s="245"/>
      <c r="K4" s="241" t="s">
        <v>328</v>
      </c>
      <c r="L4" s="254" t="s">
        <v>387</v>
      </c>
      <c r="M4" s="246">
        <v>83</v>
      </c>
      <c r="N4" s="246">
        <v>21.7</v>
      </c>
      <c r="O4" s="241"/>
      <c r="P4" s="241"/>
      <c r="Q4" s="241"/>
      <c r="R4" s="241"/>
      <c r="S4" s="244" t="s">
        <v>320</v>
      </c>
      <c r="T4" s="241"/>
      <c r="U4" s="246" t="s">
        <v>320</v>
      </c>
      <c r="V4" s="246" t="s">
        <v>320</v>
      </c>
      <c r="W4" s="246" t="s">
        <v>320</v>
      </c>
      <c r="X4" s="241"/>
      <c r="Y4" s="241"/>
      <c r="Z4" s="241"/>
      <c r="AA4" s="241"/>
      <c r="AB4" s="241"/>
      <c r="AC4" s="241"/>
      <c r="AD4" s="246" t="s">
        <v>320</v>
      </c>
      <c r="AE4" s="246" t="s">
        <v>320</v>
      </c>
      <c r="AF4" s="241"/>
      <c r="AG4" s="241"/>
      <c r="AH4" s="246" t="s">
        <v>320</v>
      </c>
      <c r="AI4" s="241"/>
      <c r="AJ4" s="241"/>
      <c r="AK4" s="246" t="s">
        <v>320</v>
      </c>
      <c r="AL4" s="241"/>
      <c r="AM4" s="246" t="s">
        <v>320</v>
      </c>
      <c r="AN4" s="246" t="s">
        <v>320</v>
      </c>
      <c r="AO4" s="241" t="s">
        <v>327</v>
      </c>
      <c r="AP4" s="245" t="s">
        <v>325</v>
      </c>
      <c r="AQ4" s="245"/>
      <c r="AR4" s="245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241">
        <v>10597</v>
      </c>
      <c r="B5" s="242">
        <v>42202</v>
      </c>
      <c r="C5" s="243" t="s">
        <v>322</v>
      </c>
      <c r="D5" s="244" t="s">
        <v>382</v>
      </c>
      <c r="E5" s="241"/>
      <c r="F5" s="241" t="s">
        <v>323</v>
      </c>
      <c r="G5" s="248">
        <v>42188</v>
      </c>
      <c r="H5" s="245" t="s">
        <v>310</v>
      </c>
      <c r="I5" s="245" t="s">
        <v>309</v>
      </c>
      <c r="J5" s="245"/>
      <c r="K5" s="241" t="s">
        <v>329</v>
      </c>
      <c r="L5" s="255" t="s">
        <v>387</v>
      </c>
      <c r="M5" s="246">
        <v>84</v>
      </c>
      <c r="N5" s="246">
        <v>25.65</v>
      </c>
      <c r="O5" s="241"/>
      <c r="P5" s="241"/>
      <c r="Q5" s="241"/>
      <c r="R5" s="241"/>
      <c r="S5" s="244" t="s">
        <v>320</v>
      </c>
      <c r="T5" s="241"/>
      <c r="U5" s="246" t="s">
        <v>320</v>
      </c>
      <c r="V5" s="246" t="s">
        <v>320</v>
      </c>
      <c r="W5" s="246" t="s">
        <v>320</v>
      </c>
      <c r="X5" s="241"/>
      <c r="Y5" s="241"/>
      <c r="Z5" s="241"/>
      <c r="AA5" s="241"/>
      <c r="AB5" s="241"/>
      <c r="AC5" s="241"/>
      <c r="AD5" s="246" t="s">
        <v>320</v>
      </c>
      <c r="AE5" s="246" t="s">
        <v>320</v>
      </c>
      <c r="AF5" s="241"/>
      <c r="AG5" s="241"/>
      <c r="AH5" s="246" t="s">
        <v>320</v>
      </c>
      <c r="AI5" s="241"/>
      <c r="AJ5" s="241"/>
      <c r="AK5" s="246" t="s">
        <v>320</v>
      </c>
      <c r="AL5" s="241"/>
      <c r="AM5" s="246" t="s">
        <v>320</v>
      </c>
      <c r="AN5" s="246" t="s">
        <v>320</v>
      </c>
      <c r="AO5" s="241" t="s">
        <v>327</v>
      </c>
      <c r="AP5" s="245" t="s">
        <v>325</v>
      </c>
      <c r="AQ5" s="245"/>
      <c r="AR5" s="245"/>
    </row>
    <row r="6" spans="1:94" x14ac:dyDescent="0.3">
      <c r="A6" s="241">
        <v>1473</v>
      </c>
      <c r="B6" s="242">
        <v>42202</v>
      </c>
      <c r="C6" s="243" t="s">
        <v>322</v>
      </c>
      <c r="D6" s="244" t="s">
        <v>382</v>
      </c>
      <c r="E6" s="241"/>
      <c r="F6" s="241" t="s">
        <v>323</v>
      </c>
      <c r="G6" s="248">
        <v>42185</v>
      </c>
      <c r="H6" s="245" t="s">
        <v>324</v>
      </c>
      <c r="I6" s="245" t="s">
        <v>325</v>
      </c>
      <c r="J6" s="245"/>
      <c r="K6" s="241" t="s">
        <v>330</v>
      </c>
      <c r="L6" s="255" t="s">
        <v>387</v>
      </c>
      <c r="M6" s="246">
        <v>84.409090909090892</v>
      </c>
      <c r="N6" s="246">
        <v>25.62</v>
      </c>
      <c r="O6" s="241"/>
      <c r="P6" s="241"/>
      <c r="Q6" s="241"/>
      <c r="R6" s="241"/>
      <c r="S6" s="244" t="s">
        <v>320</v>
      </c>
      <c r="T6" s="241"/>
      <c r="U6" s="246" t="s">
        <v>320</v>
      </c>
      <c r="V6" s="246" t="s">
        <v>320</v>
      </c>
      <c r="W6" s="246" t="s">
        <v>320</v>
      </c>
      <c r="X6" s="241"/>
      <c r="Y6" s="241"/>
      <c r="Z6" s="241"/>
      <c r="AA6" s="241"/>
      <c r="AB6" s="241"/>
      <c r="AC6" s="241"/>
      <c r="AD6" s="246" t="s">
        <v>320</v>
      </c>
      <c r="AE6" s="246" t="s">
        <v>320</v>
      </c>
      <c r="AF6" s="241"/>
      <c r="AG6" s="241"/>
      <c r="AH6" s="246" t="s">
        <v>320</v>
      </c>
      <c r="AI6" s="241"/>
      <c r="AJ6" s="241"/>
      <c r="AK6" s="246" t="s">
        <v>320</v>
      </c>
      <c r="AL6" s="241"/>
      <c r="AM6" s="246" t="s">
        <v>320</v>
      </c>
      <c r="AN6" s="246" t="s">
        <v>320</v>
      </c>
      <c r="AO6" s="241" t="s">
        <v>327</v>
      </c>
      <c r="AP6" s="245" t="s">
        <v>325</v>
      </c>
      <c r="AQ6" s="245"/>
      <c r="AR6" s="245"/>
    </row>
    <row r="7" spans="1:94" x14ac:dyDescent="0.3">
      <c r="A7" s="241">
        <v>4654</v>
      </c>
      <c r="B7" s="242">
        <v>42202</v>
      </c>
      <c r="C7" s="243" t="s">
        <v>322</v>
      </c>
      <c r="D7" s="244" t="s">
        <v>382</v>
      </c>
      <c r="E7" s="241"/>
      <c r="F7" s="241" t="s">
        <v>323</v>
      </c>
      <c r="G7" s="248">
        <v>42185</v>
      </c>
      <c r="H7" s="245" t="s">
        <v>324</v>
      </c>
      <c r="I7" s="245" t="s">
        <v>325</v>
      </c>
      <c r="J7" s="245"/>
      <c r="K7" s="241" t="s">
        <v>331</v>
      </c>
      <c r="L7" s="255" t="s">
        <v>387</v>
      </c>
      <c r="M7" s="246">
        <v>87</v>
      </c>
      <c r="N7" s="246">
        <v>24</v>
      </c>
      <c r="O7" s="241"/>
      <c r="P7" s="241"/>
      <c r="Q7" s="246" t="s">
        <v>320</v>
      </c>
      <c r="R7" s="241"/>
      <c r="S7" s="244" t="s">
        <v>320</v>
      </c>
      <c r="T7" s="241"/>
      <c r="U7" s="246" t="s">
        <v>320</v>
      </c>
      <c r="V7" s="246" t="s">
        <v>320</v>
      </c>
      <c r="W7" s="246" t="s">
        <v>320</v>
      </c>
      <c r="X7" s="241"/>
      <c r="Y7" s="241"/>
      <c r="Z7" s="241"/>
      <c r="AA7" s="241"/>
      <c r="AB7" s="241"/>
      <c r="AC7" s="241"/>
      <c r="AD7" s="246" t="s">
        <v>320</v>
      </c>
      <c r="AE7" s="246" t="s">
        <v>320</v>
      </c>
      <c r="AF7" s="241"/>
      <c r="AG7" s="241"/>
      <c r="AH7" s="246" t="s">
        <v>320</v>
      </c>
      <c r="AI7" s="241"/>
      <c r="AJ7" s="241"/>
      <c r="AK7" s="246" t="s">
        <v>320</v>
      </c>
      <c r="AL7" s="241"/>
      <c r="AM7" s="246" t="s">
        <v>320</v>
      </c>
      <c r="AN7" s="246" t="s">
        <v>320</v>
      </c>
      <c r="AO7" s="241" t="s">
        <v>327</v>
      </c>
      <c r="AP7" s="245" t="s">
        <v>325</v>
      </c>
      <c r="AQ7" s="245"/>
      <c r="AR7" s="245"/>
    </row>
    <row r="8" spans="1:94" x14ac:dyDescent="0.3">
      <c r="A8" s="241">
        <v>1445</v>
      </c>
      <c r="B8" s="242">
        <v>42202</v>
      </c>
      <c r="C8" s="243" t="s">
        <v>332</v>
      </c>
      <c r="D8" s="244" t="s">
        <v>382</v>
      </c>
      <c r="E8" s="241"/>
      <c r="F8" s="241" t="s">
        <v>333</v>
      </c>
      <c r="G8" s="248">
        <v>42185</v>
      </c>
      <c r="H8" s="245" t="s">
        <v>334</v>
      </c>
      <c r="I8" s="245" t="s">
        <v>335</v>
      </c>
      <c r="J8" s="245"/>
      <c r="K8" s="241" t="s">
        <v>336</v>
      </c>
      <c r="L8" s="255" t="s">
        <v>387</v>
      </c>
      <c r="M8" s="246">
        <v>79.5</v>
      </c>
      <c r="N8" s="246">
        <v>25.98</v>
      </c>
      <c r="O8" s="241"/>
      <c r="P8" s="241"/>
      <c r="Q8" s="246"/>
      <c r="R8" s="241"/>
      <c r="S8" s="244"/>
      <c r="T8" s="241"/>
      <c r="U8" s="246" t="s">
        <v>320</v>
      </c>
      <c r="V8" s="246" t="s">
        <v>320</v>
      </c>
      <c r="W8" s="246" t="s">
        <v>320</v>
      </c>
      <c r="X8" s="241"/>
      <c r="Y8" s="241"/>
      <c r="Z8" s="241"/>
      <c r="AA8" s="241"/>
      <c r="AB8" s="241"/>
      <c r="AC8" s="241"/>
      <c r="AD8" s="246" t="s">
        <v>320</v>
      </c>
      <c r="AE8" s="246" t="s">
        <v>320</v>
      </c>
      <c r="AF8" s="241"/>
      <c r="AG8" s="241"/>
      <c r="AH8" s="246" t="s">
        <v>320</v>
      </c>
      <c r="AI8" s="241"/>
      <c r="AJ8" s="241"/>
      <c r="AK8" s="246" t="s">
        <v>320</v>
      </c>
      <c r="AL8" s="241"/>
      <c r="AM8" s="246" t="s">
        <v>320</v>
      </c>
      <c r="AN8" s="246" t="s">
        <v>320</v>
      </c>
      <c r="AO8" s="241" t="s">
        <v>338</v>
      </c>
      <c r="AP8" s="245" t="s">
        <v>335</v>
      </c>
      <c r="AQ8" s="245"/>
      <c r="AR8" s="245"/>
    </row>
    <row r="9" spans="1:94" x14ac:dyDescent="0.3">
      <c r="A9" s="241">
        <v>1485</v>
      </c>
      <c r="B9" s="242">
        <v>42202</v>
      </c>
      <c r="C9" s="243" t="s">
        <v>332</v>
      </c>
      <c r="D9" s="244" t="s">
        <v>382</v>
      </c>
      <c r="E9" s="241"/>
      <c r="F9" s="241" t="s">
        <v>333</v>
      </c>
      <c r="G9" s="248">
        <v>42185</v>
      </c>
      <c r="H9" s="245" t="s">
        <v>334</v>
      </c>
      <c r="I9" s="245" t="s">
        <v>335</v>
      </c>
      <c r="J9" s="245"/>
      <c r="K9" s="241" t="s">
        <v>339</v>
      </c>
      <c r="L9" s="255" t="s">
        <v>387</v>
      </c>
      <c r="M9" s="246">
        <v>84.409090909090892</v>
      </c>
      <c r="N9" s="246">
        <v>25.62</v>
      </c>
      <c r="O9" s="241"/>
      <c r="P9" s="241"/>
      <c r="Q9" s="246" t="s">
        <v>320</v>
      </c>
      <c r="R9" s="241"/>
      <c r="S9" s="244" t="s">
        <v>320</v>
      </c>
      <c r="T9" s="241"/>
      <c r="U9" s="246" t="s">
        <v>320</v>
      </c>
      <c r="V9" s="246" t="s">
        <v>320</v>
      </c>
      <c r="W9" s="246" t="s">
        <v>320</v>
      </c>
      <c r="X9" s="241"/>
      <c r="Y9" s="241"/>
      <c r="Z9" s="241"/>
      <c r="AA9" s="241"/>
      <c r="AB9" s="241"/>
      <c r="AC9" s="241"/>
      <c r="AD9" s="246" t="s">
        <v>320</v>
      </c>
      <c r="AE9" s="246" t="s">
        <v>320</v>
      </c>
      <c r="AF9" s="241"/>
      <c r="AG9" s="241"/>
      <c r="AH9" s="246" t="s">
        <v>320</v>
      </c>
      <c r="AI9" s="241"/>
      <c r="AJ9" s="241"/>
      <c r="AK9" s="246" t="s">
        <v>320</v>
      </c>
      <c r="AL9" s="241"/>
      <c r="AM9" s="246" t="s">
        <v>320</v>
      </c>
      <c r="AN9" s="246" t="s">
        <v>320</v>
      </c>
      <c r="AO9" s="241" t="s">
        <v>338</v>
      </c>
      <c r="AP9" s="245" t="s">
        <v>335</v>
      </c>
      <c r="AQ9" s="245"/>
      <c r="AR9" s="245"/>
    </row>
    <row r="10" spans="1:94" x14ac:dyDescent="0.3">
      <c r="A10" s="241">
        <v>10270</v>
      </c>
      <c r="B10" s="242">
        <v>42202</v>
      </c>
      <c r="C10" s="243" t="s">
        <v>322</v>
      </c>
      <c r="D10" s="244" t="s">
        <v>382</v>
      </c>
      <c r="E10" s="241"/>
      <c r="F10" s="241" t="s">
        <v>323</v>
      </c>
      <c r="G10" s="248">
        <v>42214</v>
      </c>
      <c r="H10" s="245" t="s">
        <v>324</v>
      </c>
      <c r="I10" s="245" t="s">
        <v>325</v>
      </c>
      <c r="J10" s="245"/>
      <c r="K10" s="241" t="s">
        <v>340</v>
      </c>
      <c r="L10" s="254" t="s">
        <v>387</v>
      </c>
      <c r="M10" s="246">
        <v>75</v>
      </c>
      <c r="N10" s="246">
        <v>26.327272727272724</v>
      </c>
      <c r="O10" s="241"/>
      <c r="P10" s="241"/>
      <c r="Q10" s="246" t="s">
        <v>320</v>
      </c>
      <c r="R10" s="241"/>
      <c r="S10" s="244" t="s">
        <v>320</v>
      </c>
      <c r="T10" s="241"/>
      <c r="U10" s="246" t="s">
        <v>320</v>
      </c>
      <c r="V10" s="246" t="s">
        <v>320</v>
      </c>
      <c r="W10" s="246" t="s">
        <v>320</v>
      </c>
      <c r="X10" s="241"/>
      <c r="Y10" s="241"/>
      <c r="Z10" s="241"/>
      <c r="AA10" s="241"/>
      <c r="AB10" s="241"/>
      <c r="AC10" s="241"/>
      <c r="AD10" s="246" t="s">
        <v>320</v>
      </c>
      <c r="AE10" s="246" t="s">
        <v>320</v>
      </c>
      <c r="AF10" s="241"/>
      <c r="AG10" s="241"/>
      <c r="AH10" s="246" t="s">
        <v>320</v>
      </c>
      <c r="AI10" s="241"/>
      <c r="AJ10" s="241"/>
      <c r="AK10" s="246" t="s">
        <v>320</v>
      </c>
      <c r="AL10" s="241"/>
      <c r="AM10" s="246" t="s">
        <v>320</v>
      </c>
      <c r="AN10" s="246" t="s">
        <v>320</v>
      </c>
      <c r="AO10" s="241" t="s">
        <v>327</v>
      </c>
      <c r="AP10" s="245" t="s">
        <v>325</v>
      </c>
      <c r="AQ10" s="245"/>
      <c r="AR10" s="245"/>
    </row>
    <row r="11" spans="1:94" x14ac:dyDescent="0.3">
      <c r="A11" s="241">
        <v>5644</v>
      </c>
      <c r="B11" s="242">
        <v>42202</v>
      </c>
      <c r="C11" s="243" t="s">
        <v>332</v>
      </c>
      <c r="D11" s="244" t="s">
        <v>382</v>
      </c>
      <c r="E11" s="241"/>
      <c r="F11" s="241" t="s">
        <v>333</v>
      </c>
      <c r="G11" s="248">
        <v>41901</v>
      </c>
      <c r="H11" s="245" t="s">
        <v>334</v>
      </c>
      <c r="I11" s="245" t="s">
        <v>335</v>
      </c>
      <c r="J11" s="245"/>
      <c r="K11" s="241" t="s">
        <v>341</v>
      </c>
      <c r="L11" s="254" t="s">
        <v>387</v>
      </c>
      <c r="M11" s="246">
        <v>157.96</v>
      </c>
      <c r="N11" s="246">
        <v>24.24</v>
      </c>
      <c r="O11" s="241"/>
      <c r="P11" s="241"/>
      <c r="Q11" s="246" t="s">
        <v>320</v>
      </c>
      <c r="R11" s="241"/>
      <c r="S11" s="244" t="s">
        <v>320</v>
      </c>
      <c r="T11" s="241"/>
      <c r="U11" s="246" t="s">
        <v>320</v>
      </c>
      <c r="V11" s="246" t="s">
        <v>320</v>
      </c>
      <c r="W11" s="246" t="s">
        <v>320</v>
      </c>
      <c r="X11" s="241"/>
      <c r="Y11" s="241"/>
      <c r="Z11" s="241"/>
      <c r="AA11" s="241"/>
      <c r="AB11" s="241"/>
      <c r="AC11" s="241"/>
      <c r="AD11" s="246" t="s">
        <v>320</v>
      </c>
      <c r="AE11" s="246" t="s">
        <v>320</v>
      </c>
      <c r="AF11" s="241"/>
      <c r="AG11" s="241"/>
      <c r="AH11" s="246" t="s">
        <v>320</v>
      </c>
      <c r="AI11" s="241"/>
      <c r="AJ11" s="241"/>
      <c r="AK11" s="246" t="s">
        <v>320</v>
      </c>
      <c r="AL11" s="241"/>
      <c r="AM11" s="246" t="s">
        <v>320</v>
      </c>
      <c r="AN11" s="246" t="s">
        <v>320</v>
      </c>
      <c r="AO11" s="241" t="s">
        <v>338</v>
      </c>
      <c r="AP11" s="245" t="s">
        <v>335</v>
      </c>
      <c r="AQ11" s="245"/>
      <c r="AR11" s="245"/>
    </row>
    <row r="12" spans="1:94" x14ac:dyDescent="0.3">
      <c r="A12" s="241">
        <v>4375</v>
      </c>
      <c r="B12" s="242">
        <v>42202</v>
      </c>
      <c r="C12" s="243" t="s">
        <v>342</v>
      </c>
      <c r="D12" s="244" t="s">
        <v>382</v>
      </c>
      <c r="E12" s="241"/>
      <c r="F12" s="241" t="s">
        <v>343</v>
      </c>
      <c r="G12" s="248">
        <v>42185</v>
      </c>
      <c r="H12" s="245" t="s">
        <v>344</v>
      </c>
      <c r="I12" s="245" t="s">
        <v>345</v>
      </c>
      <c r="J12" s="245"/>
      <c r="K12" s="241" t="s">
        <v>346</v>
      </c>
      <c r="L12" s="255" t="s">
        <v>387</v>
      </c>
      <c r="M12" s="246">
        <v>83.590909090909093</v>
      </c>
      <c r="N12" s="246">
        <v>25.68181818181818</v>
      </c>
      <c r="O12" s="241"/>
      <c r="P12" s="241"/>
      <c r="Q12" s="246"/>
      <c r="R12" s="241"/>
      <c r="S12" s="244" t="s">
        <v>320</v>
      </c>
      <c r="T12" s="241"/>
      <c r="U12" s="246" t="s">
        <v>320</v>
      </c>
      <c r="V12" s="246" t="s">
        <v>320</v>
      </c>
      <c r="W12" s="246" t="s">
        <v>320</v>
      </c>
      <c r="X12" s="241"/>
      <c r="Y12" s="241"/>
      <c r="Z12" s="241"/>
      <c r="AA12" s="241"/>
      <c r="AB12" s="241"/>
      <c r="AC12" s="241"/>
      <c r="AD12" s="246" t="s">
        <v>320</v>
      </c>
      <c r="AE12" s="246" t="s">
        <v>320</v>
      </c>
      <c r="AF12" s="241"/>
      <c r="AG12" s="241"/>
      <c r="AH12" s="246" t="s">
        <v>320</v>
      </c>
      <c r="AI12" s="241"/>
      <c r="AJ12" s="241"/>
      <c r="AK12" s="246" t="s">
        <v>320</v>
      </c>
      <c r="AL12" s="241"/>
      <c r="AM12" s="246" t="s">
        <v>320</v>
      </c>
      <c r="AN12" s="246" t="s">
        <v>320</v>
      </c>
      <c r="AO12" s="241" t="s">
        <v>347</v>
      </c>
      <c r="AP12" s="245" t="s">
        <v>345</v>
      </c>
      <c r="AQ12" s="245"/>
      <c r="AR12" s="245"/>
    </row>
    <row r="13" spans="1:94" x14ac:dyDescent="0.3">
      <c r="A13" s="241">
        <v>10525</v>
      </c>
      <c r="B13" s="242">
        <v>42202</v>
      </c>
      <c r="C13" s="243" t="s">
        <v>322</v>
      </c>
      <c r="D13" s="244" t="s">
        <v>382</v>
      </c>
      <c r="E13" s="241"/>
      <c r="F13" s="241" t="s">
        <v>323</v>
      </c>
      <c r="G13" s="247">
        <v>42201</v>
      </c>
      <c r="H13" s="245" t="s">
        <v>324</v>
      </c>
      <c r="I13" s="245" t="s">
        <v>325</v>
      </c>
      <c r="J13" s="245"/>
      <c r="K13" s="241" t="s">
        <v>348</v>
      </c>
      <c r="L13" s="254" t="s">
        <v>387</v>
      </c>
      <c r="M13" s="246">
        <v>79.5</v>
      </c>
      <c r="N13" s="246">
        <v>25.981818181818177</v>
      </c>
      <c r="O13" s="241"/>
      <c r="P13" s="241"/>
      <c r="Q13" s="246" t="s">
        <v>320</v>
      </c>
      <c r="R13" s="241"/>
      <c r="S13" s="244" t="s">
        <v>320</v>
      </c>
      <c r="T13" s="241"/>
      <c r="U13" s="246" t="s">
        <v>320</v>
      </c>
      <c r="V13" s="246" t="s">
        <v>320</v>
      </c>
      <c r="W13" s="246" t="s">
        <v>320</v>
      </c>
      <c r="X13" s="241"/>
      <c r="Y13" s="241"/>
      <c r="Z13" s="241"/>
      <c r="AA13" s="241"/>
      <c r="AB13" s="241"/>
      <c r="AC13" s="241"/>
      <c r="AD13" s="246" t="s">
        <v>320</v>
      </c>
      <c r="AE13" s="246" t="s">
        <v>320</v>
      </c>
      <c r="AF13" s="241"/>
      <c r="AG13" s="241"/>
      <c r="AH13" s="246" t="s">
        <v>320</v>
      </c>
      <c r="AI13" s="241"/>
      <c r="AJ13" s="241"/>
      <c r="AK13" s="246" t="s">
        <v>320</v>
      </c>
      <c r="AL13" s="241"/>
      <c r="AM13" s="246" t="s">
        <v>320</v>
      </c>
      <c r="AN13" s="246" t="s">
        <v>320</v>
      </c>
      <c r="AO13" s="241" t="s">
        <v>327</v>
      </c>
      <c r="AP13" s="245" t="s">
        <v>325</v>
      </c>
      <c r="AQ13" s="245"/>
      <c r="AR13" s="245"/>
    </row>
    <row r="14" spans="1:94" x14ac:dyDescent="0.3">
      <c r="A14" s="241">
        <v>10324</v>
      </c>
      <c r="B14" s="242">
        <v>42202</v>
      </c>
      <c r="C14" s="243" t="s">
        <v>332</v>
      </c>
      <c r="D14" s="244" t="s">
        <v>382</v>
      </c>
      <c r="E14" s="241"/>
      <c r="F14" s="241" t="s">
        <v>333</v>
      </c>
      <c r="G14" s="248">
        <v>42187</v>
      </c>
      <c r="H14" s="245" t="s">
        <v>334</v>
      </c>
      <c r="I14" s="245" t="s">
        <v>335</v>
      </c>
      <c r="J14" s="245"/>
      <c r="K14" s="241" t="s">
        <v>349</v>
      </c>
      <c r="L14" s="254" t="s">
        <v>387</v>
      </c>
      <c r="M14" s="246">
        <v>82</v>
      </c>
      <c r="N14" s="246">
        <v>25.790909090909089</v>
      </c>
      <c r="O14" s="241"/>
      <c r="P14" s="241"/>
      <c r="Q14" s="246" t="s">
        <v>320</v>
      </c>
      <c r="R14" s="241"/>
      <c r="S14" s="244" t="s">
        <v>320</v>
      </c>
      <c r="T14" s="241"/>
      <c r="U14" s="246" t="s">
        <v>320</v>
      </c>
      <c r="V14" s="246" t="s">
        <v>320</v>
      </c>
      <c r="W14" s="246" t="s">
        <v>320</v>
      </c>
      <c r="X14" s="241"/>
      <c r="Y14" s="241"/>
      <c r="Z14" s="241"/>
      <c r="AA14" s="241"/>
      <c r="AB14" s="241"/>
      <c r="AC14" s="241"/>
      <c r="AD14" s="246" t="s">
        <v>320</v>
      </c>
      <c r="AE14" s="246" t="s">
        <v>320</v>
      </c>
      <c r="AF14" s="241"/>
      <c r="AG14" s="241"/>
      <c r="AH14" s="246" t="s">
        <v>320</v>
      </c>
      <c r="AI14" s="241"/>
      <c r="AJ14" s="241"/>
      <c r="AK14" s="246" t="s">
        <v>320</v>
      </c>
      <c r="AL14" s="241"/>
      <c r="AM14" s="246" t="s">
        <v>320</v>
      </c>
      <c r="AN14" s="246" t="s">
        <v>320</v>
      </c>
      <c r="AO14" s="241" t="s">
        <v>338</v>
      </c>
      <c r="AP14" s="245" t="s">
        <v>335</v>
      </c>
      <c r="AQ14" s="245"/>
      <c r="AR14" s="245"/>
    </row>
    <row r="15" spans="1:94" x14ac:dyDescent="0.3">
      <c r="A15" s="241">
        <v>10679</v>
      </c>
      <c r="B15" s="242">
        <v>42202</v>
      </c>
      <c r="C15" s="243" t="s">
        <v>236</v>
      </c>
      <c r="D15" s="244" t="s">
        <v>382</v>
      </c>
      <c r="E15" s="241"/>
      <c r="F15" s="241" t="s">
        <v>237</v>
      </c>
      <c r="G15" s="248">
        <v>42185</v>
      </c>
      <c r="H15" s="245" t="s">
        <v>241</v>
      </c>
      <c r="I15" s="245" t="s">
        <v>197</v>
      </c>
      <c r="J15" s="245"/>
      <c r="K15" s="241" t="s">
        <v>252</v>
      </c>
      <c r="L15" s="254" t="s">
        <v>387</v>
      </c>
      <c r="M15" s="246">
        <v>95.690909090909088</v>
      </c>
      <c r="N15" s="246">
        <v>24.781818181818181</v>
      </c>
      <c r="O15" s="241"/>
      <c r="P15" s="241"/>
      <c r="Q15" s="246" t="s">
        <v>320</v>
      </c>
      <c r="R15" s="241"/>
      <c r="S15" s="244" t="s">
        <v>320</v>
      </c>
      <c r="T15" s="241"/>
      <c r="U15" s="246" t="s">
        <v>320</v>
      </c>
      <c r="V15" s="246" t="s">
        <v>320</v>
      </c>
      <c r="W15" s="246" t="s">
        <v>320</v>
      </c>
      <c r="X15" s="241"/>
      <c r="Y15" s="241"/>
      <c r="Z15" s="241"/>
      <c r="AA15" s="241"/>
      <c r="AB15" s="241"/>
      <c r="AC15" s="241"/>
      <c r="AD15" s="246" t="s">
        <v>320</v>
      </c>
      <c r="AE15" s="246" t="s">
        <v>320</v>
      </c>
      <c r="AF15" s="241"/>
      <c r="AG15" s="241"/>
      <c r="AH15" s="246" t="s">
        <v>320</v>
      </c>
      <c r="AI15" s="241"/>
      <c r="AJ15" s="241"/>
      <c r="AK15" s="246" t="s">
        <v>320</v>
      </c>
      <c r="AL15" s="241"/>
      <c r="AM15" s="246" t="s">
        <v>320</v>
      </c>
      <c r="AN15" s="246" t="s">
        <v>320</v>
      </c>
      <c r="AO15" s="241" t="s">
        <v>196</v>
      </c>
      <c r="AP15" s="245" t="s">
        <v>197</v>
      </c>
      <c r="AQ15" s="245"/>
      <c r="AR15" s="245"/>
    </row>
    <row r="16" spans="1:94" x14ac:dyDescent="0.3">
      <c r="A16" s="241">
        <v>1397</v>
      </c>
      <c r="B16" s="242">
        <v>42202</v>
      </c>
      <c r="C16" s="243" t="s">
        <v>332</v>
      </c>
      <c r="D16" s="244" t="s">
        <v>382</v>
      </c>
      <c r="E16" s="241"/>
      <c r="F16" s="241" t="s">
        <v>333</v>
      </c>
      <c r="G16" s="247">
        <v>42185</v>
      </c>
      <c r="H16" s="245" t="s">
        <v>334</v>
      </c>
      <c r="I16" s="245" t="s">
        <v>335</v>
      </c>
      <c r="J16" s="245"/>
      <c r="K16" s="241" t="s">
        <v>350</v>
      </c>
      <c r="L16" s="254" t="s">
        <v>387</v>
      </c>
      <c r="M16" s="246">
        <v>87.8</v>
      </c>
      <c r="N16" s="246">
        <v>25.3</v>
      </c>
      <c r="O16" s="244"/>
      <c r="P16" s="241"/>
      <c r="Q16" s="246"/>
      <c r="R16" s="241"/>
      <c r="S16" s="244" t="s">
        <v>320</v>
      </c>
      <c r="T16" s="241"/>
      <c r="U16" s="246" t="s">
        <v>320</v>
      </c>
      <c r="V16" s="246" t="s">
        <v>320</v>
      </c>
      <c r="W16" s="246" t="s">
        <v>320</v>
      </c>
      <c r="X16" s="241"/>
      <c r="Y16" s="241"/>
      <c r="Z16" s="241"/>
      <c r="AA16" s="241"/>
      <c r="AB16" s="241"/>
      <c r="AC16" s="241"/>
      <c r="AD16" s="246" t="s">
        <v>320</v>
      </c>
      <c r="AE16" s="246" t="s">
        <v>320</v>
      </c>
      <c r="AF16" s="241"/>
      <c r="AG16" s="241"/>
      <c r="AH16" s="246" t="s">
        <v>320</v>
      </c>
      <c r="AI16" s="241"/>
      <c r="AJ16" s="241"/>
      <c r="AK16" s="246" t="s">
        <v>320</v>
      </c>
      <c r="AL16" s="241"/>
      <c r="AM16" s="246" t="s">
        <v>320</v>
      </c>
      <c r="AN16" s="246" t="s">
        <v>320</v>
      </c>
      <c r="AO16" s="241" t="s">
        <v>338</v>
      </c>
      <c r="AP16" s="245" t="s">
        <v>335</v>
      </c>
      <c r="AQ16" s="245"/>
      <c r="AR16" s="245"/>
    </row>
    <row r="17" spans="1:94" x14ac:dyDescent="0.3">
      <c r="A17" s="241">
        <v>3601</v>
      </c>
      <c r="B17" s="242">
        <v>42202</v>
      </c>
      <c r="C17" s="243" t="s">
        <v>223</v>
      </c>
      <c r="D17" s="244" t="s">
        <v>382</v>
      </c>
      <c r="E17" s="241"/>
      <c r="F17" s="241" t="s">
        <v>225</v>
      </c>
      <c r="G17" s="248">
        <v>42192</v>
      </c>
      <c r="H17" s="245" t="s">
        <v>226</v>
      </c>
      <c r="I17" s="245" t="s">
        <v>227</v>
      </c>
      <c r="J17" s="245"/>
      <c r="K17" s="241" t="s">
        <v>352</v>
      </c>
      <c r="L17" s="254" t="s">
        <v>387</v>
      </c>
      <c r="M17" s="246">
        <v>84.681818181818187</v>
      </c>
      <c r="N17" s="246">
        <v>23.909090909090907</v>
      </c>
      <c r="O17" s="241"/>
      <c r="P17" s="241"/>
      <c r="Q17" s="246" t="s">
        <v>320</v>
      </c>
      <c r="R17" s="241"/>
      <c r="S17" s="244" t="s">
        <v>320</v>
      </c>
      <c r="T17" s="241"/>
      <c r="U17" s="246" t="s">
        <v>320</v>
      </c>
      <c r="V17" s="246" t="s">
        <v>320</v>
      </c>
      <c r="W17" s="246" t="s">
        <v>320</v>
      </c>
      <c r="X17" s="241"/>
      <c r="Y17" s="241"/>
      <c r="Z17" s="241"/>
      <c r="AA17" s="241"/>
      <c r="AB17" s="241"/>
      <c r="AC17" s="241"/>
      <c r="AD17" s="246" t="s">
        <v>320</v>
      </c>
      <c r="AE17" s="246" t="s">
        <v>320</v>
      </c>
      <c r="AF17" s="241"/>
      <c r="AG17" s="241"/>
      <c r="AH17" s="246" t="s">
        <v>320</v>
      </c>
      <c r="AI17" s="241"/>
      <c r="AJ17" s="241"/>
      <c r="AK17" s="246" t="s">
        <v>320</v>
      </c>
      <c r="AL17" s="241"/>
      <c r="AM17" s="246" t="s">
        <v>320</v>
      </c>
      <c r="AN17" s="246" t="s">
        <v>320</v>
      </c>
      <c r="AO17" s="241" t="s">
        <v>321</v>
      </c>
      <c r="AP17" s="245" t="s">
        <v>227</v>
      </c>
      <c r="AQ17" s="245"/>
      <c r="AR17" s="245"/>
    </row>
    <row r="18" spans="1:94" x14ac:dyDescent="0.3">
      <c r="A18" s="241">
        <v>10374</v>
      </c>
      <c r="B18" s="242">
        <v>42202</v>
      </c>
      <c r="C18" s="243" t="s">
        <v>322</v>
      </c>
      <c r="D18" s="244" t="s">
        <v>382</v>
      </c>
      <c r="E18" s="241"/>
      <c r="F18" s="241" t="s">
        <v>323</v>
      </c>
      <c r="G18" s="247">
        <v>42185</v>
      </c>
      <c r="H18" s="245" t="s">
        <v>310</v>
      </c>
      <c r="I18" s="245" t="s">
        <v>309</v>
      </c>
      <c r="J18" s="245"/>
      <c r="K18" s="241" t="s">
        <v>239</v>
      </c>
      <c r="L18" s="254" t="s">
        <v>387</v>
      </c>
      <c r="M18" s="246">
        <v>100</v>
      </c>
      <c r="N18" s="246">
        <v>24.4</v>
      </c>
      <c r="O18" s="241" t="s">
        <v>351</v>
      </c>
      <c r="P18" s="241">
        <v>1350</v>
      </c>
      <c r="Q18" s="246">
        <v>27.9</v>
      </c>
      <c r="R18" s="256">
        <v>1350</v>
      </c>
      <c r="S18" s="246">
        <v>27.9</v>
      </c>
      <c r="T18" s="241"/>
      <c r="U18" s="246" t="s">
        <v>320</v>
      </c>
      <c r="V18" s="246" t="s">
        <v>320</v>
      </c>
      <c r="W18" s="246" t="s">
        <v>320</v>
      </c>
      <c r="X18" s="241"/>
      <c r="Y18" s="241"/>
      <c r="Z18" s="241"/>
      <c r="AA18" s="241"/>
      <c r="AB18" s="241"/>
      <c r="AC18" s="241"/>
      <c r="AD18" s="246" t="s">
        <v>320</v>
      </c>
      <c r="AE18" s="246" t="s">
        <v>320</v>
      </c>
      <c r="AF18" s="241"/>
      <c r="AG18" s="241"/>
      <c r="AH18" s="246" t="s">
        <v>320</v>
      </c>
      <c r="AI18" s="241"/>
      <c r="AJ18" s="241"/>
      <c r="AK18" s="246" t="s">
        <v>320</v>
      </c>
      <c r="AL18" s="241"/>
      <c r="AM18" s="246" t="s">
        <v>320</v>
      </c>
      <c r="AN18" s="246" t="s">
        <v>320</v>
      </c>
      <c r="AO18" s="241" t="s">
        <v>327</v>
      </c>
      <c r="AP18" s="245" t="s">
        <v>325</v>
      </c>
      <c r="AQ18" s="245"/>
      <c r="AR18" s="245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241">
        <v>9678</v>
      </c>
      <c r="B19" s="242">
        <v>42202</v>
      </c>
      <c r="C19" s="243" t="s">
        <v>322</v>
      </c>
      <c r="D19" s="244" t="s">
        <v>382</v>
      </c>
      <c r="E19" s="241"/>
      <c r="F19" s="241" t="s">
        <v>323</v>
      </c>
      <c r="G19" s="248">
        <v>42188</v>
      </c>
      <c r="H19" s="245" t="s">
        <v>325</v>
      </c>
      <c r="I19" s="245" t="s">
        <v>353</v>
      </c>
      <c r="J19" s="245"/>
      <c r="K19" s="241" t="s">
        <v>307</v>
      </c>
      <c r="L19" s="255" t="s">
        <v>387</v>
      </c>
      <c r="M19" s="246">
        <v>84</v>
      </c>
      <c r="N19" s="246">
        <v>25.65</v>
      </c>
      <c r="O19" s="241"/>
      <c r="P19" s="241"/>
      <c r="Q19" s="246" t="s">
        <v>320</v>
      </c>
      <c r="R19" s="241"/>
      <c r="S19" s="244" t="s">
        <v>320</v>
      </c>
      <c r="T19" s="241"/>
      <c r="U19" s="246" t="s">
        <v>320</v>
      </c>
      <c r="V19" s="246" t="s">
        <v>320</v>
      </c>
      <c r="W19" s="246" t="s">
        <v>320</v>
      </c>
      <c r="X19" s="241"/>
      <c r="Y19" s="241"/>
      <c r="Z19" s="241"/>
      <c r="AA19" s="241"/>
      <c r="AB19" s="241"/>
      <c r="AC19" s="241"/>
      <c r="AD19" s="246" t="s">
        <v>320</v>
      </c>
      <c r="AE19" s="246" t="s">
        <v>320</v>
      </c>
      <c r="AF19" s="241"/>
      <c r="AG19" s="241"/>
      <c r="AH19" s="246" t="s">
        <v>320</v>
      </c>
      <c r="AI19" s="241"/>
      <c r="AJ19" s="241"/>
      <c r="AK19" s="246" t="s">
        <v>320</v>
      </c>
      <c r="AL19" s="241"/>
      <c r="AM19" s="246" t="s">
        <v>320</v>
      </c>
      <c r="AN19" s="246" t="s">
        <v>320</v>
      </c>
      <c r="AO19" s="241" t="s">
        <v>327</v>
      </c>
      <c r="AP19" s="245" t="s">
        <v>325</v>
      </c>
      <c r="AQ19" s="245"/>
      <c r="AR19" s="245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241">
        <v>9904</v>
      </c>
      <c r="B20" s="242">
        <v>42202</v>
      </c>
      <c r="C20" s="243" t="s">
        <v>332</v>
      </c>
      <c r="D20" s="244" t="s">
        <v>382</v>
      </c>
      <c r="E20" s="241"/>
      <c r="F20" s="241" t="s">
        <v>333</v>
      </c>
      <c r="G20" s="248">
        <v>42066</v>
      </c>
      <c r="H20" s="245" t="s">
        <v>334</v>
      </c>
      <c r="I20" s="245" t="s">
        <v>335</v>
      </c>
      <c r="J20" s="245"/>
      <c r="K20" s="244" t="s">
        <v>354</v>
      </c>
      <c r="L20" s="255" t="s">
        <v>387</v>
      </c>
      <c r="M20" s="246">
        <v>117.14</v>
      </c>
      <c r="N20" s="246">
        <v>23</v>
      </c>
      <c r="O20" s="241"/>
      <c r="P20" s="241"/>
      <c r="Q20" s="246" t="s">
        <v>320</v>
      </c>
      <c r="R20" s="241"/>
      <c r="S20" s="244" t="s">
        <v>320</v>
      </c>
      <c r="T20" s="241"/>
      <c r="U20" s="246" t="s">
        <v>320</v>
      </c>
      <c r="V20" s="246" t="s">
        <v>320</v>
      </c>
      <c r="W20" s="246" t="s">
        <v>320</v>
      </c>
      <c r="X20" s="241"/>
      <c r="Y20" s="241"/>
      <c r="Z20" s="241"/>
      <c r="AA20" s="241"/>
      <c r="AB20" s="241"/>
      <c r="AC20" s="241"/>
      <c r="AD20" s="246" t="s">
        <v>320</v>
      </c>
      <c r="AE20" s="246" t="s">
        <v>320</v>
      </c>
      <c r="AF20" s="241"/>
      <c r="AG20" s="241"/>
      <c r="AH20" s="246" t="s">
        <v>320</v>
      </c>
      <c r="AI20" s="241"/>
      <c r="AJ20" s="241"/>
      <c r="AK20" s="246" t="s">
        <v>320</v>
      </c>
      <c r="AL20" s="241"/>
      <c r="AM20" s="246" t="s">
        <v>320</v>
      </c>
      <c r="AN20" s="246" t="s">
        <v>320</v>
      </c>
      <c r="AO20" s="241" t="s">
        <v>338</v>
      </c>
      <c r="AP20" s="245" t="s">
        <v>335</v>
      </c>
      <c r="AQ20" s="245"/>
      <c r="AR20" s="245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</row>
    <row r="21" spans="1:94" x14ac:dyDescent="0.3">
      <c r="A21" s="241">
        <v>10040</v>
      </c>
      <c r="B21" s="242">
        <v>42202</v>
      </c>
      <c r="C21" s="243" t="s">
        <v>189</v>
      </c>
      <c r="D21" s="244" t="s">
        <v>382</v>
      </c>
      <c r="E21" s="241"/>
      <c r="F21" s="241" t="s">
        <v>191</v>
      </c>
      <c r="G21" s="248">
        <v>42185</v>
      </c>
      <c r="H21" s="249" t="s">
        <v>309</v>
      </c>
      <c r="I21" s="249" t="s">
        <v>355</v>
      </c>
      <c r="J21" s="245"/>
      <c r="K21" s="244" t="s">
        <v>356</v>
      </c>
      <c r="L21" s="254" t="s">
        <v>387</v>
      </c>
      <c r="M21" s="246">
        <v>68.209090909090904</v>
      </c>
      <c r="N21" s="246">
        <v>26.83</v>
      </c>
      <c r="O21" s="241"/>
      <c r="P21" s="241"/>
      <c r="Q21" s="246" t="s">
        <v>320</v>
      </c>
      <c r="R21" s="241"/>
      <c r="S21" s="244" t="s">
        <v>320</v>
      </c>
      <c r="T21" s="241"/>
      <c r="U21" s="246" t="s">
        <v>320</v>
      </c>
      <c r="V21" s="246" t="s">
        <v>320</v>
      </c>
      <c r="W21" s="246" t="s">
        <v>320</v>
      </c>
      <c r="X21" s="241"/>
      <c r="Y21" s="241"/>
      <c r="Z21" s="241"/>
      <c r="AA21" s="241"/>
      <c r="AB21" s="241"/>
      <c r="AC21" s="241"/>
      <c r="AD21" s="246" t="s">
        <v>320</v>
      </c>
      <c r="AE21" s="246" t="s">
        <v>320</v>
      </c>
      <c r="AF21" s="241"/>
      <c r="AG21" s="241"/>
      <c r="AH21" s="246" t="s">
        <v>320</v>
      </c>
      <c r="AI21" s="241"/>
      <c r="AJ21" s="241"/>
      <c r="AK21" s="246" t="s">
        <v>320</v>
      </c>
      <c r="AL21" s="241"/>
      <c r="AM21" s="246" t="s">
        <v>320</v>
      </c>
      <c r="AN21" s="246" t="s">
        <v>320</v>
      </c>
      <c r="AO21" s="241" t="s">
        <v>357</v>
      </c>
      <c r="AP21" s="245" t="s">
        <v>193</v>
      </c>
      <c r="AQ21" s="245"/>
      <c r="AR21" s="245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241">
        <v>10012</v>
      </c>
      <c r="B22" s="242">
        <v>42203</v>
      </c>
      <c r="C22" s="243" t="s">
        <v>223</v>
      </c>
      <c r="D22" s="244" t="s">
        <v>382</v>
      </c>
      <c r="E22" s="241"/>
      <c r="F22" s="241" t="s">
        <v>229</v>
      </c>
      <c r="G22" s="242">
        <v>42187</v>
      </c>
      <c r="H22" s="245" t="s">
        <v>226</v>
      </c>
      <c r="I22" s="245" t="s">
        <v>227</v>
      </c>
      <c r="J22" s="245"/>
      <c r="K22" s="241" t="s">
        <v>319</v>
      </c>
      <c r="L22" s="254" t="s">
        <v>387</v>
      </c>
      <c r="M22" s="246">
        <v>130.90909090909091</v>
      </c>
      <c r="N22" s="246">
        <v>22.27272727272727</v>
      </c>
      <c r="O22" s="241"/>
      <c r="P22" s="241"/>
      <c r="Q22" s="246" t="s">
        <v>320</v>
      </c>
      <c r="R22" s="241"/>
      <c r="S22" s="244" t="s">
        <v>320</v>
      </c>
      <c r="T22" s="241"/>
      <c r="U22" s="246" t="s">
        <v>320</v>
      </c>
      <c r="V22" s="246" t="s">
        <v>320</v>
      </c>
      <c r="W22" s="246" t="s">
        <v>320</v>
      </c>
      <c r="X22" s="241"/>
      <c r="Y22" s="241"/>
      <c r="Z22" s="241"/>
      <c r="AA22" s="241"/>
      <c r="AB22" s="241"/>
      <c r="AC22" s="241"/>
      <c r="AD22" s="246" t="s">
        <v>320</v>
      </c>
      <c r="AE22" s="246">
        <v>14.999999999999998</v>
      </c>
      <c r="AF22" s="241"/>
      <c r="AG22" s="241"/>
      <c r="AH22" s="246" t="s">
        <v>320</v>
      </c>
      <c r="AI22" s="241"/>
      <c r="AJ22" s="241"/>
      <c r="AK22" s="246" t="s">
        <v>320</v>
      </c>
      <c r="AL22" s="241"/>
      <c r="AM22" s="246" t="s">
        <v>320</v>
      </c>
      <c r="AN22" s="246" t="s">
        <v>320</v>
      </c>
      <c r="AO22" s="241" t="s">
        <v>359</v>
      </c>
      <c r="AP22" s="245" t="s">
        <v>227</v>
      </c>
      <c r="AQ22" s="245"/>
      <c r="AR22" s="245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</row>
    <row r="23" spans="1:94" x14ac:dyDescent="0.3">
      <c r="A23" s="241">
        <v>10417</v>
      </c>
      <c r="B23" s="242">
        <v>42202</v>
      </c>
      <c r="C23" s="243" t="s">
        <v>322</v>
      </c>
      <c r="D23" s="244" t="s">
        <v>382</v>
      </c>
      <c r="E23" s="241"/>
      <c r="F23" s="241" t="s">
        <v>360</v>
      </c>
      <c r="G23" s="242">
        <v>42187</v>
      </c>
      <c r="H23" s="245" t="s">
        <v>324</v>
      </c>
      <c r="I23" s="245" t="s">
        <v>325</v>
      </c>
      <c r="J23" s="245"/>
      <c r="K23" s="241" t="s">
        <v>326</v>
      </c>
      <c r="L23" s="254" t="s">
        <v>387</v>
      </c>
      <c r="M23" s="246">
        <v>87.999999999999986</v>
      </c>
      <c r="N23" s="246">
        <v>25.790909090909089</v>
      </c>
      <c r="O23" s="241"/>
      <c r="P23" s="241"/>
      <c r="Q23" s="246" t="s">
        <v>320</v>
      </c>
      <c r="R23" s="241"/>
      <c r="S23" s="244" t="s">
        <v>320</v>
      </c>
      <c r="T23" s="241"/>
      <c r="U23" s="246" t="s">
        <v>320</v>
      </c>
      <c r="V23" s="246" t="s">
        <v>320</v>
      </c>
      <c r="W23" s="246" t="s">
        <v>320</v>
      </c>
      <c r="X23" s="241"/>
      <c r="Y23" s="241"/>
      <c r="Z23" s="241"/>
      <c r="AA23" s="241"/>
      <c r="AB23" s="241"/>
      <c r="AC23" s="241"/>
      <c r="AD23" s="246" t="s">
        <v>320</v>
      </c>
      <c r="AE23" s="246">
        <v>11.972727272727271</v>
      </c>
      <c r="AF23" s="241"/>
      <c r="AG23" s="241"/>
      <c r="AH23" s="246" t="s">
        <v>320</v>
      </c>
      <c r="AI23" s="241"/>
      <c r="AJ23" s="241"/>
      <c r="AK23" s="246" t="s">
        <v>320</v>
      </c>
      <c r="AL23" s="241"/>
      <c r="AM23" s="246" t="s">
        <v>320</v>
      </c>
      <c r="AN23" s="246" t="s">
        <v>320</v>
      </c>
      <c r="AO23" s="241" t="s">
        <v>361</v>
      </c>
      <c r="AP23" s="245" t="s">
        <v>325</v>
      </c>
      <c r="AQ23" s="245"/>
      <c r="AR23" s="245"/>
    </row>
    <row r="24" spans="1:94" x14ac:dyDescent="0.3">
      <c r="A24" s="241">
        <v>10502</v>
      </c>
      <c r="B24" s="242">
        <v>42202</v>
      </c>
      <c r="C24" s="243" t="s">
        <v>322</v>
      </c>
      <c r="D24" s="244" t="s">
        <v>382</v>
      </c>
      <c r="E24" s="241"/>
      <c r="F24" s="241" t="s">
        <v>360</v>
      </c>
      <c r="G24" s="247">
        <v>42185</v>
      </c>
      <c r="H24" s="245" t="s">
        <v>324</v>
      </c>
      <c r="I24" s="245" t="s">
        <v>325</v>
      </c>
      <c r="J24" s="245"/>
      <c r="K24" s="241" t="s">
        <v>328</v>
      </c>
      <c r="L24" s="254" t="s">
        <v>387</v>
      </c>
      <c r="M24" s="246">
        <v>89.14</v>
      </c>
      <c r="N24" s="246">
        <v>21.7</v>
      </c>
      <c r="O24" s="241"/>
      <c r="P24" s="241"/>
      <c r="Q24" s="246" t="s">
        <v>320</v>
      </c>
      <c r="R24" s="241"/>
      <c r="S24" s="244" t="s">
        <v>320</v>
      </c>
      <c r="T24" s="241"/>
      <c r="U24" s="246" t="s">
        <v>320</v>
      </c>
      <c r="V24" s="246" t="s">
        <v>320</v>
      </c>
      <c r="W24" s="246" t="s">
        <v>320</v>
      </c>
      <c r="X24" s="241"/>
      <c r="Y24" s="241"/>
      <c r="Z24" s="241"/>
      <c r="AA24" s="241"/>
      <c r="AB24" s="241"/>
      <c r="AC24" s="241"/>
      <c r="AD24" s="246" t="s">
        <v>320</v>
      </c>
      <c r="AE24" s="246">
        <v>8.2363636363636363</v>
      </c>
      <c r="AF24" s="241"/>
      <c r="AG24" s="241"/>
      <c r="AH24" s="246" t="s">
        <v>320</v>
      </c>
      <c r="AI24" s="241"/>
      <c r="AJ24" s="241"/>
      <c r="AK24" s="246" t="s">
        <v>320</v>
      </c>
      <c r="AL24" s="241"/>
      <c r="AM24" s="246" t="s">
        <v>320</v>
      </c>
      <c r="AN24" s="246" t="s">
        <v>320</v>
      </c>
      <c r="AO24" s="241" t="s">
        <v>361</v>
      </c>
      <c r="AP24" s="245" t="s">
        <v>325</v>
      </c>
      <c r="AQ24" s="245"/>
      <c r="AR24" s="245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</row>
    <row r="25" spans="1:94" x14ac:dyDescent="0.3">
      <c r="A25" s="241">
        <v>10598</v>
      </c>
      <c r="B25" s="242">
        <v>42202</v>
      </c>
      <c r="C25" s="243" t="s">
        <v>322</v>
      </c>
      <c r="D25" s="244" t="s">
        <v>382</v>
      </c>
      <c r="E25" s="241"/>
      <c r="F25" s="241" t="s">
        <v>360</v>
      </c>
      <c r="G25" s="248">
        <v>42188</v>
      </c>
      <c r="H25" s="245" t="s">
        <v>310</v>
      </c>
      <c r="I25" s="245" t="s">
        <v>309</v>
      </c>
      <c r="J25" s="245"/>
      <c r="K25" s="241" t="s">
        <v>329</v>
      </c>
      <c r="L25" s="255" t="s">
        <v>387</v>
      </c>
      <c r="M25" s="246">
        <v>84</v>
      </c>
      <c r="N25" s="246">
        <v>25.65</v>
      </c>
      <c r="O25" s="241"/>
      <c r="P25" s="241"/>
      <c r="Q25" s="246" t="s">
        <v>320</v>
      </c>
      <c r="R25" s="241"/>
      <c r="S25" s="244" t="s">
        <v>320</v>
      </c>
      <c r="T25" s="241"/>
      <c r="U25" s="246" t="s">
        <v>320</v>
      </c>
      <c r="V25" s="246" t="s">
        <v>320</v>
      </c>
      <c r="W25" s="246" t="s">
        <v>320</v>
      </c>
      <c r="X25" s="241"/>
      <c r="Y25" s="241"/>
      <c r="Z25" s="241"/>
      <c r="AA25" s="241"/>
      <c r="AB25" s="241"/>
      <c r="AC25" s="241"/>
      <c r="AD25" s="246" t="s">
        <v>320</v>
      </c>
      <c r="AE25" s="246">
        <v>14.93</v>
      </c>
      <c r="AF25" s="241"/>
      <c r="AG25" s="241"/>
      <c r="AH25" s="246" t="s">
        <v>320</v>
      </c>
      <c r="AI25" s="241"/>
      <c r="AJ25" s="241"/>
      <c r="AK25" s="246" t="s">
        <v>320</v>
      </c>
      <c r="AL25" s="241"/>
      <c r="AM25" s="246" t="s">
        <v>320</v>
      </c>
      <c r="AN25" s="246" t="s">
        <v>320</v>
      </c>
      <c r="AO25" s="241" t="s">
        <v>361</v>
      </c>
      <c r="AP25" s="245" t="s">
        <v>325</v>
      </c>
      <c r="AQ25" s="245"/>
      <c r="AR25" s="245"/>
    </row>
    <row r="26" spans="1:94" x14ac:dyDescent="0.3">
      <c r="A26" s="241">
        <v>1474</v>
      </c>
      <c r="B26" s="242">
        <v>42202</v>
      </c>
      <c r="C26" s="243" t="s">
        <v>322</v>
      </c>
      <c r="D26" s="244" t="s">
        <v>382</v>
      </c>
      <c r="E26" s="241"/>
      <c r="F26" s="241" t="s">
        <v>360</v>
      </c>
      <c r="G26" s="248">
        <v>42185</v>
      </c>
      <c r="H26" s="245" t="s">
        <v>324</v>
      </c>
      <c r="I26" s="245" t="s">
        <v>325</v>
      </c>
      <c r="J26" s="245"/>
      <c r="K26" s="241" t="s">
        <v>330</v>
      </c>
      <c r="L26" s="255" t="s">
        <v>387</v>
      </c>
      <c r="M26" s="246">
        <v>94.418181818181807</v>
      </c>
      <c r="N26" s="246">
        <v>25.62</v>
      </c>
      <c r="O26" s="241"/>
      <c r="P26" s="241"/>
      <c r="Q26" s="246" t="s">
        <v>320</v>
      </c>
      <c r="R26" s="241"/>
      <c r="S26" s="244" t="s">
        <v>320</v>
      </c>
      <c r="T26" s="241"/>
      <c r="U26" s="246" t="s">
        <v>320</v>
      </c>
      <c r="V26" s="246" t="s">
        <v>320</v>
      </c>
      <c r="W26" s="246" t="s">
        <v>320</v>
      </c>
      <c r="X26" s="241"/>
      <c r="Y26" s="241"/>
      <c r="Z26" s="241"/>
      <c r="AA26" s="241"/>
      <c r="AB26" s="241"/>
      <c r="AC26" s="241"/>
      <c r="AD26" s="246" t="s">
        <v>320</v>
      </c>
      <c r="AE26" s="246">
        <v>13.27</v>
      </c>
      <c r="AF26" s="241"/>
      <c r="AG26" s="241"/>
      <c r="AH26" s="246" t="s">
        <v>320</v>
      </c>
      <c r="AI26" s="241"/>
      <c r="AJ26" s="241"/>
      <c r="AK26" s="246" t="s">
        <v>320</v>
      </c>
      <c r="AL26" s="241"/>
      <c r="AM26" s="246" t="s">
        <v>320</v>
      </c>
      <c r="AN26" s="246" t="s">
        <v>320</v>
      </c>
      <c r="AO26" s="241" t="s">
        <v>361</v>
      </c>
      <c r="AP26" s="245" t="s">
        <v>325</v>
      </c>
      <c r="AQ26" s="245"/>
      <c r="AR26" s="245"/>
    </row>
    <row r="27" spans="1:94" x14ac:dyDescent="0.3">
      <c r="A27" s="241">
        <v>4655</v>
      </c>
      <c r="B27" s="242">
        <v>42202</v>
      </c>
      <c r="C27" s="243" t="s">
        <v>322</v>
      </c>
      <c r="D27" s="244" t="s">
        <v>382</v>
      </c>
      <c r="E27" s="241"/>
      <c r="F27" s="241" t="s">
        <v>360</v>
      </c>
      <c r="G27" s="248">
        <v>42185</v>
      </c>
      <c r="H27" s="245" t="s">
        <v>324</v>
      </c>
      <c r="I27" s="245" t="s">
        <v>325</v>
      </c>
      <c r="J27" s="245"/>
      <c r="K27" s="241" t="s">
        <v>331</v>
      </c>
      <c r="L27" s="255" t="s">
        <v>387</v>
      </c>
      <c r="M27" s="246">
        <v>87</v>
      </c>
      <c r="N27" s="246">
        <v>24</v>
      </c>
      <c r="O27" s="241"/>
      <c r="P27" s="241"/>
      <c r="Q27" s="246" t="s">
        <v>320</v>
      </c>
      <c r="R27" s="241"/>
      <c r="S27" s="244" t="s">
        <v>320</v>
      </c>
      <c r="T27" s="241"/>
      <c r="U27" s="246" t="s">
        <v>320</v>
      </c>
      <c r="V27" s="246" t="s">
        <v>320</v>
      </c>
      <c r="W27" s="246" t="s">
        <v>320</v>
      </c>
      <c r="X27" s="241"/>
      <c r="Y27" s="241"/>
      <c r="Z27" s="241"/>
      <c r="AA27" s="241"/>
      <c r="AB27" s="241"/>
      <c r="AC27" s="241"/>
      <c r="AD27" s="246" t="s">
        <v>320</v>
      </c>
      <c r="AE27" s="246">
        <v>16</v>
      </c>
      <c r="AF27" s="241"/>
      <c r="AG27" s="241"/>
      <c r="AH27" s="246" t="s">
        <v>320</v>
      </c>
      <c r="AI27" s="241"/>
      <c r="AJ27" s="241"/>
      <c r="AK27" s="246" t="s">
        <v>320</v>
      </c>
      <c r="AL27" s="241"/>
      <c r="AM27" s="246" t="s">
        <v>320</v>
      </c>
      <c r="AN27" s="246" t="s">
        <v>320</v>
      </c>
      <c r="AO27" s="241" t="s">
        <v>361</v>
      </c>
      <c r="AP27" s="245" t="s">
        <v>325</v>
      </c>
      <c r="AQ27" s="245"/>
      <c r="AR27" s="245"/>
    </row>
    <row r="28" spans="1:94" x14ac:dyDescent="0.3">
      <c r="A28" s="241">
        <v>1446</v>
      </c>
      <c r="B28" s="242">
        <v>42202</v>
      </c>
      <c r="C28" s="243" t="s">
        <v>332</v>
      </c>
      <c r="D28" s="244" t="s">
        <v>382</v>
      </c>
      <c r="E28" s="241"/>
      <c r="F28" s="241" t="s">
        <v>362</v>
      </c>
      <c r="G28" s="248">
        <v>42185</v>
      </c>
      <c r="H28" s="245" t="s">
        <v>334</v>
      </c>
      <c r="I28" s="245" t="s">
        <v>335</v>
      </c>
      <c r="J28" s="245"/>
      <c r="K28" s="241" t="s">
        <v>336</v>
      </c>
      <c r="L28" s="255" t="s">
        <v>387</v>
      </c>
      <c r="M28" s="246">
        <v>85.73</v>
      </c>
      <c r="N28" s="246">
        <v>25.98</v>
      </c>
      <c r="O28" s="241"/>
      <c r="P28" s="241"/>
      <c r="Q28" s="246"/>
      <c r="R28" s="241"/>
      <c r="S28" s="244"/>
      <c r="T28" s="241"/>
      <c r="U28" s="246" t="s">
        <v>320</v>
      </c>
      <c r="V28" s="246" t="s">
        <v>320</v>
      </c>
      <c r="W28" s="246" t="s">
        <v>320</v>
      </c>
      <c r="X28" s="241"/>
      <c r="Y28" s="241"/>
      <c r="Z28" s="241"/>
      <c r="AA28" s="241"/>
      <c r="AB28" s="241"/>
      <c r="AC28" s="241"/>
      <c r="AD28" s="246" t="s">
        <v>320</v>
      </c>
      <c r="AE28" s="246">
        <v>10.45</v>
      </c>
      <c r="AF28" s="241"/>
      <c r="AG28" s="241"/>
      <c r="AH28" s="246" t="s">
        <v>320</v>
      </c>
      <c r="AI28" s="241"/>
      <c r="AJ28" s="241"/>
      <c r="AK28" s="246" t="s">
        <v>320</v>
      </c>
      <c r="AL28" s="241"/>
      <c r="AM28" s="246" t="s">
        <v>320</v>
      </c>
      <c r="AN28" s="246" t="s">
        <v>320</v>
      </c>
      <c r="AO28" s="241" t="s">
        <v>363</v>
      </c>
      <c r="AP28" s="245" t="s">
        <v>335</v>
      </c>
      <c r="AQ28" s="245"/>
      <c r="AR28" s="245"/>
    </row>
    <row r="29" spans="1:94" x14ac:dyDescent="0.3">
      <c r="A29" s="241">
        <v>1486</v>
      </c>
      <c r="B29" s="242">
        <v>42202</v>
      </c>
      <c r="C29" s="243" t="s">
        <v>332</v>
      </c>
      <c r="D29" s="244" t="s">
        <v>382</v>
      </c>
      <c r="E29" s="241"/>
      <c r="F29" s="241" t="s">
        <v>362</v>
      </c>
      <c r="G29" s="248">
        <v>42185</v>
      </c>
      <c r="H29" s="245" t="s">
        <v>334</v>
      </c>
      <c r="I29" s="245" t="s">
        <v>335</v>
      </c>
      <c r="J29" s="245"/>
      <c r="K29" s="241" t="s">
        <v>339</v>
      </c>
      <c r="L29" s="255" t="s">
        <v>387</v>
      </c>
      <c r="M29" s="246">
        <v>94.418181818181807</v>
      </c>
      <c r="N29" s="246">
        <v>25.62</v>
      </c>
      <c r="O29" s="241"/>
      <c r="P29" s="241"/>
      <c r="Q29" s="246" t="s">
        <v>320</v>
      </c>
      <c r="R29" s="241"/>
      <c r="S29" s="244" t="s">
        <v>320</v>
      </c>
      <c r="T29" s="241"/>
      <c r="U29" s="246" t="s">
        <v>320</v>
      </c>
      <c r="V29" s="246" t="s">
        <v>320</v>
      </c>
      <c r="W29" s="246" t="s">
        <v>320</v>
      </c>
      <c r="X29" s="241"/>
      <c r="Y29" s="241"/>
      <c r="Z29" s="241"/>
      <c r="AA29" s="241"/>
      <c r="AB29" s="241"/>
      <c r="AC29" s="241"/>
      <c r="AD29" s="246" t="s">
        <v>320</v>
      </c>
      <c r="AE29" s="246">
        <v>13.27</v>
      </c>
      <c r="AF29" s="241"/>
      <c r="AG29" s="241"/>
      <c r="AH29" s="246" t="s">
        <v>320</v>
      </c>
      <c r="AI29" s="241"/>
      <c r="AJ29" s="241"/>
      <c r="AK29" s="246" t="s">
        <v>320</v>
      </c>
      <c r="AL29" s="241"/>
      <c r="AM29" s="246" t="s">
        <v>320</v>
      </c>
      <c r="AN29" s="246" t="s">
        <v>320</v>
      </c>
      <c r="AO29" s="241" t="s">
        <v>363</v>
      </c>
      <c r="AP29" s="245" t="s">
        <v>335</v>
      </c>
      <c r="AQ29" s="245"/>
      <c r="AR29" s="245"/>
    </row>
    <row r="30" spans="1:94" x14ac:dyDescent="0.3">
      <c r="A30" s="241">
        <v>10271</v>
      </c>
      <c r="B30" s="242">
        <v>42202</v>
      </c>
      <c r="C30" s="243" t="s">
        <v>322</v>
      </c>
      <c r="D30" s="244" t="s">
        <v>382</v>
      </c>
      <c r="E30" s="241"/>
      <c r="F30" s="241" t="s">
        <v>360</v>
      </c>
      <c r="G30" s="248">
        <v>42214</v>
      </c>
      <c r="H30" s="245" t="s">
        <v>324</v>
      </c>
      <c r="I30" s="245" t="s">
        <v>325</v>
      </c>
      <c r="J30" s="245"/>
      <c r="K30" s="241" t="s">
        <v>340</v>
      </c>
      <c r="L30" s="254" t="s">
        <v>387</v>
      </c>
      <c r="M30" s="246">
        <v>77</v>
      </c>
      <c r="N30" s="246">
        <v>26.327272727272724</v>
      </c>
      <c r="O30" s="241"/>
      <c r="P30" s="241"/>
      <c r="Q30" s="246" t="s">
        <v>320</v>
      </c>
      <c r="R30" s="241"/>
      <c r="S30" s="244" t="s">
        <v>320</v>
      </c>
      <c r="T30" s="241"/>
      <c r="U30" s="246" t="s">
        <v>320</v>
      </c>
      <c r="V30" s="246" t="s">
        <v>320</v>
      </c>
      <c r="W30" s="246" t="s">
        <v>320</v>
      </c>
      <c r="X30" s="241"/>
      <c r="Y30" s="241"/>
      <c r="Z30" s="241"/>
      <c r="AA30" s="241"/>
      <c r="AB30" s="241"/>
      <c r="AC30" s="241"/>
      <c r="AD30" s="246" t="s">
        <v>320</v>
      </c>
      <c r="AE30" s="246">
        <v>11.263636363636364</v>
      </c>
      <c r="AF30" s="241"/>
      <c r="AG30" s="241"/>
      <c r="AH30" s="246" t="s">
        <v>320</v>
      </c>
      <c r="AI30" s="241"/>
      <c r="AJ30" s="241"/>
      <c r="AK30" s="246" t="s">
        <v>320</v>
      </c>
      <c r="AL30" s="241"/>
      <c r="AM30" s="246" t="s">
        <v>320</v>
      </c>
      <c r="AN30" s="246" t="s">
        <v>320</v>
      </c>
      <c r="AO30" s="241" t="s">
        <v>361</v>
      </c>
      <c r="AP30" s="245" t="s">
        <v>325</v>
      </c>
      <c r="AQ30" s="245"/>
      <c r="AR30" s="245"/>
    </row>
    <row r="31" spans="1:94" x14ac:dyDescent="0.3">
      <c r="A31" s="241">
        <v>5645</v>
      </c>
      <c r="B31" s="242">
        <v>42202</v>
      </c>
      <c r="C31" s="243" t="s">
        <v>332</v>
      </c>
      <c r="D31" s="244" t="s">
        <v>382</v>
      </c>
      <c r="E31" s="241"/>
      <c r="F31" s="241" t="s">
        <v>362</v>
      </c>
      <c r="G31" s="248">
        <v>41901</v>
      </c>
      <c r="H31" s="245" t="s">
        <v>334</v>
      </c>
      <c r="I31" s="245" t="s">
        <v>335</v>
      </c>
      <c r="J31" s="245"/>
      <c r="K31" s="241" t="s">
        <v>341</v>
      </c>
      <c r="L31" s="254" t="s">
        <v>387</v>
      </c>
      <c r="M31" s="246">
        <v>162.16</v>
      </c>
      <c r="N31" s="246">
        <v>24.24</v>
      </c>
      <c r="O31" s="241"/>
      <c r="P31" s="241"/>
      <c r="Q31" s="246" t="s">
        <v>320</v>
      </c>
      <c r="R31" s="241"/>
      <c r="S31" s="244" t="s">
        <v>320</v>
      </c>
      <c r="T31" s="241"/>
      <c r="U31" s="246" t="s">
        <v>320</v>
      </c>
      <c r="V31" s="246" t="s">
        <v>320</v>
      </c>
      <c r="W31" s="246" t="s">
        <v>320</v>
      </c>
      <c r="X31" s="241"/>
      <c r="Y31" s="241"/>
      <c r="Z31" s="241"/>
      <c r="AA31" s="241"/>
      <c r="AB31" s="241"/>
      <c r="AC31" s="241"/>
      <c r="AD31" s="246" t="s">
        <v>320</v>
      </c>
      <c r="AE31" s="246">
        <v>11.6</v>
      </c>
      <c r="AF31" s="241"/>
      <c r="AG31" s="241"/>
      <c r="AH31" s="246" t="s">
        <v>320</v>
      </c>
      <c r="AI31" s="241"/>
      <c r="AJ31" s="241"/>
      <c r="AK31" s="246" t="s">
        <v>320</v>
      </c>
      <c r="AL31" s="241"/>
      <c r="AM31" s="246" t="s">
        <v>320</v>
      </c>
      <c r="AN31" s="246" t="s">
        <v>320</v>
      </c>
      <c r="AO31" s="241" t="s">
        <v>363</v>
      </c>
      <c r="AP31" s="245" t="s">
        <v>335</v>
      </c>
      <c r="AQ31" s="245"/>
      <c r="AR31" s="245"/>
    </row>
    <row r="32" spans="1:94" x14ac:dyDescent="0.3">
      <c r="A32" s="241">
        <v>4376</v>
      </c>
      <c r="B32" s="242">
        <v>42202</v>
      </c>
      <c r="C32" s="243" t="s">
        <v>342</v>
      </c>
      <c r="D32" s="244" t="s">
        <v>382</v>
      </c>
      <c r="E32" s="241"/>
      <c r="F32" s="241" t="s">
        <v>364</v>
      </c>
      <c r="G32" s="248">
        <v>42185</v>
      </c>
      <c r="H32" s="245" t="s">
        <v>344</v>
      </c>
      <c r="I32" s="245" t="s">
        <v>345</v>
      </c>
      <c r="J32" s="245"/>
      <c r="K32" s="241" t="s">
        <v>346</v>
      </c>
      <c r="L32" s="255" t="s">
        <v>387</v>
      </c>
      <c r="M32" s="246">
        <v>89.563636363636348</v>
      </c>
      <c r="N32" s="246">
        <v>25.68181818181818</v>
      </c>
      <c r="O32" s="241"/>
      <c r="P32" s="241"/>
      <c r="Q32" s="246"/>
      <c r="R32" s="241"/>
      <c r="S32" s="244" t="s">
        <v>320</v>
      </c>
      <c r="T32" s="241"/>
      <c r="U32" s="246" t="s">
        <v>320</v>
      </c>
      <c r="V32" s="246" t="s">
        <v>320</v>
      </c>
      <c r="W32" s="246" t="s">
        <v>320</v>
      </c>
      <c r="X32" s="241"/>
      <c r="Y32" s="241"/>
      <c r="Z32" s="241"/>
      <c r="AA32" s="241"/>
      <c r="AB32" s="241"/>
      <c r="AC32" s="241"/>
      <c r="AD32" s="246" t="s">
        <v>320</v>
      </c>
      <c r="AE32" s="246">
        <v>15.33</v>
      </c>
      <c r="AF32" s="241"/>
      <c r="AG32" s="241"/>
      <c r="AH32" s="246" t="s">
        <v>320</v>
      </c>
      <c r="AI32" s="241"/>
      <c r="AJ32" s="241"/>
      <c r="AK32" s="246" t="s">
        <v>320</v>
      </c>
      <c r="AL32" s="241"/>
      <c r="AM32" s="246" t="s">
        <v>320</v>
      </c>
      <c r="AN32" s="246" t="s">
        <v>320</v>
      </c>
      <c r="AO32" s="241" t="s">
        <v>365</v>
      </c>
      <c r="AP32" s="245" t="s">
        <v>345</v>
      </c>
      <c r="AQ32" s="245"/>
      <c r="AR32" s="245"/>
    </row>
    <row r="33" spans="1:94" x14ac:dyDescent="0.3">
      <c r="A33" s="241">
        <v>10526</v>
      </c>
      <c r="B33" s="242">
        <v>42202</v>
      </c>
      <c r="C33" s="243" t="s">
        <v>322</v>
      </c>
      <c r="D33" s="244" t="s">
        <v>382</v>
      </c>
      <c r="E33" s="241"/>
      <c r="F33" s="241" t="s">
        <v>360</v>
      </c>
      <c r="G33" s="247">
        <v>42201</v>
      </c>
      <c r="H33" s="245" t="s">
        <v>324</v>
      </c>
      <c r="I33" s="245" t="s">
        <v>325</v>
      </c>
      <c r="J33" s="245"/>
      <c r="K33" s="241" t="s">
        <v>348</v>
      </c>
      <c r="L33" s="254" t="s">
        <v>387</v>
      </c>
      <c r="M33" s="246">
        <v>85.72727272727272</v>
      </c>
      <c r="N33" s="246">
        <v>25.981818181818177</v>
      </c>
      <c r="O33" s="241"/>
      <c r="P33" s="241"/>
      <c r="Q33" s="246" t="s">
        <v>320</v>
      </c>
      <c r="R33" s="241"/>
      <c r="S33" s="244" t="s">
        <v>320</v>
      </c>
      <c r="T33" s="241"/>
      <c r="U33" s="246" t="s">
        <v>320</v>
      </c>
      <c r="V33" s="246" t="s">
        <v>320</v>
      </c>
      <c r="W33" s="246" t="s">
        <v>320</v>
      </c>
      <c r="X33" s="241"/>
      <c r="Y33" s="241"/>
      <c r="Z33" s="241"/>
      <c r="AA33" s="241"/>
      <c r="AB33" s="241"/>
      <c r="AC33" s="241"/>
      <c r="AD33" s="246" t="s">
        <v>320</v>
      </c>
      <c r="AE33" s="246">
        <v>13.872727272727271</v>
      </c>
      <c r="AF33" s="241"/>
      <c r="AG33" s="241"/>
      <c r="AH33" s="246" t="s">
        <v>320</v>
      </c>
      <c r="AI33" s="241"/>
      <c r="AJ33" s="241"/>
      <c r="AK33" s="246" t="s">
        <v>320</v>
      </c>
      <c r="AL33" s="241"/>
      <c r="AM33" s="246" t="s">
        <v>320</v>
      </c>
      <c r="AN33" s="246" t="s">
        <v>320</v>
      </c>
      <c r="AO33" s="241" t="s">
        <v>361</v>
      </c>
      <c r="AP33" s="245" t="s">
        <v>325</v>
      </c>
      <c r="AQ33" s="245"/>
      <c r="AR33" s="245"/>
    </row>
    <row r="34" spans="1:94" x14ac:dyDescent="0.3">
      <c r="A34" s="241">
        <v>10325</v>
      </c>
      <c r="B34" s="242">
        <v>42202</v>
      </c>
      <c r="C34" s="243" t="s">
        <v>332</v>
      </c>
      <c r="D34" s="244" t="s">
        <v>382</v>
      </c>
      <c r="E34" s="241"/>
      <c r="F34" s="241" t="s">
        <v>362</v>
      </c>
      <c r="G34" s="248">
        <v>42187</v>
      </c>
      <c r="H34" s="245" t="s">
        <v>334</v>
      </c>
      <c r="I34" s="245" t="s">
        <v>335</v>
      </c>
      <c r="J34" s="245"/>
      <c r="K34" s="241" t="s">
        <v>349</v>
      </c>
      <c r="L34" s="254" t="s">
        <v>387</v>
      </c>
      <c r="M34" s="246">
        <v>87.999999999999986</v>
      </c>
      <c r="N34" s="246">
        <v>25.790909090909089</v>
      </c>
      <c r="O34" s="241"/>
      <c r="P34" s="241"/>
      <c r="Q34" s="246" t="s">
        <v>320</v>
      </c>
      <c r="R34" s="241"/>
      <c r="S34" s="244" t="s">
        <v>320</v>
      </c>
      <c r="T34" s="241"/>
      <c r="U34" s="246" t="s">
        <v>320</v>
      </c>
      <c r="V34" s="246" t="s">
        <v>320</v>
      </c>
      <c r="W34" s="246" t="s">
        <v>320</v>
      </c>
      <c r="X34" s="241"/>
      <c r="Y34" s="241"/>
      <c r="Z34" s="241"/>
      <c r="AA34" s="241"/>
      <c r="AB34" s="241"/>
      <c r="AC34" s="241"/>
      <c r="AD34" s="246" t="s">
        <v>320</v>
      </c>
      <c r="AE34" s="246">
        <v>11.972727272727271</v>
      </c>
      <c r="AF34" s="241"/>
      <c r="AG34" s="241"/>
      <c r="AH34" s="246" t="s">
        <v>320</v>
      </c>
      <c r="AI34" s="241"/>
      <c r="AJ34" s="241"/>
      <c r="AK34" s="246" t="s">
        <v>320</v>
      </c>
      <c r="AL34" s="241"/>
      <c r="AM34" s="246" t="s">
        <v>320</v>
      </c>
      <c r="AN34" s="246" t="s">
        <v>320</v>
      </c>
      <c r="AO34" s="241" t="s">
        <v>363</v>
      </c>
      <c r="AP34" s="245" t="s">
        <v>335</v>
      </c>
      <c r="AQ34" s="245"/>
      <c r="AR34" s="245"/>
    </row>
    <row r="35" spans="1:94" x14ac:dyDescent="0.3">
      <c r="A35" s="241">
        <v>10680</v>
      </c>
      <c r="B35" s="242">
        <v>42202</v>
      </c>
      <c r="C35" s="243" t="s">
        <v>236</v>
      </c>
      <c r="D35" s="244" t="s">
        <v>382</v>
      </c>
      <c r="E35" s="241"/>
      <c r="F35" s="241" t="s">
        <v>256</v>
      </c>
      <c r="G35" s="248">
        <v>42185</v>
      </c>
      <c r="H35" s="245" t="s">
        <v>241</v>
      </c>
      <c r="I35" s="245" t="s">
        <v>197</v>
      </c>
      <c r="J35" s="245"/>
      <c r="K35" s="241" t="s">
        <v>252</v>
      </c>
      <c r="L35" s="254" t="s">
        <v>387</v>
      </c>
      <c r="M35" s="246">
        <v>101.5</v>
      </c>
      <c r="N35" s="246">
        <v>24.781818181818181</v>
      </c>
      <c r="O35" s="241"/>
      <c r="P35" s="241"/>
      <c r="Q35" s="246" t="s">
        <v>320</v>
      </c>
      <c r="R35" s="241"/>
      <c r="S35" s="244" t="s">
        <v>320</v>
      </c>
      <c r="T35" s="241"/>
      <c r="U35" s="246" t="s">
        <v>320</v>
      </c>
      <c r="V35" s="246" t="s">
        <v>320</v>
      </c>
      <c r="W35" s="246" t="s">
        <v>320</v>
      </c>
      <c r="X35" s="241"/>
      <c r="Y35" s="241"/>
      <c r="Z35" s="241"/>
      <c r="AA35" s="241"/>
      <c r="AB35" s="241"/>
      <c r="AC35" s="241"/>
      <c r="AD35" s="246" t="s">
        <v>320</v>
      </c>
      <c r="AE35" s="246">
        <v>13.954545454545453</v>
      </c>
      <c r="AF35" s="241"/>
      <c r="AG35" s="241"/>
      <c r="AH35" s="246" t="s">
        <v>320</v>
      </c>
      <c r="AI35" s="241"/>
      <c r="AJ35" s="241"/>
      <c r="AK35" s="246" t="s">
        <v>320</v>
      </c>
      <c r="AL35" s="241"/>
      <c r="AM35" s="246" t="s">
        <v>320</v>
      </c>
      <c r="AN35" s="246" t="s">
        <v>320</v>
      </c>
      <c r="AO35" s="241" t="s">
        <v>218</v>
      </c>
      <c r="AP35" s="245" t="s">
        <v>197</v>
      </c>
      <c r="AQ35" s="245"/>
      <c r="AR35" s="245"/>
    </row>
    <row r="36" spans="1:94" x14ac:dyDescent="0.3">
      <c r="A36" s="241">
        <v>1398</v>
      </c>
      <c r="B36" s="242">
        <v>42202</v>
      </c>
      <c r="C36" s="243" t="s">
        <v>332</v>
      </c>
      <c r="D36" s="244" t="s">
        <v>382</v>
      </c>
      <c r="E36" s="241"/>
      <c r="F36" s="241" t="s">
        <v>362</v>
      </c>
      <c r="G36" s="247">
        <v>42185</v>
      </c>
      <c r="H36" s="245" t="s">
        <v>334</v>
      </c>
      <c r="I36" s="245" t="s">
        <v>335</v>
      </c>
      <c r="J36" s="245"/>
      <c r="K36" s="241" t="s">
        <v>350</v>
      </c>
      <c r="L36" s="254" t="s">
        <v>387</v>
      </c>
      <c r="M36" s="246">
        <v>90.1</v>
      </c>
      <c r="N36" s="246">
        <v>25.3</v>
      </c>
      <c r="O36" s="244"/>
      <c r="P36" s="241"/>
      <c r="Q36" s="246"/>
      <c r="R36" s="241"/>
      <c r="S36" s="244" t="s">
        <v>320</v>
      </c>
      <c r="T36" s="241"/>
      <c r="U36" s="246" t="s">
        <v>320</v>
      </c>
      <c r="V36" s="246" t="s">
        <v>320</v>
      </c>
      <c r="W36" s="246" t="s">
        <v>320</v>
      </c>
      <c r="X36" s="241"/>
      <c r="Y36" s="241"/>
      <c r="Z36" s="241"/>
      <c r="AA36" s="241"/>
      <c r="AB36" s="241"/>
      <c r="AC36" s="241"/>
      <c r="AD36" s="246" t="s">
        <v>320</v>
      </c>
      <c r="AE36" s="246">
        <v>14.3</v>
      </c>
      <c r="AF36" s="241"/>
      <c r="AG36" s="241"/>
      <c r="AH36" s="246" t="s">
        <v>320</v>
      </c>
      <c r="AI36" s="241"/>
      <c r="AJ36" s="241"/>
      <c r="AK36" s="246" t="s">
        <v>320</v>
      </c>
      <c r="AL36" s="241"/>
      <c r="AM36" s="246" t="s">
        <v>320</v>
      </c>
      <c r="AN36" s="246" t="s">
        <v>320</v>
      </c>
      <c r="AO36" s="241" t="s">
        <v>363</v>
      </c>
      <c r="AP36" s="245" t="s">
        <v>335</v>
      </c>
      <c r="AQ36" s="245"/>
      <c r="AR36" s="245"/>
    </row>
    <row r="37" spans="1:94" x14ac:dyDescent="0.3">
      <c r="A37" s="241">
        <v>3602</v>
      </c>
      <c r="B37" s="242">
        <v>42202</v>
      </c>
      <c r="C37" s="243" t="s">
        <v>223</v>
      </c>
      <c r="D37" s="244" t="s">
        <v>382</v>
      </c>
      <c r="E37" s="241"/>
      <c r="F37" s="241" t="s">
        <v>229</v>
      </c>
      <c r="G37" s="248">
        <v>42192</v>
      </c>
      <c r="H37" s="245" t="s">
        <v>226</v>
      </c>
      <c r="I37" s="245" t="s">
        <v>227</v>
      </c>
      <c r="J37" s="245"/>
      <c r="K37" s="241" t="s">
        <v>352</v>
      </c>
      <c r="L37" s="254" t="s">
        <v>387</v>
      </c>
      <c r="M37" s="246">
        <v>89.663636363636357</v>
      </c>
      <c r="N37" s="246">
        <v>23.909090909090907</v>
      </c>
      <c r="O37" s="241"/>
      <c r="P37" s="241"/>
      <c r="Q37" s="246" t="s">
        <v>320</v>
      </c>
      <c r="R37" s="241"/>
      <c r="S37" s="244" t="s">
        <v>320</v>
      </c>
      <c r="T37" s="241"/>
      <c r="U37" s="246" t="s">
        <v>320</v>
      </c>
      <c r="V37" s="246" t="s">
        <v>320</v>
      </c>
      <c r="W37" s="246" t="s">
        <v>320</v>
      </c>
      <c r="X37" s="241"/>
      <c r="Y37" s="241"/>
      <c r="Z37" s="241"/>
      <c r="AA37" s="241"/>
      <c r="AB37" s="241"/>
      <c r="AC37" s="241"/>
      <c r="AD37" s="246" t="s">
        <v>320</v>
      </c>
      <c r="AE37" s="246">
        <v>14.58181818181818</v>
      </c>
      <c r="AF37" s="241"/>
      <c r="AG37" s="241"/>
      <c r="AH37" s="246" t="s">
        <v>320</v>
      </c>
      <c r="AI37" s="241"/>
      <c r="AJ37" s="241"/>
      <c r="AK37" s="246" t="s">
        <v>320</v>
      </c>
      <c r="AL37" s="241"/>
      <c r="AM37" s="246" t="s">
        <v>320</v>
      </c>
      <c r="AN37" s="246" t="s">
        <v>320</v>
      </c>
      <c r="AO37" s="241" t="s">
        <v>359</v>
      </c>
      <c r="AP37" s="245" t="s">
        <v>227</v>
      </c>
      <c r="AQ37" s="245"/>
      <c r="AR37" s="245"/>
    </row>
    <row r="38" spans="1:94" x14ac:dyDescent="0.3">
      <c r="A38" s="241">
        <v>10375</v>
      </c>
      <c r="B38" s="242">
        <v>42202</v>
      </c>
      <c r="C38" s="243" t="s">
        <v>322</v>
      </c>
      <c r="D38" s="244" t="s">
        <v>382</v>
      </c>
      <c r="E38" s="241"/>
      <c r="F38" s="241" t="s">
        <v>360</v>
      </c>
      <c r="G38" s="247">
        <v>42185</v>
      </c>
      <c r="H38" s="245" t="s">
        <v>310</v>
      </c>
      <c r="I38" s="245" t="s">
        <v>309</v>
      </c>
      <c r="J38" s="245"/>
      <c r="K38" s="241" t="s">
        <v>239</v>
      </c>
      <c r="L38" s="254" t="s">
        <v>387</v>
      </c>
      <c r="M38" s="246">
        <v>105</v>
      </c>
      <c r="N38" s="246">
        <v>24.4</v>
      </c>
      <c r="O38" s="241" t="s">
        <v>351</v>
      </c>
      <c r="P38" s="241">
        <v>1350</v>
      </c>
      <c r="Q38" s="246">
        <v>27.9</v>
      </c>
      <c r="R38" s="256">
        <v>1350</v>
      </c>
      <c r="S38" s="246">
        <v>27.9</v>
      </c>
      <c r="T38" s="241"/>
      <c r="U38" s="246" t="s">
        <v>320</v>
      </c>
      <c r="V38" s="246" t="s">
        <v>320</v>
      </c>
      <c r="W38" s="246" t="s">
        <v>320</v>
      </c>
      <c r="X38" s="241"/>
      <c r="Y38" s="241"/>
      <c r="Z38" s="241"/>
      <c r="AA38" s="241"/>
      <c r="AB38" s="241"/>
      <c r="AC38" s="241"/>
      <c r="AD38" s="246" t="s">
        <v>320</v>
      </c>
      <c r="AE38" s="246">
        <v>12.6</v>
      </c>
      <c r="AF38" s="241"/>
      <c r="AG38" s="241"/>
      <c r="AH38" s="246" t="s">
        <v>320</v>
      </c>
      <c r="AI38" s="241"/>
      <c r="AJ38" s="241"/>
      <c r="AK38" s="246" t="s">
        <v>320</v>
      </c>
      <c r="AL38" s="241"/>
      <c r="AM38" s="246" t="s">
        <v>320</v>
      </c>
      <c r="AN38" s="246" t="s">
        <v>320</v>
      </c>
      <c r="AO38" s="241" t="s">
        <v>361</v>
      </c>
      <c r="AP38" s="245" t="s">
        <v>325</v>
      </c>
      <c r="AQ38" s="245"/>
      <c r="AR38" s="245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241">
        <v>9679</v>
      </c>
      <c r="B39" s="242">
        <v>42202</v>
      </c>
      <c r="C39" s="243" t="s">
        <v>322</v>
      </c>
      <c r="D39" s="244" t="s">
        <v>382</v>
      </c>
      <c r="E39" s="241"/>
      <c r="F39" s="241" t="s">
        <v>360</v>
      </c>
      <c r="G39" s="248">
        <v>42188</v>
      </c>
      <c r="H39" s="245" t="s">
        <v>325</v>
      </c>
      <c r="I39" s="245" t="s">
        <v>353</v>
      </c>
      <c r="J39" s="245"/>
      <c r="K39" s="241" t="s">
        <v>307</v>
      </c>
      <c r="L39" s="255" t="s">
        <v>387</v>
      </c>
      <c r="M39" s="246">
        <v>84</v>
      </c>
      <c r="N39" s="246">
        <v>25.65</v>
      </c>
      <c r="O39" s="241"/>
      <c r="P39" s="241"/>
      <c r="Q39" s="246" t="s">
        <v>320</v>
      </c>
      <c r="R39" s="241"/>
      <c r="S39" s="244" t="s">
        <v>320</v>
      </c>
      <c r="T39" s="241"/>
      <c r="U39" s="246" t="s">
        <v>320</v>
      </c>
      <c r="V39" s="246" t="s">
        <v>320</v>
      </c>
      <c r="W39" s="246" t="s">
        <v>320</v>
      </c>
      <c r="X39" s="241"/>
      <c r="Y39" s="241"/>
      <c r="Z39" s="241"/>
      <c r="AA39" s="241"/>
      <c r="AB39" s="241"/>
      <c r="AC39" s="241"/>
      <c r="AD39" s="246" t="s">
        <v>320</v>
      </c>
      <c r="AE39" s="246">
        <v>14.93</v>
      </c>
      <c r="AF39" s="241"/>
      <c r="AG39" s="241"/>
      <c r="AH39" s="246" t="s">
        <v>320</v>
      </c>
      <c r="AI39" s="241"/>
      <c r="AJ39" s="241"/>
      <c r="AK39" s="246" t="s">
        <v>320</v>
      </c>
      <c r="AL39" s="241"/>
      <c r="AM39" s="246" t="s">
        <v>320</v>
      </c>
      <c r="AN39" s="246" t="s">
        <v>320</v>
      </c>
      <c r="AO39" s="241" t="s">
        <v>361</v>
      </c>
      <c r="AP39" s="245" t="s">
        <v>325</v>
      </c>
      <c r="AQ39" s="245"/>
      <c r="AR39" s="245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1:94" x14ac:dyDescent="0.3">
      <c r="A40" s="241">
        <v>9905</v>
      </c>
      <c r="B40" s="242">
        <v>42202</v>
      </c>
      <c r="C40" s="243" t="s">
        <v>332</v>
      </c>
      <c r="D40" s="244" t="s">
        <v>382</v>
      </c>
      <c r="E40" s="241"/>
      <c r="F40" s="241" t="s">
        <v>362</v>
      </c>
      <c r="G40" s="248">
        <v>42066</v>
      </c>
      <c r="H40" s="245" t="s">
        <v>334</v>
      </c>
      <c r="I40" s="245" t="s">
        <v>335</v>
      </c>
      <c r="J40" s="245"/>
      <c r="K40" s="244" t="s">
        <v>354</v>
      </c>
      <c r="L40" s="255" t="s">
        <v>387</v>
      </c>
      <c r="M40" s="246">
        <v>109.24</v>
      </c>
      <c r="N40" s="246">
        <v>23</v>
      </c>
      <c r="O40" s="241"/>
      <c r="P40" s="241"/>
      <c r="Q40" s="246" t="s">
        <v>320</v>
      </c>
      <c r="R40" s="241"/>
      <c r="S40" s="244" t="s">
        <v>320</v>
      </c>
      <c r="T40" s="241"/>
      <c r="U40" s="246" t="s">
        <v>320</v>
      </c>
      <c r="V40" s="246" t="s">
        <v>320</v>
      </c>
      <c r="W40" s="246" t="s">
        <v>320</v>
      </c>
      <c r="X40" s="241"/>
      <c r="Y40" s="241"/>
      <c r="Z40" s="241"/>
      <c r="AA40" s="241"/>
      <c r="AB40" s="241"/>
      <c r="AC40" s="241"/>
      <c r="AD40" s="246" t="s">
        <v>320</v>
      </c>
      <c r="AE40" s="246">
        <v>18</v>
      </c>
      <c r="AF40" s="241"/>
      <c r="AG40" s="241"/>
      <c r="AH40" s="246" t="s">
        <v>320</v>
      </c>
      <c r="AI40" s="241"/>
      <c r="AJ40" s="241"/>
      <c r="AK40" s="246" t="s">
        <v>320</v>
      </c>
      <c r="AL40" s="241"/>
      <c r="AM40" s="246" t="s">
        <v>320</v>
      </c>
      <c r="AN40" s="246" t="s">
        <v>320</v>
      </c>
      <c r="AO40" s="241" t="s">
        <v>363</v>
      </c>
      <c r="AP40" s="245" t="s">
        <v>335</v>
      </c>
      <c r="AQ40" s="245"/>
      <c r="AR40" s="245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1:94" x14ac:dyDescent="0.3">
      <c r="A41" s="241">
        <v>10013</v>
      </c>
      <c r="B41" s="242">
        <v>42203</v>
      </c>
      <c r="C41" s="243" t="s">
        <v>223</v>
      </c>
      <c r="D41" s="244" t="s">
        <v>382</v>
      </c>
      <c r="E41" s="241"/>
      <c r="F41" s="241" t="s">
        <v>232</v>
      </c>
      <c r="G41" s="242">
        <v>42187</v>
      </c>
      <c r="H41" s="245" t="s">
        <v>226</v>
      </c>
      <c r="I41" s="245" t="s">
        <v>227</v>
      </c>
      <c r="J41" s="245"/>
      <c r="K41" s="241" t="s">
        <v>319</v>
      </c>
      <c r="L41" s="254" t="s">
        <v>222</v>
      </c>
      <c r="M41" s="246">
        <v>116.36363636363636</v>
      </c>
      <c r="N41" s="246">
        <v>26.36363636363636</v>
      </c>
      <c r="O41" s="241"/>
      <c r="P41" s="241"/>
      <c r="Q41" s="246" t="s">
        <v>320</v>
      </c>
      <c r="R41" s="241"/>
      <c r="S41" s="244" t="s">
        <v>320</v>
      </c>
      <c r="T41" s="241"/>
      <c r="U41" s="246" t="s">
        <v>320</v>
      </c>
      <c r="V41" s="246" t="s">
        <v>320</v>
      </c>
      <c r="W41" s="246">
        <v>21.363636363636363</v>
      </c>
      <c r="X41" s="241"/>
      <c r="Y41" s="241"/>
      <c r="Z41" s="241"/>
      <c r="AA41" s="241"/>
      <c r="AB41" s="241"/>
      <c r="AC41" s="241"/>
      <c r="AD41" s="246" t="s">
        <v>320</v>
      </c>
      <c r="AE41" s="246" t="s">
        <v>320</v>
      </c>
      <c r="AF41" s="241"/>
      <c r="AG41" s="241"/>
      <c r="AH41" s="246">
        <v>21.818181818181817</v>
      </c>
      <c r="AI41" s="241"/>
      <c r="AJ41" s="241"/>
      <c r="AK41" s="246" t="s">
        <v>320</v>
      </c>
      <c r="AL41" s="241"/>
      <c r="AM41" s="246" t="s">
        <v>320</v>
      </c>
      <c r="AN41" s="246" t="s">
        <v>320</v>
      </c>
      <c r="AO41" s="241" t="s">
        <v>383</v>
      </c>
      <c r="AP41" s="245" t="s">
        <v>227</v>
      </c>
      <c r="AQ41" s="245"/>
      <c r="AR41" s="245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</row>
    <row r="42" spans="1:94" x14ac:dyDescent="0.3">
      <c r="A42" s="241">
        <v>10419</v>
      </c>
      <c r="B42" s="242">
        <v>42202</v>
      </c>
      <c r="C42" s="243" t="s">
        <v>322</v>
      </c>
      <c r="D42" s="244" t="s">
        <v>382</v>
      </c>
      <c r="E42" s="241"/>
      <c r="F42" s="241" t="s">
        <v>367</v>
      </c>
      <c r="G42" s="242">
        <v>42187</v>
      </c>
      <c r="H42" s="245" t="s">
        <v>324</v>
      </c>
      <c r="I42" s="245" t="s">
        <v>325</v>
      </c>
      <c r="J42" s="245"/>
      <c r="K42" s="241" t="s">
        <v>326</v>
      </c>
      <c r="L42" s="254" t="s">
        <v>222</v>
      </c>
      <c r="M42" s="246">
        <v>87</v>
      </c>
      <c r="N42" s="246">
        <v>33.836363636363636</v>
      </c>
      <c r="O42" s="241"/>
      <c r="P42" s="241"/>
      <c r="Q42" s="246" t="s">
        <v>320</v>
      </c>
      <c r="R42" s="241"/>
      <c r="S42" s="244" t="s">
        <v>320</v>
      </c>
      <c r="T42" s="241"/>
      <c r="U42" s="246" t="s">
        <v>320</v>
      </c>
      <c r="V42" s="246" t="s">
        <v>320</v>
      </c>
      <c r="W42" s="246">
        <v>14.254545454545454</v>
      </c>
      <c r="X42" s="241"/>
      <c r="Y42" s="241"/>
      <c r="Z42" s="241"/>
      <c r="AA42" s="241"/>
      <c r="AB42" s="241"/>
      <c r="AC42" s="241"/>
      <c r="AD42" s="246" t="s">
        <v>320</v>
      </c>
      <c r="AE42" s="246" t="s">
        <v>320</v>
      </c>
      <c r="AF42" s="241"/>
      <c r="AG42" s="241"/>
      <c r="AH42" s="246">
        <v>28.5</v>
      </c>
      <c r="AI42" s="241"/>
      <c r="AJ42" s="241"/>
      <c r="AK42" s="246" t="s">
        <v>320</v>
      </c>
      <c r="AL42" s="241"/>
      <c r="AM42" s="246" t="s">
        <v>320</v>
      </c>
      <c r="AN42" s="246" t="s">
        <v>320</v>
      </c>
      <c r="AO42" s="241" t="s">
        <v>384</v>
      </c>
      <c r="AP42" s="245" t="s">
        <v>325</v>
      </c>
      <c r="AQ42" s="245"/>
      <c r="AR42" s="245"/>
    </row>
    <row r="43" spans="1:94" x14ac:dyDescent="0.3">
      <c r="A43" s="241">
        <v>10504</v>
      </c>
      <c r="B43" s="242">
        <v>42202</v>
      </c>
      <c r="C43" s="243" t="s">
        <v>322</v>
      </c>
      <c r="D43" s="244" t="s">
        <v>382</v>
      </c>
      <c r="E43" s="241"/>
      <c r="F43" s="241" t="s">
        <v>367</v>
      </c>
      <c r="G43" s="247">
        <v>42185</v>
      </c>
      <c r="H43" s="245" t="s">
        <v>324</v>
      </c>
      <c r="I43" s="245" t="s">
        <v>325</v>
      </c>
      <c r="J43" s="245"/>
      <c r="K43" s="241" t="s">
        <v>328</v>
      </c>
      <c r="L43" s="254" t="s">
        <v>222</v>
      </c>
      <c r="M43" s="246">
        <v>96</v>
      </c>
      <c r="N43" s="246">
        <v>30.572727272727274</v>
      </c>
      <c r="O43" s="241"/>
      <c r="P43" s="241"/>
      <c r="Q43" s="246" t="s">
        <v>320</v>
      </c>
      <c r="R43" s="241"/>
      <c r="S43" s="244" t="s">
        <v>320</v>
      </c>
      <c r="T43" s="241"/>
      <c r="U43" s="246" t="s">
        <v>320</v>
      </c>
      <c r="V43" s="246" t="s">
        <v>320</v>
      </c>
      <c r="W43" s="246">
        <v>25.927272727272726</v>
      </c>
      <c r="X43" s="241"/>
      <c r="Y43" s="241"/>
      <c r="Z43" s="241"/>
      <c r="AA43" s="241"/>
      <c r="AB43" s="241"/>
      <c r="AC43" s="241"/>
      <c r="AD43" s="246" t="s">
        <v>320</v>
      </c>
      <c r="AE43" s="246" t="s">
        <v>320</v>
      </c>
      <c r="AF43" s="241"/>
      <c r="AG43" s="241"/>
      <c r="AH43" s="246">
        <v>13.781818181818181</v>
      </c>
      <c r="AI43" s="241"/>
      <c r="AJ43" s="241"/>
      <c r="AK43" s="246" t="s">
        <v>320</v>
      </c>
      <c r="AL43" s="241"/>
      <c r="AM43" s="246" t="s">
        <v>320</v>
      </c>
      <c r="AN43" s="246" t="s">
        <v>320</v>
      </c>
      <c r="AO43" s="241" t="s">
        <v>384</v>
      </c>
      <c r="AP43" s="245" t="s">
        <v>325</v>
      </c>
      <c r="AQ43" s="245"/>
      <c r="AR43" s="245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</row>
    <row r="44" spans="1:94" x14ac:dyDescent="0.3">
      <c r="A44" s="241">
        <v>10600</v>
      </c>
      <c r="B44" s="242">
        <v>42202</v>
      </c>
      <c r="C44" s="243" t="s">
        <v>322</v>
      </c>
      <c r="D44" s="244" t="s">
        <v>382</v>
      </c>
      <c r="E44" s="241"/>
      <c r="F44" s="241" t="s">
        <v>367</v>
      </c>
      <c r="G44" s="248">
        <v>42188</v>
      </c>
      <c r="H44" s="245" t="s">
        <v>310</v>
      </c>
      <c r="I44" s="245" t="s">
        <v>309</v>
      </c>
      <c r="J44" s="245"/>
      <c r="K44" s="241" t="s">
        <v>329</v>
      </c>
      <c r="L44" s="255" t="s">
        <v>222</v>
      </c>
      <c r="M44" s="246">
        <v>84</v>
      </c>
      <c r="N44" s="246">
        <v>28.8</v>
      </c>
      <c r="O44" s="241"/>
      <c r="P44" s="241"/>
      <c r="Q44" s="246" t="s">
        <v>320</v>
      </c>
      <c r="R44" s="241"/>
      <c r="S44" s="244" t="s">
        <v>320</v>
      </c>
      <c r="T44" s="241"/>
      <c r="U44" s="246" t="s">
        <v>320</v>
      </c>
      <c r="V44" s="246" t="s">
        <v>320</v>
      </c>
      <c r="W44" s="246">
        <v>23.7</v>
      </c>
      <c r="X44" s="241"/>
      <c r="Y44" s="241"/>
      <c r="Z44" s="241"/>
      <c r="AA44" s="241"/>
      <c r="AB44" s="241"/>
      <c r="AC44" s="241"/>
      <c r="AD44" s="246" t="s">
        <v>320</v>
      </c>
      <c r="AE44" s="246" t="s">
        <v>320</v>
      </c>
      <c r="AF44" s="241"/>
      <c r="AG44" s="241"/>
      <c r="AH44" s="246">
        <v>24.3</v>
      </c>
      <c r="AI44" s="241"/>
      <c r="AJ44" s="241"/>
      <c r="AK44" s="246" t="s">
        <v>320</v>
      </c>
      <c r="AL44" s="241"/>
      <c r="AM44" s="246" t="s">
        <v>320</v>
      </c>
      <c r="AN44" s="246" t="s">
        <v>320</v>
      </c>
      <c r="AO44" s="241" t="s">
        <v>384</v>
      </c>
      <c r="AP44" s="245" t="s">
        <v>325</v>
      </c>
      <c r="AQ44" s="245"/>
      <c r="AR44" s="245"/>
    </row>
    <row r="45" spans="1:94" x14ac:dyDescent="0.3">
      <c r="A45" s="241">
        <v>1476</v>
      </c>
      <c r="B45" s="242">
        <v>42202</v>
      </c>
      <c r="C45" s="261" t="s">
        <v>389</v>
      </c>
      <c r="D45" s="244" t="s">
        <v>382</v>
      </c>
      <c r="E45" s="241"/>
      <c r="F45" s="241" t="s">
        <v>367</v>
      </c>
      <c r="G45" s="248">
        <v>42185</v>
      </c>
      <c r="H45" s="245" t="s">
        <v>324</v>
      </c>
      <c r="I45" s="245" t="s">
        <v>325</v>
      </c>
      <c r="J45" s="245"/>
      <c r="K45" s="241" t="s">
        <v>330</v>
      </c>
      <c r="L45" s="255" t="s">
        <v>222</v>
      </c>
      <c r="M45" s="246">
        <v>119.72727272727271</v>
      </c>
      <c r="N45" s="246">
        <v>40.15</v>
      </c>
      <c r="O45" s="241"/>
      <c r="P45" s="241"/>
      <c r="Q45" s="246" t="s">
        <v>320</v>
      </c>
      <c r="R45" s="241"/>
      <c r="S45" s="244" t="s">
        <v>320</v>
      </c>
      <c r="T45" s="241"/>
      <c r="U45" s="246" t="s">
        <v>320</v>
      </c>
      <c r="V45" s="246" t="s">
        <v>320</v>
      </c>
      <c r="W45" s="246">
        <v>23.32</v>
      </c>
      <c r="X45" s="241"/>
      <c r="Y45" s="241"/>
      <c r="Z45" s="241"/>
      <c r="AA45" s="241"/>
      <c r="AB45" s="241"/>
      <c r="AC45" s="241"/>
      <c r="AD45" s="246" t="s">
        <v>320</v>
      </c>
      <c r="AE45" s="246" t="s">
        <v>320</v>
      </c>
      <c r="AF45" s="241"/>
      <c r="AG45" s="241"/>
      <c r="AH45" s="246">
        <v>28.41</v>
      </c>
      <c r="AI45" s="241"/>
      <c r="AJ45" s="241"/>
      <c r="AK45" s="246" t="s">
        <v>320</v>
      </c>
      <c r="AL45" s="241"/>
      <c r="AM45" s="246" t="s">
        <v>320</v>
      </c>
      <c r="AN45" s="246" t="s">
        <v>320</v>
      </c>
      <c r="AO45" s="241" t="s">
        <v>384</v>
      </c>
      <c r="AP45" s="245" t="s">
        <v>325</v>
      </c>
      <c r="AQ45" s="245"/>
      <c r="AR45" s="245"/>
    </row>
    <row r="46" spans="1:94" x14ac:dyDescent="0.3">
      <c r="A46" s="241">
        <v>4657</v>
      </c>
      <c r="B46" s="242">
        <v>42202</v>
      </c>
      <c r="C46" s="243" t="s">
        <v>322</v>
      </c>
      <c r="D46" s="244" t="s">
        <v>382</v>
      </c>
      <c r="E46" s="241"/>
      <c r="F46" s="241" t="s">
        <v>367</v>
      </c>
      <c r="G46" s="248">
        <v>42185</v>
      </c>
      <c r="H46" s="245" t="s">
        <v>324</v>
      </c>
      <c r="I46" s="245" t="s">
        <v>325</v>
      </c>
      <c r="J46" s="245"/>
      <c r="K46" s="241" t="s">
        <v>331</v>
      </c>
      <c r="L46" s="255" t="s">
        <v>222</v>
      </c>
      <c r="M46" s="246">
        <v>124.99999999999999</v>
      </c>
      <c r="N46" s="246">
        <v>38.881818181818183</v>
      </c>
      <c r="O46" s="241"/>
      <c r="P46" s="241"/>
      <c r="Q46" s="246" t="s">
        <v>320</v>
      </c>
      <c r="R46" s="241"/>
      <c r="S46" s="244" t="s">
        <v>320</v>
      </c>
      <c r="T46" s="241"/>
      <c r="U46" s="246" t="s">
        <v>320</v>
      </c>
      <c r="V46" s="246" t="s">
        <v>320</v>
      </c>
      <c r="W46" s="246">
        <v>26.463636363636361</v>
      </c>
      <c r="X46" s="241"/>
      <c r="Y46" s="241"/>
      <c r="Z46" s="241"/>
      <c r="AA46" s="241"/>
      <c r="AB46" s="241"/>
      <c r="AC46" s="241"/>
      <c r="AD46" s="246" t="s">
        <v>320</v>
      </c>
      <c r="AE46" s="246" t="s">
        <v>320</v>
      </c>
      <c r="AF46" s="241"/>
      <c r="AG46" s="241"/>
      <c r="AH46" s="246">
        <v>31.318181818181817</v>
      </c>
      <c r="AI46" s="241"/>
      <c r="AJ46" s="241"/>
      <c r="AK46" s="246" t="s">
        <v>320</v>
      </c>
      <c r="AL46" s="241"/>
      <c r="AM46" s="246" t="s">
        <v>320</v>
      </c>
      <c r="AN46" s="246" t="s">
        <v>320</v>
      </c>
      <c r="AO46" s="241" t="s">
        <v>384</v>
      </c>
      <c r="AP46" s="245" t="s">
        <v>325</v>
      </c>
      <c r="AQ46" s="245"/>
      <c r="AR46" s="245"/>
    </row>
    <row r="47" spans="1:94" x14ac:dyDescent="0.3">
      <c r="A47" s="241">
        <v>1448</v>
      </c>
      <c r="B47" s="242">
        <v>42202</v>
      </c>
      <c r="C47" s="243" t="s">
        <v>332</v>
      </c>
      <c r="D47" s="244" t="s">
        <v>382</v>
      </c>
      <c r="E47" s="241"/>
      <c r="F47" s="241" t="s">
        <v>369</v>
      </c>
      <c r="G47" s="248">
        <v>42185</v>
      </c>
      <c r="H47" s="245" t="s">
        <v>334</v>
      </c>
      <c r="I47" s="245" t="s">
        <v>335</v>
      </c>
      <c r="J47" s="245"/>
      <c r="K47" s="241" t="s">
        <v>336</v>
      </c>
      <c r="L47" s="255" t="s">
        <v>222</v>
      </c>
      <c r="M47" s="246">
        <v>104.95</v>
      </c>
      <c r="N47" s="246">
        <v>34.9</v>
      </c>
      <c r="O47" s="241" t="s">
        <v>337</v>
      </c>
      <c r="P47" s="241">
        <v>1020</v>
      </c>
      <c r="Q47" s="246">
        <v>37.869999999999997</v>
      </c>
      <c r="R47" s="256">
        <v>1020</v>
      </c>
      <c r="S47" s="246">
        <v>37.869999999999997</v>
      </c>
      <c r="T47" s="241"/>
      <c r="U47" s="246" t="s">
        <v>320</v>
      </c>
      <c r="V47" s="246" t="s">
        <v>320</v>
      </c>
      <c r="W47" s="246">
        <v>17.899999999999999</v>
      </c>
      <c r="X47" s="241"/>
      <c r="Y47" s="241"/>
      <c r="Z47" s="241"/>
      <c r="AA47" s="241"/>
      <c r="AB47" s="241"/>
      <c r="AC47" s="241"/>
      <c r="AD47" s="246" t="s">
        <v>320</v>
      </c>
      <c r="AE47" s="246" t="s">
        <v>320</v>
      </c>
      <c r="AF47" s="241"/>
      <c r="AG47" s="241"/>
      <c r="AH47" s="246">
        <v>27.97</v>
      </c>
      <c r="AI47" s="241"/>
      <c r="AJ47" s="241"/>
      <c r="AK47" s="246" t="s">
        <v>320</v>
      </c>
      <c r="AL47" s="241"/>
      <c r="AM47" s="246" t="s">
        <v>320</v>
      </c>
      <c r="AN47" s="246" t="s">
        <v>320</v>
      </c>
      <c r="AO47" s="241" t="s">
        <v>385</v>
      </c>
      <c r="AP47" s="245" t="s">
        <v>335</v>
      </c>
      <c r="AQ47" s="245"/>
      <c r="AR47" s="245"/>
    </row>
    <row r="48" spans="1:94" x14ac:dyDescent="0.3">
      <c r="A48" s="241">
        <v>1488</v>
      </c>
      <c r="B48" s="242">
        <v>42202</v>
      </c>
      <c r="C48" s="243" t="s">
        <v>332</v>
      </c>
      <c r="D48" s="244" t="s">
        <v>382</v>
      </c>
      <c r="E48" s="241"/>
      <c r="F48" s="241" t="s">
        <v>369</v>
      </c>
      <c r="G48" s="248">
        <v>42185</v>
      </c>
      <c r="H48" s="245" t="s">
        <v>334</v>
      </c>
      <c r="I48" s="245" t="s">
        <v>335</v>
      </c>
      <c r="J48" s="245"/>
      <c r="K48" s="241" t="s">
        <v>339</v>
      </c>
      <c r="L48" s="255" t="s">
        <v>222</v>
      </c>
      <c r="M48" s="246">
        <v>119.72727272727271</v>
      </c>
      <c r="N48" s="246">
        <v>40.15</v>
      </c>
      <c r="O48" s="241"/>
      <c r="P48" s="241"/>
      <c r="Q48" s="246" t="s">
        <v>320</v>
      </c>
      <c r="R48" s="241"/>
      <c r="S48" s="246" t="s">
        <v>320</v>
      </c>
      <c r="T48" s="241"/>
      <c r="U48" s="246" t="s">
        <v>320</v>
      </c>
      <c r="V48" s="246" t="s">
        <v>320</v>
      </c>
      <c r="W48" s="246">
        <v>23.32</v>
      </c>
      <c r="X48" s="241"/>
      <c r="Y48" s="241"/>
      <c r="Z48" s="241"/>
      <c r="AA48" s="241"/>
      <c r="AB48" s="241"/>
      <c r="AC48" s="241"/>
      <c r="AD48" s="246" t="s">
        <v>320</v>
      </c>
      <c r="AE48" s="246" t="s">
        <v>320</v>
      </c>
      <c r="AF48" s="241"/>
      <c r="AG48" s="241"/>
      <c r="AH48" s="246">
        <v>28.41</v>
      </c>
      <c r="AI48" s="241"/>
      <c r="AJ48" s="241"/>
      <c r="AK48" s="246" t="s">
        <v>320</v>
      </c>
      <c r="AL48" s="241"/>
      <c r="AM48" s="246" t="s">
        <v>320</v>
      </c>
      <c r="AN48" s="246" t="s">
        <v>320</v>
      </c>
      <c r="AO48" s="241" t="s">
        <v>385</v>
      </c>
      <c r="AP48" s="245" t="s">
        <v>335</v>
      </c>
      <c r="AQ48" s="245"/>
      <c r="AR48" s="245"/>
    </row>
    <row r="49" spans="1:94" x14ac:dyDescent="0.3">
      <c r="A49" s="241">
        <v>10273</v>
      </c>
      <c r="B49" s="242">
        <v>42202</v>
      </c>
      <c r="C49" s="243" t="s">
        <v>322</v>
      </c>
      <c r="D49" s="244" t="s">
        <v>382</v>
      </c>
      <c r="E49" s="241"/>
      <c r="F49" s="241" t="s">
        <v>367</v>
      </c>
      <c r="G49" s="248">
        <v>42214</v>
      </c>
      <c r="H49" s="245" t="s">
        <v>324</v>
      </c>
      <c r="I49" s="245" t="s">
        <v>325</v>
      </c>
      <c r="J49" s="245"/>
      <c r="K49" s="241" t="s">
        <v>340</v>
      </c>
      <c r="L49" s="255" t="s">
        <v>222</v>
      </c>
      <c r="M49" s="246">
        <v>97.2</v>
      </c>
      <c r="N49" s="246">
        <v>42.05</v>
      </c>
      <c r="O49" s="241"/>
      <c r="P49" s="241"/>
      <c r="Q49" s="246" t="s">
        <v>320</v>
      </c>
      <c r="R49" s="241"/>
      <c r="S49" s="246" t="s">
        <v>320</v>
      </c>
      <c r="T49" s="241"/>
      <c r="U49" s="246" t="s">
        <v>320</v>
      </c>
      <c r="V49" s="246" t="s">
        <v>320</v>
      </c>
      <c r="W49" s="246">
        <v>17.75</v>
      </c>
      <c r="X49" s="241"/>
      <c r="Y49" s="241"/>
      <c r="Z49" s="241"/>
      <c r="AA49" s="241"/>
      <c r="AB49" s="241"/>
      <c r="AC49" s="241"/>
      <c r="AD49" s="246" t="s">
        <v>320</v>
      </c>
      <c r="AE49" s="246" t="s">
        <v>320</v>
      </c>
      <c r="AF49" s="241"/>
      <c r="AG49" s="241"/>
      <c r="AH49" s="246">
        <v>32.28</v>
      </c>
      <c r="AI49" s="241"/>
      <c r="AJ49" s="241"/>
      <c r="AK49" s="246" t="s">
        <v>320</v>
      </c>
      <c r="AL49" s="241"/>
      <c r="AM49" s="246" t="s">
        <v>320</v>
      </c>
      <c r="AN49" s="246" t="s">
        <v>320</v>
      </c>
      <c r="AO49" s="241" t="s">
        <v>384</v>
      </c>
      <c r="AP49" s="245" t="s">
        <v>325</v>
      </c>
      <c r="AQ49" s="245"/>
      <c r="AR49" s="245"/>
    </row>
    <row r="50" spans="1:94" x14ac:dyDescent="0.3">
      <c r="A50" s="241">
        <v>5647</v>
      </c>
      <c r="B50" s="242">
        <v>42202</v>
      </c>
      <c r="C50" s="243" t="s">
        <v>332</v>
      </c>
      <c r="D50" s="244" t="s">
        <v>382</v>
      </c>
      <c r="E50" s="241"/>
      <c r="F50" s="241" t="s">
        <v>369</v>
      </c>
      <c r="G50" s="248">
        <v>41901</v>
      </c>
      <c r="H50" s="245" t="s">
        <v>334</v>
      </c>
      <c r="I50" s="245" t="s">
        <v>335</v>
      </c>
      <c r="J50" s="245"/>
      <c r="K50" s="241" t="s">
        <v>341</v>
      </c>
      <c r="L50" s="254" t="s">
        <v>222</v>
      </c>
      <c r="M50" s="246">
        <v>167.64</v>
      </c>
      <c r="N50" s="246">
        <v>34.08</v>
      </c>
      <c r="O50" s="241"/>
      <c r="P50" s="241"/>
      <c r="Q50" s="246" t="s">
        <v>320</v>
      </c>
      <c r="R50" s="241"/>
      <c r="S50" s="246" t="s">
        <v>320</v>
      </c>
      <c r="T50" s="241"/>
      <c r="U50" s="246" t="s">
        <v>320</v>
      </c>
      <c r="V50" s="246" t="s">
        <v>320</v>
      </c>
      <c r="W50" s="246">
        <v>16.63</v>
      </c>
      <c r="X50" s="241"/>
      <c r="Y50" s="241"/>
      <c r="Z50" s="241"/>
      <c r="AA50" s="241"/>
      <c r="AB50" s="241"/>
      <c r="AC50" s="241"/>
      <c r="AD50" s="246" t="s">
        <v>320</v>
      </c>
      <c r="AE50" s="246" t="s">
        <v>320</v>
      </c>
      <c r="AF50" s="241"/>
      <c r="AG50" s="241"/>
      <c r="AH50" s="246">
        <v>25.5</v>
      </c>
      <c r="AI50" s="241"/>
      <c r="AJ50" s="241"/>
      <c r="AK50" s="246" t="s">
        <v>320</v>
      </c>
      <c r="AL50" s="241"/>
      <c r="AM50" s="246" t="s">
        <v>320</v>
      </c>
      <c r="AN50" s="246" t="s">
        <v>320</v>
      </c>
      <c r="AO50" s="241" t="s">
        <v>385</v>
      </c>
      <c r="AP50" s="245" t="s">
        <v>335</v>
      </c>
      <c r="AQ50" s="245"/>
      <c r="AR50" s="245"/>
    </row>
    <row r="51" spans="1:94" x14ac:dyDescent="0.3">
      <c r="A51" s="241">
        <v>4378</v>
      </c>
      <c r="B51" s="242">
        <v>42202</v>
      </c>
      <c r="C51" s="243" t="s">
        <v>342</v>
      </c>
      <c r="D51" s="244" t="s">
        <v>382</v>
      </c>
      <c r="E51" s="241"/>
      <c r="F51" s="241" t="s">
        <v>371</v>
      </c>
      <c r="G51" s="248">
        <v>42185</v>
      </c>
      <c r="H51" s="245" t="s">
        <v>344</v>
      </c>
      <c r="I51" s="245" t="s">
        <v>345</v>
      </c>
      <c r="J51" s="245"/>
      <c r="K51" s="241" t="s">
        <v>346</v>
      </c>
      <c r="L51" s="255" t="s">
        <v>222</v>
      </c>
      <c r="M51" s="246">
        <v>111.63</v>
      </c>
      <c r="N51" s="246">
        <v>36.369999999999997</v>
      </c>
      <c r="O51" s="241" t="s">
        <v>304</v>
      </c>
      <c r="P51" s="241">
        <v>600</v>
      </c>
      <c r="Q51" s="246">
        <v>35.65</v>
      </c>
      <c r="R51" s="256">
        <v>600</v>
      </c>
      <c r="S51" s="246">
        <v>35.65</v>
      </c>
      <c r="T51" s="241"/>
      <c r="U51" s="246" t="s">
        <v>320</v>
      </c>
      <c r="V51" s="246" t="s">
        <v>320</v>
      </c>
      <c r="W51" s="246">
        <v>19.41</v>
      </c>
      <c r="X51" s="241"/>
      <c r="Y51" s="241"/>
      <c r="Z51" s="241"/>
      <c r="AA51" s="241"/>
      <c r="AB51" s="241"/>
      <c r="AC51" s="241"/>
      <c r="AD51" s="246" t="s">
        <v>320</v>
      </c>
      <c r="AE51" s="246" t="s">
        <v>320</v>
      </c>
      <c r="AF51" s="241"/>
      <c r="AG51" s="241"/>
      <c r="AH51" s="246">
        <v>31.28</v>
      </c>
      <c r="AI51" s="241"/>
      <c r="AJ51" s="241"/>
      <c r="AK51" s="246" t="s">
        <v>320</v>
      </c>
      <c r="AL51" s="241"/>
      <c r="AM51" s="246" t="s">
        <v>320</v>
      </c>
      <c r="AN51" s="246" t="s">
        <v>320</v>
      </c>
      <c r="AO51" s="241" t="s">
        <v>386</v>
      </c>
      <c r="AP51" s="245" t="s">
        <v>345</v>
      </c>
      <c r="AQ51" s="245"/>
      <c r="AR51" s="245"/>
    </row>
    <row r="52" spans="1:94" x14ac:dyDescent="0.3">
      <c r="A52" s="241">
        <v>10528</v>
      </c>
      <c r="B52" s="242">
        <v>42202</v>
      </c>
      <c r="C52" s="243" t="s">
        <v>322</v>
      </c>
      <c r="D52" s="244" t="s">
        <v>382</v>
      </c>
      <c r="E52" s="241"/>
      <c r="F52" s="241" t="s">
        <v>367</v>
      </c>
      <c r="G52" s="247">
        <v>42201</v>
      </c>
      <c r="H52" s="245" t="s">
        <v>324</v>
      </c>
      <c r="I52" s="245" t="s">
        <v>325</v>
      </c>
      <c r="J52" s="245"/>
      <c r="K52" s="241" t="s">
        <v>348</v>
      </c>
      <c r="L52" s="254" t="s">
        <v>222</v>
      </c>
      <c r="M52" s="246">
        <v>95.672727272727258</v>
      </c>
      <c r="N52" s="246">
        <v>39.299999999999997</v>
      </c>
      <c r="O52" s="241"/>
      <c r="P52" s="241"/>
      <c r="Q52" s="246" t="s">
        <v>320</v>
      </c>
      <c r="R52" s="241"/>
      <c r="S52" s="246" t="s">
        <v>320</v>
      </c>
      <c r="T52" s="241"/>
      <c r="U52" s="246" t="s">
        <v>320</v>
      </c>
      <c r="V52" s="246" t="s">
        <v>320</v>
      </c>
      <c r="W52" s="246">
        <v>17.154545454545453</v>
      </c>
      <c r="X52" s="241"/>
      <c r="Y52" s="241"/>
      <c r="Z52" s="241"/>
      <c r="AA52" s="241"/>
      <c r="AB52" s="241"/>
      <c r="AC52" s="241"/>
      <c r="AD52" s="246" t="s">
        <v>320</v>
      </c>
      <c r="AE52" s="246" t="s">
        <v>320</v>
      </c>
      <c r="AF52" s="241"/>
      <c r="AG52" s="241"/>
      <c r="AH52" s="246">
        <v>32.118181818181817</v>
      </c>
      <c r="AI52" s="241"/>
      <c r="AJ52" s="241"/>
      <c r="AK52" s="246" t="s">
        <v>320</v>
      </c>
      <c r="AL52" s="241"/>
      <c r="AM52" s="246" t="s">
        <v>320</v>
      </c>
      <c r="AN52" s="246" t="s">
        <v>320</v>
      </c>
      <c r="AO52" s="241" t="s">
        <v>384</v>
      </c>
      <c r="AP52" s="245" t="s">
        <v>325</v>
      </c>
      <c r="AQ52" s="245"/>
      <c r="AR52" s="245"/>
    </row>
    <row r="53" spans="1:94" x14ac:dyDescent="0.3">
      <c r="A53" s="241">
        <v>10327</v>
      </c>
      <c r="B53" s="242">
        <v>42202</v>
      </c>
      <c r="C53" s="243" t="s">
        <v>332</v>
      </c>
      <c r="D53" s="244" t="s">
        <v>382</v>
      </c>
      <c r="E53" s="241"/>
      <c r="F53" s="241" t="s">
        <v>369</v>
      </c>
      <c r="G53" s="248">
        <v>42187</v>
      </c>
      <c r="H53" s="245" t="s">
        <v>334</v>
      </c>
      <c r="I53" s="245" t="s">
        <v>335</v>
      </c>
      <c r="J53" s="245"/>
      <c r="K53" s="241" t="s">
        <v>349</v>
      </c>
      <c r="L53" s="254" t="s">
        <v>222</v>
      </c>
      <c r="M53" s="246">
        <v>87</v>
      </c>
      <c r="N53" s="246">
        <v>33.836363636363636</v>
      </c>
      <c r="O53" s="241"/>
      <c r="P53" s="241"/>
      <c r="Q53" s="246" t="s">
        <v>320</v>
      </c>
      <c r="R53" s="241"/>
      <c r="S53" s="246" t="s">
        <v>320</v>
      </c>
      <c r="T53" s="241"/>
      <c r="U53" s="246" t="s">
        <v>320</v>
      </c>
      <c r="V53" s="246" t="s">
        <v>320</v>
      </c>
      <c r="W53" s="246">
        <v>14.254545454545454</v>
      </c>
      <c r="X53" s="241"/>
      <c r="Y53" s="241"/>
      <c r="Z53" s="241"/>
      <c r="AA53" s="241"/>
      <c r="AB53" s="241"/>
      <c r="AC53" s="241"/>
      <c r="AD53" s="246" t="s">
        <v>320</v>
      </c>
      <c r="AE53" s="246" t="s">
        <v>320</v>
      </c>
      <c r="AF53" s="241"/>
      <c r="AG53" s="241"/>
      <c r="AH53" s="246">
        <v>28.5</v>
      </c>
      <c r="AI53" s="241"/>
      <c r="AJ53" s="241"/>
      <c r="AK53" s="246" t="s">
        <v>320</v>
      </c>
      <c r="AL53" s="241"/>
      <c r="AM53" s="246" t="s">
        <v>320</v>
      </c>
      <c r="AN53" s="246" t="s">
        <v>320</v>
      </c>
      <c r="AO53" s="241" t="s">
        <v>385</v>
      </c>
      <c r="AP53" s="245" t="s">
        <v>335</v>
      </c>
      <c r="AQ53" s="245"/>
      <c r="AR53" s="245"/>
    </row>
    <row r="54" spans="1:94" x14ac:dyDescent="0.3">
      <c r="A54" s="241">
        <v>10682</v>
      </c>
      <c r="B54" s="242">
        <v>42202</v>
      </c>
      <c r="C54" s="243" t="s">
        <v>236</v>
      </c>
      <c r="D54" s="244" t="s">
        <v>382</v>
      </c>
      <c r="E54" s="241"/>
      <c r="F54" s="241" t="s">
        <v>257</v>
      </c>
      <c r="G54" s="248">
        <v>42185</v>
      </c>
      <c r="H54" s="245" t="s">
        <v>241</v>
      </c>
      <c r="I54" s="245" t="s">
        <v>197</v>
      </c>
      <c r="J54" s="245"/>
      <c r="K54" s="241" t="s">
        <v>252</v>
      </c>
      <c r="L54" s="254" t="s">
        <v>222</v>
      </c>
      <c r="M54" s="246">
        <v>109.16363636363636</v>
      </c>
      <c r="N54" s="246">
        <v>31.099999999999998</v>
      </c>
      <c r="O54" s="241"/>
      <c r="P54" s="241"/>
      <c r="Q54" s="246" t="s">
        <v>320</v>
      </c>
      <c r="R54" s="241"/>
      <c r="S54" s="246" t="s">
        <v>320</v>
      </c>
      <c r="T54" s="241"/>
      <c r="U54" s="246" t="s">
        <v>320</v>
      </c>
      <c r="V54" s="246" t="s">
        <v>320</v>
      </c>
      <c r="W54" s="246">
        <v>15.427272727272724</v>
      </c>
      <c r="X54" s="241"/>
      <c r="Y54" s="241"/>
      <c r="Z54" s="241"/>
      <c r="AA54" s="241"/>
      <c r="AB54" s="241"/>
      <c r="AC54" s="241"/>
      <c r="AD54" s="246" t="s">
        <v>320</v>
      </c>
      <c r="AE54" s="246" t="s">
        <v>320</v>
      </c>
      <c r="AF54" s="241"/>
      <c r="AG54" s="241"/>
      <c r="AH54" s="246">
        <v>23.32</v>
      </c>
      <c r="AI54" s="241"/>
      <c r="AJ54" s="241"/>
      <c r="AK54" s="246" t="s">
        <v>320</v>
      </c>
      <c r="AL54" s="241"/>
      <c r="AM54" s="246" t="s">
        <v>320</v>
      </c>
      <c r="AN54" s="246" t="s">
        <v>320</v>
      </c>
      <c r="AO54" s="241" t="s">
        <v>235</v>
      </c>
      <c r="AP54" s="245" t="s">
        <v>197</v>
      </c>
      <c r="AQ54" s="245"/>
      <c r="AR54" s="245"/>
    </row>
    <row r="55" spans="1:94" x14ac:dyDescent="0.3">
      <c r="A55" s="241">
        <v>1400</v>
      </c>
      <c r="B55" s="242">
        <v>42202</v>
      </c>
      <c r="C55" s="243" t="s">
        <v>332</v>
      </c>
      <c r="D55" s="244" t="s">
        <v>382</v>
      </c>
      <c r="E55" s="241"/>
      <c r="F55" s="241" t="s">
        <v>369</v>
      </c>
      <c r="G55" s="247">
        <v>42185</v>
      </c>
      <c r="H55" s="245" t="s">
        <v>334</v>
      </c>
      <c r="I55" s="245" t="s">
        <v>335</v>
      </c>
      <c r="J55" s="245"/>
      <c r="K55" s="241" t="s">
        <v>350</v>
      </c>
      <c r="L55" s="254" t="s">
        <v>222</v>
      </c>
      <c r="M55" s="246">
        <v>102.3</v>
      </c>
      <c r="N55" s="246">
        <v>31</v>
      </c>
      <c r="O55" s="244" t="s">
        <v>351</v>
      </c>
      <c r="P55" s="241">
        <v>1300</v>
      </c>
      <c r="Q55" s="246">
        <v>29.999999999999996</v>
      </c>
      <c r="R55" s="256">
        <v>1300</v>
      </c>
      <c r="S55" s="246">
        <v>29.999999999999996</v>
      </c>
      <c r="T55" s="241"/>
      <c r="U55" s="246" t="s">
        <v>320</v>
      </c>
      <c r="V55" s="246" t="s">
        <v>320</v>
      </c>
      <c r="W55" s="246">
        <v>20</v>
      </c>
      <c r="X55" s="241"/>
      <c r="Y55" s="241"/>
      <c r="Z55" s="241"/>
      <c r="AA55" s="241"/>
      <c r="AB55" s="241"/>
      <c r="AC55" s="241"/>
      <c r="AD55" s="246" t="s">
        <v>320</v>
      </c>
      <c r="AE55" s="246" t="s">
        <v>320</v>
      </c>
      <c r="AF55" s="241"/>
      <c r="AG55" s="241"/>
      <c r="AH55" s="246">
        <v>21.3</v>
      </c>
      <c r="AI55" s="241"/>
      <c r="AJ55" s="241"/>
      <c r="AK55" s="246" t="s">
        <v>320</v>
      </c>
      <c r="AL55" s="241"/>
      <c r="AM55" s="246" t="s">
        <v>320</v>
      </c>
      <c r="AN55" s="246" t="s">
        <v>320</v>
      </c>
      <c r="AO55" s="241" t="s">
        <v>385</v>
      </c>
      <c r="AP55" s="245" t="s">
        <v>335</v>
      </c>
      <c r="AQ55" s="245"/>
      <c r="AR55" s="245"/>
    </row>
    <row r="56" spans="1:94" x14ac:dyDescent="0.3">
      <c r="A56" s="241">
        <v>3604</v>
      </c>
      <c r="B56" s="242">
        <v>42202</v>
      </c>
      <c r="C56" s="243" t="s">
        <v>223</v>
      </c>
      <c r="D56" s="244" t="s">
        <v>382</v>
      </c>
      <c r="E56" s="241"/>
      <c r="F56" s="241" t="s">
        <v>232</v>
      </c>
      <c r="G56" s="248">
        <v>42192</v>
      </c>
      <c r="H56" s="245" t="s">
        <v>226</v>
      </c>
      <c r="I56" s="245" t="s">
        <v>227</v>
      </c>
      <c r="J56" s="245"/>
      <c r="K56" s="241" t="s">
        <v>352</v>
      </c>
      <c r="L56" s="254" t="s">
        <v>222</v>
      </c>
      <c r="M56" s="246">
        <v>88.336363636363629</v>
      </c>
      <c r="N56" s="246">
        <v>28.790909090909089</v>
      </c>
      <c r="O56" s="241"/>
      <c r="P56" s="241"/>
      <c r="Q56" s="246" t="s">
        <v>320</v>
      </c>
      <c r="R56" s="241"/>
      <c r="S56" s="244" t="s">
        <v>320</v>
      </c>
      <c r="T56" s="241"/>
      <c r="U56" s="246" t="s">
        <v>320</v>
      </c>
      <c r="V56" s="246" t="s">
        <v>320</v>
      </c>
      <c r="W56" s="246">
        <v>20.75454545454545</v>
      </c>
      <c r="X56" s="241"/>
      <c r="Y56" s="241"/>
      <c r="Z56" s="241"/>
      <c r="AA56" s="241"/>
      <c r="AB56" s="241"/>
      <c r="AC56" s="241"/>
      <c r="AD56" s="246" t="s">
        <v>320</v>
      </c>
      <c r="AE56" s="246" t="s">
        <v>320</v>
      </c>
      <c r="AF56" s="241"/>
      <c r="AG56" s="241"/>
      <c r="AH56" s="246">
        <v>24.536363636363632</v>
      </c>
      <c r="AI56" s="241"/>
      <c r="AJ56" s="241"/>
      <c r="AK56" s="246" t="s">
        <v>320</v>
      </c>
      <c r="AL56" s="241"/>
      <c r="AM56" s="246" t="s">
        <v>320</v>
      </c>
      <c r="AN56" s="246" t="s">
        <v>320</v>
      </c>
      <c r="AO56" s="241" t="s">
        <v>383</v>
      </c>
      <c r="AP56" s="245" t="s">
        <v>227</v>
      </c>
      <c r="AQ56" s="245"/>
      <c r="AR56" s="245"/>
    </row>
    <row r="57" spans="1:94" x14ac:dyDescent="0.3">
      <c r="A57" s="241">
        <v>10377</v>
      </c>
      <c r="B57" s="242">
        <v>42202</v>
      </c>
      <c r="C57" s="243" t="s">
        <v>322</v>
      </c>
      <c r="D57" s="244" t="s">
        <v>382</v>
      </c>
      <c r="E57" s="241"/>
      <c r="F57" s="241" t="s">
        <v>367</v>
      </c>
      <c r="G57" s="247">
        <v>42185</v>
      </c>
      <c r="H57" s="245" t="s">
        <v>310</v>
      </c>
      <c r="I57" s="245" t="s">
        <v>309</v>
      </c>
      <c r="J57" s="245"/>
      <c r="K57" s="241" t="s">
        <v>239</v>
      </c>
      <c r="L57" s="254" t="s">
        <v>222</v>
      </c>
      <c r="M57" s="246">
        <v>130</v>
      </c>
      <c r="N57" s="246">
        <v>29</v>
      </c>
      <c r="O57" s="241"/>
      <c r="P57" s="241"/>
      <c r="Q57" s="246" t="s">
        <v>320</v>
      </c>
      <c r="R57" s="241"/>
      <c r="S57" s="244" t="s">
        <v>320</v>
      </c>
      <c r="T57" s="241"/>
      <c r="U57" s="246" t="s">
        <v>320</v>
      </c>
      <c r="V57" s="246" t="s">
        <v>320</v>
      </c>
      <c r="W57" s="246">
        <v>23.5</v>
      </c>
      <c r="X57" s="241"/>
      <c r="Y57" s="241"/>
      <c r="Z57" s="241"/>
      <c r="AA57" s="241"/>
      <c r="AB57" s="241"/>
      <c r="AC57" s="241"/>
      <c r="AD57" s="246" t="s">
        <v>320</v>
      </c>
      <c r="AE57" s="246" t="s">
        <v>320</v>
      </c>
      <c r="AF57" s="241"/>
      <c r="AG57" s="241"/>
      <c r="AH57" s="246">
        <v>26.3</v>
      </c>
      <c r="AI57" s="241"/>
      <c r="AJ57" s="241"/>
      <c r="AK57" s="246" t="s">
        <v>320</v>
      </c>
      <c r="AL57" s="241"/>
      <c r="AM57" s="246" t="s">
        <v>320</v>
      </c>
      <c r="AN57" s="246" t="s">
        <v>320</v>
      </c>
      <c r="AO57" s="241" t="s">
        <v>384</v>
      </c>
      <c r="AP57" s="245" t="s">
        <v>325</v>
      </c>
      <c r="AQ57" s="245"/>
      <c r="AR57" s="245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</row>
    <row r="58" spans="1:94" x14ac:dyDescent="0.3">
      <c r="A58" s="241">
        <v>9681</v>
      </c>
      <c r="B58" s="242">
        <v>42202</v>
      </c>
      <c r="C58" s="243" t="s">
        <v>322</v>
      </c>
      <c r="D58" s="244" t="s">
        <v>382</v>
      </c>
      <c r="E58" s="241"/>
      <c r="F58" s="241" t="s">
        <v>367</v>
      </c>
      <c r="G58" s="248">
        <v>42188</v>
      </c>
      <c r="H58" s="245" t="s">
        <v>325</v>
      </c>
      <c r="I58" s="245" t="s">
        <v>353</v>
      </c>
      <c r="J58" s="245"/>
      <c r="K58" s="241" t="s">
        <v>307</v>
      </c>
      <c r="L58" s="255" t="s">
        <v>222</v>
      </c>
      <c r="M58" s="246">
        <v>84</v>
      </c>
      <c r="N58" s="246">
        <v>28.8</v>
      </c>
      <c r="O58" s="241"/>
      <c r="P58" s="241"/>
      <c r="Q58" s="246" t="s">
        <v>320</v>
      </c>
      <c r="R58" s="241"/>
      <c r="S58" s="244" t="s">
        <v>320</v>
      </c>
      <c r="T58" s="241"/>
      <c r="U58" s="246" t="s">
        <v>320</v>
      </c>
      <c r="V58" s="246" t="s">
        <v>320</v>
      </c>
      <c r="W58" s="246">
        <v>23.7</v>
      </c>
      <c r="X58" s="241"/>
      <c r="Y58" s="241"/>
      <c r="Z58" s="241"/>
      <c r="AA58" s="241"/>
      <c r="AB58" s="241"/>
      <c r="AC58" s="241"/>
      <c r="AD58" s="246" t="s">
        <v>320</v>
      </c>
      <c r="AE58" s="246" t="s">
        <v>320</v>
      </c>
      <c r="AF58" s="241"/>
      <c r="AG58" s="241"/>
      <c r="AH58" s="246">
        <v>24.3</v>
      </c>
      <c r="AI58" s="241"/>
      <c r="AJ58" s="241"/>
      <c r="AK58" s="246" t="s">
        <v>320</v>
      </c>
      <c r="AL58" s="241"/>
      <c r="AM58" s="246" t="s">
        <v>320</v>
      </c>
      <c r="AN58" s="246" t="s">
        <v>320</v>
      </c>
      <c r="AO58" s="241" t="s">
        <v>384</v>
      </c>
      <c r="AP58" s="245" t="s">
        <v>325</v>
      </c>
      <c r="AQ58" s="245"/>
      <c r="AR58" s="245"/>
    </row>
  </sheetData>
  <sheetProtection algorithmName="SHA-512" hashValue="Y+cFieaKQ9n7S2PBQnZfpuzZVA8Wb8v/gGewj+CiYafrFLoxzZP2j2OP/2+R0JrP98P2sRzZoG2NGOymROUiRQ==" saltValue="0NCn7D95Xlv8v1StNsZ4cw==" spinCount="100000" sheet="1" objects="1" scenarios="1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EF460-683C-FF4C-B5E7-7FA54B40EE87}">
  <sheetPr codeName="Sheet31"/>
  <dimension ref="A1:CS61"/>
  <sheetViews>
    <sheetView zoomScale="107" zoomScaleNormal="120" workbookViewId="0">
      <selection activeCell="C45" sqref="A45:XFD45"/>
    </sheetView>
  </sheetViews>
  <sheetFormatPr defaultColWidth="11" defaultRowHeight="13.5" x14ac:dyDescent="0.3"/>
  <cols>
    <col min="11" max="11" width="18" bestFit="1" customWidth="1"/>
    <col min="12" max="12" width="18.15234375" customWidth="1"/>
    <col min="13" max="13" width="7.69140625" bestFit="1" customWidth="1"/>
    <col min="23" max="23" width="12.69140625" bestFit="1" customWidth="1"/>
    <col min="41" max="41" width="13.69140625" customWidth="1"/>
  </cols>
  <sheetData>
    <row r="1" spans="1:97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</row>
    <row r="2" spans="1:97" x14ac:dyDescent="0.3">
      <c r="A2" s="152">
        <v>4142</v>
      </c>
      <c r="B2" s="217">
        <v>41902</v>
      </c>
      <c r="C2" s="154" t="s">
        <v>189</v>
      </c>
      <c r="D2" s="155" t="s">
        <v>190</v>
      </c>
      <c r="E2" s="155"/>
      <c r="F2" s="155" t="s">
        <v>191</v>
      </c>
      <c r="G2" s="164">
        <v>41829</v>
      </c>
      <c r="H2" s="156" t="s">
        <v>192</v>
      </c>
      <c r="I2" s="156" t="s">
        <v>193</v>
      </c>
      <c r="J2" s="156"/>
      <c r="K2" s="155" t="s">
        <v>194</v>
      </c>
      <c r="L2" s="155" t="s">
        <v>195</v>
      </c>
      <c r="M2" s="159">
        <v>151</v>
      </c>
      <c r="N2" s="159">
        <v>23.99</v>
      </c>
      <c r="O2" s="155"/>
      <c r="P2" s="159"/>
      <c r="Q2" s="159"/>
      <c r="R2" s="163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5"/>
      <c r="AM2" s="155"/>
      <c r="AN2" s="155"/>
      <c r="AO2" s="155" t="s">
        <v>196</v>
      </c>
      <c r="AP2" s="156" t="s">
        <v>197</v>
      </c>
      <c r="AQ2" s="156"/>
      <c r="AR2" s="156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x14ac:dyDescent="0.3">
      <c r="A3" s="152">
        <v>2017</v>
      </c>
      <c r="B3" s="217">
        <v>41902</v>
      </c>
      <c r="C3" s="154" t="s">
        <v>189</v>
      </c>
      <c r="D3" s="155" t="s">
        <v>190</v>
      </c>
      <c r="E3" s="155"/>
      <c r="F3" s="155" t="s">
        <v>191</v>
      </c>
      <c r="G3" s="153">
        <v>41820</v>
      </c>
      <c r="H3" s="156" t="s">
        <v>192</v>
      </c>
      <c r="I3" s="156" t="s">
        <v>193</v>
      </c>
      <c r="J3" s="156"/>
      <c r="K3" s="155" t="s">
        <v>198</v>
      </c>
      <c r="L3" s="155" t="s">
        <v>195</v>
      </c>
      <c r="M3" s="155">
        <v>142</v>
      </c>
      <c r="N3" s="155">
        <v>28.9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 t="s">
        <v>196</v>
      </c>
      <c r="AP3" s="156" t="s">
        <v>197</v>
      </c>
      <c r="AQ3" s="156"/>
      <c r="AR3" s="156"/>
    </row>
    <row r="4" spans="1:97" x14ac:dyDescent="0.3">
      <c r="A4" s="152">
        <v>2563</v>
      </c>
      <c r="B4" s="217">
        <v>41902</v>
      </c>
      <c r="C4" s="154" t="s">
        <v>189</v>
      </c>
      <c r="D4" s="155" t="s">
        <v>190</v>
      </c>
      <c r="E4" s="155"/>
      <c r="F4" s="155" t="s">
        <v>191</v>
      </c>
      <c r="G4" s="164">
        <v>41852</v>
      </c>
      <c r="H4" s="156" t="s">
        <v>193</v>
      </c>
      <c r="I4" s="156" t="s">
        <v>199</v>
      </c>
      <c r="J4" s="156"/>
      <c r="K4" s="155" t="s">
        <v>200</v>
      </c>
      <c r="L4" s="155" t="s">
        <v>195</v>
      </c>
      <c r="M4" s="155">
        <v>141.5</v>
      </c>
      <c r="N4" s="221">
        <v>29.56</v>
      </c>
      <c r="O4" s="155" t="s">
        <v>201</v>
      </c>
      <c r="P4" s="155">
        <v>1000</v>
      </c>
      <c r="Q4" s="221">
        <v>29.56</v>
      </c>
      <c r="R4" s="157">
        <v>1750</v>
      </c>
      <c r="S4" s="221">
        <v>29.56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 t="s">
        <v>196</v>
      </c>
      <c r="AP4" s="156" t="s">
        <v>197</v>
      </c>
      <c r="AQ4" s="156"/>
      <c r="AR4" s="156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x14ac:dyDescent="0.3">
      <c r="A5" s="152">
        <v>3230</v>
      </c>
      <c r="B5" s="217">
        <v>41902</v>
      </c>
      <c r="C5" s="154" t="s">
        <v>189</v>
      </c>
      <c r="D5" s="155" t="s">
        <v>202</v>
      </c>
      <c r="E5" s="155"/>
      <c r="F5" s="155" t="s">
        <v>191</v>
      </c>
      <c r="G5" s="153">
        <v>41880</v>
      </c>
      <c r="H5" s="156" t="s">
        <v>193</v>
      </c>
      <c r="I5" s="156" t="s">
        <v>199</v>
      </c>
      <c r="J5" s="156"/>
      <c r="K5" s="155" t="s">
        <v>203</v>
      </c>
      <c r="L5" s="155" t="s">
        <v>195</v>
      </c>
      <c r="M5" s="159">
        <v>147</v>
      </c>
      <c r="N5" s="159">
        <v>39.700000000000003</v>
      </c>
      <c r="O5" s="159"/>
      <c r="P5" s="159"/>
      <c r="Q5" s="155"/>
      <c r="R5" s="163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9"/>
      <c r="AM5" s="159"/>
      <c r="AN5" s="159"/>
      <c r="AO5" s="155" t="s">
        <v>196</v>
      </c>
      <c r="AP5" s="156" t="s">
        <v>197</v>
      </c>
      <c r="AQ5" s="156"/>
      <c r="AR5" s="156"/>
    </row>
    <row r="6" spans="1:97" x14ac:dyDescent="0.3">
      <c r="A6" s="152">
        <v>1477</v>
      </c>
      <c r="B6" s="217">
        <v>41902</v>
      </c>
      <c r="C6" s="154" t="s">
        <v>189</v>
      </c>
      <c r="D6" s="155" t="s">
        <v>190</v>
      </c>
      <c r="E6" s="155"/>
      <c r="F6" s="155" t="s">
        <v>191</v>
      </c>
      <c r="G6" s="153">
        <v>41639</v>
      </c>
      <c r="H6" s="156" t="s">
        <v>192</v>
      </c>
      <c r="I6" s="156" t="s">
        <v>193</v>
      </c>
      <c r="J6" s="156"/>
      <c r="K6" s="159" t="s">
        <v>204</v>
      </c>
      <c r="L6" s="155" t="s">
        <v>195</v>
      </c>
      <c r="M6" s="159">
        <v>176.75</v>
      </c>
      <c r="N6" s="159">
        <v>37.770000000000003</v>
      </c>
      <c r="O6" s="159" t="s">
        <v>201</v>
      </c>
      <c r="P6" s="159">
        <v>1750</v>
      </c>
      <c r="Q6" s="159">
        <v>37.770000000000003</v>
      </c>
      <c r="R6" s="192">
        <v>1750</v>
      </c>
      <c r="S6" s="192">
        <v>37.770000000000003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5" t="s">
        <v>196</v>
      </c>
      <c r="AP6" s="156" t="s">
        <v>197</v>
      </c>
      <c r="AQ6" s="162"/>
      <c r="AR6" s="162"/>
    </row>
    <row r="7" spans="1:97" x14ac:dyDescent="0.3">
      <c r="A7" s="152">
        <v>4658</v>
      </c>
      <c r="B7" s="217">
        <v>41902</v>
      </c>
      <c r="C7" s="154" t="s">
        <v>189</v>
      </c>
      <c r="D7" s="155" t="s">
        <v>202</v>
      </c>
      <c r="E7" s="155"/>
      <c r="F7" s="155" t="s">
        <v>191</v>
      </c>
      <c r="G7" s="153">
        <v>41820</v>
      </c>
      <c r="H7" s="156" t="s">
        <v>192</v>
      </c>
      <c r="I7" s="156" t="s">
        <v>193</v>
      </c>
      <c r="J7" s="156"/>
      <c r="K7" s="159" t="s">
        <v>205</v>
      </c>
      <c r="L7" s="155" t="s">
        <v>195</v>
      </c>
      <c r="M7" s="159">
        <v>170.01</v>
      </c>
      <c r="N7" s="159">
        <v>29</v>
      </c>
      <c r="O7" s="159"/>
      <c r="P7" s="159"/>
      <c r="Q7" s="159"/>
      <c r="R7" s="163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5" t="s">
        <v>196</v>
      </c>
      <c r="AP7" s="162" t="s">
        <v>197</v>
      </c>
      <c r="AQ7" s="162"/>
      <c r="AR7" s="162"/>
    </row>
    <row r="8" spans="1:97" x14ac:dyDescent="0.3">
      <c r="A8" s="152">
        <v>1451</v>
      </c>
      <c r="B8" s="217">
        <v>41902</v>
      </c>
      <c r="C8" s="154" t="s">
        <v>189</v>
      </c>
      <c r="D8" s="155" t="s">
        <v>190</v>
      </c>
      <c r="E8" s="155"/>
      <c r="F8" s="155" t="s">
        <v>191</v>
      </c>
      <c r="G8" s="164">
        <v>41820</v>
      </c>
      <c r="H8" s="156" t="s">
        <v>192</v>
      </c>
      <c r="I8" s="156" t="s">
        <v>193</v>
      </c>
      <c r="J8" s="156"/>
      <c r="K8" s="155" t="s">
        <v>206</v>
      </c>
      <c r="L8" s="155" t="s">
        <v>195</v>
      </c>
      <c r="M8" s="159">
        <v>149.5</v>
      </c>
      <c r="N8" s="159">
        <v>25.97</v>
      </c>
      <c r="O8" s="159" t="s">
        <v>201</v>
      </c>
      <c r="P8" s="159">
        <v>300</v>
      </c>
      <c r="Q8" s="159">
        <v>27.96</v>
      </c>
      <c r="R8" s="163">
        <v>1020</v>
      </c>
      <c r="S8" s="159">
        <v>30.89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5" t="s">
        <v>196</v>
      </c>
      <c r="AP8" s="156" t="s">
        <v>197</v>
      </c>
      <c r="AQ8" s="162"/>
      <c r="AR8" s="162"/>
    </row>
    <row r="9" spans="1:97" x14ac:dyDescent="0.3">
      <c r="A9" s="152">
        <v>1489</v>
      </c>
      <c r="B9" s="217">
        <v>41902</v>
      </c>
      <c r="C9" s="154" t="s">
        <v>189</v>
      </c>
      <c r="D9" s="155" t="s">
        <v>190</v>
      </c>
      <c r="E9" s="155"/>
      <c r="F9" s="155" t="s">
        <v>191</v>
      </c>
      <c r="G9" s="153">
        <v>41639</v>
      </c>
      <c r="H9" s="156" t="s">
        <v>192</v>
      </c>
      <c r="I9" s="156" t="s">
        <v>193</v>
      </c>
      <c r="J9" s="156"/>
      <c r="K9" s="159" t="s">
        <v>207</v>
      </c>
      <c r="L9" s="155" t="s">
        <v>195</v>
      </c>
      <c r="M9" s="159">
        <v>169.95</v>
      </c>
      <c r="N9" s="159">
        <v>36.32</v>
      </c>
      <c r="O9" s="159" t="s">
        <v>201</v>
      </c>
      <c r="P9" s="159">
        <v>1750</v>
      </c>
      <c r="Q9" s="159">
        <v>36.32</v>
      </c>
      <c r="R9" s="192">
        <v>1750</v>
      </c>
      <c r="S9" s="192">
        <v>36.32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5" t="s">
        <v>196</v>
      </c>
      <c r="AP9" s="156" t="s">
        <v>197</v>
      </c>
      <c r="AQ9" s="162"/>
      <c r="AR9" s="162"/>
    </row>
    <row r="10" spans="1:97" x14ac:dyDescent="0.3">
      <c r="A10" s="152">
        <v>1267</v>
      </c>
      <c r="B10" s="217">
        <v>41902</v>
      </c>
      <c r="C10" s="154" t="s">
        <v>189</v>
      </c>
      <c r="D10" s="155" t="s">
        <v>190</v>
      </c>
      <c r="E10" s="155"/>
      <c r="F10" s="155" t="s">
        <v>191</v>
      </c>
      <c r="G10" s="153">
        <v>41640</v>
      </c>
      <c r="H10" s="156" t="s">
        <v>192</v>
      </c>
      <c r="I10" s="156" t="s">
        <v>193</v>
      </c>
      <c r="J10" s="156"/>
      <c r="K10" s="155" t="s">
        <v>208</v>
      </c>
      <c r="L10" s="155" t="s">
        <v>195</v>
      </c>
      <c r="M10" s="159">
        <v>144.30000000000001</v>
      </c>
      <c r="N10" s="159">
        <v>31.71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9"/>
      <c r="AM10" s="159"/>
      <c r="AN10" s="159"/>
      <c r="AO10" s="155" t="s">
        <v>196</v>
      </c>
      <c r="AP10" s="156" t="s">
        <v>197</v>
      </c>
      <c r="AQ10" s="156"/>
      <c r="AR10" s="156"/>
    </row>
    <row r="11" spans="1:97" x14ac:dyDescent="0.3">
      <c r="A11" s="152">
        <v>3120</v>
      </c>
      <c r="B11" s="217">
        <v>41902</v>
      </c>
      <c r="C11" s="154" t="s">
        <v>189</v>
      </c>
      <c r="D11" s="155" t="s">
        <v>202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5" t="s">
        <v>195</v>
      </c>
      <c r="M11" s="159">
        <v>237.05</v>
      </c>
      <c r="N11" s="159">
        <v>25.41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5" t="s">
        <v>196</v>
      </c>
      <c r="AP11" s="156" t="s">
        <v>197</v>
      </c>
      <c r="AQ11" s="162"/>
      <c r="AR11" s="162"/>
    </row>
    <row r="12" spans="1:97" x14ac:dyDescent="0.3">
      <c r="A12" s="152">
        <v>1431</v>
      </c>
      <c r="B12" s="217">
        <v>41902</v>
      </c>
      <c r="C12" s="154" t="s">
        <v>189</v>
      </c>
      <c r="D12" s="155" t="s">
        <v>190</v>
      </c>
      <c r="E12" s="155"/>
      <c r="F12" s="155" t="s">
        <v>191</v>
      </c>
      <c r="G12" s="153">
        <v>41820</v>
      </c>
      <c r="H12" s="156" t="s">
        <v>192</v>
      </c>
      <c r="I12" s="156" t="s">
        <v>193</v>
      </c>
      <c r="J12" s="156"/>
      <c r="K12" s="159" t="s">
        <v>210</v>
      </c>
      <c r="L12" s="155" t="s">
        <v>195</v>
      </c>
      <c r="M12" s="159">
        <v>141.30000000000001</v>
      </c>
      <c r="N12" s="159">
        <v>28.36</v>
      </c>
      <c r="O12" s="155" t="s">
        <v>201</v>
      </c>
      <c r="P12" s="159">
        <v>600</v>
      </c>
      <c r="Q12" s="159">
        <v>33.83</v>
      </c>
      <c r="R12" s="192">
        <v>600</v>
      </c>
      <c r="S12" s="192">
        <v>33.83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5" t="s">
        <v>196</v>
      </c>
      <c r="AP12" s="156" t="s">
        <v>197</v>
      </c>
      <c r="AQ12" s="162"/>
      <c r="AR12" s="162"/>
    </row>
    <row r="13" spans="1:97" x14ac:dyDescent="0.3">
      <c r="A13" s="152">
        <v>2275</v>
      </c>
      <c r="B13" s="217">
        <v>41902</v>
      </c>
      <c r="C13" s="154" t="s">
        <v>189</v>
      </c>
      <c r="D13" s="155" t="s">
        <v>202</v>
      </c>
      <c r="E13" s="155"/>
      <c r="F13" s="155" t="s">
        <v>191</v>
      </c>
      <c r="G13" s="153">
        <v>41820</v>
      </c>
      <c r="H13" s="156" t="s">
        <v>192</v>
      </c>
      <c r="I13" s="156" t="s">
        <v>193</v>
      </c>
      <c r="J13" s="156"/>
      <c r="K13" s="155" t="s">
        <v>211</v>
      </c>
      <c r="L13" s="155" t="s">
        <v>195</v>
      </c>
      <c r="M13" s="155">
        <v>141.01</v>
      </c>
      <c r="N13" s="155">
        <v>28.47</v>
      </c>
      <c r="O13" s="155"/>
      <c r="P13" s="155"/>
      <c r="Q13" s="155"/>
      <c r="R13" s="157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 t="s">
        <v>196</v>
      </c>
      <c r="AP13" s="156" t="s">
        <v>197</v>
      </c>
      <c r="AQ13" s="156"/>
      <c r="AR13" s="156"/>
    </row>
    <row r="14" spans="1:97" x14ac:dyDescent="0.3">
      <c r="A14" s="152">
        <v>3756</v>
      </c>
      <c r="B14" s="217">
        <v>41902</v>
      </c>
      <c r="C14" s="154" t="s">
        <v>189</v>
      </c>
      <c r="D14" s="155" t="s">
        <v>190</v>
      </c>
      <c r="E14" s="155"/>
      <c r="F14" s="155" t="s">
        <v>191</v>
      </c>
      <c r="G14" s="153">
        <v>41823</v>
      </c>
      <c r="H14" s="156" t="s">
        <v>192</v>
      </c>
      <c r="I14" s="156" t="s">
        <v>193</v>
      </c>
      <c r="J14" s="156"/>
      <c r="K14" s="155" t="s">
        <v>212</v>
      </c>
      <c r="L14" s="155" t="s">
        <v>195</v>
      </c>
      <c r="M14" s="159">
        <v>142</v>
      </c>
      <c r="N14" s="159">
        <v>28.9</v>
      </c>
      <c r="O14" s="159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9"/>
      <c r="AM14" s="159"/>
      <c r="AN14" s="159"/>
      <c r="AO14" s="155" t="s">
        <v>196</v>
      </c>
      <c r="AP14" s="156" t="s">
        <v>197</v>
      </c>
      <c r="AQ14" s="156"/>
      <c r="AR14" s="156"/>
    </row>
    <row r="15" spans="1:97" x14ac:dyDescent="0.3">
      <c r="A15" s="152">
        <v>1465</v>
      </c>
      <c r="B15" s="217">
        <v>41902</v>
      </c>
      <c r="C15" s="154" t="s">
        <v>189</v>
      </c>
      <c r="D15" s="155" t="s">
        <v>190</v>
      </c>
      <c r="E15" s="155"/>
      <c r="F15" s="155" t="s">
        <v>191</v>
      </c>
      <c r="G15" s="153">
        <v>41820</v>
      </c>
      <c r="H15" s="156" t="s">
        <v>192</v>
      </c>
      <c r="I15" s="156" t="s">
        <v>193</v>
      </c>
      <c r="J15" s="156"/>
      <c r="K15" s="159" t="s">
        <v>213</v>
      </c>
      <c r="L15" s="155" t="s">
        <v>195</v>
      </c>
      <c r="M15" s="159">
        <v>148.35</v>
      </c>
      <c r="N15" s="159">
        <v>25.77</v>
      </c>
      <c r="O15" s="159"/>
      <c r="P15" s="159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5" t="s">
        <v>196</v>
      </c>
      <c r="AP15" s="156" t="s">
        <v>197</v>
      </c>
      <c r="AQ15" s="162"/>
      <c r="AR15" s="162"/>
    </row>
    <row r="16" spans="1:97" x14ac:dyDescent="0.3">
      <c r="A16" s="152">
        <v>1409</v>
      </c>
      <c r="B16" s="217">
        <v>41902</v>
      </c>
      <c r="C16" s="154" t="s">
        <v>189</v>
      </c>
      <c r="D16" s="155" t="s">
        <v>190</v>
      </c>
      <c r="E16" s="155"/>
      <c r="F16" s="155" t="s">
        <v>191</v>
      </c>
      <c r="G16" s="164">
        <v>41852</v>
      </c>
      <c r="H16" s="156" t="s">
        <v>192</v>
      </c>
      <c r="I16" s="156" t="s">
        <v>193</v>
      </c>
      <c r="J16" s="156"/>
      <c r="K16" s="155" t="s">
        <v>214</v>
      </c>
      <c r="L16" s="155" t="s">
        <v>195</v>
      </c>
      <c r="M16" s="159">
        <v>133.62</v>
      </c>
      <c r="N16" s="159">
        <v>29.58</v>
      </c>
      <c r="O16" s="159" t="s">
        <v>201</v>
      </c>
      <c r="P16" s="159">
        <v>1000</v>
      </c>
      <c r="Q16" s="159">
        <v>29.07</v>
      </c>
      <c r="R16" s="163">
        <v>1750</v>
      </c>
      <c r="S16" s="159">
        <v>28.97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5" t="s">
        <v>196</v>
      </c>
      <c r="AP16" s="156" t="s">
        <v>197</v>
      </c>
      <c r="AQ16" s="162"/>
      <c r="AR16" s="162"/>
    </row>
    <row r="17" spans="1:97" x14ac:dyDescent="0.3">
      <c r="A17" s="152">
        <v>3609</v>
      </c>
      <c r="B17" s="217">
        <v>41902</v>
      </c>
      <c r="C17" s="154" t="s">
        <v>189</v>
      </c>
      <c r="D17" s="155" t="s">
        <v>190</v>
      </c>
      <c r="E17" s="155"/>
      <c r="F17" s="155" t="s">
        <v>191</v>
      </c>
      <c r="G17" s="153">
        <v>41822</v>
      </c>
      <c r="H17" s="156" t="s">
        <v>192</v>
      </c>
      <c r="I17" s="156" t="s">
        <v>193</v>
      </c>
      <c r="J17" s="156"/>
      <c r="K17" s="155" t="s">
        <v>215</v>
      </c>
      <c r="L17" s="155" t="s">
        <v>195</v>
      </c>
      <c r="M17" s="159">
        <v>132.6</v>
      </c>
      <c r="N17" s="159">
        <v>27.47</v>
      </c>
      <c r="O17" s="155" t="s">
        <v>201</v>
      </c>
      <c r="P17" s="159">
        <v>1000</v>
      </c>
      <c r="Q17" s="159">
        <v>26.92</v>
      </c>
      <c r="R17" s="163">
        <v>1700</v>
      </c>
      <c r="S17" s="159">
        <v>26.36</v>
      </c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5"/>
      <c r="AM17" s="155"/>
      <c r="AN17" s="155"/>
      <c r="AO17" s="155" t="s">
        <v>196</v>
      </c>
      <c r="AP17" s="156" t="s">
        <v>197</v>
      </c>
      <c r="AQ17" s="156"/>
      <c r="AR17" s="156"/>
    </row>
    <row r="18" spans="1:97" x14ac:dyDescent="0.3">
      <c r="A18" s="152"/>
      <c r="B18" s="217">
        <v>41902</v>
      </c>
      <c r="C18" s="154" t="s">
        <v>189</v>
      </c>
      <c r="D18" s="155" t="s">
        <v>190</v>
      </c>
      <c r="E18" s="155"/>
      <c r="F18" s="155" t="s">
        <v>191</v>
      </c>
      <c r="G18" s="153">
        <v>41884</v>
      </c>
      <c r="H18" s="156" t="s">
        <v>192</v>
      </c>
      <c r="I18" s="156"/>
      <c r="J18" s="156"/>
      <c r="K18" s="155" t="s">
        <v>305</v>
      </c>
      <c r="L18" s="155" t="s">
        <v>195</v>
      </c>
      <c r="M18" s="159">
        <v>175.73</v>
      </c>
      <c r="N18" s="219">
        <v>34.130000000000003</v>
      </c>
      <c r="O18" s="155"/>
      <c r="P18" s="159"/>
      <c r="Q18" s="219"/>
      <c r="R18" s="163"/>
      <c r="S18" s="21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5" t="s">
        <v>196</v>
      </c>
      <c r="AP18" s="156" t="s">
        <v>197</v>
      </c>
      <c r="AQ18" s="162"/>
      <c r="AR18" s="16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</row>
    <row r="19" spans="1:97" x14ac:dyDescent="0.3">
      <c r="A19" s="152"/>
      <c r="B19" s="217">
        <v>41902</v>
      </c>
      <c r="C19" s="154" t="s">
        <v>189</v>
      </c>
      <c r="D19" s="155" t="s">
        <v>190</v>
      </c>
      <c r="E19" s="155"/>
      <c r="F19" s="155" t="s">
        <v>191</v>
      </c>
      <c r="G19" s="153">
        <v>41820</v>
      </c>
      <c r="H19" s="156"/>
      <c r="I19" s="156"/>
      <c r="J19" s="156"/>
      <c r="K19" s="155" t="s">
        <v>306</v>
      </c>
      <c r="L19" s="155" t="s">
        <v>195</v>
      </c>
      <c r="M19" s="219">
        <v>153.06</v>
      </c>
      <c r="N19" s="219">
        <v>38.04</v>
      </c>
      <c r="O19" s="159"/>
      <c r="P19" s="159"/>
      <c r="Q19" s="159"/>
      <c r="R19" s="163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5" t="s">
        <v>196</v>
      </c>
      <c r="AP19" s="156" t="s">
        <v>197</v>
      </c>
      <c r="AQ19" s="162"/>
      <c r="AR19" s="16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</row>
    <row r="20" spans="1:97" x14ac:dyDescent="0.3">
      <c r="A20" s="152"/>
      <c r="B20" s="217">
        <v>41902</v>
      </c>
      <c r="C20" s="154" t="s">
        <v>189</v>
      </c>
      <c r="D20" s="155" t="s">
        <v>190</v>
      </c>
      <c r="E20" s="155"/>
      <c r="F20" s="155" t="s">
        <v>191</v>
      </c>
      <c r="G20" s="153">
        <v>41880</v>
      </c>
      <c r="H20" s="156" t="s">
        <v>309</v>
      </c>
      <c r="I20" s="156"/>
      <c r="J20" s="156"/>
      <c r="K20" s="155" t="s">
        <v>307</v>
      </c>
      <c r="L20" s="155" t="s">
        <v>195</v>
      </c>
      <c r="M20" s="159">
        <v>147</v>
      </c>
      <c r="N20" s="159">
        <v>39.700000000000003</v>
      </c>
      <c r="O20" s="159"/>
      <c r="P20" s="159"/>
      <c r="Q20" s="159"/>
      <c r="R20" s="163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5" t="s">
        <v>196</v>
      </c>
      <c r="AP20" s="156" t="s">
        <v>197</v>
      </c>
      <c r="AQ20" s="162"/>
      <c r="AR20" s="16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</row>
    <row r="21" spans="1:97" x14ac:dyDescent="0.3">
      <c r="A21" s="152"/>
      <c r="B21" s="217">
        <v>41902</v>
      </c>
      <c r="C21" s="154" t="s">
        <v>189</v>
      </c>
      <c r="D21" s="155" t="s">
        <v>190</v>
      </c>
      <c r="E21" s="155"/>
      <c r="F21" s="155" t="s">
        <v>191</v>
      </c>
      <c r="G21" s="153">
        <v>41682</v>
      </c>
      <c r="H21" s="156"/>
      <c r="I21" s="156"/>
      <c r="J21" s="156"/>
      <c r="K21" s="155" t="s">
        <v>308</v>
      </c>
      <c r="L21" s="155" t="s">
        <v>222</v>
      </c>
      <c r="M21" s="159">
        <v>143</v>
      </c>
      <c r="N21" s="159">
        <v>38.54</v>
      </c>
      <c r="O21" s="155"/>
      <c r="P21" s="159"/>
      <c r="Q21" s="159"/>
      <c r="R21" s="163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5" t="s">
        <v>196</v>
      </c>
      <c r="AP21" s="156" t="s">
        <v>197</v>
      </c>
      <c r="AQ21" s="162"/>
      <c r="AR21" s="16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</row>
    <row r="22" spans="1:97" x14ac:dyDescent="0.3">
      <c r="A22" s="152">
        <v>4143</v>
      </c>
      <c r="B22" s="217">
        <v>41902</v>
      </c>
      <c r="C22" s="154" t="s">
        <v>189</v>
      </c>
      <c r="D22" s="155" t="s">
        <v>190</v>
      </c>
      <c r="E22" s="155"/>
      <c r="F22" s="155" t="s">
        <v>217</v>
      </c>
      <c r="G22" s="164">
        <v>41829</v>
      </c>
      <c r="H22" s="156" t="s">
        <v>192</v>
      </c>
      <c r="I22" s="156" t="s">
        <v>193</v>
      </c>
      <c r="J22" s="156"/>
      <c r="K22" s="155" t="s">
        <v>194</v>
      </c>
      <c r="L22" s="155" t="s">
        <v>195</v>
      </c>
      <c r="M22" s="159">
        <v>161</v>
      </c>
      <c r="N22" s="159">
        <v>23.99</v>
      </c>
      <c r="O22" s="155"/>
      <c r="P22" s="159"/>
      <c r="Q22" s="159"/>
      <c r="R22" s="163"/>
      <c r="S22" s="159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>
        <v>15.99</v>
      </c>
      <c r="AF22" s="159"/>
      <c r="AG22" s="159"/>
      <c r="AH22" s="159"/>
      <c r="AI22" s="159"/>
      <c r="AJ22" s="159"/>
      <c r="AK22" s="159"/>
      <c r="AL22" s="155"/>
      <c r="AM22" s="155"/>
      <c r="AN22" s="155"/>
      <c r="AO22" s="155" t="s">
        <v>218</v>
      </c>
      <c r="AP22" s="156" t="s">
        <v>197</v>
      </c>
      <c r="AQ22" s="156"/>
      <c r="AR22" s="156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</row>
    <row r="23" spans="1:97" x14ac:dyDescent="0.3">
      <c r="A23" s="152">
        <v>2018</v>
      </c>
      <c r="B23" s="217">
        <v>41902</v>
      </c>
      <c r="C23" s="154" t="s">
        <v>189</v>
      </c>
      <c r="D23" s="155" t="s">
        <v>190</v>
      </c>
      <c r="E23" s="155"/>
      <c r="F23" s="155" t="s">
        <v>217</v>
      </c>
      <c r="G23" s="153">
        <v>41820</v>
      </c>
      <c r="H23" s="156" t="s">
        <v>192</v>
      </c>
      <c r="I23" s="156" t="s">
        <v>193</v>
      </c>
      <c r="J23" s="156"/>
      <c r="K23" s="155" t="s">
        <v>198</v>
      </c>
      <c r="L23" s="155" t="s">
        <v>195</v>
      </c>
      <c r="M23" s="155">
        <v>155</v>
      </c>
      <c r="N23" s="155">
        <v>28.9</v>
      </c>
      <c r="O23" s="155"/>
      <c r="P23" s="155"/>
      <c r="Q23" s="155"/>
      <c r="R23" s="157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>
        <v>15.97</v>
      </c>
      <c r="AF23" s="155"/>
      <c r="AG23" s="155"/>
      <c r="AH23" s="155"/>
      <c r="AI23" s="155"/>
      <c r="AJ23" s="155"/>
      <c r="AK23" s="155"/>
      <c r="AL23" s="155"/>
      <c r="AM23" s="155"/>
      <c r="AN23" s="155"/>
      <c r="AO23" s="155" t="s">
        <v>218</v>
      </c>
      <c r="AP23" s="156" t="s">
        <v>197</v>
      </c>
      <c r="AQ23" s="156"/>
      <c r="AR23" s="156"/>
    </row>
    <row r="24" spans="1:97" x14ac:dyDescent="0.3">
      <c r="A24" s="152">
        <v>2564</v>
      </c>
      <c r="B24" s="217">
        <v>41902</v>
      </c>
      <c r="C24" s="154" t="s">
        <v>189</v>
      </c>
      <c r="D24" s="155" t="s">
        <v>190</v>
      </c>
      <c r="E24" s="155"/>
      <c r="F24" s="155" t="s">
        <v>217</v>
      </c>
      <c r="G24" s="164">
        <v>41852</v>
      </c>
      <c r="H24" s="156" t="s">
        <v>193</v>
      </c>
      <c r="I24" s="156" t="s">
        <v>199</v>
      </c>
      <c r="J24" s="156"/>
      <c r="K24" s="155" t="s">
        <v>200</v>
      </c>
      <c r="L24" s="155" t="s">
        <v>195</v>
      </c>
      <c r="M24" s="221">
        <v>155</v>
      </c>
      <c r="N24" s="221">
        <v>29.56</v>
      </c>
      <c r="O24" s="155"/>
      <c r="P24" s="155"/>
      <c r="Q24" s="221"/>
      <c r="R24" s="157"/>
      <c r="S24" s="221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221">
        <v>13.5</v>
      </c>
      <c r="AF24" s="155"/>
      <c r="AG24" s="155"/>
      <c r="AH24" s="155"/>
      <c r="AI24" s="155"/>
      <c r="AJ24" s="155"/>
      <c r="AK24" s="155"/>
      <c r="AL24" s="155"/>
      <c r="AM24" s="155"/>
      <c r="AN24" s="155"/>
      <c r="AO24" s="155" t="s">
        <v>218</v>
      </c>
      <c r="AP24" s="156" t="s">
        <v>197</v>
      </c>
      <c r="AQ24" s="156"/>
      <c r="AR24" s="156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</row>
    <row r="25" spans="1:97" x14ac:dyDescent="0.3">
      <c r="A25" s="152">
        <v>3231</v>
      </c>
      <c r="B25" s="217">
        <v>41902</v>
      </c>
      <c r="C25" s="154" t="s">
        <v>189</v>
      </c>
      <c r="D25" s="155" t="s">
        <v>202</v>
      </c>
      <c r="E25" s="155"/>
      <c r="F25" s="155" t="s">
        <v>217</v>
      </c>
      <c r="G25" s="153">
        <v>41880</v>
      </c>
      <c r="H25" s="156" t="s">
        <v>193</v>
      </c>
      <c r="I25" s="156" t="s">
        <v>199</v>
      </c>
      <c r="J25" s="156"/>
      <c r="K25" s="155" t="s">
        <v>203</v>
      </c>
      <c r="L25" s="155" t="s">
        <v>195</v>
      </c>
      <c r="M25" s="159">
        <v>162</v>
      </c>
      <c r="N25" s="159">
        <v>39.700000000000003</v>
      </c>
      <c r="O25" s="159"/>
      <c r="P25" s="159"/>
      <c r="Q25" s="155"/>
      <c r="R25" s="163"/>
      <c r="S25" s="159"/>
      <c r="T25" s="159"/>
      <c r="U25" s="159"/>
      <c r="V25" s="159"/>
      <c r="W25" s="155"/>
      <c r="X25" s="159"/>
      <c r="Y25" s="159"/>
      <c r="Z25" s="159"/>
      <c r="AA25" s="159"/>
      <c r="AB25" s="159"/>
      <c r="AC25" s="159"/>
      <c r="AD25" s="159"/>
      <c r="AE25" s="155">
        <v>26.3</v>
      </c>
      <c r="AF25" s="159"/>
      <c r="AG25" s="159"/>
      <c r="AH25" s="155"/>
      <c r="AI25" s="155"/>
      <c r="AJ25" s="155"/>
      <c r="AK25" s="159"/>
      <c r="AL25" s="159"/>
      <c r="AM25" s="159"/>
      <c r="AN25" s="159"/>
      <c r="AO25" s="155" t="s">
        <v>218</v>
      </c>
      <c r="AP25" s="156" t="s">
        <v>197</v>
      </c>
      <c r="AQ25" s="156"/>
      <c r="AR25" s="156"/>
    </row>
    <row r="26" spans="1:97" x14ac:dyDescent="0.3">
      <c r="A26" s="152">
        <v>1478</v>
      </c>
      <c r="B26" s="217">
        <v>41902</v>
      </c>
      <c r="C26" s="154" t="s">
        <v>189</v>
      </c>
      <c r="D26" s="155" t="s">
        <v>190</v>
      </c>
      <c r="E26" s="155"/>
      <c r="F26" s="155" t="s">
        <v>217</v>
      </c>
      <c r="G26" s="153">
        <v>41639</v>
      </c>
      <c r="H26" s="156" t="s">
        <v>192</v>
      </c>
      <c r="I26" s="156" t="s">
        <v>193</v>
      </c>
      <c r="J26" s="156"/>
      <c r="K26" s="159" t="s">
        <v>204</v>
      </c>
      <c r="L26" s="155" t="s">
        <v>195</v>
      </c>
      <c r="M26" s="159">
        <v>192.76</v>
      </c>
      <c r="N26" s="159">
        <v>37.770000000000003</v>
      </c>
      <c r="O26" s="159" t="s">
        <v>201</v>
      </c>
      <c r="P26" s="159">
        <v>1750</v>
      </c>
      <c r="Q26" s="159">
        <v>37.770000000000003</v>
      </c>
      <c r="R26" s="192">
        <v>1750</v>
      </c>
      <c r="S26" s="192">
        <v>37.770000000000003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18.59</v>
      </c>
      <c r="AF26" s="159"/>
      <c r="AG26" s="159"/>
      <c r="AH26" s="159"/>
      <c r="AI26" s="159"/>
      <c r="AJ26" s="159"/>
      <c r="AK26" s="159"/>
      <c r="AL26" s="159"/>
      <c r="AM26" s="159"/>
      <c r="AN26" s="159"/>
      <c r="AO26" s="155" t="s">
        <v>218</v>
      </c>
      <c r="AP26" s="156" t="s">
        <v>197</v>
      </c>
      <c r="AQ26" s="162"/>
      <c r="AR26" s="162"/>
    </row>
    <row r="27" spans="1:97" x14ac:dyDescent="0.3">
      <c r="A27" s="152">
        <v>4659</v>
      </c>
      <c r="B27" s="217">
        <v>41902</v>
      </c>
      <c r="C27" s="154" t="s">
        <v>189</v>
      </c>
      <c r="D27" s="155" t="s">
        <v>202</v>
      </c>
      <c r="E27" s="155"/>
      <c r="F27" s="155" t="s">
        <v>217</v>
      </c>
      <c r="G27" s="153">
        <v>41820</v>
      </c>
      <c r="H27" s="156" t="s">
        <v>192</v>
      </c>
      <c r="I27" s="156" t="s">
        <v>193</v>
      </c>
      <c r="J27" s="156"/>
      <c r="K27" s="159" t="s">
        <v>205</v>
      </c>
      <c r="L27" s="155" t="s">
        <v>195</v>
      </c>
      <c r="M27" s="159">
        <v>181.59</v>
      </c>
      <c r="N27" s="159">
        <v>29</v>
      </c>
      <c r="O27" s="159"/>
      <c r="P27" s="159"/>
      <c r="Q27" s="159"/>
      <c r="R27" s="163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>
        <v>19.649999999999999</v>
      </c>
      <c r="AF27" s="159"/>
      <c r="AG27" s="159"/>
      <c r="AH27" s="159"/>
      <c r="AI27" s="159"/>
      <c r="AJ27" s="159"/>
      <c r="AK27" s="159"/>
      <c r="AL27" s="159"/>
      <c r="AM27" s="159"/>
      <c r="AN27" s="159"/>
      <c r="AO27" s="155" t="s">
        <v>218</v>
      </c>
      <c r="AP27" s="162" t="s">
        <v>197</v>
      </c>
      <c r="AQ27" s="162"/>
      <c r="AR27" s="162"/>
    </row>
    <row r="28" spans="1:97" x14ac:dyDescent="0.3">
      <c r="A28" s="152">
        <v>1452</v>
      </c>
      <c r="B28" s="217">
        <v>41902</v>
      </c>
      <c r="C28" s="154" t="s">
        <v>189</v>
      </c>
      <c r="D28" s="155" t="s">
        <v>190</v>
      </c>
      <c r="E28" s="155"/>
      <c r="F28" s="155" t="s">
        <v>217</v>
      </c>
      <c r="G28" s="153">
        <v>41820</v>
      </c>
      <c r="H28" s="156" t="s">
        <v>192</v>
      </c>
      <c r="I28" s="156" t="s">
        <v>193</v>
      </c>
      <c r="J28" s="156"/>
      <c r="K28" s="155" t="s">
        <v>206</v>
      </c>
      <c r="L28" s="155" t="s">
        <v>195</v>
      </c>
      <c r="M28" s="159">
        <v>165.1</v>
      </c>
      <c r="N28" s="159">
        <v>25.97</v>
      </c>
      <c r="O28" s="159" t="s">
        <v>201</v>
      </c>
      <c r="P28" s="159">
        <v>300</v>
      </c>
      <c r="Q28" s="159">
        <v>27.96</v>
      </c>
      <c r="R28" s="163">
        <v>1020</v>
      </c>
      <c r="S28" s="159">
        <v>30.89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14.9</v>
      </c>
      <c r="AF28" s="159"/>
      <c r="AG28" s="159"/>
      <c r="AH28" s="159"/>
      <c r="AI28" s="159"/>
      <c r="AJ28" s="159"/>
      <c r="AK28" s="159"/>
      <c r="AL28" s="159"/>
      <c r="AM28" s="159"/>
      <c r="AN28" s="159"/>
      <c r="AO28" s="155" t="s">
        <v>218</v>
      </c>
      <c r="AP28" s="156" t="s">
        <v>197</v>
      </c>
      <c r="AQ28" s="162"/>
      <c r="AR28" s="162"/>
    </row>
    <row r="29" spans="1:97" x14ac:dyDescent="0.3">
      <c r="A29" s="152">
        <v>1490</v>
      </c>
      <c r="B29" s="222">
        <v>41902</v>
      </c>
      <c r="C29" s="154" t="s">
        <v>189</v>
      </c>
      <c r="D29" s="155" t="s">
        <v>190</v>
      </c>
      <c r="E29" s="155"/>
      <c r="F29" s="155" t="s">
        <v>217</v>
      </c>
      <c r="G29" s="153">
        <v>41639</v>
      </c>
      <c r="H29" s="156" t="s">
        <v>192</v>
      </c>
      <c r="I29" s="156" t="s">
        <v>193</v>
      </c>
      <c r="J29" s="156"/>
      <c r="K29" s="159" t="s">
        <v>207</v>
      </c>
      <c r="L29" s="155" t="s">
        <v>195</v>
      </c>
      <c r="M29" s="159">
        <v>185.35</v>
      </c>
      <c r="N29" s="159">
        <v>36.32</v>
      </c>
      <c r="O29" s="159" t="s">
        <v>201</v>
      </c>
      <c r="P29" s="159">
        <v>1750</v>
      </c>
      <c r="Q29" s="159">
        <v>36.32</v>
      </c>
      <c r="R29" s="192">
        <v>1750</v>
      </c>
      <c r="S29" s="192">
        <v>36.32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17.88</v>
      </c>
      <c r="AF29" s="159"/>
      <c r="AG29" s="159"/>
      <c r="AH29" s="159"/>
      <c r="AI29" s="159"/>
      <c r="AJ29" s="159"/>
      <c r="AK29" s="159"/>
      <c r="AL29" s="159"/>
      <c r="AM29" s="159"/>
      <c r="AN29" s="159"/>
      <c r="AO29" s="155" t="s">
        <v>218</v>
      </c>
      <c r="AP29" s="156" t="s">
        <v>197</v>
      </c>
      <c r="AQ29" s="162"/>
      <c r="AR29" s="162"/>
    </row>
    <row r="30" spans="1:97" x14ac:dyDescent="0.3">
      <c r="A30" s="152">
        <v>1268</v>
      </c>
      <c r="B30" s="222">
        <v>41902</v>
      </c>
      <c r="C30" s="154" t="s">
        <v>189</v>
      </c>
      <c r="D30" s="155" t="s">
        <v>190</v>
      </c>
      <c r="E30" s="155"/>
      <c r="F30" s="155" t="s">
        <v>217</v>
      </c>
      <c r="G30" s="153">
        <v>41640</v>
      </c>
      <c r="H30" s="156" t="s">
        <v>192</v>
      </c>
      <c r="I30" s="156" t="s">
        <v>193</v>
      </c>
      <c r="J30" s="156"/>
      <c r="K30" s="155" t="s">
        <v>208</v>
      </c>
      <c r="L30" s="155" t="s">
        <v>195</v>
      </c>
      <c r="M30" s="159">
        <v>157</v>
      </c>
      <c r="N30" s="159">
        <v>31.71</v>
      </c>
      <c r="O30" s="155"/>
      <c r="P30" s="159"/>
      <c r="Q30" s="155"/>
      <c r="R30" s="163"/>
      <c r="S30" s="159"/>
      <c r="T30" s="159"/>
      <c r="U30" s="159"/>
      <c r="V30" s="159"/>
      <c r="W30" s="155"/>
      <c r="X30" s="159"/>
      <c r="Y30" s="159"/>
      <c r="Z30" s="159"/>
      <c r="AA30" s="159"/>
      <c r="AB30" s="159"/>
      <c r="AC30" s="159"/>
      <c r="AD30" s="159"/>
      <c r="AE30" s="155">
        <v>12.62</v>
      </c>
      <c r="AF30" s="159"/>
      <c r="AG30" s="159"/>
      <c r="AH30" s="155"/>
      <c r="AI30" s="155"/>
      <c r="AJ30" s="155"/>
      <c r="AK30" s="159"/>
      <c r="AL30" s="159"/>
      <c r="AM30" s="159"/>
      <c r="AN30" s="159"/>
      <c r="AO30" s="155" t="s">
        <v>218</v>
      </c>
      <c r="AP30" s="156" t="s">
        <v>197</v>
      </c>
      <c r="AQ30" s="156"/>
      <c r="AR30" s="156"/>
    </row>
    <row r="31" spans="1:97" x14ac:dyDescent="0.3">
      <c r="A31" s="152">
        <v>3121</v>
      </c>
      <c r="B31" s="222">
        <v>41902</v>
      </c>
      <c r="C31" s="154" t="s">
        <v>189</v>
      </c>
      <c r="D31" s="155" t="s">
        <v>202</v>
      </c>
      <c r="E31" s="155"/>
      <c r="F31" s="155" t="s">
        <v>217</v>
      </c>
      <c r="G31" s="153">
        <v>41468</v>
      </c>
      <c r="H31" s="156" t="s">
        <v>192</v>
      </c>
      <c r="I31" s="156" t="s">
        <v>193</v>
      </c>
      <c r="J31" s="156"/>
      <c r="K31" s="159" t="s">
        <v>209</v>
      </c>
      <c r="L31" s="155" t="s">
        <v>195</v>
      </c>
      <c r="M31" s="159">
        <v>248.94</v>
      </c>
      <c r="N31" s="159">
        <v>25.41</v>
      </c>
      <c r="O31" s="155"/>
      <c r="P31" s="159"/>
      <c r="Q31" s="159"/>
      <c r="R31" s="163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>
        <v>14.73</v>
      </c>
      <c r="AF31" s="159"/>
      <c r="AG31" s="159"/>
      <c r="AH31" s="159"/>
      <c r="AI31" s="159"/>
      <c r="AJ31" s="159"/>
      <c r="AK31" s="159"/>
      <c r="AL31" s="159"/>
      <c r="AM31" s="159"/>
      <c r="AN31" s="159"/>
      <c r="AO31" s="155" t="s">
        <v>218</v>
      </c>
      <c r="AP31" s="156" t="s">
        <v>197</v>
      </c>
      <c r="AQ31" s="162"/>
      <c r="AR31" s="162"/>
    </row>
    <row r="32" spans="1:97" x14ac:dyDescent="0.3">
      <c r="A32" s="152">
        <v>1432</v>
      </c>
      <c r="B32" s="217">
        <v>41902</v>
      </c>
      <c r="C32" s="154" t="s">
        <v>189</v>
      </c>
      <c r="D32" s="155" t="s">
        <v>190</v>
      </c>
      <c r="E32" s="155"/>
      <c r="F32" s="155" t="s">
        <v>217</v>
      </c>
      <c r="G32" s="153">
        <v>41820</v>
      </c>
      <c r="H32" s="156" t="s">
        <v>192</v>
      </c>
      <c r="I32" s="156" t="s">
        <v>193</v>
      </c>
      <c r="J32" s="156"/>
      <c r="K32" s="159" t="s">
        <v>210</v>
      </c>
      <c r="L32" s="155" t="s">
        <v>195</v>
      </c>
      <c r="M32" s="159">
        <v>154.22999999999999</v>
      </c>
      <c r="N32" s="159">
        <v>28.36</v>
      </c>
      <c r="O32" s="155" t="s">
        <v>201</v>
      </c>
      <c r="P32" s="159">
        <v>600</v>
      </c>
      <c r="Q32" s="159">
        <v>33.83</v>
      </c>
      <c r="R32" s="192">
        <v>600</v>
      </c>
      <c r="S32" s="192">
        <v>33.83</v>
      </c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15.92</v>
      </c>
      <c r="AF32" s="159"/>
      <c r="AG32" s="159"/>
      <c r="AH32" s="159"/>
      <c r="AI32" s="159"/>
      <c r="AJ32" s="159"/>
      <c r="AK32" s="159"/>
      <c r="AL32" s="159"/>
      <c r="AM32" s="159"/>
      <c r="AN32" s="159"/>
      <c r="AO32" s="155" t="s">
        <v>218</v>
      </c>
      <c r="AP32" s="156" t="s">
        <v>197</v>
      </c>
      <c r="AQ32" s="162"/>
      <c r="AR32" s="162"/>
    </row>
    <row r="33" spans="1:97" x14ac:dyDescent="0.3">
      <c r="A33" s="152">
        <v>2276</v>
      </c>
      <c r="B33" s="217">
        <v>41902</v>
      </c>
      <c r="C33" s="154" t="s">
        <v>189</v>
      </c>
      <c r="D33" s="155" t="s">
        <v>202</v>
      </c>
      <c r="E33" s="155"/>
      <c r="F33" s="155" t="s">
        <v>217</v>
      </c>
      <c r="G33" s="153">
        <v>41820</v>
      </c>
      <c r="H33" s="156" t="s">
        <v>192</v>
      </c>
      <c r="I33" s="156" t="s">
        <v>193</v>
      </c>
      <c r="J33" s="156"/>
      <c r="K33" s="155" t="s">
        <v>211</v>
      </c>
      <c r="L33" s="155" t="s">
        <v>195</v>
      </c>
      <c r="M33" s="155">
        <v>154.51</v>
      </c>
      <c r="N33" s="155">
        <v>28.47</v>
      </c>
      <c r="O33" s="155"/>
      <c r="P33" s="155"/>
      <c r="Q33" s="155"/>
      <c r="R33" s="157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>
        <v>15.1</v>
      </c>
      <c r="AF33" s="155"/>
      <c r="AG33" s="155"/>
      <c r="AH33" s="155"/>
      <c r="AI33" s="155"/>
      <c r="AJ33" s="155"/>
      <c r="AK33" s="155"/>
      <c r="AL33" s="155"/>
      <c r="AM33" s="155"/>
      <c r="AN33" s="155"/>
      <c r="AO33" s="155" t="s">
        <v>218</v>
      </c>
      <c r="AP33" s="156" t="s">
        <v>197</v>
      </c>
      <c r="AQ33" s="156"/>
      <c r="AR33" s="156"/>
    </row>
    <row r="34" spans="1:97" x14ac:dyDescent="0.3">
      <c r="A34" s="152">
        <v>3757</v>
      </c>
      <c r="B34" s="217">
        <v>41902</v>
      </c>
      <c r="C34" s="154" t="s">
        <v>189</v>
      </c>
      <c r="D34" s="155" t="s">
        <v>190</v>
      </c>
      <c r="E34" s="155"/>
      <c r="F34" s="155" t="s">
        <v>217</v>
      </c>
      <c r="G34" s="153">
        <v>41823</v>
      </c>
      <c r="H34" s="156" t="s">
        <v>192</v>
      </c>
      <c r="I34" s="156" t="s">
        <v>193</v>
      </c>
      <c r="J34" s="156"/>
      <c r="K34" s="155" t="s">
        <v>212</v>
      </c>
      <c r="L34" s="155" t="s">
        <v>195</v>
      </c>
      <c r="M34" s="159">
        <v>155</v>
      </c>
      <c r="N34" s="159">
        <v>28.9</v>
      </c>
      <c r="O34" s="159"/>
      <c r="P34" s="159"/>
      <c r="Q34" s="155"/>
      <c r="R34" s="163"/>
      <c r="S34" s="159"/>
      <c r="T34" s="159"/>
      <c r="U34" s="159"/>
      <c r="V34" s="159"/>
      <c r="W34" s="155"/>
      <c r="X34" s="159"/>
      <c r="Y34" s="159"/>
      <c r="Z34" s="159"/>
      <c r="AA34" s="159"/>
      <c r="AB34" s="159"/>
      <c r="AC34" s="159"/>
      <c r="AD34" s="159"/>
      <c r="AE34" s="155">
        <v>15.97</v>
      </c>
      <c r="AF34" s="159"/>
      <c r="AG34" s="159"/>
      <c r="AH34" s="155"/>
      <c r="AI34" s="155"/>
      <c r="AJ34" s="155"/>
      <c r="AK34" s="159"/>
      <c r="AL34" s="159"/>
      <c r="AM34" s="159"/>
      <c r="AN34" s="159"/>
      <c r="AO34" s="155" t="s">
        <v>218</v>
      </c>
      <c r="AP34" s="156" t="s">
        <v>197</v>
      </c>
      <c r="AQ34" s="156"/>
      <c r="AR34" s="156"/>
    </row>
    <row r="35" spans="1:97" x14ac:dyDescent="0.3">
      <c r="A35" s="152">
        <v>1466</v>
      </c>
      <c r="B35" s="217">
        <v>41902</v>
      </c>
      <c r="C35" s="154" t="s">
        <v>189</v>
      </c>
      <c r="D35" s="155" t="s">
        <v>190</v>
      </c>
      <c r="E35" s="155"/>
      <c r="F35" s="155" t="s">
        <v>217</v>
      </c>
      <c r="G35" s="153">
        <v>41820</v>
      </c>
      <c r="H35" s="156" t="s">
        <v>192</v>
      </c>
      <c r="I35" s="156" t="s">
        <v>193</v>
      </c>
      <c r="J35" s="156"/>
      <c r="K35" s="159" t="s">
        <v>213</v>
      </c>
      <c r="L35" s="155" t="s">
        <v>195</v>
      </c>
      <c r="M35" s="159">
        <v>162.66999999999999</v>
      </c>
      <c r="N35" s="159">
        <v>25.77</v>
      </c>
      <c r="O35" s="159"/>
      <c r="P35" s="159"/>
      <c r="Q35" s="159"/>
      <c r="R35" s="163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16.39</v>
      </c>
      <c r="AF35" s="159"/>
      <c r="AG35" s="159"/>
      <c r="AH35" s="159"/>
      <c r="AI35" s="159"/>
      <c r="AJ35" s="159"/>
      <c r="AK35" s="159"/>
      <c r="AL35" s="159"/>
      <c r="AM35" s="159"/>
      <c r="AN35" s="159"/>
      <c r="AO35" s="155" t="s">
        <v>218</v>
      </c>
      <c r="AP35" s="156" t="s">
        <v>197</v>
      </c>
      <c r="AQ35" s="162"/>
      <c r="AR35" s="162"/>
    </row>
    <row r="36" spans="1:97" x14ac:dyDescent="0.3">
      <c r="A36" s="152">
        <v>1410</v>
      </c>
      <c r="B36" s="217">
        <v>41902</v>
      </c>
      <c r="C36" s="154" t="s">
        <v>189</v>
      </c>
      <c r="D36" s="155" t="s">
        <v>190</v>
      </c>
      <c r="E36" s="155"/>
      <c r="F36" s="155" t="s">
        <v>217</v>
      </c>
      <c r="G36" s="164">
        <v>41852</v>
      </c>
      <c r="H36" s="156" t="s">
        <v>192</v>
      </c>
      <c r="I36" s="156" t="s">
        <v>193</v>
      </c>
      <c r="J36" s="156"/>
      <c r="K36" s="155" t="s">
        <v>214</v>
      </c>
      <c r="L36" s="155" t="s">
        <v>195</v>
      </c>
      <c r="M36" s="159">
        <v>145.86000000000001</v>
      </c>
      <c r="N36" s="159">
        <v>29.58</v>
      </c>
      <c r="O36" s="159" t="s">
        <v>201</v>
      </c>
      <c r="P36" s="159">
        <v>1000</v>
      </c>
      <c r="Q36" s="159">
        <v>29.07</v>
      </c>
      <c r="R36" s="163">
        <v>1750</v>
      </c>
      <c r="S36" s="159">
        <v>28.97</v>
      </c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>
        <v>13.37</v>
      </c>
      <c r="AF36" s="159"/>
      <c r="AG36" s="159"/>
      <c r="AH36" s="159"/>
      <c r="AI36" s="159"/>
      <c r="AJ36" s="159"/>
      <c r="AK36" s="159"/>
      <c r="AL36" s="159"/>
      <c r="AM36" s="159"/>
      <c r="AN36" s="159"/>
      <c r="AO36" s="155" t="s">
        <v>218</v>
      </c>
      <c r="AP36" s="156" t="s">
        <v>197</v>
      </c>
      <c r="AQ36" s="162"/>
      <c r="AR36" s="162"/>
    </row>
    <row r="37" spans="1:97" x14ac:dyDescent="0.3">
      <c r="A37" s="152">
        <v>3610</v>
      </c>
      <c r="B37" s="217">
        <v>41902</v>
      </c>
      <c r="C37" s="154" t="s">
        <v>189</v>
      </c>
      <c r="D37" s="155" t="s">
        <v>190</v>
      </c>
      <c r="E37" s="155"/>
      <c r="F37" s="155" t="s">
        <v>217</v>
      </c>
      <c r="G37" s="153">
        <v>41822</v>
      </c>
      <c r="H37" s="156" t="s">
        <v>192</v>
      </c>
      <c r="I37" s="156" t="s">
        <v>193</v>
      </c>
      <c r="J37" s="156"/>
      <c r="K37" s="155" t="s">
        <v>215</v>
      </c>
      <c r="L37" s="155" t="s">
        <v>195</v>
      </c>
      <c r="M37" s="155">
        <v>145.47999999999999</v>
      </c>
      <c r="N37" s="159">
        <v>27.47</v>
      </c>
      <c r="O37" s="155" t="s">
        <v>201</v>
      </c>
      <c r="P37" s="159">
        <v>1000</v>
      </c>
      <c r="Q37" s="159">
        <v>26.92</v>
      </c>
      <c r="R37" s="163">
        <v>1700</v>
      </c>
      <c r="S37" s="159">
        <v>26.36</v>
      </c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>
        <v>13.74</v>
      </c>
      <c r="AF37" s="159"/>
      <c r="AG37" s="159"/>
      <c r="AH37" s="159"/>
      <c r="AI37" s="159"/>
      <c r="AJ37" s="159"/>
      <c r="AK37" s="159"/>
      <c r="AL37" s="155"/>
      <c r="AM37" s="155"/>
      <c r="AN37" s="155"/>
      <c r="AO37" s="155" t="s">
        <v>218</v>
      </c>
      <c r="AP37" s="156" t="s">
        <v>197</v>
      </c>
      <c r="AQ37" s="156"/>
      <c r="AR37" s="156"/>
    </row>
    <row r="38" spans="1:97" x14ac:dyDescent="0.3">
      <c r="A38" s="152"/>
      <c r="B38" s="217">
        <v>41902</v>
      </c>
      <c r="C38" s="154" t="s">
        <v>189</v>
      </c>
      <c r="D38" s="155" t="s">
        <v>190</v>
      </c>
      <c r="E38" s="155"/>
      <c r="F38" s="155" t="s">
        <v>217</v>
      </c>
      <c r="G38" s="153">
        <v>41884</v>
      </c>
      <c r="H38" s="156" t="s">
        <v>192</v>
      </c>
      <c r="I38" s="156"/>
      <c r="J38" s="156"/>
      <c r="K38" s="155" t="s">
        <v>305</v>
      </c>
      <c r="L38" s="155" t="s">
        <v>195</v>
      </c>
      <c r="M38" s="159">
        <v>192.53</v>
      </c>
      <c r="N38" s="219">
        <v>34.130000000000003</v>
      </c>
      <c r="O38" s="155"/>
      <c r="P38" s="159"/>
      <c r="Q38" s="219"/>
      <c r="R38" s="163"/>
      <c r="S38" s="21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219">
        <f>15.6/1.1</f>
        <v>14.18181818181818</v>
      </c>
      <c r="AF38" s="159"/>
      <c r="AG38" s="159"/>
      <c r="AH38" s="159"/>
      <c r="AI38" s="159"/>
      <c r="AJ38" s="159"/>
      <c r="AK38" s="159"/>
      <c r="AL38" s="159"/>
      <c r="AM38" s="159"/>
      <c r="AN38" s="159"/>
      <c r="AO38" s="155" t="s">
        <v>218</v>
      </c>
      <c r="AP38" s="156" t="s">
        <v>197</v>
      </c>
      <c r="AQ38" s="162"/>
      <c r="AR38" s="16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</row>
    <row r="39" spans="1:97" x14ac:dyDescent="0.3">
      <c r="A39" s="152"/>
      <c r="B39" s="217">
        <v>41902</v>
      </c>
      <c r="C39" s="154" t="s">
        <v>189</v>
      </c>
      <c r="D39" s="155" t="s">
        <v>190</v>
      </c>
      <c r="E39" s="155"/>
      <c r="F39" s="155" t="s">
        <v>217</v>
      </c>
      <c r="G39" s="153">
        <v>41820</v>
      </c>
      <c r="H39" s="156"/>
      <c r="I39" s="156"/>
      <c r="J39" s="156"/>
      <c r="K39" s="155" t="s">
        <v>306</v>
      </c>
      <c r="L39" s="155" t="s">
        <v>195</v>
      </c>
      <c r="M39" s="159">
        <v>167.84</v>
      </c>
      <c r="N39" s="159">
        <v>38.04</v>
      </c>
      <c r="O39" s="159"/>
      <c r="P39" s="159"/>
      <c r="Q39" s="159"/>
      <c r="R39" s="163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>
        <v>18.600000000000001</v>
      </c>
      <c r="AF39" s="159"/>
      <c r="AG39" s="159"/>
      <c r="AH39" s="159"/>
      <c r="AI39" s="159"/>
      <c r="AJ39" s="159"/>
      <c r="AK39" s="159"/>
      <c r="AL39" s="159"/>
      <c r="AM39" s="159"/>
      <c r="AN39" s="159"/>
      <c r="AO39" s="155" t="s">
        <v>311</v>
      </c>
      <c r="AP39" s="156" t="s">
        <v>197</v>
      </c>
      <c r="AQ39" s="162"/>
      <c r="AR39" s="16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</row>
    <row r="40" spans="1:97" x14ac:dyDescent="0.3">
      <c r="A40" s="152"/>
      <c r="B40" s="217">
        <v>41902</v>
      </c>
      <c r="C40" s="154" t="s">
        <v>189</v>
      </c>
      <c r="D40" s="155" t="s">
        <v>190</v>
      </c>
      <c r="E40" s="155"/>
      <c r="F40" s="155" t="s">
        <v>217</v>
      </c>
      <c r="G40" s="153">
        <v>41880</v>
      </c>
      <c r="H40" s="156" t="s">
        <v>309</v>
      </c>
      <c r="I40" s="156"/>
      <c r="J40" s="156"/>
      <c r="K40" s="155" t="s">
        <v>307</v>
      </c>
      <c r="L40" s="155" t="s">
        <v>195</v>
      </c>
      <c r="M40" s="159">
        <v>162</v>
      </c>
      <c r="N40" s="219">
        <v>42.43</v>
      </c>
      <c r="O40" s="159"/>
      <c r="P40" s="159"/>
      <c r="Q40" s="159"/>
      <c r="R40" s="163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>
        <v>26.3</v>
      </c>
      <c r="AF40" s="159"/>
      <c r="AG40" s="159"/>
      <c r="AH40" s="159"/>
      <c r="AI40" s="159"/>
      <c r="AJ40" s="159"/>
      <c r="AK40" s="159"/>
      <c r="AL40" s="159"/>
      <c r="AM40" s="159"/>
      <c r="AN40" s="159"/>
      <c r="AO40" s="155" t="s">
        <v>312</v>
      </c>
      <c r="AP40" s="156" t="s">
        <v>197</v>
      </c>
      <c r="AQ40" s="162"/>
      <c r="AR40" s="16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</row>
    <row r="41" spans="1:97" x14ac:dyDescent="0.3">
      <c r="A41" s="152"/>
      <c r="B41" s="217">
        <v>41902</v>
      </c>
      <c r="C41" s="154" t="s">
        <v>189</v>
      </c>
      <c r="D41" s="155" t="s">
        <v>190</v>
      </c>
      <c r="E41" s="155"/>
      <c r="F41" s="155" t="s">
        <v>217</v>
      </c>
      <c r="G41" s="153">
        <v>41682</v>
      </c>
      <c r="H41" s="223"/>
      <c r="I41" s="156"/>
      <c r="J41" s="156"/>
      <c r="K41" s="155" t="s">
        <v>308</v>
      </c>
      <c r="L41" s="155" t="s">
        <v>195</v>
      </c>
      <c r="M41" s="159">
        <v>160.6</v>
      </c>
      <c r="N41" s="159">
        <v>38.54</v>
      </c>
      <c r="O41" s="224"/>
      <c r="P41" s="159"/>
      <c r="Q41" s="159"/>
      <c r="R41" s="163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>
        <v>27.57</v>
      </c>
      <c r="AF41" s="159"/>
      <c r="AG41" s="159"/>
      <c r="AH41" s="159"/>
      <c r="AI41" s="159"/>
      <c r="AJ41" s="159"/>
      <c r="AK41" s="159"/>
      <c r="AL41" s="159"/>
      <c r="AM41" s="159"/>
      <c r="AN41" s="159"/>
      <c r="AO41" s="155" t="s">
        <v>313</v>
      </c>
      <c r="AP41" s="156" t="s">
        <v>197</v>
      </c>
      <c r="AQ41" s="162"/>
      <c r="AR41" s="16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</row>
    <row r="42" spans="1:97" x14ac:dyDescent="0.3">
      <c r="A42" s="152">
        <v>4145</v>
      </c>
      <c r="B42" s="217">
        <v>41902</v>
      </c>
      <c r="C42" s="154" t="s">
        <v>189</v>
      </c>
      <c r="D42" s="155" t="s">
        <v>190</v>
      </c>
      <c r="E42" s="155"/>
      <c r="F42" s="155" t="s">
        <v>219</v>
      </c>
      <c r="G42" s="164">
        <v>41829</v>
      </c>
      <c r="H42" s="156" t="s">
        <v>192</v>
      </c>
      <c r="I42" s="156" t="s">
        <v>193</v>
      </c>
      <c r="J42" s="156"/>
      <c r="K42" s="155" t="s">
        <v>194</v>
      </c>
      <c r="L42" s="155" t="s">
        <v>195</v>
      </c>
      <c r="M42" s="159">
        <v>148</v>
      </c>
      <c r="N42" s="159">
        <v>26.99</v>
      </c>
      <c r="O42" s="155"/>
      <c r="P42" s="159"/>
      <c r="Q42" s="159"/>
      <c r="R42" s="163"/>
      <c r="S42" s="159"/>
      <c r="T42" s="159"/>
      <c r="U42" s="159"/>
      <c r="V42" s="159"/>
      <c r="W42" s="159">
        <v>17.989999999999998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25.99</v>
      </c>
      <c r="AI42" s="159"/>
      <c r="AJ42" s="159"/>
      <c r="AK42" s="159"/>
      <c r="AL42" s="155"/>
      <c r="AM42" s="155"/>
      <c r="AN42" s="155"/>
      <c r="AO42" s="155" t="s">
        <v>220</v>
      </c>
      <c r="AP42" s="156" t="s">
        <v>197</v>
      </c>
      <c r="AQ42" s="156"/>
      <c r="AR42" s="156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</row>
    <row r="43" spans="1:97" x14ac:dyDescent="0.3">
      <c r="A43" s="152">
        <v>2020</v>
      </c>
      <c r="B43" s="217">
        <v>41902</v>
      </c>
      <c r="C43" s="154" t="s">
        <v>189</v>
      </c>
      <c r="D43" s="155" t="s">
        <v>190</v>
      </c>
      <c r="E43" s="155"/>
      <c r="F43" s="155" t="s">
        <v>219</v>
      </c>
      <c r="G43" s="153">
        <v>41820</v>
      </c>
      <c r="H43" s="156" t="s">
        <v>192</v>
      </c>
      <c r="I43" s="156" t="s">
        <v>193</v>
      </c>
      <c r="J43" s="156"/>
      <c r="K43" s="155" t="s">
        <v>198</v>
      </c>
      <c r="L43" s="155" t="s">
        <v>195</v>
      </c>
      <c r="M43" s="155">
        <v>142</v>
      </c>
      <c r="N43" s="155">
        <v>35.93</v>
      </c>
      <c r="O43" s="155"/>
      <c r="P43" s="155"/>
      <c r="Q43" s="155"/>
      <c r="R43" s="157"/>
      <c r="S43" s="155"/>
      <c r="T43" s="155"/>
      <c r="U43" s="155"/>
      <c r="V43" s="155"/>
      <c r="W43" s="155">
        <v>18.96</v>
      </c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>
        <v>34.93</v>
      </c>
      <c r="AI43" s="155"/>
      <c r="AJ43" s="155"/>
      <c r="AK43" s="155"/>
      <c r="AL43" s="155"/>
      <c r="AM43" s="155"/>
      <c r="AN43" s="155"/>
      <c r="AO43" s="155" t="s">
        <v>220</v>
      </c>
      <c r="AP43" s="156" t="s">
        <v>197</v>
      </c>
      <c r="AQ43" s="156"/>
      <c r="AR43" s="156"/>
    </row>
    <row r="44" spans="1:97" x14ac:dyDescent="0.3">
      <c r="A44" s="152">
        <v>2566</v>
      </c>
      <c r="B44" s="217">
        <v>41902</v>
      </c>
      <c r="C44" s="154" t="s">
        <v>189</v>
      </c>
      <c r="D44" s="155" t="s">
        <v>190</v>
      </c>
      <c r="E44" s="155"/>
      <c r="F44" s="155" t="s">
        <v>219</v>
      </c>
      <c r="G44" s="164">
        <v>41852</v>
      </c>
      <c r="H44" s="156" t="s">
        <v>193</v>
      </c>
      <c r="I44" s="156" t="s">
        <v>199</v>
      </c>
      <c r="J44" s="156"/>
      <c r="K44" s="155" t="s">
        <v>200</v>
      </c>
      <c r="L44" s="155" t="s">
        <v>195</v>
      </c>
      <c r="M44" s="155">
        <v>141.5</v>
      </c>
      <c r="N44" s="155">
        <v>36</v>
      </c>
      <c r="O44" s="155"/>
      <c r="P44" s="155"/>
      <c r="Q44" s="155"/>
      <c r="R44" s="157"/>
      <c r="S44" s="155"/>
      <c r="T44" s="155"/>
      <c r="U44" s="155"/>
      <c r="V44" s="155"/>
      <c r="W44" s="221">
        <v>19.98</v>
      </c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>
        <v>34</v>
      </c>
      <c r="AI44" s="155"/>
      <c r="AJ44" s="155"/>
      <c r="AK44" s="155"/>
      <c r="AL44" s="155"/>
      <c r="AM44" s="155"/>
      <c r="AN44" s="155"/>
      <c r="AO44" s="155" t="s">
        <v>220</v>
      </c>
      <c r="AP44" s="156" t="s">
        <v>197</v>
      </c>
      <c r="AQ44" s="156"/>
      <c r="AR44" s="156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</row>
    <row r="45" spans="1:97" x14ac:dyDescent="0.3">
      <c r="A45" s="152">
        <v>3233</v>
      </c>
      <c r="B45" s="217">
        <v>41902</v>
      </c>
      <c r="C45" s="154" t="s">
        <v>189</v>
      </c>
      <c r="D45" s="155" t="s">
        <v>202</v>
      </c>
      <c r="E45" s="155"/>
      <c r="F45" s="155" t="s">
        <v>219</v>
      </c>
      <c r="G45" s="153">
        <v>41880</v>
      </c>
      <c r="H45" s="156" t="s">
        <v>193</v>
      </c>
      <c r="I45" s="156" t="s">
        <v>199</v>
      </c>
      <c r="J45" s="156"/>
      <c r="K45" s="155" t="s">
        <v>203</v>
      </c>
      <c r="L45" s="155" t="s">
        <v>195</v>
      </c>
      <c r="M45" s="159">
        <v>147</v>
      </c>
      <c r="N45" s="159">
        <v>43.1</v>
      </c>
      <c r="O45" s="159"/>
      <c r="P45" s="159"/>
      <c r="Q45" s="155"/>
      <c r="R45" s="163"/>
      <c r="S45" s="159"/>
      <c r="T45" s="159"/>
      <c r="U45" s="159"/>
      <c r="V45" s="159"/>
      <c r="W45" s="155">
        <v>30</v>
      </c>
      <c r="X45" s="159"/>
      <c r="Y45" s="159"/>
      <c r="Z45" s="159"/>
      <c r="AA45" s="159"/>
      <c r="AB45" s="159"/>
      <c r="AC45" s="159"/>
      <c r="AD45" s="159"/>
      <c r="AE45" s="155"/>
      <c r="AF45" s="159"/>
      <c r="AG45" s="159"/>
      <c r="AH45" s="155">
        <v>41.5</v>
      </c>
      <c r="AI45" s="155"/>
      <c r="AJ45" s="155"/>
      <c r="AK45" s="159"/>
      <c r="AL45" s="159"/>
      <c r="AM45" s="159"/>
      <c r="AN45" s="159"/>
      <c r="AO45" s="155" t="s">
        <v>220</v>
      </c>
      <c r="AP45" s="156" t="s">
        <v>197</v>
      </c>
      <c r="AQ45" s="156"/>
      <c r="AR45" s="156"/>
    </row>
    <row r="46" spans="1:97" x14ac:dyDescent="0.3">
      <c r="A46" s="152">
        <v>1480</v>
      </c>
      <c r="B46" s="217">
        <v>41902</v>
      </c>
      <c r="C46" s="154" t="s">
        <v>189</v>
      </c>
      <c r="D46" s="155" t="s">
        <v>190</v>
      </c>
      <c r="E46" s="155"/>
      <c r="F46" s="155" t="s">
        <v>219</v>
      </c>
      <c r="G46" s="153">
        <v>41639</v>
      </c>
      <c r="H46" s="156" t="s">
        <v>192</v>
      </c>
      <c r="I46" s="156" t="s">
        <v>193</v>
      </c>
      <c r="J46" s="156"/>
      <c r="K46" s="159" t="s">
        <v>204</v>
      </c>
      <c r="L46" s="155" t="s">
        <v>195</v>
      </c>
      <c r="M46" s="159">
        <v>176.75</v>
      </c>
      <c r="N46" s="159">
        <v>45.88</v>
      </c>
      <c r="O46" s="159"/>
      <c r="P46" s="159"/>
      <c r="Q46" s="159"/>
      <c r="R46" s="163"/>
      <c r="S46" s="159"/>
      <c r="T46" s="159"/>
      <c r="U46" s="159"/>
      <c r="V46" s="159"/>
      <c r="W46" s="159">
        <v>23.93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44.04</v>
      </c>
      <c r="AI46" s="159"/>
      <c r="AJ46" s="159"/>
      <c r="AK46" s="159"/>
      <c r="AL46" s="159"/>
      <c r="AM46" s="159"/>
      <c r="AN46" s="159"/>
      <c r="AO46" s="155" t="s">
        <v>220</v>
      </c>
      <c r="AP46" s="156" t="s">
        <v>197</v>
      </c>
      <c r="AQ46" s="162"/>
      <c r="AR46" s="162"/>
    </row>
    <row r="47" spans="1:97" x14ac:dyDescent="0.3">
      <c r="A47" s="152">
        <v>4661</v>
      </c>
      <c r="B47" s="217">
        <v>41902</v>
      </c>
      <c r="C47" s="154" t="s">
        <v>189</v>
      </c>
      <c r="D47" s="155" t="s">
        <v>202</v>
      </c>
      <c r="E47" s="155"/>
      <c r="F47" s="155" t="s">
        <v>219</v>
      </c>
      <c r="G47" s="153">
        <v>41820</v>
      </c>
      <c r="H47" s="156" t="s">
        <v>192</v>
      </c>
      <c r="I47" s="156" t="s">
        <v>193</v>
      </c>
      <c r="J47" s="156"/>
      <c r="K47" s="159" t="s">
        <v>205</v>
      </c>
      <c r="L47" s="155" t="s">
        <v>195</v>
      </c>
      <c r="M47" s="159">
        <v>170.01</v>
      </c>
      <c r="N47" s="159">
        <v>35</v>
      </c>
      <c r="O47" s="159"/>
      <c r="P47" s="159"/>
      <c r="Q47" s="159"/>
      <c r="R47" s="163"/>
      <c r="S47" s="159"/>
      <c r="T47" s="159"/>
      <c r="U47" s="159"/>
      <c r="V47" s="159"/>
      <c r="W47" s="159">
        <v>33</v>
      </c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>
        <v>33</v>
      </c>
      <c r="AI47" s="159"/>
      <c r="AJ47" s="159"/>
      <c r="AK47" s="159"/>
      <c r="AL47" s="159"/>
      <c r="AM47" s="159"/>
      <c r="AN47" s="159"/>
      <c r="AO47" s="155" t="s">
        <v>220</v>
      </c>
      <c r="AP47" s="162" t="s">
        <v>197</v>
      </c>
      <c r="AQ47" s="162"/>
      <c r="AR47" s="162"/>
    </row>
    <row r="48" spans="1:97" x14ac:dyDescent="0.3">
      <c r="A48" s="152">
        <v>1454</v>
      </c>
      <c r="B48" s="217">
        <v>41902</v>
      </c>
      <c r="C48" s="154" t="s">
        <v>189</v>
      </c>
      <c r="D48" s="155" t="s">
        <v>190</v>
      </c>
      <c r="E48" s="155"/>
      <c r="F48" s="155" t="s">
        <v>219</v>
      </c>
      <c r="G48" s="153">
        <v>41820</v>
      </c>
      <c r="H48" s="156" t="s">
        <v>192</v>
      </c>
      <c r="I48" s="156" t="s">
        <v>193</v>
      </c>
      <c r="J48" s="156"/>
      <c r="K48" s="155" t="s">
        <v>206</v>
      </c>
      <c r="L48" s="155" t="s">
        <v>195</v>
      </c>
      <c r="M48" s="159">
        <v>149.9</v>
      </c>
      <c r="N48" s="159">
        <v>32.24</v>
      </c>
      <c r="O48" s="159" t="s">
        <v>201</v>
      </c>
      <c r="P48" s="159">
        <v>1020</v>
      </c>
      <c r="Q48" s="159">
        <v>34.950000000000003</v>
      </c>
      <c r="R48" s="163"/>
      <c r="S48" s="159"/>
      <c r="T48" s="159"/>
      <c r="U48" s="159"/>
      <c r="V48" s="159"/>
      <c r="W48" s="159">
        <v>19.39</v>
      </c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>
        <v>31.72</v>
      </c>
      <c r="AI48" s="159"/>
      <c r="AJ48" s="159"/>
      <c r="AK48" s="159"/>
      <c r="AL48" s="159"/>
      <c r="AM48" s="159"/>
      <c r="AN48" s="159"/>
      <c r="AO48" s="155" t="s">
        <v>220</v>
      </c>
      <c r="AP48" s="156" t="s">
        <v>197</v>
      </c>
      <c r="AQ48" s="162"/>
      <c r="AR48" s="162"/>
    </row>
    <row r="49" spans="1:97" x14ac:dyDescent="0.3">
      <c r="A49" s="152">
        <v>1492</v>
      </c>
      <c r="B49" s="217">
        <v>41902</v>
      </c>
      <c r="C49" s="154" t="s">
        <v>189</v>
      </c>
      <c r="D49" s="155" t="s">
        <v>190</v>
      </c>
      <c r="E49" s="155"/>
      <c r="F49" s="155" t="s">
        <v>219</v>
      </c>
      <c r="G49" s="153">
        <v>41639</v>
      </c>
      <c r="H49" s="156" t="s">
        <v>192</v>
      </c>
      <c r="I49" s="156" t="s">
        <v>193</v>
      </c>
      <c r="J49" s="156"/>
      <c r="K49" s="159" t="s">
        <v>207</v>
      </c>
      <c r="L49" s="155" t="s">
        <v>195</v>
      </c>
      <c r="M49" s="159">
        <v>169.95</v>
      </c>
      <c r="N49" s="159">
        <v>44.12</v>
      </c>
      <c r="O49" s="159"/>
      <c r="P49" s="159"/>
      <c r="Q49" s="159"/>
      <c r="R49" s="163"/>
      <c r="S49" s="159"/>
      <c r="T49" s="159"/>
      <c r="U49" s="159"/>
      <c r="V49" s="159"/>
      <c r="W49" s="159">
        <v>23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42.35</v>
      </c>
      <c r="AI49" s="159"/>
      <c r="AJ49" s="159"/>
      <c r="AK49" s="159"/>
      <c r="AL49" s="159"/>
      <c r="AM49" s="159"/>
      <c r="AN49" s="159"/>
      <c r="AO49" s="155" t="s">
        <v>220</v>
      </c>
      <c r="AP49" s="156" t="s">
        <v>197</v>
      </c>
      <c r="AQ49" s="162"/>
      <c r="AR49" s="162"/>
    </row>
    <row r="50" spans="1:97" x14ac:dyDescent="0.3">
      <c r="A50" s="152">
        <v>1270</v>
      </c>
      <c r="B50" s="217">
        <v>41902</v>
      </c>
      <c r="C50" s="154" t="s">
        <v>189</v>
      </c>
      <c r="D50" s="155" t="s">
        <v>190</v>
      </c>
      <c r="E50" s="155"/>
      <c r="F50" s="155" t="s">
        <v>219</v>
      </c>
      <c r="G50" s="153">
        <v>41640</v>
      </c>
      <c r="H50" s="156" t="s">
        <v>192</v>
      </c>
      <c r="I50" s="156" t="s">
        <v>193</v>
      </c>
      <c r="J50" s="156"/>
      <c r="K50" s="155" t="s">
        <v>208</v>
      </c>
      <c r="L50" s="155" t="s">
        <v>195</v>
      </c>
      <c r="M50" s="159">
        <v>144.80000000000001</v>
      </c>
      <c r="N50" s="159">
        <v>36.07</v>
      </c>
      <c r="O50" s="159"/>
      <c r="P50" s="159"/>
      <c r="Q50" s="155"/>
      <c r="R50" s="163"/>
      <c r="S50" s="159"/>
      <c r="T50" s="159"/>
      <c r="U50" s="159"/>
      <c r="V50" s="159"/>
      <c r="W50" s="155">
        <v>18.62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5">
        <v>33.840000000000003</v>
      </c>
      <c r="AI50" s="155"/>
      <c r="AJ50" s="155"/>
      <c r="AK50" s="159"/>
      <c r="AL50" s="159"/>
      <c r="AM50" s="159"/>
      <c r="AN50" s="159"/>
      <c r="AO50" s="155" t="s">
        <v>220</v>
      </c>
      <c r="AP50" s="156" t="s">
        <v>197</v>
      </c>
      <c r="AQ50" s="156"/>
      <c r="AR50" s="156"/>
    </row>
    <row r="51" spans="1:97" x14ac:dyDescent="0.3">
      <c r="A51" s="152">
        <v>3123</v>
      </c>
      <c r="B51" s="217">
        <v>41902</v>
      </c>
      <c r="C51" s="154" t="s">
        <v>189</v>
      </c>
      <c r="D51" s="155" t="s">
        <v>202</v>
      </c>
      <c r="E51" s="155"/>
      <c r="F51" s="155" t="s">
        <v>219</v>
      </c>
      <c r="G51" s="153">
        <v>41468</v>
      </c>
      <c r="H51" s="156" t="s">
        <v>192</v>
      </c>
      <c r="I51" s="156" t="s">
        <v>193</v>
      </c>
      <c r="J51" s="156"/>
      <c r="K51" s="159" t="s">
        <v>209</v>
      </c>
      <c r="L51" s="155" t="s">
        <v>195</v>
      </c>
      <c r="M51" s="159">
        <v>239.47</v>
      </c>
      <c r="N51" s="159">
        <v>31.92</v>
      </c>
      <c r="O51" s="155"/>
      <c r="P51" s="159"/>
      <c r="Q51" s="159"/>
      <c r="R51" s="163"/>
      <c r="S51" s="159"/>
      <c r="T51" s="159"/>
      <c r="U51" s="159"/>
      <c r="V51" s="159"/>
      <c r="W51" s="159">
        <v>16.88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>
        <v>29.23</v>
      </c>
      <c r="AI51" s="159"/>
      <c r="AJ51" s="159"/>
      <c r="AK51" s="159"/>
      <c r="AL51" s="159"/>
      <c r="AM51" s="159"/>
      <c r="AN51" s="159"/>
      <c r="AO51" s="155" t="s">
        <v>220</v>
      </c>
      <c r="AP51" s="156" t="s">
        <v>197</v>
      </c>
      <c r="AQ51" s="162"/>
      <c r="AR51" s="162"/>
    </row>
    <row r="52" spans="1:97" x14ac:dyDescent="0.3">
      <c r="A52" s="152">
        <v>1434</v>
      </c>
      <c r="B52" s="217">
        <v>41902</v>
      </c>
      <c r="C52" s="154" t="s">
        <v>189</v>
      </c>
      <c r="D52" s="155" t="s">
        <v>190</v>
      </c>
      <c r="E52" s="155"/>
      <c r="F52" s="155" t="s">
        <v>219</v>
      </c>
      <c r="G52" s="153">
        <v>41820</v>
      </c>
      <c r="H52" s="156" t="s">
        <v>192</v>
      </c>
      <c r="I52" s="156" t="s">
        <v>193</v>
      </c>
      <c r="J52" s="156"/>
      <c r="K52" s="159" t="s">
        <v>210</v>
      </c>
      <c r="L52" s="155" t="s">
        <v>195</v>
      </c>
      <c r="M52" s="159">
        <v>141.30000000000001</v>
      </c>
      <c r="N52" s="159">
        <v>35.82</v>
      </c>
      <c r="O52" s="155" t="s">
        <v>201</v>
      </c>
      <c r="P52" s="159">
        <v>600</v>
      </c>
      <c r="Q52" s="159">
        <v>41.78</v>
      </c>
      <c r="R52" s="163"/>
      <c r="S52" s="159"/>
      <c r="T52" s="159"/>
      <c r="U52" s="159"/>
      <c r="V52" s="159"/>
      <c r="W52" s="159">
        <v>19.3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34.83</v>
      </c>
      <c r="AI52" s="159"/>
      <c r="AJ52" s="159"/>
      <c r="AK52" s="159"/>
      <c r="AL52" s="159"/>
      <c r="AM52" s="159"/>
      <c r="AN52" s="159"/>
      <c r="AO52" s="155" t="s">
        <v>220</v>
      </c>
      <c r="AP52" s="156" t="s">
        <v>197</v>
      </c>
      <c r="AQ52" s="162"/>
      <c r="AR52" s="162"/>
    </row>
    <row r="53" spans="1:97" x14ac:dyDescent="0.3">
      <c r="A53" s="152">
        <v>2278</v>
      </c>
      <c r="B53" s="217">
        <v>41902</v>
      </c>
      <c r="C53" s="154" t="s">
        <v>189</v>
      </c>
      <c r="D53" s="155" t="s">
        <v>202</v>
      </c>
      <c r="E53" s="155"/>
      <c r="F53" s="155" t="s">
        <v>219</v>
      </c>
      <c r="G53" s="153">
        <v>41820</v>
      </c>
      <c r="H53" s="156" t="s">
        <v>192</v>
      </c>
      <c r="I53" s="156" t="s">
        <v>193</v>
      </c>
      <c r="J53" s="156"/>
      <c r="K53" s="155" t="s">
        <v>211</v>
      </c>
      <c r="L53" s="155" t="s">
        <v>195</v>
      </c>
      <c r="M53" s="155">
        <v>141.01</v>
      </c>
      <c r="N53" s="155">
        <v>35.08</v>
      </c>
      <c r="O53" s="155"/>
      <c r="P53" s="155"/>
      <c r="Q53" s="155"/>
      <c r="R53" s="157"/>
      <c r="S53" s="155"/>
      <c r="T53" s="155"/>
      <c r="U53" s="155"/>
      <c r="V53" s="155"/>
      <c r="W53" s="155">
        <v>19.399999999999999</v>
      </c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>
        <v>33.770000000000003</v>
      </c>
      <c r="AI53" s="155"/>
      <c r="AJ53" s="155"/>
      <c r="AK53" s="155"/>
      <c r="AL53" s="155"/>
      <c r="AM53" s="155"/>
      <c r="AN53" s="155"/>
      <c r="AO53" s="155" t="s">
        <v>220</v>
      </c>
      <c r="AP53" s="156" t="s">
        <v>197</v>
      </c>
      <c r="AQ53" s="156"/>
      <c r="AR53" s="156"/>
    </row>
    <row r="54" spans="1:97" x14ac:dyDescent="0.3">
      <c r="A54" s="152">
        <v>3759</v>
      </c>
      <c r="B54" s="217">
        <v>41902</v>
      </c>
      <c r="C54" s="154" t="s">
        <v>189</v>
      </c>
      <c r="D54" s="155" t="s">
        <v>190</v>
      </c>
      <c r="E54" s="155"/>
      <c r="F54" s="155" t="s">
        <v>219</v>
      </c>
      <c r="G54" s="153">
        <v>41823</v>
      </c>
      <c r="H54" s="156" t="s">
        <v>192</v>
      </c>
      <c r="I54" s="156" t="s">
        <v>193</v>
      </c>
      <c r="J54" s="156"/>
      <c r="K54" s="155" t="s">
        <v>212</v>
      </c>
      <c r="L54" s="155" t="s">
        <v>195</v>
      </c>
      <c r="M54" s="159">
        <v>142</v>
      </c>
      <c r="N54" s="159">
        <v>35.93</v>
      </c>
      <c r="O54" s="159"/>
      <c r="P54" s="159"/>
      <c r="Q54" s="155"/>
      <c r="R54" s="163"/>
      <c r="S54" s="159"/>
      <c r="T54" s="159"/>
      <c r="U54" s="159"/>
      <c r="V54" s="159"/>
      <c r="W54" s="155">
        <v>18.96</v>
      </c>
      <c r="X54" s="159"/>
      <c r="Y54" s="159"/>
      <c r="Z54" s="159"/>
      <c r="AA54" s="159"/>
      <c r="AB54" s="159"/>
      <c r="AC54" s="159"/>
      <c r="AD54" s="159"/>
      <c r="AE54" s="155"/>
      <c r="AF54" s="159"/>
      <c r="AG54" s="159"/>
      <c r="AH54" s="155">
        <v>34.93</v>
      </c>
      <c r="AI54" s="155"/>
      <c r="AJ54" s="155"/>
      <c r="AK54" s="159"/>
      <c r="AL54" s="159"/>
      <c r="AM54" s="159"/>
      <c r="AN54" s="159"/>
      <c r="AO54" s="155" t="s">
        <v>220</v>
      </c>
      <c r="AP54" s="156" t="s">
        <v>197</v>
      </c>
      <c r="AQ54" s="156"/>
      <c r="AR54" s="156"/>
    </row>
    <row r="55" spans="1:97" x14ac:dyDescent="0.3">
      <c r="A55" s="152">
        <v>1468</v>
      </c>
      <c r="B55" s="217">
        <v>41902</v>
      </c>
      <c r="C55" s="154" t="s">
        <v>189</v>
      </c>
      <c r="D55" s="155" t="s">
        <v>190</v>
      </c>
      <c r="E55" s="155"/>
      <c r="F55" s="155" t="s">
        <v>219</v>
      </c>
      <c r="G55" s="153">
        <v>41820</v>
      </c>
      <c r="H55" s="156" t="s">
        <v>192</v>
      </c>
      <c r="I55" s="156" t="s">
        <v>193</v>
      </c>
      <c r="J55" s="156"/>
      <c r="K55" s="159" t="s">
        <v>213</v>
      </c>
      <c r="L55" s="155" t="s">
        <v>195</v>
      </c>
      <c r="M55" s="159">
        <v>150.69999999999999</v>
      </c>
      <c r="N55" s="159">
        <v>30.22</v>
      </c>
      <c r="O55" s="159"/>
      <c r="P55" s="159"/>
      <c r="Q55" s="159"/>
      <c r="R55" s="163"/>
      <c r="S55" s="159"/>
      <c r="T55" s="159"/>
      <c r="U55" s="159"/>
      <c r="V55" s="159"/>
      <c r="W55" s="159">
        <v>20.25</v>
      </c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>
        <v>27.19</v>
      </c>
      <c r="AI55" s="159"/>
      <c r="AJ55" s="159"/>
      <c r="AK55" s="159"/>
      <c r="AL55" s="159"/>
      <c r="AM55" s="159"/>
      <c r="AN55" s="159"/>
      <c r="AO55" s="155" t="s">
        <v>220</v>
      </c>
      <c r="AP55" s="156" t="s">
        <v>197</v>
      </c>
      <c r="AQ55" s="162"/>
      <c r="AR55" s="162"/>
    </row>
    <row r="56" spans="1:97" x14ac:dyDescent="0.3">
      <c r="A56" s="152">
        <v>1412</v>
      </c>
      <c r="B56" s="217">
        <v>41902</v>
      </c>
      <c r="C56" s="154" t="s">
        <v>189</v>
      </c>
      <c r="D56" s="155" t="s">
        <v>190</v>
      </c>
      <c r="E56" s="155"/>
      <c r="F56" s="155" t="s">
        <v>219</v>
      </c>
      <c r="G56" s="164">
        <v>41852</v>
      </c>
      <c r="H56" s="156" t="s">
        <v>192</v>
      </c>
      <c r="I56" s="156" t="s">
        <v>193</v>
      </c>
      <c r="J56" s="156"/>
      <c r="K56" s="155" t="s">
        <v>214</v>
      </c>
      <c r="L56" s="155" t="s">
        <v>195</v>
      </c>
      <c r="M56" s="159">
        <v>133.62</v>
      </c>
      <c r="N56" s="159">
        <v>34.479999999999997</v>
      </c>
      <c r="O56" s="159"/>
      <c r="P56" s="159"/>
      <c r="Q56" s="159"/>
      <c r="R56" s="163"/>
      <c r="S56" s="159"/>
      <c r="T56" s="159"/>
      <c r="U56" s="159"/>
      <c r="V56" s="159"/>
      <c r="W56" s="159">
        <v>19.28</v>
      </c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>
        <v>32.64</v>
      </c>
      <c r="AI56" s="159"/>
      <c r="AJ56" s="159"/>
      <c r="AK56" s="159"/>
      <c r="AL56" s="159"/>
      <c r="AM56" s="159"/>
      <c r="AN56" s="159"/>
      <c r="AO56" s="155" t="s">
        <v>220</v>
      </c>
      <c r="AP56" s="156" t="s">
        <v>197</v>
      </c>
      <c r="AQ56" s="162"/>
      <c r="AR56" s="162"/>
    </row>
    <row r="57" spans="1:97" x14ac:dyDescent="0.3">
      <c r="A57" s="152">
        <v>3612</v>
      </c>
      <c r="B57" s="217">
        <v>41902</v>
      </c>
      <c r="C57" s="154" t="s">
        <v>189</v>
      </c>
      <c r="D57" s="155" t="s">
        <v>190</v>
      </c>
      <c r="E57" s="155"/>
      <c r="F57" s="155" t="s">
        <v>219</v>
      </c>
      <c r="G57" s="153">
        <v>41822</v>
      </c>
      <c r="H57" s="156" t="s">
        <v>192</v>
      </c>
      <c r="I57" s="156" t="s">
        <v>193</v>
      </c>
      <c r="J57" s="156"/>
      <c r="K57" s="155" t="s">
        <v>215</v>
      </c>
      <c r="L57" s="155" t="s">
        <v>195</v>
      </c>
      <c r="M57" s="159">
        <v>135.02000000000001</v>
      </c>
      <c r="N57" s="159">
        <v>33.700000000000003</v>
      </c>
      <c r="O57" s="155"/>
      <c r="P57" s="159"/>
      <c r="Q57" s="159"/>
      <c r="R57" s="163"/>
      <c r="S57" s="159"/>
      <c r="T57" s="159"/>
      <c r="U57" s="159"/>
      <c r="V57" s="159"/>
      <c r="W57" s="159">
        <v>18.04</v>
      </c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>
        <v>31.66</v>
      </c>
      <c r="AI57" s="159"/>
      <c r="AJ57" s="159"/>
      <c r="AK57" s="159"/>
      <c r="AL57" s="155"/>
      <c r="AM57" s="155"/>
      <c r="AN57" s="155"/>
      <c r="AO57" s="155" t="s">
        <v>220</v>
      </c>
      <c r="AP57" s="156" t="s">
        <v>197</v>
      </c>
      <c r="AQ57" s="156"/>
      <c r="AR57" s="156"/>
    </row>
    <row r="58" spans="1:97" x14ac:dyDescent="0.3">
      <c r="A58" s="152"/>
      <c r="B58" s="217">
        <v>41902</v>
      </c>
      <c r="C58" s="154" t="s">
        <v>189</v>
      </c>
      <c r="D58" s="155" t="s">
        <v>190</v>
      </c>
      <c r="E58" s="155"/>
      <c r="F58" s="155" t="s">
        <v>219</v>
      </c>
      <c r="G58" s="153">
        <v>41884</v>
      </c>
      <c r="H58" s="156" t="s">
        <v>192</v>
      </c>
      <c r="I58" s="156"/>
      <c r="J58" s="156"/>
      <c r="K58" s="155" t="s">
        <v>305</v>
      </c>
      <c r="L58" s="155" t="s">
        <v>195</v>
      </c>
      <c r="M58" s="159">
        <v>187.49</v>
      </c>
      <c r="N58" s="219">
        <v>38.590000000000003</v>
      </c>
      <c r="O58" s="159"/>
      <c r="P58" s="159"/>
      <c r="Q58" s="159"/>
      <c r="R58" s="163"/>
      <c r="S58" s="159"/>
      <c r="T58" s="159"/>
      <c r="U58" s="159"/>
      <c r="V58" s="159"/>
      <c r="W58" s="219">
        <v>24.15</v>
      </c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219">
        <v>38.590000000000003</v>
      </c>
      <c r="AI58" s="159"/>
      <c r="AJ58" s="159"/>
      <c r="AK58" s="159"/>
      <c r="AL58" s="159"/>
      <c r="AM58" s="159"/>
      <c r="AN58" s="159"/>
      <c r="AO58" s="155" t="s">
        <v>220</v>
      </c>
      <c r="AP58" s="156" t="s">
        <v>197</v>
      </c>
      <c r="AQ58" s="162"/>
      <c r="AR58" s="16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</row>
    <row r="59" spans="1:97" x14ac:dyDescent="0.3">
      <c r="A59" s="152"/>
      <c r="B59" s="217">
        <v>41902</v>
      </c>
      <c r="C59" s="154" t="s">
        <v>189</v>
      </c>
      <c r="D59" s="155" t="s">
        <v>190</v>
      </c>
      <c r="E59" s="155"/>
      <c r="F59" s="155" t="s">
        <v>219</v>
      </c>
      <c r="G59" s="153">
        <v>41820</v>
      </c>
      <c r="H59" s="156" t="s">
        <v>310</v>
      </c>
      <c r="I59" s="159"/>
      <c r="J59" s="159"/>
      <c r="K59" s="155" t="s">
        <v>306</v>
      </c>
      <c r="L59" s="155" t="s">
        <v>195</v>
      </c>
      <c r="M59" s="159">
        <v>152.02000000000001</v>
      </c>
      <c r="N59" s="159">
        <v>43.7</v>
      </c>
      <c r="O59" s="159"/>
      <c r="P59" s="159"/>
      <c r="Q59" s="159"/>
      <c r="R59" s="159"/>
      <c r="S59" s="159"/>
      <c r="T59" s="159"/>
      <c r="U59" s="159"/>
      <c r="V59" s="159"/>
      <c r="W59" s="219">
        <v>25.25</v>
      </c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>
        <v>43.7</v>
      </c>
      <c r="AI59" s="159"/>
      <c r="AJ59" s="159"/>
      <c r="AK59" s="159"/>
      <c r="AL59" s="159"/>
      <c r="AM59" s="159"/>
      <c r="AN59" s="159"/>
      <c r="AO59" s="155" t="s">
        <v>220</v>
      </c>
      <c r="AP59" s="156" t="s">
        <v>197</v>
      </c>
      <c r="AQ59" s="159"/>
      <c r="AR59" s="159"/>
    </row>
    <row r="60" spans="1:97" x14ac:dyDescent="0.3">
      <c r="A60" s="152"/>
      <c r="B60" s="217">
        <v>41902</v>
      </c>
      <c r="C60" s="154" t="s">
        <v>189</v>
      </c>
      <c r="D60" s="155" t="s">
        <v>190</v>
      </c>
      <c r="E60" s="155"/>
      <c r="F60" s="155" t="s">
        <v>219</v>
      </c>
      <c r="G60" s="225">
        <v>41880</v>
      </c>
      <c r="H60" s="156" t="s">
        <v>309</v>
      </c>
      <c r="I60" s="159"/>
      <c r="J60" s="159"/>
      <c r="K60" s="155" t="s">
        <v>307</v>
      </c>
      <c r="L60" s="155" t="s">
        <v>195</v>
      </c>
      <c r="M60" s="159">
        <v>147</v>
      </c>
      <c r="N60" s="159">
        <v>43.1</v>
      </c>
      <c r="O60" s="159"/>
      <c r="P60" s="159"/>
      <c r="Q60" s="159"/>
      <c r="R60" s="159"/>
      <c r="S60" s="159"/>
      <c r="T60" s="159"/>
      <c r="U60" s="159"/>
      <c r="V60" s="159"/>
      <c r="W60" s="159">
        <v>30</v>
      </c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>
        <v>41.5</v>
      </c>
      <c r="AI60" s="159"/>
      <c r="AJ60" s="159"/>
      <c r="AK60" s="159"/>
      <c r="AL60" s="159"/>
      <c r="AM60" s="159"/>
      <c r="AN60" s="159"/>
      <c r="AO60" s="155" t="s">
        <v>220</v>
      </c>
      <c r="AP60" s="156" t="s">
        <v>197</v>
      </c>
      <c r="AQ60" s="159"/>
      <c r="AR60" s="159"/>
    </row>
    <row r="61" spans="1:97" x14ac:dyDescent="0.3">
      <c r="A61" s="152"/>
      <c r="B61" s="217">
        <v>41902</v>
      </c>
      <c r="C61" s="154" t="s">
        <v>189</v>
      </c>
      <c r="D61" s="155" t="s">
        <v>190</v>
      </c>
      <c r="E61" s="155"/>
      <c r="F61" s="155" t="s">
        <v>219</v>
      </c>
      <c r="G61" s="153">
        <v>41682</v>
      </c>
      <c r="H61" s="159"/>
      <c r="I61" s="159"/>
      <c r="J61" s="159"/>
      <c r="K61" s="155" t="s">
        <v>308</v>
      </c>
      <c r="L61" s="155" t="s">
        <v>195</v>
      </c>
      <c r="M61" s="159">
        <v>143</v>
      </c>
      <c r="N61" s="159">
        <v>42.241</v>
      </c>
      <c r="O61" s="159"/>
      <c r="P61" s="159"/>
      <c r="Q61" s="159"/>
      <c r="R61" s="159"/>
      <c r="S61" s="159"/>
      <c r="T61" s="159"/>
      <c r="U61" s="159"/>
      <c r="V61" s="159"/>
      <c r="W61" s="159">
        <v>30.536000000000001</v>
      </c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>
        <v>40.615000000000002</v>
      </c>
      <c r="AI61" s="159"/>
      <c r="AJ61" s="159"/>
      <c r="AK61" s="159"/>
      <c r="AL61" s="159"/>
      <c r="AM61" s="159"/>
      <c r="AN61" s="159"/>
      <c r="AO61" s="155" t="s">
        <v>220</v>
      </c>
      <c r="AP61" s="156" t="s">
        <v>197</v>
      </c>
      <c r="AQ61" s="159"/>
      <c r="AR61" s="159"/>
    </row>
  </sheetData>
  <sheetProtection algorithmName="SHA-512" hashValue="JXOzsfr1VO6/LTrDn0M/oZq3TTZ7qMWb35HXAcBarcjQRcO8bMBPkkeEAGzOChUB2Nig4hs42Hupvv1KnPrRsA==" saltValue="KuAZuBajXGjLkS52RgnDsA==" spinCount="100000" sheet="1" objects="1" scenarios="1"/>
  <pageMargins left="0.75" right="0.75" top="1" bottom="1" header="0.5" footer="0.5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0ED9B-D80C-4E4E-8F98-7E68FC7AB343}">
  <sheetPr codeName="Sheet32"/>
  <dimension ref="A1:CP62"/>
  <sheetViews>
    <sheetView zoomScale="92" zoomScaleNormal="120" workbookViewId="0">
      <selection activeCell="C45" sqref="A45:XFD45"/>
    </sheetView>
  </sheetViews>
  <sheetFormatPr defaultColWidth="11" defaultRowHeight="13.5" x14ac:dyDescent="0.3"/>
  <cols>
    <col min="12" max="12" width="15.15234375" customWidth="1"/>
    <col min="31" max="31" width="12.84375" bestFit="1" customWidth="1"/>
    <col min="38" max="38" width="17.4609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4130</v>
      </c>
      <c r="B2" s="217">
        <v>41901</v>
      </c>
      <c r="C2" s="154" t="s">
        <v>189</v>
      </c>
      <c r="D2" s="155" t="s">
        <v>221</v>
      </c>
      <c r="E2" s="155"/>
      <c r="F2" s="155" t="s">
        <v>191</v>
      </c>
      <c r="G2" s="164">
        <v>41829</v>
      </c>
      <c r="H2" s="156" t="s">
        <v>192</v>
      </c>
      <c r="I2" s="156" t="s">
        <v>193</v>
      </c>
      <c r="J2" s="156"/>
      <c r="K2" s="155" t="s">
        <v>194</v>
      </c>
      <c r="L2" s="159" t="s">
        <v>222</v>
      </c>
      <c r="M2" s="155">
        <v>99</v>
      </c>
      <c r="N2" s="159">
        <v>23.99</v>
      </c>
      <c r="O2" s="155"/>
      <c r="P2" s="155"/>
      <c r="Q2" s="155"/>
      <c r="R2" s="157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 t="s">
        <v>196</v>
      </c>
      <c r="AM2" s="156" t="s">
        <v>197</v>
      </c>
      <c r="AN2" s="156"/>
      <c r="AO2" s="156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1993</v>
      </c>
      <c r="B3" s="217">
        <v>41901</v>
      </c>
      <c r="C3" s="154" t="s">
        <v>189</v>
      </c>
      <c r="D3" s="155" t="s">
        <v>221</v>
      </c>
      <c r="E3" s="155"/>
      <c r="F3" s="155" t="s">
        <v>191</v>
      </c>
      <c r="G3" s="153">
        <v>41820</v>
      </c>
      <c r="H3" s="156" t="s">
        <v>192</v>
      </c>
      <c r="I3" s="156" t="s">
        <v>193</v>
      </c>
      <c r="J3" s="156"/>
      <c r="K3" s="155" t="s">
        <v>198</v>
      </c>
      <c r="L3" s="159" t="s">
        <v>222</v>
      </c>
      <c r="M3" s="155">
        <v>84</v>
      </c>
      <c r="N3" s="155">
        <v>28.9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2555</v>
      </c>
      <c r="B4" s="217">
        <v>41901</v>
      </c>
      <c r="C4" s="154" t="s">
        <v>189</v>
      </c>
      <c r="D4" s="155" t="s">
        <v>221</v>
      </c>
      <c r="E4" s="155"/>
      <c r="F4" s="155" t="s">
        <v>191</v>
      </c>
      <c r="G4" s="164">
        <v>41852</v>
      </c>
      <c r="H4" s="156" t="s">
        <v>193</v>
      </c>
      <c r="I4" s="156" t="s">
        <v>199</v>
      </c>
      <c r="J4" s="156"/>
      <c r="K4" s="155" t="s">
        <v>200</v>
      </c>
      <c r="L4" s="159" t="s">
        <v>222</v>
      </c>
      <c r="M4" s="155">
        <v>84</v>
      </c>
      <c r="N4" s="155">
        <v>29.34</v>
      </c>
      <c r="O4" s="155" t="s">
        <v>304</v>
      </c>
      <c r="P4" s="155">
        <v>1000</v>
      </c>
      <c r="Q4" s="155">
        <v>29.34</v>
      </c>
      <c r="R4" s="218">
        <v>2000</v>
      </c>
      <c r="S4" s="155">
        <v>39.340000000000003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3222</v>
      </c>
      <c r="B5" s="217">
        <v>41901</v>
      </c>
      <c r="C5" s="154" t="s">
        <v>189</v>
      </c>
      <c r="D5" s="155" t="s">
        <v>221</v>
      </c>
      <c r="E5" s="155"/>
      <c r="F5" s="155" t="s">
        <v>191</v>
      </c>
      <c r="G5" s="153">
        <v>41880</v>
      </c>
      <c r="H5" s="156" t="s">
        <v>193</v>
      </c>
      <c r="I5" s="156" t="s">
        <v>199</v>
      </c>
      <c r="J5" s="156"/>
      <c r="K5" s="155" t="s">
        <v>203</v>
      </c>
      <c r="L5" s="159" t="s">
        <v>222</v>
      </c>
      <c r="M5" s="155">
        <v>90</v>
      </c>
      <c r="N5" s="155">
        <v>38.299999999999997</v>
      </c>
      <c r="O5" s="155"/>
      <c r="P5" s="155"/>
      <c r="Q5" s="155"/>
      <c r="R5" s="157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1469</v>
      </c>
      <c r="B6" s="217">
        <v>41901</v>
      </c>
      <c r="C6" s="154" t="s">
        <v>189</v>
      </c>
      <c r="D6" s="155" t="s">
        <v>221</v>
      </c>
      <c r="E6" s="155"/>
      <c r="F6" s="155" t="s">
        <v>191</v>
      </c>
      <c r="G6" s="153">
        <v>41639</v>
      </c>
      <c r="H6" s="156" t="s">
        <v>192</v>
      </c>
      <c r="I6" s="156" t="s">
        <v>193</v>
      </c>
      <c r="J6" s="156"/>
      <c r="K6" s="159" t="s">
        <v>204</v>
      </c>
      <c r="L6" s="159" t="s">
        <v>222</v>
      </c>
      <c r="M6" s="159">
        <v>103.59</v>
      </c>
      <c r="N6" s="159">
        <v>35.68</v>
      </c>
      <c r="O6" s="155" t="s">
        <v>201</v>
      </c>
      <c r="P6" s="159">
        <v>1000</v>
      </c>
      <c r="Q6" s="159">
        <v>35.68</v>
      </c>
      <c r="R6" s="157">
        <v>2000</v>
      </c>
      <c r="S6" s="159">
        <v>35.68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4650</v>
      </c>
      <c r="B7" s="217">
        <v>41901</v>
      </c>
      <c r="C7" s="154" t="s">
        <v>189</v>
      </c>
      <c r="D7" s="155" t="s">
        <v>221</v>
      </c>
      <c r="E7" s="155"/>
      <c r="F7" s="155" t="s">
        <v>191</v>
      </c>
      <c r="G7" s="153">
        <v>41820</v>
      </c>
      <c r="H7" s="156" t="s">
        <v>192</v>
      </c>
      <c r="I7" s="156" t="s">
        <v>193</v>
      </c>
      <c r="J7" s="156"/>
      <c r="K7" s="159" t="s">
        <v>205</v>
      </c>
      <c r="L7" s="159" t="s">
        <v>222</v>
      </c>
      <c r="M7" s="159">
        <v>110</v>
      </c>
      <c r="N7" s="159">
        <v>29</v>
      </c>
      <c r="O7" s="155"/>
      <c r="P7" s="159"/>
      <c r="Q7" s="159"/>
      <c r="R7" s="163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1439</v>
      </c>
      <c r="B8" s="217">
        <v>41901</v>
      </c>
      <c r="C8" s="154" t="s">
        <v>189</v>
      </c>
      <c r="D8" s="155" t="s">
        <v>221</v>
      </c>
      <c r="E8" s="155"/>
      <c r="F8" s="155" t="s">
        <v>191</v>
      </c>
      <c r="G8" s="153">
        <v>41820</v>
      </c>
      <c r="H8" s="156" t="s">
        <v>192</v>
      </c>
      <c r="I8" s="156" t="s">
        <v>193</v>
      </c>
      <c r="J8" s="156"/>
      <c r="K8" s="155" t="s">
        <v>206</v>
      </c>
      <c r="L8" s="159" t="s">
        <v>222</v>
      </c>
      <c r="M8" s="159">
        <v>87.5</v>
      </c>
      <c r="N8" s="159">
        <v>26.39</v>
      </c>
      <c r="O8" s="155" t="s">
        <v>201</v>
      </c>
      <c r="P8" s="159">
        <v>300</v>
      </c>
      <c r="Q8" s="159">
        <v>28.51</v>
      </c>
      <c r="R8" s="163">
        <v>1020</v>
      </c>
      <c r="S8" s="159">
        <v>31.95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1481</v>
      </c>
      <c r="B9" s="217">
        <v>41901</v>
      </c>
      <c r="C9" s="154" t="s">
        <v>189</v>
      </c>
      <c r="D9" s="155" t="s">
        <v>221</v>
      </c>
      <c r="E9" s="155"/>
      <c r="F9" s="155" t="s">
        <v>191</v>
      </c>
      <c r="G9" s="153">
        <v>41639</v>
      </c>
      <c r="H9" s="156" t="s">
        <v>192</v>
      </c>
      <c r="I9" s="156" t="s">
        <v>193</v>
      </c>
      <c r="J9" s="156"/>
      <c r="K9" s="159" t="s">
        <v>207</v>
      </c>
      <c r="L9" s="159" t="s">
        <v>222</v>
      </c>
      <c r="M9" s="159">
        <v>99.61</v>
      </c>
      <c r="N9" s="159">
        <v>34.31</v>
      </c>
      <c r="O9" s="155" t="s">
        <v>201</v>
      </c>
      <c r="P9" s="159">
        <v>1000</v>
      </c>
      <c r="Q9" s="159">
        <v>34.31</v>
      </c>
      <c r="R9" s="163">
        <v>2000</v>
      </c>
      <c r="S9" s="159">
        <v>34.31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1239</v>
      </c>
      <c r="B10" s="217">
        <v>41901</v>
      </c>
      <c r="C10" s="154" t="s">
        <v>189</v>
      </c>
      <c r="D10" s="155" t="s">
        <v>221</v>
      </c>
      <c r="E10" s="155"/>
      <c r="F10" s="155" t="s">
        <v>191</v>
      </c>
      <c r="G10" s="153">
        <v>41640</v>
      </c>
      <c r="H10" s="156" t="s">
        <v>192</v>
      </c>
      <c r="I10" s="156" t="s">
        <v>193</v>
      </c>
      <c r="J10" s="156"/>
      <c r="K10" s="155" t="s">
        <v>208</v>
      </c>
      <c r="L10" s="159" t="s">
        <v>222</v>
      </c>
      <c r="M10" s="159">
        <v>84.1</v>
      </c>
      <c r="N10" s="159">
        <v>29.35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2515</v>
      </c>
      <c r="B11" s="217">
        <v>41901</v>
      </c>
      <c r="C11" s="154" t="s">
        <v>189</v>
      </c>
      <c r="D11" s="155" t="s">
        <v>221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9" t="s">
        <v>222</v>
      </c>
      <c r="M11" s="159">
        <v>193.82</v>
      </c>
      <c r="N11" s="159">
        <v>25.35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>
        <v>1415</v>
      </c>
      <c r="B12" s="217">
        <v>41901</v>
      </c>
      <c r="C12" s="154" t="s">
        <v>189</v>
      </c>
      <c r="D12" s="155" t="s">
        <v>221</v>
      </c>
      <c r="E12" s="155"/>
      <c r="F12" s="155" t="s">
        <v>191</v>
      </c>
      <c r="G12" s="153">
        <v>41820</v>
      </c>
      <c r="H12" s="156" t="s">
        <v>192</v>
      </c>
      <c r="I12" s="156" t="s">
        <v>193</v>
      </c>
      <c r="J12" s="156"/>
      <c r="K12" s="159" t="s">
        <v>210</v>
      </c>
      <c r="L12" s="159" t="s">
        <v>222</v>
      </c>
      <c r="M12" s="159">
        <v>83.59</v>
      </c>
      <c r="N12" s="159">
        <v>30.05</v>
      </c>
      <c r="O12" s="155" t="s">
        <v>201</v>
      </c>
      <c r="P12" s="159">
        <v>600</v>
      </c>
      <c r="Q12" s="159">
        <v>29.45</v>
      </c>
      <c r="R12" s="163">
        <v>2000</v>
      </c>
      <c r="S12" s="159">
        <v>29.14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 t="s">
        <v>197</v>
      </c>
      <c r="AN12" s="162"/>
      <c r="AO12" s="162"/>
    </row>
    <row r="13" spans="1:94" x14ac:dyDescent="0.3">
      <c r="A13" s="152">
        <v>2259</v>
      </c>
      <c r="B13" s="217">
        <v>41902</v>
      </c>
      <c r="C13" s="154" t="s">
        <v>223</v>
      </c>
      <c r="D13" s="155" t="s">
        <v>224</v>
      </c>
      <c r="E13" s="155"/>
      <c r="F13" s="155" t="s">
        <v>225</v>
      </c>
      <c r="G13" s="153">
        <v>41820</v>
      </c>
      <c r="H13" s="156" t="s">
        <v>226</v>
      </c>
      <c r="I13" s="156" t="s">
        <v>227</v>
      </c>
      <c r="J13" s="156"/>
      <c r="K13" s="155" t="s">
        <v>228</v>
      </c>
      <c r="L13" s="159" t="s">
        <v>222</v>
      </c>
      <c r="M13" s="155">
        <v>83.39</v>
      </c>
      <c r="N13" s="155">
        <v>28.52</v>
      </c>
      <c r="O13" s="155"/>
      <c r="P13" s="155"/>
      <c r="Q13" s="155"/>
      <c r="R13" s="163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3744</v>
      </c>
      <c r="B14" s="217">
        <v>41902</v>
      </c>
      <c r="C14" s="154" t="s">
        <v>189</v>
      </c>
      <c r="D14" s="155" t="s">
        <v>221</v>
      </c>
      <c r="E14" s="155"/>
      <c r="F14" s="155" t="s">
        <v>191</v>
      </c>
      <c r="G14" s="153">
        <v>41823</v>
      </c>
      <c r="H14" s="156" t="s">
        <v>192</v>
      </c>
      <c r="I14" s="156" t="s">
        <v>193</v>
      </c>
      <c r="J14" s="156"/>
      <c r="K14" s="155" t="s">
        <v>212</v>
      </c>
      <c r="L14" s="159" t="s">
        <v>222</v>
      </c>
      <c r="M14" s="159">
        <v>84</v>
      </c>
      <c r="N14" s="159">
        <v>28.9</v>
      </c>
      <c r="O14" s="155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1457</v>
      </c>
      <c r="B15" s="217">
        <v>41902</v>
      </c>
      <c r="C15" s="154" t="s">
        <v>189</v>
      </c>
      <c r="D15" s="155" t="s">
        <v>221</v>
      </c>
      <c r="E15" s="155"/>
      <c r="F15" s="155" t="s">
        <v>191</v>
      </c>
      <c r="G15" s="153">
        <v>41820</v>
      </c>
      <c r="H15" s="156" t="s">
        <v>192</v>
      </c>
      <c r="I15" s="156" t="s">
        <v>193</v>
      </c>
      <c r="J15" s="156"/>
      <c r="K15" s="159" t="s">
        <v>213</v>
      </c>
      <c r="L15" s="159" t="s">
        <v>222</v>
      </c>
      <c r="M15" s="159">
        <v>90.87</v>
      </c>
      <c r="N15" s="159">
        <v>26.53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1387</v>
      </c>
      <c r="B16" s="217">
        <v>41902</v>
      </c>
      <c r="C16" s="154" t="s">
        <v>189</v>
      </c>
      <c r="D16" s="155" t="s">
        <v>221</v>
      </c>
      <c r="E16" s="155"/>
      <c r="F16" s="155" t="s">
        <v>191</v>
      </c>
      <c r="G16" s="164">
        <v>41879</v>
      </c>
      <c r="H16" s="156" t="s">
        <v>192</v>
      </c>
      <c r="I16" s="156" t="s">
        <v>193</v>
      </c>
      <c r="J16" s="156"/>
      <c r="K16" s="155" t="s">
        <v>214</v>
      </c>
      <c r="L16" s="159" t="s">
        <v>222</v>
      </c>
      <c r="M16" s="159">
        <v>84.66</v>
      </c>
      <c r="N16" s="159">
        <v>27.95</v>
      </c>
      <c r="O16" s="155" t="s">
        <v>201</v>
      </c>
      <c r="P16" s="159">
        <v>1000</v>
      </c>
      <c r="Q16" s="159">
        <v>27.34</v>
      </c>
      <c r="R16" s="163">
        <v>2000</v>
      </c>
      <c r="S16" s="159">
        <v>27.24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3593</v>
      </c>
      <c r="B17" s="217">
        <v>41902</v>
      </c>
      <c r="C17" s="154" t="s">
        <v>189</v>
      </c>
      <c r="D17" s="155" t="s">
        <v>221</v>
      </c>
      <c r="E17" s="155"/>
      <c r="F17" s="155" t="s">
        <v>191</v>
      </c>
      <c r="G17" s="153">
        <v>41822</v>
      </c>
      <c r="H17" s="156" t="s">
        <v>192</v>
      </c>
      <c r="I17" s="156" t="s">
        <v>193</v>
      </c>
      <c r="J17" s="156"/>
      <c r="K17" s="155" t="s">
        <v>215</v>
      </c>
      <c r="L17" s="159" t="s">
        <v>222</v>
      </c>
      <c r="M17" s="155">
        <v>79.150000000000006</v>
      </c>
      <c r="N17" s="155">
        <v>27.97</v>
      </c>
      <c r="O17" s="155" t="s">
        <v>201</v>
      </c>
      <c r="P17" s="155">
        <v>1000</v>
      </c>
      <c r="Q17" s="155">
        <v>27.56</v>
      </c>
      <c r="R17" s="163">
        <v>2000</v>
      </c>
      <c r="S17" s="155">
        <v>27.19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/>
      <c r="B18" s="217">
        <v>41902</v>
      </c>
      <c r="C18" s="154" t="s">
        <v>189</v>
      </c>
      <c r="D18" s="155" t="s">
        <v>221</v>
      </c>
      <c r="E18" s="155"/>
      <c r="F18" s="155" t="s">
        <v>191</v>
      </c>
      <c r="G18" s="153">
        <v>41894</v>
      </c>
      <c r="H18" s="156" t="s">
        <v>192</v>
      </c>
      <c r="I18" s="156" t="s">
        <v>193</v>
      </c>
      <c r="J18" s="156"/>
      <c r="K18" s="155" t="s">
        <v>305</v>
      </c>
      <c r="L18" s="159" t="s">
        <v>222</v>
      </c>
      <c r="M18" s="219">
        <v>93.027272727272717</v>
      </c>
      <c r="N18" s="219">
        <v>36.590909090909086</v>
      </c>
      <c r="O18" s="155"/>
      <c r="P18" s="159"/>
      <c r="Q18" s="159"/>
      <c r="R18" s="163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/>
      <c r="B19" s="217">
        <v>41902</v>
      </c>
      <c r="C19" s="154" t="s">
        <v>189</v>
      </c>
      <c r="D19" s="155" t="s">
        <v>221</v>
      </c>
      <c r="E19" s="155"/>
      <c r="F19" s="155" t="s">
        <v>191</v>
      </c>
      <c r="G19" s="153">
        <v>41820</v>
      </c>
      <c r="H19" s="156" t="s">
        <v>310</v>
      </c>
      <c r="I19" s="156"/>
      <c r="J19" s="156"/>
      <c r="K19" s="155" t="s">
        <v>306</v>
      </c>
      <c r="L19" s="159" t="s">
        <v>222</v>
      </c>
      <c r="M19" s="219">
        <v>91.66</v>
      </c>
      <c r="N19" s="219">
        <v>35.44</v>
      </c>
      <c r="O19" s="155"/>
      <c r="P19" s="159"/>
      <c r="Q19" s="159"/>
      <c r="R19" s="163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5" t="s">
        <v>196</v>
      </c>
      <c r="AM19" s="156" t="s">
        <v>197</v>
      </c>
      <c r="AN19" s="162"/>
      <c r="AO19" s="16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/>
      <c r="B20" s="217">
        <v>41902</v>
      </c>
      <c r="C20" s="154" t="s">
        <v>189</v>
      </c>
      <c r="D20" s="155" t="s">
        <v>221</v>
      </c>
      <c r="E20" s="155"/>
      <c r="F20" s="155" t="s">
        <v>191</v>
      </c>
      <c r="G20" s="153">
        <v>41880</v>
      </c>
      <c r="H20" s="156" t="s">
        <v>309</v>
      </c>
      <c r="I20" s="156"/>
      <c r="J20" s="156"/>
      <c r="K20" s="155" t="s">
        <v>307</v>
      </c>
      <c r="L20" s="159" t="s">
        <v>222</v>
      </c>
      <c r="M20" s="159">
        <v>90</v>
      </c>
      <c r="N20" s="159">
        <f>(42.13/1.1)</f>
        <v>38.299999999999997</v>
      </c>
      <c r="O20" s="155"/>
      <c r="P20" s="159"/>
      <c r="Q20" s="159"/>
      <c r="R20" s="163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5" t="s">
        <v>196</v>
      </c>
      <c r="AM20" s="156" t="s">
        <v>197</v>
      </c>
      <c r="AN20" s="162"/>
      <c r="AO20" s="16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</row>
    <row r="21" spans="1:94" x14ac:dyDescent="0.3">
      <c r="A21" s="152"/>
      <c r="B21" s="217">
        <v>41902</v>
      </c>
      <c r="C21" s="154" t="s">
        <v>189</v>
      </c>
      <c r="D21" s="155" t="s">
        <v>221</v>
      </c>
      <c r="E21" s="155"/>
      <c r="F21" s="155" t="s">
        <v>191</v>
      </c>
      <c r="G21" s="153">
        <v>41820</v>
      </c>
      <c r="H21" s="156"/>
      <c r="I21" s="156"/>
      <c r="J21" s="156"/>
      <c r="K21" s="155" t="s">
        <v>308</v>
      </c>
      <c r="L21" s="159" t="s">
        <v>222</v>
      </c>
      <c r="M21" s="159">
        <v>77</v>
      </c>
      <c r="N21" s="159">
        <v>38.869999999999997</v>
      </c>
      <c r="O21" s="155" t="s">
        <v>201</v>
      </c>
      <c r="P21" s="159">
        <v>1000</v>
      </c>
      <c r="Q21" s="159">
        <v>38.869999999999997</v>
      </c>
      <c r="R21" s="159">
        <v>1000</v>
      </c>
      <c r="S21" s="159">
        <v>38.869999999999997</v>
      </c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5" t="s">
        <v>196</v>
      </c>
      <c r="AM21" s="156" t="s">
        <v>197</v>
      </c>
      <c r="AN21" s="162"/>
      <c r="AO21" s="16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4131</v>
      </c>
      <c r="B22" s="217">
        <v>41901</v>
      </c>
      <c r="C22" s="154" t="s">
        <v>189</v>
      </c>
      <c r="D22" s="155" t="s">
        <v>221</v>
      </c>
      <c r="E22" s="155"/>
      <c r="F22" s="155" t="s">
        <v>217</v>
      </c>
      <c r="G22" s="164">
        <v>41829</v>
      </c>
      <c r="H22" s="156" t="s">
        <v>192</v>
      </c>
      <c r="I22" s="156" t="s">
        <v>193</v>
      </c>
      <c r="J22" s="156"/>
      <c r="K22" s="155" t="s">
        <v>194</v>
      </c>
      <c r="L22" s="159" t="s">
        <v>222</v>
      </c>
      <c r="M22" s="155">
        <v>104</v>
      </c>
      <c r="N22" s="155">
        <v>23.99</v>
      </c>
      <c r="O22" s="155"/>
      <c r="P22" s="159"/>
      <c r="Q22" s="159"/>
      <c r="R22" s="163"/>
      <c r="S22" s="159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>
        <v>14.99</v>
      </c>
      <c r="AF22" s="155"/>
      <c r="AG22" s="155"/>
      <c r="AH22" s="155"/>
      <c r="AI22" s="155"/>
      <c r="AJ22" s="155"/>
      <c r="AK22" s="155"/>
      <c r="AL22" s="155" t="s">
        <v>218</v>
      </c>
      <c r="AM22" s="156" t="s">
        <v>197</v>
      </c>
      <c r="AN22" s="156"/>
      <c r="AO22" s="156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</row>
    <row r="23" spans="1:94" x14ac:dyDescent="0.3">
      <c r="A23" s="152">
        <v>1994</v>
      </c>
      <c r="B23" s="217">
        <v>41901</v>
      </c>
      <c r="C23" s="154" t="s">
        <v>189</v>
      </c>
      <c r="D23" s="155" t="s">
        <v>221</v>
      </c>
      <c r="E23" s="155"/>
      <c r="F23" s="155" t="s">
        <v>217</v>
      </c>
      <c r="G23" s="153">
        <v>41820</v>
      </c>
      <c r="H23" s="156" t="s">
        <v>192</v>
      </c>
      <c r="I23" s="156" t="s">
        <v>193</v>
      </c>
      <c r="J23" s="156"/>
      <c r="K23" s="155" t="s">
        <v>198</v>
      </c>
      <c r="L23" s="159" t="s">
        <v>222</v>
      </c>
      <c r="M23" s="155">
        <v>84</v>
      </c>
      <c r="N23" s="155">
        <v>28.9</v>
      </c>
      <c r="O23" s="155"/>
      <c r="P23" s="155"/>
      <c r="Q23" s="155"/>
      <c r="R23" s="157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>
        <v>13.97</v>
      </c>
      <c r="AF23" s="155"/>
      <c r="AG23" s="155"/>
      <c r="AH23" s="155"/>
      <c r="AI23" s="155"/>
      <c r="AJ23" s="155"/>
      <c r="AK23" s="155"/>
      <c r="AL23" s="155" t="s">
        <v>218</v>
      </c>
      <c r="AM23" s="156" t="s">
        <v>197</v>
      </c>
      <c r="AN23" s="156"/>
      <c r="AO23" s="156"/>
    </row>
    <row r="24" spans="1:94" x14ac:dyDescent="0.3">
      <c r="A24" s="152">
        <v>2556</v>
      </c>
      <c r="B24" s="217">
        <v>41901</v>
      </c>
      <c r="C24" s="154" t="s">
        <v>189</v>
      </c>
      <c r="D24" s="155" t="s">
        <v>221</v>
      </c>
      <c r="E24" s="155"/>
      <c r="F24" s="155" t="s">
        <v>217</v>
      </c>
      <c r="G24" s="164">
        <v>41852</v>
      </c>
      <c r="H24" s="156" t="s">
        <v>193</v>
      </c>
      <c r="I24" s="156" t="s">
        <v>199</v>
      </c>
      <c r="J24" s="156"/>
      <c r="K24" s="155" t="s">
        <v>200</v>
      </c>
      <c r="L24" s="159" t="s">
        <v>222</v>
      </c>
      <c r="M24" s="155">
        <v>88</v>
      </c>
      <c r="N24" s="155">
        <v>29.34</v>
      </c>
      <c r="O24" s="155" t="s">
        <v>304</v>
      </c>
      <c r="P24" s="155">
        <v>1000</v>
      </c>
      <c r="Q24" s="155">
        <v>29.34</v>
      </c>
      <c r="R24" s="218">
        <v>2000</v>
      </c>
      <c r="S24" s="155">
        <v>39.340000000000003</v>
      </c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>
        <v>12</v>
      </c>
      <c r="AF24" s="155"/>
      <c r="AG24" s="155"/>
      <c r="AH24" s="155"/>
      <c r="AI24" s="155"/>
      <c r="AJ24" s="155"/>
      <c r="AK24" s="155"/>
      <c r="AL24" s="155" t="s">
        <v>218</v>
      </c>
      <c r="AM24" s="156" t="s">
        <v>197</v>
      </c>
      <c r="AN24" s="156"/>
      <c r="AO24" s="156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</row>
    <row r="25" spans="1:94" x14ac:dyDescent="0.3">
      <c r="A25" s="152">
        <v>3223</v>
      </c>
      <c r="B25" s="217">
        <v>41901</v>
      </c>
      <c r="C25" s="154" t="s">
        <v>189</v>
      </c>
      <c r="D25" s="155" t="s">
        <v>221</v>
      </c>
      <c r="E25" s="155"/>
      <c r="F25" s="155" t="s">
        <v>217</v>
      </c>
      <c r="G25" s="153">
        <v>41880</v>
      </c>
      <c r="H25" s="156" t="s">
        <v>193</v>
      </c>
      <c r="I25" s="156" t="s">
        <v>199</v>
      </c>
      <c r="J25" s="156"/>
      <c r="K25" s="155" t="s">
        <v>203</v>
      </c>
      <c r="L25" s="159" t="s">
        <v>222</v>
      </c>
      <c r="M25" s="155">
        <v>94</v>
      </c>
      <c r="N25" s="155">
        <v>38.299999999999997</v>
      </c>
      <c r="O25" s="155"/>
      <c r="P25" s="155"/>
      <c r="Q25" s="155"/>
      <c r="R25" s="157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>
        <v>25</v>
      </c>
      <c r="AF25" s="155"/>
      <c r="AG25" s="155"/>
      <c r="AH25" s="155"/>
      <c r="AI25" s="155"/>
      <c r="AJ25" s="155"/>
      <c r="AK25" s="155"/>
      <c r="AL25" s="155" t="s">
        <v>218</v>
      </c>
      <c r="AM25" s="156" t="s">
        <v>197</v>
      </c>
      <c r="AN25" s="156"/>
      <c r="AO25" s="156"/>
    </row>
    <row r="26" spans="1:94" x14ac:dyDescent="0.3">
      <c r="A26" s="152">
        <v>1470</v>
      </c>
      <c r="B26" s="217">
        <v>41901</v>
      </c>
      <c r="C26" s="154" t="s">
        <v>189</v>
      </c>
      <c r="D26" s="155" t="s">
        <v>221</v>
      </c>
      <c r="E26" s="155"/>
      <c r="F26" s="155" t="s">
        <v>217</v>
      </c>
      <c r="G26" s="153">
        <v>41639</v>
      </c>
      <c r="H26" s="156" t="s">
        <v>192</v>
      </c>
      <c r="I26" s="156" t="s">
        <v>193</v>
      </c>
      <c r="J26" s="156"/>
      <c r="K26" s="159" t="s">
        <v>204</v>
      </c>
      <c r="L26" s="159" t="s">
        <v>222</v>
      </c>
      <c r="M26" s="159">
        <v>110.45</v>
      </c>
      <c r="N26" s="159">
        <v>35.68</v>
      </c>
      <c r="O26" s="155" t="s">
        <v>201</v>
      </c>
      <c r="P26" s="159">
        <v>1000</v>
      </c>
      <c r="Q26" s="159">
        <v>35.68</v>
      </c>
      <c r="R26" s="157">
        <v>2000</v>
      </c>
      <c r="S26" s="159">
        <v>35.68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16.72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4651</v>
      </c>
      <c r="B27" s="217">
        <v>41901</v>
      </c>
      <c r="C27" s="154" t="s">
        <v>189</v>
      </c>
      <c r="D27" s="155" t="s">
        <v>221</v>
      </c>
      <c r="E27" s="155"/>
      <c r="F27" s="155" t="s">
        <v>217</v>
      </c>
      <c r="G27" s="153">
        <v>41820</v>
      </c>
      <c r="H27" s="156" t="s">
        <v>192</v>
      </c>
      <c r="I27" s="156" t="s">
        <v>193</v>
      </c>
      <c r="J27" s="156"/>
      <c r="K27" s="159" t="s">
        <v>205</v>
      </c>
      <c r="L27" s="159" t="s">
        <v>222</v>
      </c>
      <c r="M27" s="159">
        <v>110</v>
      </c>
      <c r="N27" s="159">
        <v>29</v>
      </c>
      <c r="O27" s="155"/>
      <c r="P27" s="159"/>
      <c r="Q27" s="159"/>
      <c r="R27" s="163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>
        <v>19</v>
      </c>
      <c r="AF27" s="159"/>
      <c r="AG27" s="159"/>
      <c r="AH27" s="159"/>
      <c r="AI27" s="159"/>
      <c r="AJ27" s="159"/>
      <c r="AK27" s="159"/>
      <c r="AL27" s="155" t="s">
        <v>218</v>
      </c>
      <c r="AM27" s="162" t="s">
        <v>197</v>
      </c>
      <c r="AN27" s="162"/>
      <c r="AO27" s="162"/>
    </row>
    <row r="28" spans="1:94" x14ac:dyDescent="0.3">
      <c r="A28" s="152">
        <v>1440</v>
      </c>
      <c r="B28" s="217">
        <v>41901</v>
      </c>
      <c r="C28" s="154" t="s">
        <v>189</v>
      </c>
      <c r="D28" s="155" t="s">
        <v>221</v>
      </c>
      <c r="E28" s="155"/>
      <c r="F28" s="155" t="s">
        <v>217</v>
      </c>
      <c r="G28" s="153">
        <v>41820</v>
      </c>
      <c r="H28" s="156" t="s">
        <v>192</v>
      </c>
      <c r="I28" s="156" t="s">
        <v>193</v>
      </c>
      <c r="J28" s="156"/>
      <c r="K28" s="155" t="s">
        <v>206</v>
      </c>
      <c r="L28" s="159" t="s">
        <v>222</v>
      </c>
      <c r="M28" s="159">
        <v>91.49</v>
      </c>
      <c r="N28" s="159">
        <v>26.39</v>
      </c>
      <c r="O28" s="155" t="s">
        <v>201</v>
      </c>
      <c r="P28" s="159">
        <v>300</v>
      </c>
      <c r="Q28" s="159">
        <v>28.51</v>
      </c>
      <c r="R28" s="163">
        <v>1020</v>
      </c>
      <c r="S28" s="159">
        <v>31.95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13.95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1482</v>
      </c>
      <c r="B29" s="217">
        <v>41901</v>
      </c>
      <c r="C29" s="154" t="s">
        <v>189</v>
      </c>
      <c r="D29" s="155" t="s">
        <v>221</v>
      </c>
      <c r="E29" s="155"/>
      <c r="F29" s="155" t="s">
        <v>217</v>
      </c>
      <c r="G29" s="153">
        <v>41639</v>
      </c>
      <c r="H29" s="156" t="s">
        <v>192</v>
      </c>
      <c r="I29" s="156" t="s">
        <v>193</v>
      </c>
      <c r="J29" s="156"/>
      <c r="K29" s="159" t="s">
        <v>207</v>
      </c>
      <c r="L29" s="159" t="s">
        <v>222</v>
      </c>
      <c r="M29" s="159">
        <v>106.21</v>
      </c>
      <c r="N29" s="159">
        <v>34.31</v>
      </c>
      <c r="O29" s="155" t="s">
        <v>201</v>
      </c>
      <c r="P29" s="159">
        <v>1000</v>
      </c>
      <c r="Q29" s="159">
        <v>34.31</v>
      </c>
      <c r="R29" s="163">
        <v>2000</v>
      </c>
      <c r="S29" s="159">
        <v>34.31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16.079999999999998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1240</v>
      </c>
      <c r="B30" s="217">
        <v>41901</v>
      </c>
      <c r="C30" s="154" t="s">
        <v>189</v>
      </c>
      <c r="D30" s="155" t="s">
        <v>221</v>
      </c>
      <c r="E30" s="155"/>
      <c r="F30" s="155" t="s">
        <v>217</v>
      </c>
      <c r="G30" s="153">
        <v>41640</v>
      </c>
      <c r="H30" s="156" t="s">
        <v>192</v>
      </c>
      <c r="I30" s="156" t="s">
        <v>193</v>
      </c>
      <c r="J30" s="156"/>
      <c r="K30" s="155" t="s">
        <v>208</v>
      </c>
      <c r="L30" s="159" t="s">
        <v>222</v>
      </c>
      <c r="M30" s="159">
        <v>87.7</v>
      </c>
      <c r="N30" s="159">
        <v>29.35</v>
      </c>
      <c r="O30" s="155"/>
      <c r="P30" s="159"/>
      <c r="Q30" s="155"/>
      <c r="R30" s="163"/>
      <c r="S30" s="159"/>
      <c r="T30" s="159"/>
      <c r="U30" s="159"/>
      <c r="V30" s="159"/>
      <c r="W30" s="155"/>
      <c r="X30" s="159"/>
      <c r="Y30" s="159"/>
      <c r="Z30" s="159"/>
      <c r="AA30" s="159"/>
      <c r="AB30" s="159"/>
      <c r="AC30" s="159"/>
      <c r="AD30" s="159"/>
      <c r="AE30" s="155">
        <v>12.06</v>
      </c>
      <c r="AF30" s="159"/>
      <c r="AG30" s="159"/>
      <c r="AH30" s="155"/>
      <c r="AI30" s="155"/>
      <c r="AJ30" s="155"/>
      <c r="AK30" s="159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2516</v>
      </c>
      <c r="B31" s="217">
        <v>41901</v>
      </c>
      <c r="C31" s="154" t="s">
        <v>189</v>
      </c>
      <c r="D31" s="155" t="s">
        <v>221</v>
      </c>
      <c r="E31" s="155"/>
      <c r="F31" s="155" t="s">
        <v>217</v>
      </c>
      <c r="G31" s="153">
        <v>41468</v>
      </c>
      <c r="H31" s="156" t="s">
        <v>192</v>
      </c>
      <c r="I31" s="156" t="s">
        <v>193</v>
      </c>
      <c r="J31" s="156"/>
      <c r="K31" s="159" t="s">
        <v>209</v>
      </c>
      <c r="L31" s="159" t="s">
        <v>222</v>
      </c>
      <c r="M31" s="159">
        <v>197.21</v>
      </c>
      <c r="N31" s="159">
        <v>25.35</v>
      </c>
      <c r="O31" s="155"/>
      <c r="P31" s="159"/>
      <c r="Q31" s="159"/>
      <c r="R31" s="163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>
        <v>13.13</v>
      </c>
      <c r="AF31" s="159"/>
      <c r="AG31" s="159"/>
      <c r="AH31" s="159"/>
      <c r="AI31" s="159"/>
      <c r="AJ31" s="159"/>
      <c r="AK31" s="159"/>
      <c r="AL31" s="155" t="s">
        <v>218</v>
      </c>
      <c r="AM31" s="156" t="s">
        <v>197</v>
      </c>
      <c r="AN31" s="162"/>
      <c r="AO31" s="162"/>
    </row>
    <row r="32" spans="1:94" x14ac:dyDescent="0.3">
      <c r="A32" s="152">
        <v>1416</v>
      </c>
      <c r="B32" s="217">
        <v>41901</v>
      </c>
      <c r="C32" s="154" t="s">
        <v>189</v>
      </c>
      <c r="D32" s="155" t="s">
        <v>221</v>
      </c>
      <c r="E32" s="155"/>
      <c r="F32" s="155" t="s">
        <v>217</v>
      </c>
      <c r="G32" s="153">
        <v>41820</v>
      </c>
      <c r="H32" s="156" t="s">
        <v>192</v>
      </c>
      <c r="I32" s="156" t="s">
        <v>193</v>
      </c>
      <c r="J32" s="156"/>
      <c r="K32" s="159" t="s">
        <v>210</v>
      </c>
      <c r="L32" s="159" t="s">
        <v>222</v>
      </c>
      <c r="M32" s="159">
        <v>83.59</v>
      </c>
      <c r="N32" s="159">
        <v>30.05</v>
      </c>
      <c r="O32" s="155" t="s">
        <v>201</v>
      </c>
      <c r="P32" s="159">
        <v>600</v>
      </c>
      <c r="Q32" s="159">
        <v>29.45</v>
      </c>
      <c r="R32" s="163">
        <v>2000</v>
      </c>
      <c r="S32" s="159">
        <v>29.14</v>
      </c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13.93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2260</v>
      </c>
      <c r="B33" s="217">
        <v>41902</v>
      </c>
      <c r="C33" s="154" t="s">
        <v>223</v>
      </c>
      <c r="D33" s="155" t="s">
        <v>224</v>
      </c>
      <c r="E33" s="155"/>
      <c r="F33" s="155" t="s">
        <v>229</v>
      </c>
      <c r="G33" s="153">
        <v>41820</v>
      </c>
      <c r="H33" s="156" t="s">
        <v>226</v>
      </c>
      <c r="I33" s="156" t="s">
        <v>227</v>
      </c>
      <c r="J33" s="156"/>
      <c r="K33" s="155" t="s">
        <v>228</v>
      </c>
      <c r="L33" s="159" t="s">
        <v>222</v>
      </c>
      <c r="M33" s="155">
        <v>83.39</v>
      </c>
      <c r="N33" s="155">
        <v>28.52</v>
      </c>
      <c r="O33" s="155"/>
      <c r="P33" s="155"/>
      <c r="Q33" s="155"/>
      <c r="R33" s="163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>
        <v>12.29</v>
      </c>
      <c r="AF33" s="155"/>
      <c r="AG33" s="155"/>
      <c r="AH33" s="155"/>
      <c r="AI33" s="155"/>
      <c r="AJ33" s="155"/>
      <c r="AK33" s="155"/>
      <c r="AL33" s="155" t="s">
        <v>218</v>
      </c>
      <c r="AM33" s="156" t="s">
        <v>197</v>
      </c>
      <c r="AN33" s="156"/>
      <c r="AO33" s="156"/>
    </row>
    <row r="34" spans="1:94" x14ac:dyDescent="0.3">
      <c r="A34" s="152">
        <v>3745</v>
      </c>
      <c r="B34" s="217">
        <v>41902</v>
      </c>
      <c r="C34" s="154" t="s">
        <v>189</v>
      </c>
      <c r="D34" s="155" t="s">
        <v>230</v>
      </c>
      <c r="E34" s="155"/>
      <c r="F34" s="155" t="s">
        <v>217</v>
      </c>
      <c r="G34" s="153">
        <v>41823</v>
      </c>
      <c r="H34" s="156" t="s">
        <v>192</v>
      </c>
      <c r="I34" s="156" t="s">
        <v>193</v>
      </c>
      <c r="J34" s="156"/>
      <c r="K34" s="155" t="s">
        <v>212</v>
      </c>
      <c r="L34" s="159" t="s">
        <v>222</v>
      </c>
      <c r="M34" s="159">
        <v>84</v>
      </c>
      <c r="N34" s="159">
        <v>28.9</v>
      </c>
      <c r="O34" s="155"/>
      <c r="P34" s="159"/>
      <c r="Q34" s="155"/>
      <c r="R34" s="163"/>
      <c r="S34" s="159"/>
      <c r="T34" s="159"/>
      <c r="U34" s="159"/>
      <c r="V34" s="159"/>
      <c r="W34" s="155"/>
      <c r="X34" s="159"/>
      <c r="Y34" s="159"/>
      <c r="Z34" s="159"/>
      <c r="AA34" s="159"/>
      <c r="AB34" s="159"/>
      <c r="AC34" s="159"/>
      <c r="AD34" s="159"/>
      <c r="AE34" s="155">
        <v>13.97</v>
      </c>
      <c r="AF34" s="159"/>
      <c r="AG34" s="159"/>
      <c r="AH34" s="155"/>
      <c r="AI34" s="155"/>
      <c r="AJ34" s="155"/>
      <c r="AK34" s="159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1458</v>
      </c>
      <c r="B35" s="217">
        <v>41902</v>
      </c>
      <c r="C35" s="154" t="s">
        <v>189</v>
      </c>
      <c r="D35" s="155" t="s">
        <v>221</v>
      </c>
      <c r="E35" s="155"/>
      <c r="F35" s="155" t="s">
        <v>217</v>
      </c>
      <c r="G35" s="153">
        <v>41820</v>
      </c>
      <c r="H35" s="156" t="s">
        <v>192</v>
      </c>
      <c r="I35" s="156" t="s">
        <v>193</v>
      </c>
      <c r="J35" s="156"/>
      <c r="K35" s="159" t="s">
        <v>213</v>
      </c>
      <c r="L35" s="159" t="s">
        <v>222</v>
      </c>
      <c r="M35" s="159">
        <v>90.87</v>
      </c>
      <c r="N35" s="159">
        <v>31.240000000000002</v>
      </c>
      <c r="O35" s="159"/>
      <c r="P35" s="159"/>
      <c r="Q35" s="159"/>
      <c r="R35" s="163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16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</row>
    <row r="36" spans="1:94" x14ac:dyDescent="0.3">
      <c r="A36" s="152">
        <v>1388</v>
      </c>
      <c r="B36" s="217">
        <v>41902</v>
      </c>
      <c r="C36" s="154" t="s">
        <v>189</v>
      </c>
      <c r="D36" s="155" t="s">
        <v>221</v>
      </c>
      <c r="E36" s="155"/>
      <c r="F36" s="155" t="s">
        <v>217</v>
      </c>
      <c r="G36" s="164">
        <v>41879</v>
      </c>
      <c r="H36" s="156" t="s">
        <v>192</v>
      </c>
      <c r="I36" s="156" t="s">
        <v>193</v>
      </c>
      <c r="J36" s="156"/>
      <c r="K36" s="155" t="s">
        <v>214</v>
      </c>
      <c r="L36" s="159" t="s">
        <v>222</v>
      </c>
      <c r="M36" s="159">
        <v>87.72</v>
      </c>
      <c r="N36" s="159">
        <v>27.95</v>
      </c>
      <c r="O36" s="155" t="s">
        <v>201</v>
      </c>
      <c r="P36" s="159">
        <v>1000</v>
      </c>
      <c r="Q36" s="159">
        <v>27.34</v>
      </c>
      <c r="R36" s="163">
        <v>2000</v>
      </c>
      <c r="S36" s="159">
        <v>27.24</v>
      </c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>
        <v>11.94</v>
      </c>
      <c r="AF36" s="159"/>
      <c r="AG36" s="159"/>
      <c r="AH36" s="159"/>
      <c r="AI36" s="159"/>
      <c r="AJ36" s="159"/>
      <c r="AK36" s="159"/>
      <c r="AL36" s="155" t="s">
        <v>218</v>
      </c>
      <c r="AM36" s="156" t="s">
        <v>197</v>
      </c>
      <c r="AN36" s="162"/>
      <c r="AO36" s="162"/>
    </row>
    <row r="37" spans="1:94" x14ac:dyDescent="0.3">
      <c r="A37" s="152">
        <v>3594</v>
      </c>
      <c r="B37" s="217">
        <v>41902</v>
      </c>
      <c r="C37" s="154" t="s">
        <v>189</v>
      </c>
      <c r="D37" s="155" t="s">
        <v>221</v>
      </c>
      <c r="E37" s="155"/>
      <c r="F37" s="155" t="s">
        <v>217</v>
      </c>
      <c r="G37" s="153">
        <v>41822</v>
      </c>
      <c r="H37" s="156" t="s">
        <v>192</v>
      </c>
      <c r="I37" s="156" t="s">
        <v>193</v>
      </c>
      <c r="J37" s="156"/>
      <c r="K37" s="155" t="s">
        <v>215</v>
      </c>
      <c r="L37" s="159" t="s">
        <v>222</v>
      </c>
      <c r="M37" s="155">
        <v>82.83</v>
      </c>
      <c r="N37" s="155">
        <v>27.97</v>
      </c>
      <c r="O37" s="155" t="s">
        <v>201</v>
      </c>
      <c r="P37" s="155">
        <v>1000</v>
      </c>
      <c r="Q37" s="155">
        <v>27.56</v>
      </c>
      <c r="R37" s="163">
        <v>2000</v>
      </c>
      <c r="S37" s="155">
        <v>27.19</v>
      </c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>
        <v>13.78</v>
      </c>
      <c r="AF37" s="155"/>
      <c r="AG37" s="155"/>
      <c r="AH37" s="155"/>
      <c r="AI37" s="155"/>
      <c r="AJ37" s="155"/>
      <c r="AK37" s="155"/>
      <c r="AL37" s="155" t="s">
        <v>218</v>
      </c>
      <c r="AM37" s="156" t="s">
        <v>197</v>
      </c>
      <c r="AN37" s="156"/>
      <c r="AO37" s="156"/>
    </row>
    <row r="38" spans="1:94" x14ac:dyDescent="0.3">
      <c r="A38" s="152"/>
      <c r="B38" s="217">
        <v>41902</v>
      </c>
      <c r="C38" s="154" t="s">
        <v>189</v>
      </c>
      <c r="D38" s="155" t="s">
        <v>221</v>
      </c>
      <c r="E38" s="155"/>
      <c r="F38" s="155" t="s">
        <v>217</v>
      </c>
      <c r="G38" s="153">
        <v>41894</v>
      </c>
      <c r="H38" s="156" t="s">
        <v>192</v>
      </c>
      <c r="I38" s="156" t="s">
        <v>193</v>
      </c>
      <c r="J38" s="156"/>
      <c r="K38" s="155" t="s">
        <v>305</v>
      </c>
      <c r="L38" s="159" t="s">
        <v>222</v>
      </c>
      <c r="M38" s="219">
        <v>98.81</v>
      </c>
      <c r="N38" s="219">
        <v>36.590000000000003</v>
      </c>
      <c r="O38" s="155"/>
      <c r="P38" s="159"/>
      <c r="Q38" s="159"/>
      <c r="R38" s="163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219">
        <v>12.92</v>
      </c>
      <c r="AF38" s="159"/>
      <c r="AG38" s="159"/>
      <c r="AH38" s="159"/>
      <c r="AI38" s="159"/>
      <c r="AJ38" s="159"/>
      <c r="AK38" s="159"/>
      <c r="AL38" s="155" t="s">
        <v>218</v>
      </c>
      <c r="AM38" s="156" t="s">
        <v>197</v>
      </c>
      <c r="AN38" s="162"/>
      <c r="AO38" s="16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/>
      <c r="B39" s="217">
        <v>41902</v>
      </c>
      <c r="C39" s="154" t="s">
        <v>189</v>
      </c>
      <c r="D39" s="155" t="s">
        <v>221</v>
      </c>
      <c r="E39" s="155"/>
      <c r="F39" s="155" t="s">
        <v>217</v>
      </c>
      <c r="G39" s="153">
        <v>41850</v>
      </c>
      <c r="H39" s="156" t="s">
        <v>310</v>
      </c>
      <c r="I39" s="156"/>
      <c r="J39" s="156"/>
      <c r="K39" s="155" t="s">
        <v>306</v>
      </c>
      <c r="L39" s="159" t="s">
        <v>222</v>
      </c>
      <c r="M39" s="219">
        <v>91.66</v>
      </c>
      <c r="N39" s="219">
        <v>35.44</v>
      </c>
      <c r="O39" s="155"/>
      <c r="P39" s="159"/>
      <c r="Q39" s="159"/>
      <c r="R39" s="163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219">
        <v>16.78</v>
      </c>
      <c r="AF39" s="159"/>
      <c r="AG39" s="159"/>
      <c r="AH39" s="159"/>
      <c r="AI39" s="159"/>
      <c r="AJ39" s="159"/>
      <c r="AK39" s="159"/>
      <c r="AL39" s="155" t="s">
        <v>218</v>
      </c>
      <c r="AM39" s="156" t="s">
        <v>197</v>
      </c>
      <c r="AN39" s="162"/>
      <c r="AO39" s="16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1:94" x14ac:dyDescent="0.3">
      <c r="A40" s="152"/>
      <c r="B40" s="217">
        <v>41902</v>
      </c>
      <c r="C40" s="154" t="s">
        <v>189</v>
      </c>
      <c r="D40" s="155" t="s">
        <v>221</v>
      </c>
      <c r="E40" s="155"/>
      <c r="F40" s="155" t="s">
        <v>217</v>
      </c>
      <c r="G40" s="153">
        <v>41880</v>
      </c>
      <c r="H40" s="156" t="s">
        <v>309</v>
      </c>
      <c r="I40" s="156"/>
      <c r="J40" s="156"/>
      <c r="K40" s="155" t="s">
        <v>307</v>
      </c>
      <c r="L40" s="159" t="s">
        <v>222</v>
      </c>
      <c r="M40" s="159">
        <f>90+(4.4/1.1)</f>
        <v>94</v>
      </c>
      <c r="N40" s="159">
        <v>38.299999999999997</v>
      </c>
      <c r="O40" s="155"/>
      <c r="P40" s="159"/>
      <c r="Q40" s="159"/>
      <c r="R40" s="163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>
        <v>25</v>
      </c>
      <c r="AF40" s="159"/>
      <c r="AG40" s="159"/>
      <c r="AH40" s="159"/>
      <c r="AI40" s="159"/>
      <c r="AJ40" s="159"/>
      <c r="AK40" s="159"/>
      <c r="AL40" s="155" t="s">
        <v>218</v>
      </c>
      <c r="AM40" s="156" t="s">
        <v>309</v>
      </c>
      <c r="AN40" s="162"/>
      <c r="AO40" s="16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1:94" x14ac:dyDescent="0.3">
      <c r="A41" s="152"/>
      <c r="B41" s="217">
        <v>41902</v>
      </c>
      <c r="C41" s="154" t="s">
        <v>189</v>
      </c>
      <c r="D41" s="155" t="s">
        <v>221</v>
      </c>
      <c r="E41" s="155"/>
      <c r="F41" s="155" t="s">
        <v>217</v>
      </c>
      <c r="G41" s="153">
        <v>41820</v>
      </c>
      <c r="H41" s="156"/>
      <c r="I41" s="156"/>
      <c r="J41" s="156"/>
      <c r="K41" s="155" t="s">
        <v>308</v>
      </c>
      <c r="L41" s="159" t="s">
        <v>222</v>
      </c>
      <c r="M41" s="159">
        <v>81.400000000000006</v>
      </c>
      <c r="N41" s="159">
        <v>38.869999999999997</v>
      </c>
      <c r="O41" s="155" t="s">
        <v>201</v>
      </c>
      <c r="P41" s="159">
        <v>1000</v>
      </c>
      <c r="Q41" s="159">
        <v>38.869999999999997</v>
      </c>
      <c r="R41" s="159">
        <v>1000</v>
      </c>
      <c r="S41" s="159">
        <v>38.869999999999997</v>
      </c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>
        <v>27.158999999999999</v>
      </c>
      <c r="AF41" s="159"/>
      <c r="AG41" s="159"/>
      <c r="AH41" s="159"/>
      <c r="AI41" s="159"/>
      <c r="AJ41" s="159"/>
      <c r="AK41" s="159"/>
      <c r="AL41" s="155" t="s">
        <v>218</v>
      </c>
      <c r="AM41" s="156" t="s">
        <v>309</v>
      </c>
      <c r="AN41" s="162"/>
      <c r="AO41" s="16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</row>
    <row r="42" spans="1:94" x14ac:dyDescent="0.3">
      <c r="A42" s="152">
        <v>4133</v>
      </c>
      <c r="B42" s="217">
        <v>41901</v>
      </c>
      <c r="C42" s="154" t="s">
        <v>189</v>
      </c>
      <c r="D42" s="155" t="s">
        <v>221</v>
      </c>
      <c r="E42" s="155"/>
      <c r="F42" s="155" t="s">
        <v>219</v>
      </c>
      <c r="G42" s="164">
        <v>41829</v>
      </c>
      <c r="H42" s="156" t="s">
        <v>192</v>
      </c>
      <c r="I42" s="156" t="s">
        <v>193</v>
      </c>
      <c r="J42" s="156"/>
      <c r="K42" s="155" t="s">
        <v>194</v>
      </c>
      <c r="L42" s="159" t="s">
        <v>222</v>
      </c>
      <c r="M42" s="155">
        <v>116</v>
      </c>
      <c r="N42" s="155">
        <v>38.99</v>
      </c>
      <c r="O42" s="155"/>
      <c r="P42" s="155"/>
      <c r="Q42" s="155"/>
      <c r="R42" s="157"/>
      <c r="S42" s="155"/>
      <c r="T42" s="155"/>
      <c r="U42" s="155"/>
      <c r="V42" s="155"/>
      <c r="W42" s="155">
        <v>15.99</v>
      </c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>
        <v>19.989999999999998</v>
      </c>
      <c r="AI42" s="155"/>
      <c r="AJ42" s="155"/>
      <c r="AK42" s="155"/>
      <c r="AL42" s="155" t="s">
        <v>231</v>
      </c>
      <c r="AM42" s="156" t="s">
        <v>197</v>
      </c>
      <c r="AN42" s="156"/>
      <c r="AO42" s="156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</row>
    <row r="43" spans="1:94" x14ac:dyDescent="0.3">
      <c r="A43" s="152">
        <v>1996</v>
      </c>
      <c r="B43" s="217">
        <v>41901</v>
      </c>
      <c r="C43" s="154" t="s">
        <v>189</v>
      </c>
      <c r="D43" s="155" t="s">
        <v>221</v>
      </c>
      <c r="E43" s="155"/>
      <c r="F43" s="155" t="s">
        <v>219</v>
      </c>
      <c r="G43" s="153">
        <v>41820</v>
      </c>
      <c r="H43" s="156" t="s">
        <v>192</v>
      </c>
      <c r="I43" s="156" t="s">
        <v>193</v>
      </c>
      <c r="J43" s="156"/>
      <c r="K43" s="155" t="s">
        <v>198</v>
      </c>
      <c r="L43" s="159" t="s">
        <v>222</v>
      </c>
      <c r="M43" s="155">
        <v>96</v>
      </c>
      <c r="N43" s="155">
        <v>53.9</v>
      </c>
      <c r="O43" s="155"/>
      <c r="P43" s="155"/>
      <c r="Q43" s="155"/>
      <c r="R43" s="157"/>
      <c r="S43" s="155"/>
      <c r="T43" s="155"/>
      <c r="U43" s="155"/>
      <c r="V43" s="155"/>
      <c r="W43" s="155">
        <v>14.95</v>
      </c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>
        <v>22.95</v>
      </c>
      <c r="AI43" s="155"/>
      <c r="AJ43" s="155"/>
      <c r="AK43" s="155"/>
      <c r="AL43" s="155" t="s">
        <v>231</v>
      </c>
      <c r="AM43" s="156" t="s">
        <v>197</v>
      </c>
      <c r="AN43" s="156"/>
      <c r="AO43" s="156"/>
    </row>
    <row r="44" spans="1:94" x14ac:dyDescent="0.3">
      <c r="A44" s="152">
        <v>2558</v>
      </c>
      <c r="B44" s="217">
        <v>41901</v>
      </c>
      <c r="C44" s="154" t="s">
        <v>189</v>
      </c>
      <c r="D44" s="155" t="s">
        <v>221</v>
      </c>
      <c r="E44" s="155"/>
      <c r="F44" s="155" t="s">
        <v>219</v>
      </c>
      <c r="G44" s="164">
        <v>41852</v>
      </c>
      <c r="H44" s="156" t="s">
        <v>193</v>
      </c>
      <c r="I44" s="156" t="s">
        <v>199</v>
      </c>
      <c r="J44" s="156"/>
      <c r="K44" s="155" t="s">
        <v>200</v>
      </c>
      <c r="L44" s="159" t="s">
        <v>222</v>
      </c>
      <c r="M44" s="155">
        <v>96</v>
      </c>
      <c r="N44" s="155">
        <v>54.78</v>
      </c>
      <c r="O44" s="155"/>
      <c r="P44" s="155"/>
      <c r="Q44" s="155"/>
      <c r="R44" s="157"/>
      <c r="S44" s="155"/>
      <c r="T44" s="155"/>
      <c r="U44" s="155"/>
      <c r="V44" s="155"/>
      <c r="W44" s="155">
        <v>15</v>
      </c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>
        <v>23</v>
      </c>
      <c r="AI44" s="155"/>
      <c r="AJ44" s="155"/>
      <c r="AK44" s="155"/>
      <c r="AL44" s="155" t="s">
        <v>231</v>
      </c>
      <c r="AM44" s="156" t="s">
        <v>197</v>
      </c>
      <c r="AN44" s="156"/>
      <c r="AO44" s="156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</row>
    <row r="45" spans="1:94" x14ac:dyDescent="0.3">
      <c r="A45" s="152">
        <v>3225</v>
      </c>
      <c r="B45" s="217">
        <v>41901</v>
      </c>
      <c r="C45" s="154" t="s">
        <v>189</v>
      </c>
      <c r="D45" s="155" t="s">
        <v>221</v>
      </c>
      <c r="E45" s="155"/>
      <c r="F45" s="155" t="s">
        <v>219</v>
      </c>
      <c r="G45" s="153">
        <v>41880</v>
      </c>
      <c r="H45" s="156" t="s">
        <v>193</v>
      </c>
      <c r="I45" s="156" t="s">
        <v>199</v>
      </c>
      <c r="J45" s="156"/>
      <c r="K45" s="155" t="s">
        <v>203</v>
      </c>
      <c r="L45" s="159" t="s">
        <v>222</v>
      </c>
      <c r="M45" s="155">
        <v>101</v>
      </c>
      <c r="N45" s="155">
        <v>58.7</v>
      </c>
      <c r="O45" s="155"/>
      <c r="P45" s="155"/>
      <c r="Q45" s="155"/>
      <c r="R45" s="157"/>
      <c r="S45" s="155"/>
      <c r="T45" s="155"/>
      <c r="U45" s="155"/>
      <c r="V45" s="155"/>
      <c r="W45" s="155">
        <v>27.8</v>
      </c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>
        <v>31.3</v>
      </c>
      <c r="AI45" s="155"/>
      <c r="AJ45" s="155"/>
      <c r="AK45" s="155"/>
      <c r="AL45" s="155" t="s">
        <v>231</v>
      </c>
      <c r="AM45" s="156" t="s">
        <v>197</v>
      </c>
      <c r="AN45" s="156"/>
      <c r="AO45" s="156"/>
    </row>
    <row r="46" spans="1:94" x14ac:dyDescent="0.3">
      <c r="A46" s="152">
        <v>1472</v>
      </c>
      <c r="B46" s="217">
        <v>41901</v>
      </c>
      <c r="C46" s="154" t="s">
        <v>189</v>
      </c>
      <c r="D46" s="155" t="s">
        <v>221</v>
      </c>
      <c r="E46" s="155"/>
      <c r="F46" s="155" t="s">
        <v>219</v>
      </c>
      <c r="G46" s="153">
        <v>41639</v>
      </c>
      <c r="H46" s="156" t="s">
        <v>192</v>
      </c>
      <c r="I46" s="156" t="s">
        <v>193</v>
      </c>
      <c r="J46" s="156"/>
      <c r="K46" s="159" t="s">
        <v>204</v>
      </c>
      <c r="L46" s="159" t="s">
        <v>222</v>
      </c>
      <c r="M46" s="159">
        <v>115.6</v>
      </c>
      <c r="N46" s="159">
        <v>69.7</v>
      </c>
      <c r="O46" s="155"/>
      <c r="P46" s="159"/>
      <c r="Q46" s="159"/>
      <c r="R46" s="163"/>
      <c r="S46" s="159"/>
      <c r="T46" s="159"/>
      <c r="U46" s="159"/>
      <c r="V46" s="159"/>
      <c r="W46" s="159">
        <v>18.190000000000001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29.49</v>
      </c>
      <c r="AI46" s="159"/>
      <c r="AJ46" s="159"/>
      <c r="AK46" s="159"/>
      <c r="AL46" s="155" t="s">
        <v>231</v>
      </c>
      <c r="AM46" s="156" t="s">
        <v>197</v>
      </c>
      <c r="AN46" s="162"/>
      <c r="AO46" s="162"/>
    </row>
    <row r="47" spans="1:94" x14ac:dyDescent="0.3">
      <c r="A47" s="152">
        <v>4653</v>
      </c>
      <c r="B47" s="217">
        <v>41901</v>
      </c>
      <c r="C47" s="154" t="s">
        <v>189</v>
      </c>
      <c r="D47" s="155" t="s">
        <v>221</v>
      </c>
      <c r="E47" s="155"/>
      <c r="F47" s="155" t="s">
        <v>219</v>
      </c>
      <c r="G47" s="153">
        <v>41820</v>
      </c>
      <c r="H47" s="156" t="s">
        <v>192</v>
      </c>
      <c r="I47" s="156" t="s">
        <v>193</v>
      </c>
      <c r="J47" s="156"/>
      <c r="K47" s="159" t="s">
        <v>205</v>
      </c>
      <c r="L47" s="159" t="s">
        <v>222</v>
      </c>
      <c r="M47" s="159">
        <v>108.62</v>
      </c>
      <c r="N47" s="159">
        <v>41.33</v>
      </c>
      <c r="O47" s="159"/>
      <c r="P47" s="159"/>
      <c r="Q47" s="159"/>
      <c r="R47" s="163"/>
      <c r="S47" s="159"/>
      <c r="T47" s="159"/>
      <c r="U47" s="159"/>
      <c r="V47" s="159"/>
      <c r="W47" s="159">
        <v>18</v>
      </c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>
        <v>24</v>
      </c>
      <c r="AI47" s="159"/>
      <c r="AJ47" s="159"/>
      <c r="AK47" s="159"/>
      <c r="AL47" s="155" t="s">
        <v>231</v>
      </c>
      <c r="AM47" s="162" t="s">
        <v>197</v>
      </c>
      <c r="AN47" s="162"/>
      <c r="AO47" s="162"/>
    </row>
    <row r="48" spans="1:94" x14ac:dyDescent="0.3">
      <c r="A48" s="152">
        <v>1442</v>
      </c>
      <c r="B48" s="217">
        <v>41901</v>
      </c>
      <c r="C48" s="154" t="s">
        <v>189</v>
      </c>
      <c r="D48" s="155" t="s">
        <v>221</v>
      </c>
      <c r="E48" s="155"/>
      <c r="F48" s="155" t="s">
        <v>219</v>
      </c>
      <c r="G48" s="153">
        <v>41820</v>
      </c>
      <c r="H48" s="156" t="s">
        <v>192</v>
      </c>
      <c r="I48" s="156" t="s">
        <v>193</v>
      </c>
      <c r="J48" s="156"/>
      <c r="K48" s="155" t="s">
        <v>206</v>
      </c>
      <c r="L48" s="159" t="s">
        <v>222</v>
      </c>
      <c r="M48" s="159">
        <v>99.5</v>
      </c>
      <c r="N48" s="159">
        <v>49.5</v>
      </c>
      <c r="O48" s="155" t="s">
        <v>201</v>
      </c>
      <c r="P48" s="159">
        <v>1020</v>
      </c>
      <c r="Q48" s="159">
        <v>54.9</v>
      </c>
      <c r="R48" s="163"/>
      <c r="S48" s="159"/>
      <c r="T48" s="159"/>
      <c r="U48" s="159"/>
      <c r="V48" s="159"/>
      <c r="W48" s="159">
        <v>17.95</v>
      </c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>
        <v>23.48</v>
      </c>
      <c r="AI48" s="159"/>
      <c r="AJ48" s="159"/>
      <c r="AK48" s="159"/>
      <c r="AL48" s="155" t="s">
        <v>231</v>
      </c>
      <c r="AM48" s="156" t="s">
        <v>197</v>
      </c>
      <c r="AN48" s="162"/>
      <c r="AO48" s="162"/>
    </row>
    <row r="49" spans="1:94" x14ac:dyDescent="0.3">
      <c r="A49" s="152">
        <v>1484</v>
      </c>
      <c r="B49" s="217">
        <v>41901</v>
      </c>
      <c r="C49" s="154" t="s">
        <v>189</v>
      </c>
      <c r="D49" s="155" t="s">
        <v>221</v>
      </c>
      <c r="E49" s="155"/>
      <c r="F49" s="155" t="s">
        <v>219</v>
      </c>
      <c r="G49" s="153">
        <v>41639</v>
      </c>
      <c r="H49" s="156" t="s">
        <v>192</v>
      </c>
      <c r="I49" s="156" t="s">
        <v>193</v>
      </c>
      <c r="J49" s="156"/>
      <c r="K49" s="159" t="s">
        <v>207</v>
      </c>
      <c r="L49" s="159" t="s">
        <v>222</v>
      </c>
      <c r="M49" s="159">
        <v>111.16</v>
      </c>
      <c r="N49" s="159">
        <v>67.010000000000005</v>
      </c>
      <c r="O49" s="155"/>
      <c r="P49" s="159"/>
      <c r="Q49" s="159"/>
      <c r="R49" s="163"/>
      <c r="S49" s="159"/>
      <c r="T49" s="159"/>
      <c r="U49" s="159"/>
      <c r="V49" s="159"/>
      <c r="W49" s="159">
        <v>17.489999999999998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28.36</v>
      </c>
      <c r="AI49" s="159"/>
      <c r="AJ49" s="159"/>
      <c r="AK49" s="159"/>
      <c r="AL49" s="155" t="s">
        <v>231</v>
      </c>
      <c r="AM49" s="156" t="s">
        <v>197</v>
      </c>
      <c r="AN49" s="162"/>
      <c r="AO49" s="162"/>
    </row>
    <row r="50" spans="1:94" x14ac:dyDescent="0.3">
      <c r="A50" s="152">
        <v>1242</v>
      </c>
      <c r="B50" s="217">
        <v>41901</v>
      </c>
      <c r="C50" s="154" t="s">
        <v>189</v>
      </c>
      <c r="D50" s="155" t="s">
        <v>221</v>
      </c>
      <c r="E50" s="155"/>
      <c r="F50" s="155" t="s">
        <v>219</v>
      </c>
      <c r="G50" s="153">
        <v>41640</v>
      </c>
      <c r="H50" s="156" t="s">
        <v>192</v>
      </c>
      <c r="I50" s="156" t="s">
        <v>193</v>
      </c>
      <c r="J50" s="156"/>
      <c r="K50" s="155" t="s">
        <v>208</v>
      </c>
      <c r="L50" s="159" t="s">
        <v>222</v>
      </c>
      <c r="M50" s="159">
        <v>96.4</v>
      </c>
      <c r="N50" s="159">
        <v>53.9</v>
      </c>
      <c r="O50" s="159"/>
      <c r="P50" s="159"/>
      <c r="Q50" s="155"/>
      <c r="R50" s="163"/>
      <c r="S50" s="159"/>
      <c r="T50" s="159"/>
      <c r="U50" s="159"/>
      <c r="V50" s="159"/>
      <c r="W50" s="155">
        <v>17.2</v>
      </c>
      <c r="X50" s="159"/>
      <c r="Y50" s="159"/>
      <c r="Z50" s="159"/>
      <c r="AA50" s="159"/>
      <c r="AB50" s="159"/>
      <c r="AC50" s="159"/>
      <c r="AD50" s="159"/>
      <c r="AE50" s="155"/>
      <c r="AF50" s="159"/>
      <c r="AG50" s="159"/>
      <c r="AH50" s="155">
        <v>28.2</v>
      </c>
      <c r="AI50" s="155"/>
      <c r="AJ50" s="155"/>
      <c r="AK50" s="159"/>
      <c r="AL50" s="155" t="s">
        <v>231</v>
      </c>
      <c r="AM50" s="156" t="s">
        <v>197</v>
      </c>
      <c r="AN50" s="156"/>
      <c r="AO50" s="156"/>
    </row>
    <row r="51" spans="1:94" x14ac:dyDescent="0.3">
      <c r="A51" s="152">
        <v>2518</v>
      </c>
      <c r="B51" s="217">
        <v>41901</v>
      </c>
      <c r="C51" s="154" t="s">
        <v>189</v>
      </c>
      <c r="D51" s="155" t="s">
        <v>221</v>
      </c>
      <c r="E51" s="155"/>
      <c r="F51" s="155" t="s">
        <v>219</v>
      </c>
      <c r="G51" s="153">
        <v>41468</v>
      </c>
      <c r="H51" s="156" t="s">
        <v>192</v>
      </c>
      <c r="I51" s="156" t="s">
        <v>193</v>
      </c>
      <c r="J51" s="156"/>
      <c r="K51" s="159" t="s">
        <v>209</v>
      </c>
      <c r="L51" s="159" t="s">
        <v>222</v>
      </c>
      <c r="M51" s="159">
        <v>207.23</v>
      </c>
      <c r="N51" s="159">
        <v>44.84</v>
      </c>
      <c r="O51" s="155"/>
      <c r="P51" s="159"/>
      <c r="Q51" s="159"/>
      <c r="R51" s="163"/>
      <c r="S51" s="159"/>
      <c r="T51" s="159"/>
      <c r="U51" s="159"/>
      <c r="V51" s="159"/>
      <c r="W51" s="159">
        <v>13.77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>
        <v>20.61</v>
      </c>
      <c r="AI51" s="159"/>
      <c r="AJ51" s="159"/>
      <c r="AK51" s="159"/>
      <c r="AL51" s="155" t="s">
        <v>231</v>
      </c>
      <c r="AM51" s="156" t="s">
        <v>197</v>
      </c>
      <c r="AN51" s="162"/>
      <c r="AO51" s="162"/>
    </row>
    <row r="52" spans="1:94" x14ac:dyDescent="0.3">
      <c r="A52" s="152">
        <v>1418</v>
      </c>
      <c r="B52" s="217">
        <v>41901</v>
      </c>
      <c r="C52" s="154" t="s">
        <v>189</v>
      </c>
      <c r="D52" s="155" t="s">
        <v>221</v>
      </c>
      <c r="E52" s="155"/>
      <c r="F52" s="155" t="s">
        <v>219</v>
      </c>
      <c r="G52" s="153">
        <v>41820</v>
      </c>
      <c r="H52" s="156" t="s">
        <v>192</v>
      </c>
      <c r="I52" s="156" t="s">
        <v>193</v>
      </c>
      <c r="J52" s="156"/>
      <c r="K52" s="159" t="s">
        <v>210</v>
      </c>
      <c r="L52" s="159" t="s">
        <v>222</v>
      </c>
      <c r="M52" s="159">
        <v>98.85</v>
      </c>
      <c r="N52" s="159">
        <v>30.54</v>
      </c>
      <c r="O52" s="155" t="s">
        <v>201</v>
      </c>
      <c r="P52" s="159">
        <v>600</v>
      </c>
      <c r="Q52" s="159">
        <v>30.54</v>
      </c>
      <c r="R52" s="163"/>
      <c r="S52" s="159"/>
      <c r="T52" s="159"/>
      <c r="U52" s="159"/>
      <c r="V52" s="159"/>
      <c r="W52" s="159">
        <v>24.54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30.54</v>
      </c>
      <c r="AI52" s="159"/>
      <c r="AJ52" s="159"/>
      <c r="AK52" s="159"/>
      <c r="AL52" s="155" t="s">
        <v>231</v>
      </c>
      <c r="AM52" s="156" t="s">
        <v>197</v>
      </c>
      <c r="AN52" s="162"/>
      <c r="AO52" s="162"/>
    </row>
    <row r="53" spans="1:94" x14ac:dyDescent="0.3">
      <c r="A53" s="152">
        <v>2262</v>
      </c>
      <c r="B53" s="217">
        <v>41902</v>
      </c>
      <c r="C53" s="154" t="s">
        <v>223</v>
      </c>
      <c r="D53" s="155" t="s">
        <v>224</v>
      </c>
      <c r="E53" s="155"/>
      <c r="F53" s="155" t="s">
        <v>232</v>
      </c>
      <c r="G53" s="153">
        <v>41820</v>
      </c>
      <c r="H53" s="156" t="s">
        <v>226</v>
      </c>
      <c r="I53" s="156" t="s">
        <v>227</v>
      </c>
      <c r="J53" s="156"/>
      <c r="K53" s="155" t="s">
        <v>228</v>
      </c>
      <c r="L53" s="159" t="s">
        <v>222</v>
      </c>
      <c r="M53" s="155">
        <v>96.85</v>
      </c>
      <c r="N53" s="155">
        <v>53.01</v>
      </c>
      <c r="O53" s="155"/>
      <c r="P53" s="155"/>
      <c r="Q53" s="155"/>
      <c r="R53" s="157"/>
      <c r="S53" s="155"/>
      <c r="T53" s="155"/>
      <c r="U53" s="155"/>
      <c r="V53" s="155"/>
      <c r="W53" s="155">
        <v>14.42</v>
      </c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>
        <v>23.79</v>
      </c>
      <c r="AI53" s="155"/>
      <c r="AJ53" s="155"/>
      <c r="AK53" s="155"/>
      <c r="AL53" s="155" t="s">
        <v>231</v>
      </c>
      <c r="AM53" s="156" t="s">
        <v>197</v>
      </c>
      <c r="AN53" s="156"/>
      <c r="AO53" s="156"/>
    </row>
    <row r="54" spans="1:94" x14ac:dyDescent="0.3">
      <c r="A54" s="152">
        <v>3747</v>
      </c>
      <c r="B54" s="217">
        <v>41902</v>
      </c>
      <c r="C54" s="154" t="s">
        <v>189</v>
      </c>
      <c r="D54" s="155" t="s">
        <v>221</v>
      </c>
      <c r="E54" s="155"/>
      <c r="F54" s="155" t="s">
        <v>219</v>
      </c>
      <c r="G54" s="153">
        <v>41823</v>
      </c>
      <c r="H54" s="156" t="s">
        <v>192</v>
      </c>
      <c r="I54" s="156" t="s">
        <v>193</v>
      </c>
      <c r="J54" s="156"/>
      <c r="K54" s="155" t="s">
        <v>212</v>
      </c>
      <c r="L54" s="159" t="s">
        <v>222</v>
      </c>
      <c r="M54" s="159">
        <v>96</v>
      </c>
      <c r="N54" s="159">
        <v>53.9</v>
      </c>
      <c r="O54" s="159"/>
      <c r="P54" s="159"/>
      <c r="Q54" s="155"/>
      <c r="R54" s="163"/>
      <c r="S54" s="159"/>
      <c r="T54" s="159"/>
      <c r="U54" s="159"/>
      <c r="V54" s="159"/>
      <c r="W54" s="155">
        <v>14.95</v>
      </c>
      <c r="X54" s="159"/>
      <c r="Y54" s="159"/>
      <c r="Z54" s="159"/>
      <c r="AA54" s="159"/>
      <c r="AB54" s="159"/>
      <c r="AC54" s="159"/>
      <c r="AD54" s="159"/>
      <c r="AE54" s="155"/>
      <c r="AF54" s="159"/>
      <c r="AG54" s="159"/>
      <c r="AH54" s="155">
        <v>22.95</v>
      </c>
      <c r="AI54" s="155"/>
      <c r="AJ54" s="155"/>
      <c r="AK54" s="159"/>
      <c r="AL54" s="155" t="s">
        <v>231</v>
      </c>
      <c r="AM54" s="156" t="s">
        <v>197</v>
      </c>
      <c r="AN54" s="156"/>
      <c r="AO54" s="156"/>
    </row>
    <row r="55" spans="1:94" x14ac:dyDescent="0.3">
      <c r="A55" s="152">
        <v>1460</v>
      </c>
      <c r="B55" s="217">
        <v>41902</v>
      </c>
      <c r="C55" s="154" t="s">
        <v>189</v>
      </c>
      <c r="D55" s="155" t="s">
        <v>221</v>
      </c>
      <c r="E55" s="155"/>
      <c r="F55" s="155" t="s">
        <v>219</v>
      </c>
      <c r="G55" s="153">
        <v>41820</v>
      </c>
      <c r="H55" s="156" t="s">
        <v>192</v>
      </c>
      <c r="I55" s="156" t="s">
        <v>193</v>
      </c>
      <c r="J55" s="156"/>
      <c r="K55" s="159" t="s">
        <v>213</v>
      </c>
      <c r="L55" s="159" t="s">
        <v>222</v>
      </c>
      <c r="M55" s="159">
        <v>105.37</v>
      </c>
      <c r="N55" s="159">
        <v>42.39</v>
      </c>
      <c r="O55" s="159"/>
      <c r="P55" s="159"/>
      <c r="Q55" s="159"/>
      <c r="R55" s="163"/>
      <c r="S55" s="159"/>
      <c r="T55" s="159"/>
      <c r="U55" s="159"/>
      <c r="V55" s="159"/>
      <c r="W55" s="159">
        <v>17.45</v>
      </c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>
        <v>21.42</v>
      </c>
      <c r="AI55" s="159"/>
      <c r="AJ55" s="159"/>
      <c r="AK55" s="159"/>
      <c r="AL55" s="155" t="s">
        <v>231</v>
      </c>
      <c r="AM55" s="156" t="s">
        <v>197</v>
      </c>
      <c r="AN55" s="162"/>
      <c r="AO55" s="162"/>
    </row>
    <row r="56" spans="1:94" x14ac:dyDescent="0.3">
      <c r="A56" s="152">
        <v>1389</v>
      </c>
      <c r="B56" s="217">
        <v>41902</v>
      </c>
      <c r="C56" s="154" t="s">
        <v>189</v>
      </c>
      <c r="D56" s="155" t="s">
        <v>221</v>
      </c>
      <c r="E56" s="155"/>
      <c r="F56" s="155" t="s">
        <v>219</v>
      </c>
      <c r="G56" s="164">
        <v>41879</v>
      </c>
      <c r="H56" s="156" t="s">
        <v>192</v>
      </c>
      <c r="I56" s="156" t="s">
        <v>193</v>
      </c>
      <c r="J56" s="156"/>
      <c r="K56" s="155" t="s">
        <v>214</v>
      </c>
      <c r="L56" s="159" t="s">
        <v>222</v>
      </c>
      <c r="M56" s="159">
        <v>91.8</v>
      </c>
      <c r="N56" s="159">
        <v>54.57</v>
      </c>
      <c r="O56" s="159"/>
      <c r="P56" s="159"/>
      <c r="Q56" s="159"/>
      <c r="R56" s="163"/>
      <c r="S56" s="159"/>
      <c r="T56" s="159"/>
      <c r="U56" s="159"/>
      <c r="V56" s="159"/>
      <c r="W56" s="159">
        <v>16.43</v>
      </c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>
        <v>24.69</v>
      </c>
      <c r="AI56" s="159"/>
      <c r="AJ56" s="159"/>
      <c r="AK56" s="159"/>
      <c r="AL56" s="155" t="s">
        <v>231</v>
      </c>
      <c r="AM56" s="156" t="s">
        <v>197</v>
      </c>
      <c r="AN56" s="162"/>
      <c r="AO56" s="162"/>
    </row>
    <row r="57" spans="1:94" x14ac:dyDescent="0.3">
      <c r="A57" s="152">
        <v>3596</v>
      </c>
      <c r="B57" s="217">
        <v>41902</v>
      </c>
      <c r="C57" s="154" t="s">
        <v>189</v>
      </c>
      <c r="D57" s="155" t="s">
        <v>221</v>
      </c>
      <c r="E57" s="155"/>
      <c r="F57" s="155" t="s">
        <v>219</v>
      </c>
      <c r="G57" s="153">
        <v>41822</v>
      </c>
      <c r="H57" s="156" t="s">
        <v>192</v>
      </c>
      <c r="I57" s="156" t="s">
        <v>193</v>
      </c>
      <c r="J57" s="156"/>
      <c r="K57" s="155" t="s">
        <v>215</v>
      </c>
      <c r="L57" s="159" t="s">
        <v>222</v>
      </c>
      <c r="M57" s="155">
        <v>87.67</v>
      </c>
      <c r="N57" s="155">
        <v>53.12</v>
      </c>
      <c r="O57" s="155"/>
      <c r="P57" s="155"/>
      <c r="Q57" s="155"/>
      <c r="R57" s="157"/>
      <c r="S57" s="155"/>
      <c r="T57" s="155"/>
      <c r="U57" s="155"/>
      <c r="V57" s="155"/>
      <c r="W57" s="155">
        <v>13.64</v>
      </c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>
        <v>20.16</v>
      </c>
      <c r="AI57" s="155"/>
      <c r="AJ57" s="155"/>
      <c r="AK57" s="155"/>
      <c r="AL57" s="155" t="s">
        <v>231</v>
      </c>
      <c r="AM57" s="156" t="s">
        <v>197</v>
      </c>
      <c r="AN57" s="156"/>
      <c r="AO57" s="156"/>
    </row>
    <row r="58" spans="1:94" x14ac:dyDescent="0.3">
      <c r="A58" s="152"/>
      <c r="B58" s="217">
        <v>41902</v>
      </c>
      <c r="C58" s="154" t="s">
        <v>189</v>
      </c>
      <c r="D58" s="155" t="s">
        <v>221</v>
      </c>
      <c r="E58" s="155"/>
      <c r="F58" s="155" t="s">
        <v>219</v>
      </c>
      <c r="G58" s="153">
        <v>41894</v>
      </c>
      <c r="H58" s="156" t="s">
        <v>192</v>
      </c>
      <c r="I58" s="156" t="s">
        <v>193</v>
      </c>
      <c r="J58" s="156"/>
      <c r="K58" s="155" t="s">
        <v>305</v>
      </c>
      <c r="L58" s="159" t="s">
        <v>222</v>
      </c>
      <c r="M58" s="219">
        <v>110.21</v>
      </c>
      <c r="N58" s="159">
        <v>62.84</v>
      </c>
      <c r="O58" s="159"/>
      <c r="P58" s="159"/>
      <c r="Q58" s="159"/>
      <c r="R58" s="163"/>
      <c r="S58" s="159"/>
      <c r="T58" s="159"/>
      <c r="U58" s="159"/>
      <c r="V58" s="159"/>
      <c r="W58" s="159">
        <v>19.79</v>
      </c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159">
        <v>30.19</v>
      </c>
      <c r="AI58" s="159"/>
      <c r="AJ58" s="159"/>
      <c r="AK58" s="159"/>
      <c r="AL58" s="155" t="s">
        <v>231</v>
      </c>
      <c r="AM58" s="156" t="s">
        <v>197</v>
      </c>
      <c r="AN58" s="162"/>
      <c r="AO58" s="16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</row>
    <row r="59" spans="1:94" x14ac:dyDescent="0.3">
      <c r="A59" s="152"/>
      <c r="B59" s="217">
        <v>41902</v>
      </c>
      <c r="C59" s="154" t="s">
        <v>189</v>
      </c>
      <c r="D59" s="155" t="s">
        <v>221</v>
      </c>
      <c r="E59" s="155"/>
      <c r="F59" s="155" t="s">
        <v>219</v>
      </c>
      <c r="G59" s="153">
        <v>41820</v>
      </c>
      <c r="H59" s="156" t="s">
        <v>192</v>
      </c>
      <c r="I59" s="156"/>
      <c r="J59" s="156"/>
      <c r="K59" s="155" t="s">
        <v>306</v>
      </c>
      <c r="L59" s="159" t="s">
        <v>222</v>
      </c>
      <c r="M59" s="219">
        <v>103.98</v>
      </c>
      <c r="N59" s="219">
        <v>68.209999999999994</v>
      </c>
      <c r="O59" s="159"/>
      <c r="P59" s="159"/>
      <c r="Q59" s="159"/>
      <c r="R59" s="159"/>
      <c r="S59" s="159"/>
      <c r="T59" s="159"/>
      <c r="U59" s="159"/>
      <c r="V59" s="159"/>
      <c r="W59" s="219">
        <v>18.98</v>
      </c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219">
        <v>28.91</v>
      </c>
      <c r="AI59" s="159"/>
      <c r="AJ59" s="159"/>
      <c r="AK59" s="159"/>
      <c r="AL59" s="155" t="s">
        <v>231</v>
      </c>
      <c r="AM59" s="156" t="s">
        <v>197</v>
      </c>
      <c r="AN59" s="159"/>
      <c r="AO59" s="159"/>
    </row>
    <row r="60" spans="1:94" x14ac:dyDescent="0.3">
      <c r="A60" s="152"/>
      <c r="B60" s="217">
        <v>41902</v>
      </c>
      <c r="C60" s="154" t="s">
        <v>189</v>
      </c>
      <c r="D60" s="155" t="s">
        <v>221</v>
      </c>
      <c r="E60" s="159"/>
      <c r="F60" s="155" t="s">
        <v>219</v>
      </c>
      <c r="G60" s="153">
        <v>41880</v>
      </c>
      <c r="H60" s="156" t="s">
        <v>309</v>
      </c>
      <c r="I60" s="159"/>
      <c r="J60" s="159"/>
      <c r="K60" s="155" t="s">
        <v>307</v>
      </c>
      <c r="L60" s="159" t="s">
        <v>222</v>
      </c>
      <c r="M60" s="159">
        <v>101</v>
      </c>
      <c r="N60" s="159">
        <v>58.7</v>
      </c>
      <c r="O60" s="159"/>
      <c r="P60" s="159"/>
      <c r="Q60" s="159"/>
      <c r="R60" s="159"/>
      <c r="S60" s="159"/>
      <c r="T60" s="159"/>
      <c r="U60" s="159"/>
      <c r="V60" s="159"/>
      <c r="W60" s="159">
        <v>27.799999999999997</v>
      </c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>
        <v>31.299999999999997</v>
      </c>
      <c r="AI60" s="159"/>
      <c r="AJ60" s="159"/>
      <c r="AK60" s="159"/>
      <c r="AL60" s="155" t="s">
        <v>231</v>
      </c>
      <c r="AM60" s="156" t="s">
        <v>197</v>
      </c>
      <c r="AN60" s="159"/>
      <c r="AO60" s="159"/>
    </row>
    <row r="61" spans="1:94" x14ac:dyDescent="0.3">
      <c r="A61" s="152"/>
      <c r="B61" s="217">
        <v>41902</v>
      </c>
      <c r="C61" s="154" t="s">
        <v>189</v>
      </c>
      <c r="D61" s="155" t="s">
        <v>221</v>
      </c>
      <c r="E61" s="155"/>
      <c r="F61" s="155" t="s">
        <v>219</v>
      </c>
      <c r="G61" s="153">
        <v>41820</v>
      </c>
      <c r="H61" s="159"/>
      <c r="I61" s="159"/>
      <c r="J61" s="159"/>
      <c r="K61" s="155" t="s">
        <v>308</v>
      </c>
      <c r="L61" s="159" t="s">
        <v>222</v>
      </c>
      <c r="M61" s="159">
        <v>88</v>
      </c>
      <c r="N61" s="159">
        <v>60.046999999999997</v>
      </c>
      <c r="O61" s="159"/>
      <c r="P61" s="159"/>
      <c r="Q61" s="159"/>
      <c r="R61" s="159"/>
      <c r="S61" s="159"/>
      <c r="T61" s="159"/>
      <c r="U61" s="159"/>
      <c r="V61" s="159"/>
      <c r="W61" s="159">
        <v>28.131</v>
      </c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>
        <v>31.103000000000002</v>
      </c>
      <c r="AI61" s="159"/>
      <c r="AJ61" s="159"/>
      <c r="AK61" s="159"/>
      <c r="AL61" s="155" t="s">
        <v>231</v>
      </c>
      <c r="AM61" s="156" t="s">
        <v>197</v>
      </c>
      <c r="AN61" s="159"/>
      <c r="AO61" s="159"/>
    </row>
    <row r="62" spans="1:94" x14ac:dyDescent="0.3">
      <c r="N62" s="220"/>
    </row>
  </sheetData>
  <sheetProtection algorithmName="SHA-512" hashValue="ex4NsCUHJ0i0nL3K1IiMov6VtpI+KCEeuhQ1Psa2wfxzBan9k0a1mZ7ZzaZfTEPtstk4lTf5LhS+1ZSAhTGqZQ==" saltValue="dITztq8yl+RwBbkr25YfHA==" spinCount="100000" sheet="1" objects="1" scenarios="1"/>
  <pageMargins left="0.75" right="0.75" top="1" bottom="1" header="0.5" footer="0.5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7194F-5477-3D4E-A687-686A421473F8}">
  <sheetPr codeName="Sheet33"/>
  <dimension ref="A1:CP61"/>
  <sheetViews>
    <sheetView zoomScaleNormal="110" workbookViewId="0">
      <selection activeCell="C45" sqref="A45:XFD45"/>
    </sheetView>
  </sheetViews>
  <sheetFormatPr defaultColWidth="11" defaultRowHeight="13.5" x14ac:dyDescent="0.3"/>
  <cols>
    <col min="12" max="12" width="14.4609375" customWidth="1"/>
    <col min="13" max="13" width="12.3046875" bestFit="1" customWidth="1"/>
    <col min="38" max="38" width="15.84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4136</v>
      </c>
      <c r="B2" s="217">
        <v>41902</v>
      </c>
      <c r="C2" s="154" t="s">
        <v>189</v>
      </c>
      <c r="D2" s="155" t="s">
        <v>233</v>
      </c>
      <c r="E2" s="155"/>
      <c r="F2" s="155" t="s">
        <v>191</v>
      </c>
      <c r="G2" s="164">
        <v>41829</v>
      </c>
      <c r="H2" s="156" t="s">
        <v>192</v>
      </c>
      <c r="I2" s="156" t="s">
        <v>193</v>
      </c>
      <c r="J2" s="156"/>
      <c r="K2" s="155" t="s">
        <v>194</v>
      </c>
      <c r="L2" s="159" t="s">
        <v>222</v>
      </c>
      <c r="M2" s="159">
        <v>99</v>
      </c>
      <c r="N2" s="159">
        <v>22.99</v>
      </c>
      <c r="O2" s="155"/>
      <c r="P2" s="159"/>
      <c r="Q2" s="159"/>
      <c r="R2" s="163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5"/>
      <c r="AJ2" s="155"/>
      <c r="AK2" s="155"/>
      <c r="AL2" s="155" t="s">
        <v>196</v>
      </c>
      <c r="AM2" s="156" t="s">
        <v>197</v>
      </c>
      <c r="AN2" s="156"/>
      <c r="AO2" s="230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2005</v>
      </c>
      <c r="B3" s="217">
        <v>41902</v>
      </c>
      <c r="C3" s="154" t="s">
        <v>189</v>
      </c>
      <c r="D3" s="155" t="s">
        <v>233</v>
      </c>
      <c r="E3" s="155"/>
      <c r="F3" s="155" t="s">
        <v>191</v>
      </c>
      <c r="G3" s="153">
        <v>41820</v>
      </c>
      <c r="H3" s="156" t="s">
        <v>192</v>
      </c>
      <c r="I3" s="156" t="s">
        <v>193</v>
      </c>
      <c r="J3" s="156"/>
      <c r="K3" s="155" t="s">
        <v>198</v>
      </c>
      <c r="L3" s="159" t="s">
        <v>222</v>
      </c>
      <c r="M3" s="155">
        <v>84</v>
      </c>
      <c r="N3" s="155">
        <v>28.9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230"/>
    </row>
    <row r="4" spans="1:94" x14ac:dyDescent="0.3">
      <c r="A4" s="152">
        <v>2559</v>
      </c>
      <c r="B4" s="217">
        <v>41902</v>
      </c>
      <c r="C4" s="154" t="s">
        <v>189</v>
      </c>
      <c r="D4" s="155" t="s">
        <v>233</v>
      </c>
      <c r="E4" s="155"/>
      <c r="F4" s="155" t="s">
        <v>191</v>
      </c>
      <c r="G4" s="164">
        <v>41852</v>
      </c>
      <c r="H4" s="156" t="s">
        <v>193</v>
      </c>
      <c r="I4" s="156" t="s">
        <v>199</v>
      </c>
      <c r="J4" s="156"/>
      <c r="K4" s="155" t="s">
        <v>200</v>
      </c>
      <c r="L4" s="155" t="s">
        <v>195</v>
      </c>
      <c r="M4" s="155">
        <v>83</v>
      </c>
      <c r="N4" s="221">
        <v>28.04</v>
      </c>
      <c r="O4" s="155" t="s">
        <v>201</v>
      </c>
      <c r="P4" s="155">
        <v>1000</v>
      </c>
      <c r="Q4" s="221">
        <v>28.04</v>
      </c>
      <c r="R4" s="157">
        <v>1750</v>
      </c>
      <c r="S4" s="221">
        <v>28.04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230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3226</v>
      </c>
      <c r="B5" s="217">
        <v>41902</v>
      </c>
      <c r="C5" s="154" t="s">
        <v>189</v>
      </c>
      <c r="D5" s="155" t="s">
        <v>233</v>
      </c>
      <c r="E5" s="155"/>
      <c r="F5" s="155" t="s">
        <v>191</v>
      </c>
      <c r="G5" s="153">
        <v>41880</v>
      </c>
      <c r="H5" s="156" t="s">
        <v>193</v>
      </c>
      <c r="I5" s="156" t="s">
        <v>199</v>
      </c>
      <c r="J5" s="156"/>
      <c r="K5" s="155" t="s">
        <v>203</v>
      </c>
      <c r="L5" s="159" t="s">
        <v>222</v>
      </c>
      <c r="M5" s="159">
        <v>86</v>
      </c>
      <c r="N5" s="159">
        <v>37.700000000000003</v>
      </c>
      <c r="O5" s="155"/>
      <c r="P5" s="159"/>
      <c r="Q5" s="155"/>
      <c r="R5" s="163"/>
      <c r="S5" s="159"/>
      <c r="T5" s="159"/>
      <c r="U5" s="234">
        <v>94.6</v>
      </c>
      <c r="V5" s="234">
        <f>U5/11</f>
        <v>8.6</v>
      </c>
      <c r="W5" s="234">
        <f>U5-V5</f>
        <v>86</v>
      </c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5" t="s">
        <v>196</v>
      </c>
      <c r="AM5" s="156" t="s">
        <v>197</v>
      </c>
      <c r="AN5" s="156"/>
      <c r="AO5" s="230"/>
    </row>
    <row r="6" spans="1:94" x14ac:dyDescent="0.3">
      <c r="A6" s="152">
        <v>1473</v>
      </c>
      <c r="B6" s="217">
        <v>41902</v>
      </c>
      <c r="C6" s="154" t="s">
        <v>189</v>
      </c>
      <c r="D6" s="155" t="s">
        <v>233</v>
      </c>
      <c r="E6" s="155"/>
      <c r="F6" s="155" t="s">
        <v>191</v>
      </c>
      <c r="G6" s="153">
        <v>41639</v>
      </c>
      <c r="H6" s="156" t="s">
        <v>192</v>
      </c>
      <c r="I6" s="156" t="s">
        <v>193</v>
      </c>
      <c r="J6" s="156"/>
      <c r="K6" s="159" t="s">
        <v>204</v>
      </c>
      <c r="L6" s="159" t="s">
        <v>222</v>
      </c>
      <c r="M6" s="219">
        <v>103.48</v>
      </c>
      <c r="N6" s="159">
        <v>34.97</v>
      </c>
      <c r="O6" s="155" t="s">
        <v>201</v>
      </c>
      <c r="P6" s="159">
        <v>1750</v>
      </c>
      <c r="Q6" s="159">
        <v>34.869999999999997</v>
      </c>
      <c r="R6" s="193">
        <v>1750</v>
      </c>
      <c r="S6" s="193">
        <v>34.869999999999997</v>
      </c>
      <c r="T6" s="159"/>
      <c r="U6" s="234">
        <v>41.47</v>
      </c>
      <c r="V6" s="234">
        <f>U6/11</f>
        <v>3.77</v>
      </c>
      <c r="W6" s="234">
        <f>U6-V6</f>
        <v>37.699999999999996</v>
      </c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231"/>
    </row>
    <row r="7" spans="1:94" x14ac:dyDescent="0.3">
      <c r="A7" s="152">
        <v>4654</v>
      </c>
      <c r="B7" s="217">
        <v>41902</v>
      </c>
      <c r="C7" s="154" t="s">
        <v>189</v>
      </c>
      <c r="D7" s="155" t="s">
        <v>233</v>
      </c>
      <c r="E7" s="155"/>
      <c r="F7" s="155" t="s">
        <v>191</v>
      </c>
      <c r="G7" s="153">
        <v>41820</v>
      </c>
      <c r="H7" s="156" t="s">
        <v>192</v>
      </c>
      <c r="I7" s="156" t="s">
        <v>193</v>
      </c>
      <c r="J7" s="156"/>
      <c r="K7" s="159" t="s">
        <v>205</v>
      </c>
      <c r="L7" s="159" t="s">
        <v>222</v>
      </c>
      <c r="M7" s="159">
        <v>100</v>
      </c>
      <c r="N7" s="159">
        <v>27.7</v>
      </c>
      <c r="O7" s="155"/>
      <c r="P7" s="159"/>
      <c r="Q7" s="159"/>
      <c r="R7" s="163"/>
      <c r="S7" s="159"/>
      <c r="T7" s="159"/>
      <c r="U7" s="234"/>
      <c r="V7" s="234"/>
      <c r="W7" s="234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231"/>
    </row>
    <row r="8" spans="1:94" x14ac:dyDescent="0.3">
      <c r="A8" s="152">
        <v>1445</v>
      </c>
      <c r="B8" s="217">
        <v>41902</v>
      </c>
      <c r="C8" s="154" t="s">
        <v>189</v>
      </c>
      <c r="D8" s="155" t="s">
        <v>233</v>
      </c>
      <c r="E8" s="155"/>
      <c r="F8" s="155" t="s">
        <v>191</v>
      </c>
      <c r="G8" s="153">
        <v>41820</v>
      </c>
      <c r="H8" s="156" t="s">
        <v>192</v>
      </c>
      <c r="I8" s="156" t="s">
        <v>193</v>
      </c>
      <c r="J8" s="156"/>
      <c r="K8" s="155" t="s">
        <v>206</v>
      </c>
      <c r="L8" s="159" t="s">
        <v>222</v>
      </c>
      <c r="M8" s="159">
        <v>89.5</v>
      </c>
      <c r="N8" s="159">
        <v>25.66</v>
      </c>
      <c r="O8" s="155" t="s">
        <v>201</v>
      </c>
      <c r="P8" s="159">
        <v>300</v>
      </c>
      <c r="Q8" s="159">
        <v>26.98</v>
      </c>
      <c r="R8" s="163">
        <v>1020</v>
      </c>
      <c r="S8" s="159">
        <v>28.49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231"/>
    </row>
    <row r="9" spans="1:94" x14ac:dyDescent="0.3">
      <c r="A9" s="152">
        <v>1485</v>
      </c>
      <c r="B9" s="217">
        <v>41902</v>
      </c>
      <c r="C9" s="154" t="s">
        <v>189</v>
      </c>
      <c r="D9" s="155" t="s">
        <v>233</v>
      </c>
      <c r="E9" s="155"/>
      <c r="F9" s="155" t="s">
        <v>191</v>
      </c>
      <c r="G9" s="153">
        <v>41639</v>
      </c>
      <c r="H9" s="156" t="s">
        <v>192</v>
      </c>
      <c r="I9" s="156" t="s">
        <v>193</v>
      </c>
      <c r="J9" s="156"/>
      <c r="K9" s="159" t="s">
        <v>207</v>
      </c>
      <c r="L9" s="159" t="s">
        <v>222</v>
      </c>
      <c r="M9" s="159">
        <v>99.5</v>
      </c>
      <c r="N9" s="159">
        <v>33.53</v>
      </c>
      <c r="O9" s="155" t="s">
        <v>201</v>
      </c>
      <c r="P9" s="159">
        <v>1750</v>
      </c>
      <c r="Q9" s="159">
        <v>33.53</v>
      </c>
      <c r="R9" s="193">
        <v>1750</v>
      </c>
      <c r="S9" s="193">
        <v>33.53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231"/>
    </row>
    <row r="10" spans="1:94" x14ac:dyDescent="0.3">
      <c r="A10" s="152">
        <v>1255</v>
      </c>
      <c r="B10" s="217">
        <v>41902</v>
      </c>
      <c r="C10" s="154" t="s">
        <v>189</v>
      </c>
      <c r="D10" s="155" t="s">
        <v>233</v>
      </c>
      <c r="E10" s="155"/>
      <c r="F10" s="155" t="s">
        <v>191</v>
      </c>
      <c r="G10" s="153">
        <v>41640</v>
      </c>
      <c r="H10" s="156" t="s">
        <v>192</v>
      </c>
      <c r="I10" s="156" t="s">
        <v>193</v>
      </c>
      <c r="J10" s="156"/>
      <c r="K10" s="155" t="s">
        <v>208</v>
      </c>
      <c r="L10" s="159" t="s">
        <v>222</v>
      </c>
      <c r="M10" s="159">
        <v>87.3</v>
      </c>
      <c r="N10" s="159">
        <v>29.78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230"/>
    </row>
    <row r="11" spans="1:94" x14ac:dyDescent="0.3">
      <c r="A11" s="152">
        <v>3103</v>
      </c>
      <c r="B11" s="217">
        <v>41902</v>
      </c>
      <c r="C11" s="154" t="s">
        <v>189</v>
      </c>
      <c r="D11" s="155" t="s">
        <v>233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9" t="s">
        <v>222</v>
      </c>
      <c r="M11" s="159">
        <v>187.96</v>
      </c>
      <c r="N11" s="159">
        <v>24.24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231"/>
    </row>
    <row r="12" spans="1:94" x14ac:dyDescent="0.3">
      <c r="A12" s="152">
        <v>1423</v>
      </c>
      <c r="B12" s="217">
        <v>41902</v>
      </c>
      <c r="C12" s="154" t="s">
        <v>189</v>
      </c>
      <c r="D12" s="155" t="s">
        <v>233</v>
      </c>
      <c r="E12" s="155"/>
      <c r="F12" s="155" t="s">
        <v>191</v>
      </c>
      <c r="G12" s="153">
        <v>41820</v>
      </c>
      <c r="H12" s="156" t="s">
        <v>192</v>
      </c>
      <c r="I12" s="156" t="s">
        <v>193</v>
      </c>
      <c r="J12" s="156"/>
      <c r="K12" s="159" t="s">
        <v>210</v>
      </c>
      <c r="L12" s="159" t="s">
        <v>222</v>
      </c>
      <c r="M12" s="159">
        <v>83.59</v>
      </c>
      <c r="N12" s="159">
        <v>28.86</v>
      </c>
      <c r="O12" s="155" t="s">
        <v>201</v>
      </c>
      <c r="P12" s="159">
        <v>600</v>
      </c>
      <c r="Q12" s="159">
        <v>28.28</v>
      </c>
      <c r="R12" s="193">
        <v>600</v>
      </c>
      <c r="S12" s="193">
        <v>28.28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 t="s">
        <v>197</v>
      </c>
      <c r="AN12" s="162"/>
      <c r="AO12" s="231"/>
    </row>
    <row r="13" spans="1:94" x14ac:dyDescent="0.3">
      <c r="A13" s="152">
        <v>2267</v>
      </c>
      <c r="B13" s="217">
        <v>41902</v>
      </c>
      <c r="C13" s="154" t="s">
        <v>223</v>
      </c>
      <c r="D13" s="155" t="s">
        <v>233</v>
      </c>
      <c r="E13" s="155"/>
      <c r="F13" s="155" t="s">
        <v>225</v>
      </c>
      <c r="G13" s="153">
        <v>41820</v>
      </c>
      <c r="H13" s="156" t="s">
        <v>226</v>
      </c>
      <c r="I13" s="156" t="s">
        <v>227</v>
      </c>
      <c r="J13" s="156"/>
      <c r="K13" s="155" t="s">
        <v>228</v>
      </c>
      <c r="L13" s="159" t="s">
        <v>222</v>
      </c>
      <c r="M13" s="155">
        <v>82.89</v>
      </c>
      <c r="N13" s="155">
        <v>27.09</v>
      </c>
      <c r="O13" s="155"/>
      <c r="P13" s="155"/>
      <c r="Q13" s="155"/>
      <c r="R13" s="159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230"/>
    </row>
    <row r="14" spans="1:94" x14ac:dyDescent="0.3">
      <c r="A14" s="152">
        <v>3750</v>
      </c>
      <c r="B14" s="217">
        <v>41902</v>
      </c>
      <c r="C14" s="154" t="s">
        <v>189</v>
      </c>
      <c r="D14" s="155" t="s">
        <v>233</v>
      </c>
      <c r="E14" s="155"/>
      <c r="F14" s="155" t="s">
        <v>191</v>
      </c>
      <c r="G14" s="153">
        <v>41823</v>
      </c>
      <c r="H14" s="156" t="s">
        <v>192</v>
      </c>
      <c r="I14" s="156" t="s">
        <v>193</v>
      </c>
      <c r="J14" s="156"/>
      <c r="K14" s="155" t="s">
        <v>212</v>
      </c>
      <c r="L14" s="159" t="s">
        <v>222</v>
      </c>
      <c r="M14" s="159">
        <v>84</v>
      </c>
      <c r="N14" s="159">
        <v>28.9</v>
      </c>
      <c r="O14" s="155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230"/>
    </row>
    <row r="15" spans="1:94" x14ac:dyDescent="0.3">
      <c r="A15" s="152">
        <v>1461</v>
      </c>
      <c r="B15" s="217">
        <v>41902</v>
      </c>
      <c r="C15" s="154" t="s">
        <v>189</v>
      </c>
      <c r="D15" s="155" t="s">
        <v>233</v>
      </c>
      <c r="E15" s="155"/>
      <c r="F15" s="155" t="s">
        <v>191</v>
      </c>
      <c r="G15" s="153">
        <v>41820</v>
      </c>
      <c r="H15" s="156" t="s">
        <v>192</v>
      </c>
      <c r="I15" s="156" t="s">
        <v>193</v>
      </c>
      <c r="J15" s="156"/>
      <c r="K15" s="159" t="s">
        <v>213</v>
      </c>
      <c r="L15" s="159" t="s">
        <v>222</v>
      </c>
      <c r="M15" s="159">
        <v>93.31</v>
      </c>
      <c r="N15" s="159">
        <v>25.02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231"/>
    </row>
    <row r="16" spans="1:94" x14ac:dyDescent="0.3">
      <c r="A16" s="152">
        <v>1397</v>
      </c>
      <c r="B16" s="217">
        <v>41902</v>
      </c>
      <c r="C16" s="154" t="s">
        <v>189</v>
      </c>
      <c r="D16" s="155" t="s">
        <v>233</v>
      </c>
      <c r="E16" s="155"/>
      <c r="F16" s="155" t="s">
        <v>191</v>
      </c>
      <c r="G16" s="229">
        <v>41879</v>
      </c>
      <c r="H16" s="156" t="s">
        <v>192</v>
      </c>
      <c r="I16" s="156" t="s">
        <v>193</v>
      </c>
      <c r="J16" s="156"/>
      <c r="K16" s="155" t="s">
        <v>214</v>
      </c>
      <c r="L16" s="159" t="s">
        <v>222</v>
      </c>
      <c r="M16" s="219">
        <v>80.58</v>
      </c>
      <c r="N16" s="219">
        <v>28.05</v>
      </c>
      <c r="O16" s="155" t="s">
        <v>201</v>
      </c>
      <c r="P16" s="159">
        <v>1000</v>
      </c>
      <c r="Q16" s="219">
        <v>27.34</v>
      </c>
      <c r="R16" s="157">
        <v>1750</v>
      </c>
      <c r="S16" s="219">
        <v>27.24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231"/>
    </row>
    <row r="17" spans="1:94" x14ac:dyDescent="0.3">
      <c r="A17" s="152">
        <v>3601</v>
      </c>
      <c r="B17" s="217">
        <v>41902</v>
      </c>
      <c r="C17" s="154" t="s">
        <v>189</v>
      </c>
      <c r="D17" s="155" t="s">
        <v>233</v>
      </c>
      <c r="E17" s="155"/>
      <c r="F17" s="155" t="s">
        <v>191</v>
      </c>
      <c r="G17" s="153">
        <v>41822</v>
      </c>
      <c r="H17" s="156" t="s">
        <v>192</v>
      </c>
      <c r="I17" s="156" t="s">
        <v>193</v>
      </c>
      <c r="J17" s="156"/>
      <c r="K17" s="155" t="s">
        <v>215</v>
      </c>
      <c r="L17" s="159" t="s">
        <v>222</v>
      </c>
      <c r="M17" s="159">
        <v>78.599999999999994</v>
      </c>
      <c r="N17" s="159">
        <v>27.96</v>
      </c>
      <c r="O17" s="155" t="s">
        <v>201</v>
      </c>
      <c r="P17" s="159">
        <v>1000</v>
      </c>
      <c r="Q17" s="159">
        <v>27.05</v>
      </c>
      <c r="R17" s="163">
        <v>1700</v>
      </c>
      <c r="S17" s="159">
        <v>25.35</v>
      </c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5"/>
      <c r="AJ17" s="155"/>
      <c r="AK17" s="155"/>
      <c r="AL17" s="155" t="s">
        <v>196</v>
      </c>
      <c r="AM17" s="156" t="s">
        <v>197</v>
      </c>
      <c r="AN17" s="156"/>
      <c r="AO17" s="230"/>
    </row>
    <row r="18" spans="1:94" x14ac:dyDescent="0.3">
      <c r="A18" s="152"/>
      <c r="B18" s="217">
        <v>41902</v>
      </c>
      <c r="C18" s="154" t="s">
        <v>189</v>
      </c>
      <c r="D18" s="155" t="s">
        <v>233</v>
      </c>
      <c r="E18" s="155"/>
      <c r="F18" s="155" t="s">
        <v>191</v>
      </c>
      <c r="G18" s="153">
        <v>41884</v>
      </c>
      <c r="H18" s="156" t="s">
        <v>192</v>
      </c>
      <c r="I18" s="156"/>
      <c r="J18" s="156"/>
      <c r="K18" s="155" t="s">
        <v>305</v>
      </c>
      <c r="L18" s="155" t="s">
        <v>195</v>
      </c>
      <c r="M18" s="159">
        <v>102.4</v>
      </c>
      <c r="N18" s="159">
        <v>32.5</v>
      </c>
      <c r="O18" s="155" t="s">
        <v>201</v>
      </c>
      <c r="P18" s="159">
        <v>1000</v>
      </c>
      <c r="Q18" s="219">
        <v>31.34</v>
      </c>
      <c r="R18" s="163">
        <v>1750</v>
      </c>
      <c r="S18" s="219">
        <v>30.29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231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/>
      <c r="B19" s="217">
        <v>41902</v>
      </c>
      <c r="C19" s="154" t="s">
        <v>189</v>
      </c>
      <c r="D19" s="155" t="s">
        <v>233</v>
      </c>
      <c r="E19" s="155"/>
      <c r="F19" s="155" t="s">
        <v>191</v>
      </c>
      <c r="G19" s="153">
        <v>41820</v>
      </c>
      <c r="H19" s="223" t="s">
        <v>310</v>
      </c>
      <c r="I19" s="156"/>
      <c r="J19" s="156"/>
      <c r="K19" s="155" t="s">
        <v>306</v>
      </c>
      <c r="L19" s="155" t="s">
        <v>195</v>
      </c>
      <c r="M19" s="219">
        <v>87.02</v>
      </c>
      <c r="N19" s="159">
        <v>35.1</v>
      </c>
      <c r="O19" s="155"/>
      <c r="P19" s="159"/>
      <c r="Q19" s="159"/>
      <c r="R19" s="155"/>
      <c r="S19" s="155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5" t="s">
        <v>196</v>
      </c>
      <c r="AM19" s="156" t="s">
        <v>197</v>
      </c>
      <c r="AN19" s="162"/>
      <c r="AO19" s="231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/>
      <c r="B20" s="217">
        <v>41902</v>
      </c>
      <c r="C20" s="154" t="s">
        <v>189</v>
      </c>
      <c r="D20" s="155" t="s">
        <v>233</v>
      </c>
      <c r="E20" s="155"/>
      <c r="F20" s="155" t="s">
        <v>191</v>
      </c>
      <c r="G20" s="153">
        <v>41880</v>
      </c>
      <c r="H20" s="223" t="s">
        <v>309</v>
      </c>
      <c r="I20" s="156"/>
      <c r="J20" s="156"/>
      <c r="K20" s="155" t="s">
        <v>307</v>
      </c>
      <c r="L20" s="155" t="s">
        <v>195</v>
      </c>
      <c r="M20" s="159">
        <v>86</v>
      </c>
      <c r="N20" s="159">
        <v>37.700000000000003</v>
      </c>
      <c r="O20" s="155"/>
      <c r="P20" s="159"/>
      <c r="Q20" s="159"/>
      <c r="R20" s="155"/>
      <c r="S20" s="155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5" t="s">
        <v>196</v>
      </c>
      <c r="AM20" s="156" t="s">
        <v>197</v>
      </c>
      <c r="AN20" s="162"/>
      <c r="AO20" s="231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</row>
    <row r="21" spans="1:94" x14ac:dyDescent="0.3">
      <c r="A21" s="152"/>
      <c r="B21" s="217">
        <v>41902</v>
      </c>
      <c r="C21" s="154" t="s">
        <v>189</v>
      </c>
      <c r="D21" s="155" t="s">
        <v>233</v>
      </c>
      <c r="E21" s="155"/>
      <c r="F21" s="155" t="s">
        <v>191</v>
      </c>
      <c r="G21" s="153">
        <v>41820</v>
      </c>
      <c r="H21" s="156"/>
      <c r="I21" s="156"/>
      <c r="J21" s="156"/>
      <c r="K21" s="155" t="s">
        <v>308</v>
      </c>
      <c r="L21" s="155" t="s">
        <v>195</v>
      </c>
      <c r="M21" s="159">
        <v>88</v>
      </c>
      <c r="N21" s="159">
        <v>37.218000000000004</v>
      </c>
      <c r="O21" s="227"/>
      <c r="P21" s="159"/>
      <c r="Q21" s="159"/>
      <c r="R21" s="155"/>
      <c r="S21" s="155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5" t="s">
        <v>196</v>
      </c>
      <c r="AM21" s="156" t="s">
        <v>197</v>
      </c>
      <c r="AN21" s="162"/>
      <c r="AO21" s="231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4137</v>
      </c>
      <c r="B22" s="226">
        <v>41902</v>
      </c>
      <c r="C22" s="154" t="s">
        <v>189</v>
      </c>
      <c r="D22" s="155" t="s">
        <v>233</v>
      </c>
      <c r="E22" s="155"/>
      <c r="F22" s="155" t="s">
        <v>217</v>
      </c>
      <c r="G22" s="164">
        <v>41829</v>
      </c>
      <c r="H22" s="156" t="s">
        <v>192</v>
      </c>
      <c r="I22" s="156" t="s">
        <v>193</v>
      </c>
      <c r="J22" s="156"/>
      <c r="K22" s="155" t="s">
        <v>194</v>
      </c>
      <c r="L22" s="159" t="s">
        <v>222</v>
      </c>
      <c r="M22" s="155">
        <v>101</v>
      </c>
      <c r="N22" s="159">
        <v>22.99</v>
      </c>
      <c r="O22" s="155"/>
      <c r="P22" s="159"/>
      <c r="Q22" s="159"/>
      <c r="R22" s="163"/>
      <c r="S22" s="159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>
        <v>15.99</v>
      </c>
      <c r="AF22" s="159"/>
      <c r="AG22" s="159"/>
      <c r="AH22" s="159"/>
      <c r="AI22" s="155"/>
      <c r="AJ22" s="155"/>
      <c r="AK22" s="155"/>
      <c r="AL22" s="155" t="s">
        <v>218</v>
      </c>
      <c r="AM22" s="156" t="s">
        <v>197</v>
      </c>
      <c r="AN22" s="156"/>
      <c r="AO22" s="230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</row>
    <row r="23" spans="1:94" x14ac:dyDescent="0.3">
      <c r="A23" s="152">
        <v>2006</v>
      </c>
      <c r="B23" s="226">
        <v>41902</v>
      </c>
      <c r="C23" s="154" t="s">
        <v>189</v>
      </c>
      <c r="D23" s="155" t="s">
        <v>233</v>
      </c>
      <c r="E23" s="155"/>
      <c r="F23" s="155" t="s">
        <v>217</v>
      </c>
      <c r="G23" s="153">
        <v>41820</v>
      </c>
      <c r="H23" s="156" t="s">
        <v>192</v>
      </c>
      <c r="I23" s="156" t="s">
        <v>193</v>
      </c>
      <c r="J23" s="156"/>
      <c r="K23" s="155" t="s">
        <v>198</v>
      </c>
      <c r="L23" s="159" t="s">
        <v>222</v>
      </c>
      <c r="M23" s="155">
        <v>90</v>
      </c>
      <c r="N23" s="155">
        <v>28.9</v>
      </c>
      <c r="O23" s="155"/>
      <c r="P23" s="155"/>
      <c r="Q23" s="155"/>
      <c r="R23" s="157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>
        <v>11.97</v>
      </c>
      <c r="AF23" s="155"/>
      <c r="AG23" s="155"/>
      <c r="AH23" s="155"/>
      <c r="AI23" s="155"/>
      <c r="AJ23" s="155"/>
      <c r="AK23" s="155"/>
      <c r="AL23" s="155" t="s">
        <v>218</v>
      </c>
      <c r="AM23" s="156" t="s">
        <v>197</v>
      </c>
      <c r="AN23" s="156"/>
      <c r="AO23" s="230"/>
    </row>
    <row r="24" spans="1:94" x14ac:dyDescent="0.3">
      <c r="A24" s="152">
        <v>2560</v>
      </c>
      <c r="B24" s="217">
        <v>41902</v>
      </c>
      <c r="C24" s="154" t="s">
        <v>189</v>
      </c>
      <c r="D24" s="155" t="s">
        <v>233</v>
      </c>
      <c r="E24" s="155"/>
      <c r="F24" s="155" t="s">
        <v>217</v>
      </c>
      <c r="G24" s="164">
        <v>41852</v>
      </c>
      <c r="H24" s="156" t="s">
        <v>193</v>
      </c>
      <c r="I24" s="156" t="s">
        <v>199</v>
      </c>
      <c r="J24" s="156"/>
      <c r="K24" s="155" t="s">
        <v>200</v>
      </c>
      <c r="L24" s="155" t="s">
        <v>195</v>
      </c>
      <c r="M24" s="221">
        <v>89.14</v>
      </c>
      <c r="N24" s="155">
        <v>28.04</v>
      </c>
      <c r="O24" s="155" t="s">
        <v>201</v>
      </c>
      <c r="P24" s="155">
        <v>1000</v>
      </c>
      <c r="Q24" s="155">
        <v>28.04</v>
      </c>
      <c r="R24" s="157">
        <v>1750</v>
      </c>
      <c r="S24" s="155">
        <v>28.04</v>
      </c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>
        <v>9.61</v>
      </c>
      <c r="AF24" s="155"/>
      <c r="AG24" s="155"/>
      <c r="AH24" s="155"/>
      <c r="AI24" s="155"/>
      <c r="AJ24" s="155"/>
      <c r="AK24" s="155"/>
      <c r="AL24" s="155" t="s">
        <v>218</v>
      </c>
      <c r="AM24" s="156" t="s">
        <v>197</v>
      </c>
      <c r="AN24" s="156"/>
      <c r="AO24" s="230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</row>
    <row r="25" spans="1:94" x14ac:dyDescent="0.3">
      <c r="A25" s="152">
        <v>3227</v>
      </c>
      <c r="B25" s="217">
        <v>41902</v>
      </c>
      <c r="C25" s="154" t="s">
        <v>189</v>
      </c>
      <c r="D25" s="155" t="s">
        <v>233</v>
      </c>
      <c r="E25" s="155"/>
      <c r="F25" s="155" t="s">
        <v>217</v>
      </c>
      <c r="G25" s="153">
        <v>41880</v>
      </c>
      <c r="H25" s="156" t="s">
        <v>193</v>
      </c>
      <c r="I25" s="156" t="s">
        <v>199</v>
      </c>
      <c r="J25" s="156"/>
      <c r="K25" s="155" t="s">
        <v>203</v>
      </c>
      <c r="L25" s="159" t="s">
        <v>222</v>
      </c>
      <c r="M25" s="159">
        <v>92</v>
      </c>
      <c r="N25" s="159">
        <v>37.700000000000003</v>
      </c>
      <c r="O25" s="155"/>
      <c r="P25" s="159"/>
      <c r="Q25" s="155"/>
      <c r="R25" s="163"/>
      <c r="S25" s="159"/>
      <c r="T25" s="159"/>
      <c r="U25" s="159"/>
      <c r="V25" s="159"/>
      <c r="W25" s="155"/>
      <c r="X25" s="159"/>
      <c r="Y25" s="159"/>
      <c r="Z25" s="159"/>
      <c r="AA25" s="159"/>
      <c r="AB25" s="159"/>
      <c r="AC25" s="159"/>
      <c r="AD25" s="159"/>
      <c r="AE25" s="155">
        <v>23.6</v>
      </c>
      <c r="AF25" s="159"/>
      <c r="AG25" s="159"/>
      <c r="AH25" s="155"/>
      <c r="AI25" s="155"/>
      <c r="AJ25" s="155"/>
      <c r="AK25" s="159"/>
      <c r="AL25" s="155" t="s">
        <v>218</v>
      </c>
      <c r="AM25" s="156" t="s">
        <v>197</v>
      </c>
      <c r="AN25" s="156"/>
      <c r="AO25" s="230"/>
    </row>
    <row r="26" spans="1:94" x14ac:dyDescent="0.3">
      <c r="A26" s="152">
        <v>1474</v>
      </c>
      <c r="B26" s="217">
        <v>41902</v>
      </c>
      <c r="C26" s="154" t="s">
        <v>189</v>
      </c>
      <c r="D26" s="155" t="s">
        <v>233</v>
      </c>
      <c r="E26" s="155"/>
      <c r="F26" s="155" t="s">
        <v>217</v>
      </c>
      <c r="G26" s="153">
        <v>41639</v>
      </c>
      <c r="H26" s="156" t="s">
        <v>192</v>
      </c>
      <c r="I26" s="156" t="s">
        <v>193</v>
      </c>
      <c r="J26" s="156"/>
      <c r="K26" s="159" t="s">
        <v>204</v>
      </c>
      <c r="L26" s="159" t="s">
        <v>222</v>
      </c>
      <c r="M26" s="159">
        <v>109.2</v>
      </c>
      <c r="N26" s="159">
        <v>34.869999999999997</v>
      </c>
      <c r="O26" s="155" t="s">
        <v>201</v>
      </c>
      <c r="P26" s="159">
        <v>1750</v>
      </c>
      <c r="Q26" s="159">
        <v>34.869999999999997</v>
      </c>
      <c r="R26" s="193">
        <v>1750</v>
      </c>
      <c r="S26" s="193">
        <v>34.869999999999997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15.33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231"/>
    </row>
    <row r="27" spans="1:94" x14ac:dyDescent="0.3">
      <c r="A27" s="152">
        <v>4655</v>
      </c>
      <c r="B27" s="217">
        <v>41902</v>
      </c>
      <c r="C27" s="154" t="s">
        <v>189</v>
      </c>
      <c r="D27" s="155" t="s">
        <v>233</v>
      </c>
      <c r="E27" s="155"/>
      <c r="F27" s="155" t="s">
        <v>217</v>
      </c>
      <c r="G27" s="153">
        <v>41820</v>
      </c>
      <c r="H27" s="156" t="s">
        <v>192</v>
      </c>
      <c r="I27" s="156" t="s">
        <v>193</v>
      </c>
      <c r="J27" s="156"/>
      <c r="K27" s="159" t="s">
        <v>205</v>
      </c>
      <c r="L27" s="159" t="s">
        <v>222</v>
      </c>
      <c r="M27" s="159">
        <v>105.5</v>
      </c>
      <c r="N27" s="159">
        <v>27.7</v>
      </c>
      <c r="O27" s="155"/>
      <c r="P27" s="159"/>
      <c r="Q27" s="159"/>
      <c r="R27" s="163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>
        <v>17.399999999999999</v>
      </c>
      <c r="AF27" s="159"/>
      <c r="AG27" s="159"/>
      <c r="AH27" s="159"/>
      <c r="AI27" s="159"/>
      <c r="AJ27" s="159"/>
      <c r="AK27" s="159"/>
      <c r="AL27" s="155" t="s">
        <v>218</v>
      </c>
      <c r="AM27" s="162" t="s">
        <v>197</v>
      </c>
      <c r="AN27" s="162"/>
      <c r="AO27" s="231"/>
    </row>
    <row r="28" spans="1:94" x14ac:dyDescent="0.3">
      <c r="A28" s="152">
        <v>1446</v>
      </c>
      <c r="B28" s="217">
        <v>41902</v>
      </c>
      <c r="C28" s="154" t="s">
        <v>189</v>
      </c>
      <c r="D28" s="155" t="s">
        <v>233</v>
      </c>
      <c r="E28" s="155"/>
      <c r="F28" s="155" t="s">
        <v>217</v>
      </c>
      <c r="G28" s="164">
        <v>41820</v>
      </c>
      <c r="H28" s="156" t="s">
        <v>192</v>
      </c>
      <c r="I28" s="156" t="s">
        <v>193</v>
      </c>
      <c r="J28" s="156"/>
      <c r="K28" s="155" t="s">
        <v>206</v>
      </c>
      <c r="L28" s="159" t="s">
        <v>222</v>
      </c>
      <c r="M28" s="159">
        <v>98.5</v>
      </c>
      <c r="N28" s="159">
        <v>25.66</v>
      </c>
      <c r="O28" s="155" t="s">
        <v>201</v>
      </c>
      <c r="P28" s="159">
        <v>300</v>
      </c>
      <c r="Q28" s="159">
        <v>26.98</v>
      </c>
      <c r="R28" s="163">
        <v>1020</v>
      </c>
      <c r="S28" s="159">
        <v>28.49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12.75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231"/>
    </row>
    <row r="29" spans="1:94" x14ac:dyDescent="0.3">
      <c r="A29" s="152">
        <v>1486</v>
      </c>
      <c r="B29" s="217">
        <v>41902</v>
      </c>
      <c r="C29" s="154" t="s">
        <v>189</v>
      </c>
      <c r="D29" s="155" t="s">
        <v>233</v>
      </c>
      <c r="E29" s="155"/>
      <c r="F29" s="155" t="s">
        <v>217</v>
      </c>
      <c r="G29" s="153">
        <v>41639</v>
      </c>
      <c r="H29" s="156" t="s">
        <v>192</v>
      </c>
      <c r="I29" s="156" t="s">
        <v>193</v>
      </c>
      <c r="J29" s="156"/>
      <c r="K29" s="159" t="s">
        <v>207</v>
      </c>
      <c r="L29" s="159" t="s">
        <v>222</v>
      </c>
      <c r="M29" s="159">
        <v>105</v>
      </c>
      <c r="N29" s="159">
        <v>33.53</v>
      </c>
      <c r="O29" s="155" t="s">
        <v>201</v>
      </c>
      <c r="P29" s="159">
        <v>1750</v>
      </c>
      <c r="Q29" s="159">
        <v>33.53</v>
      </c>
      <c r="R29" s="193">
        <v>1750</v>
      </c>
      <c r="S29" s="193">
        <v>33.53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14.74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231"/>
    </row>
    <row r="30" spans="1:94" x14ac:dyDescent="0.3">
      <c r="A30" s="152">
        <v>1256</v>
      </c>
      <c r="B30" s="217">
        <v>41902</v>
      </c>
      <c r="C30" s="154" t="s">
        <v>189</v>
      </c>
      <c r="D30" s="155" t="s">
        <v>233</v>
      </c>
      <c r="E30" s="155"/>
      <c r="F30" s="155" t="s">
        <v>217</v>
      </c>
      <c r="G30" s="153">
        <v>41640</v>
      </c>
      <c r="H30" s="156" t="s">
        <v>192</v>
      </c>
      <c r="I30" s="156" t="s">
        <v>193</v>
      </c>
      <c r="J30" s="156"/>
      <c r="K30" s="155" t="s">
        <v>208</v>
      </c>
      <c r="L30" s="159" t="s">
        <v>222</v>
      </c>
      <c r="M30" s="159">
        <v>91.8</v>
      </c>
      <c r="N30" s="159">
        <v>29.78</v>
      </c>
      <c r="O30" s="155"/>
      <c r="P30" s="159"/>
      <c r="Q30" s="155"/>
      <c r="R30" s="159"/>
      <c r="S30" s="155"/>
      <c r="T30" s="159"/>
      <c r="U30" s="159"/>
      <c r="V30" s="159"/>
      <c r="W30" s="155"/>
      <c r="X30" s="159"/>
      <c r="Y30" s="159"/>
      <c r="Z30" s="159"/>
      <c r="AA30" s="159"/>
      <c r="AB30" s="159"/>
      <c r="AC30" s="159"/>
      <c r="AD30" s="159"/>
      <c r="AE30" s="155">
        <v>11.98</v>
      </c>
      <c r="AF30" s="159"/>
      <c r="AG30" s="159"/>
      <c r="AH30" s="155"/>
      <c r="AI30" s="155"/>
      <c r="AJ30" s="155"/>
      <c r="AK30" s="159"/>
      <c r="AL30" s="155" t="s">
        <v>218</v>
      </c>
      <c r="AM30" s="156" t="s">
        <v>197</v>
      </c>
      <c r="AN30" s="156"/>
      <c r="AO30" s="230"/>
    </row>
    <row r="31" spans="1:94" x14ac:dyDescent="0.3">
      <c r="A31" s="152">
        <v>3104</v>
      </c>
      <c r="B31" s="217">
        <v>41902</v>
      </c>
      <c r="C31" s="154" t="s">
        <v>189</v>
      </c>
      <c r="D31" s="155" t="s">
        <v>233</v>
      </c>
      <c r="E31" s="155"/>
      <c r="F31" s="155" t="s">
        <v>217</v>
      </c>
      <c r="G31" s="153">
        <v>41468</v>
      </c>
      <c r="H31" s="156" t="s">
        <v>192</v>
      </c>
      <c r="I31" s="156" t="s">
        <v>193</v>
      </c>
      <c r="J31" s="156"/>
      <c r="K31" s="159" t="s">
        <v>209</v>
      </c>
      <c r="L31" s="159" t="s">
        <v>222</v>
      </c>
      <c r="M31" s="159">
        <v>192.17</v>
      </c>
      <c r="N31" s="159">
        <v>24.24</v>
      </c>
      <c r="O31" s="155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>
        <v>11.6</v>
      </c>
      <c r="AF31" s="159"/>
      <c r="AG31" s="159"/>
      <c r="AH31" s="159"/>
      <c r="AI31" s="159"/>
      <c r="AJ31" s="159"/>
      <c r="AK31" s="159"/>
      <c r="AL31" s="155" t="s">
        <v>218</v>
      </c>
      <c r="AM31" s="156" t="s">
        <v>197</v>
      </c>
      <c r="AN31" s="162"/>
      <c r="AO31" s="231"/>
    </row>
    <row r="32" spans="1:94" x14ac:dyDescent="0.3">
      <c r="A32" s="152">
        <v>1424</v>
      </c>
      <c r="B32" s="217">
        <v>41902</v>
      </c>
      <c r="C32" s="154" t="s">
        <v>189</v>
      </c>
      <c r="D32" s="155" t="s">
        <v>233</v>
      </c>
      <c r="E32" s="155"/>
      <c r="F32" s="155" t="s">
        <v>217</v>
      </c>
      <c r="G32" s="153">
        <v>41820</v>
      </c>
      <c r="H32" s="156" t="s">
        <v>192</v>
      </c>
      <c r="I32" s="156" t="s">
        <v>193</v>
      </c>
      <c r="J32" s="156"/>
      <c r="K32" s="159" t="s">
        <v>210</v>
      </c>
      <c r="L32" s="159" t="s">
        <v>222</v>
      </c>
      <c r="M32" s="159">
        <v>89.56</v>
      </c>
      <c r="N32" s="159">
        <v>28.86</v>
      </c>
      <c r="O32" s="155" t="s">
        <v>201</v>
      </c>
      <c r="P32" s="159">
        <v>600</v>
      </c>
      <c r="Q32" s="159">
        <v>28.28</v>
      </c>
      <c r="R32" s="193">
        <v>600</v>
      </c>
      <c r="S32" s="193">
        <v>28.28</v>
      </c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11.94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231"/>
    </row>
    <row r="33" spans="1:94" x14ac:dyDescent="0.3">
      <c r="A33" s="152">
        <v>2268</v>
      </c>
      <c r="B33" s="217">
        <v>41902</v>
      </c>
      <c r="C33" s="154" t="s">
        <v>223</v>
      </c>
      <c r="D33" s="155" t="s">
        <v>233</v>
      </c>
      <c r="E33" s="155"/>
      <c r="F33" s="155" t="s">
        <v>229</v>
      </c>
      <c r="G33" s="153">
        <v>41820</v>
      </c>
      <c r="H33" s="156" t="s">
        <v>226</v>
      </c>
      <c r="I33" s="156" t="s">
        <v>227</v>
      </c>
      <c r="J33" s="156"/>
      <c r="K33" s="155" t="s">
        <v>228</v>
      </c>
      <c r="L33" s="159" t="s">
        <v>222</v>
      </c>
      <c r="M33" s="155">
        <v>89.12</v>
      </c>
      <c r="N33" s="155">
        <v>27.09</v>
      </c>
      <c r="O33" s="155"/>
      <c r="P33" s="155"/>
      <c r="Q33" s="155"/>
      <c r="R33" s="163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>
        <v>10.45</v>
      </c>
      <c r="AF33" s="155"/>
      <c r="AG33" s="155"/>
      <c r="AH33" s="155"/>
      <c r="AI33" s="155"/>
      <c r="AJ33" s="155"/>
      <c r="AK33" s="155"/>
      <c r="AL33" s="155" t="s">
        <v>218</v>
      </c>
      <c r="AM33" s="156" t="s">
        <v>197</v>
      </c>
      <c r="AN33" s="156"/>
      <c r="AO33" s="230"/>
    </row>
    <row r="34" spans="1:94" x14ac:dyDescent="0.3">
      <c r="A34" s="152">
        <v>3751</v>
      </c>
      <c r="B34" s="217">
        <v>41902</v>
      </c>
      <c r="C34" s="154" t="s">
        <v>189</v>
      </c>
      <c r="D34" s="155" t="s">
        <v>233</v>
      </c>
      <c r="E34" s="155"/>
      <c r="F34" s="155" t="s">
        <v>217</v>
      </c>
      <c r="G34" s="153">
        <v>41823</v>
      </c>
      <c r="H34" s="156" t="s">
        <v>192</v>
      </c>
      <c r="I34" s="156" t="s">
        <v>193</v>
      </c>
      <c r="J34" s="156"/>
      <c r="K34" s="155" t="s">
        <v>212</v>
      </c>
      <c r="L34" s="159" t="s">
        <v>222</v>
      </c>
      <c r="M34" s="159">
        <v>90</v>
      </c>
      <c r="N34" s="159">
        <v>28.9</v>
      </c>
      <c r="O34" s="155"/>
      <c r="P34" s="159"/>
      <c r="Q34" s="155"/>
      <c r="R34" s="163"/>
      <c r="S34" s="159"/>
      <c r="T34" s="159"/>
      <c r="U34" s="159"/>
      <c r="V34" s="159"/>
      <c r="W34" s="155"/>
      <c r="X34" s="159"/>
      <c r="Y34" s="159"/>
      <c r="Z34" s="159"/>
      <c r="AA34" s="159"/>
      <c r="AB34" s="159"/>
      <c r="AC34" s="159"/>
      <c r="AD34" s="159"/>
      <c r="AE34" s="155">
        <v>11.97</v>
      </c>
      <c r="AF34" s="159"/>
      <c r="AG34" s="159"/>
      <c r="AH34" s="155"/>
      <c r="AI34" s="155"/>
      <c r="AJ34" s="155"/>
      <c r="AK34" s="159"/>
      <c r="AL34" s="155" t="s">
        <v>218</v>
      </c>
      <c r="AM34" s="156" t="s">
        <v>197</v>
      </c>
      <c r="AN34" s="156"/>
      <c r="AO34" s="230"/>
    </row>
    <row r="35" spans="1:94" x14ac:dyDescent="0.3">
      <c r="A35" s="152">
        <v>1462</v>
      </c>
      <c r="B35" s="217">
        <v>41902</v>
      </c>
      <c r="C35" s="154" t="s">
        <v>189</v>
      </c>
      <c r="D35" s="155" t="s">
        <v>233</v>
      </c>
      <c r="E35" s="155"/>
      <c r="F35" s="155" t="s">
        <v>217</v>
      </c>
      <c r="G35" s="153">
        <v>41820</v>
      </c>
      <c r="H35" s="156" t="s">
        <v>192</v>
      </c>
      <c r="I35" s="156" t="s">
        <v>193</v>
      </c>
      <c r="J35" s="156"/>
      <c r="K35" s="159" t="s">
        <v>213</v>
      </c>
      <c r="L35" s="159" t="s">
        <v>222</v>
      </c>
      <c r="M35" s="159">
        <v>96.4</v>
      </c>
      <c r="N35" s="159">
        <v>25.02</v>
      </c>
      <c r="O35" s="159"/>
      <c r="P35" s="159"/>
      <c r="Q35" s="159"/>
      <c r="R35" s="163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14.64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231"/>
    </row>
    <row r="36" spans="1:94" x14ac:dyDescent="0.3">
      <c r="A36" s="152">
        <v>1398</v>
      </c>
      <c r="B36" s="217">
        <v>41902</v>
      </c>
      <c r="C36" s="154" t="s">
        <v>189</v>
      </c>
      <c r="D36" s="155" t="s">
        <v>233</v>
      </c>
      <c r="E36" s="155"/>
      <c r="F36" s="155" t="s">
        <v>217</v>
      </c>
      <c r="G36" s="229">
        <v>41879</v>
      </c>
      <c r="H36" s="156" t="s">
        <v>192</v>
      </c>
      <c r="I36" s="156" t="s">
        <v>193</v>
      </c>
      <c r="J36" s="156"/>
      <c r="K36" s="155" t="s">
        <v>214</v>
      </c>
      <c r="L36" s="159" t="s">
        <v>222</v>
      </c>
      <c r="M36" s="219">
        <v>85.68</v>
      </c>
      <c r="N36" s="219">
        <v>28.05</v>
      </c>
      <c r="O36" s="155" t="s">
        <v>201</v>
      </c>
      <c r="P36" s="159">
        <v>1000</v>
      </c>
      <c r="Q36" s="159">
        <v>27.34</v>
      </c>
      <c r="R36" s="157">
        <v>1750</v>
      </c>
      <c r="S36" s="159">
        <v>27.24</v>
      </c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219">
        <v>10.82</v>
      </c>
      <c r="AF36" s="159"/>
      <c r="AG36" s="159"/>
      <c r="AH36" s="159"/>
      <c r="AI36" s="159"/>
      <c r="AJ36" s="159"/>
      <c r="AK36" s="159"/>
      <c r="AL36" s="155" t="s">
        <v>218</v>
      </c>
      <c r="AM36" s="156" t="s">
        <v>197</v>
      </c>
      <c r="AN36" s="162"/>
      <c r="AO36" s="231"/>
    </row>
    <row r="37" spans="1:94" x14ac:dyDescent="0.3">
      <c r="A37" s="152">
        <v>3602</v>
      </c>
      <c r="B37" s="217">
        <v>41902</v>
      </c>
      <c r="C37" s="154" t="s">
        <v>189</v>
      </c>
      <c r="D37" s="155" t="s">
        <v>233</v>
      </c>
      <c r="E37" s="155"/>
      <c r="F37" s="155" t="s">
        <v>217</v>
      </c>
      <c r="G37" s="153">
        <v>41822</v>
      </c>
      <c r="H37" s="156" t="s">
        <v>192</v>
      </c>
      <c r="I37" s="156" t="s">
        <v>193</v>
      </c>
      <c r="J37" s="156"/>
      <c r="K37" s="155" t="s">
        <v>215</v>
      </c>
      <c r="L37" s="159" t="s">
        <v>222</v>
      </c>
      <c r="M37" s="155">
        <v>83.16</v>
      </c>
      <c r="N37" s="159">
        <v>27.96</v>
      </c>
      <c r="O37" s="155" t="s">
        <v>201</v>
      </c>
      <c r="P37" s="159">
        <v>1000</v>
      </c>
      <c r="Q37" s="159">
        <v>27.05</v>
      </c>
      <c r="R37" s="163">
        <v>1700</v>
      </c>
      <c r="S37" s="159">
        <v>25.35</v>
      </c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>
        <v>13.02</v>
      </c>
      <c r="AF37" s="159"/>
      <c r="AG37" s="159"/>
      <c r="AH37" s="159"/>
      <c r="AI37" s="155"/>
      <c r="AJ37" s="155"/>
      <c r="AK37" s="155"/>
      <c r="AL37" s="155" t="s">
        <v>218</v>
      </c>
      <c r="AM37" s="156" t="s">
        <v>197</v>
      </c>
      <c r="AN37" s="156"/>
      <c r="AO37" s="230"/>
    </row>
    <row r="38" spans="1:94" x14ac:dyDescent="0.3">
      <c r="A38" s="152"/>
      <c r="B38" s="217">
        <v>41902</v>
      </c>
      <c r="C38" s="154" t="s">
        <v>189</v>
      </c>
      <c r="D38" s="155" t="s">
        <v>233</v>
      </c>
      <c r="E38" s="155"/>
      <c r="F38" s="155" t="s">
        <v>217</v>
      </c>
      <c r="G38" s="153">
        <v>41884</v>
      </c>
      <c r="H38" s="156" t="s">
        <v>192</v>
      </c>
      <c r="I38" s="156"/>
      <c r="J38" s="156"/>
      <c r="K38" s="155" t="s">
        <v>305</v>
      </c>
      <c r="L38" s="155" t="s">
        <v>195</v>
      </c>
      <c r="M38" s="159">
        <v>108.7</v>
      </c>
      <c r="N38" s="159">
        <v>32.5</v>
      </c>
      <c r="O38" s="155" t="s">
        <v>201</v>
      </c>
      <c r="P38" s="159">
        <v>1000</v>
      </c>
      <c r="Q38" s="219">
        <v>31.34</v>
      </c>
      <c r="R38" s="163">
        <v>1750</v>
      </c>
      <c r="S38" s="219">
        <v>30.29</v>
      </c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219">
        <v>15.06</v>
      </c>
      <c r="AF38" s="159"/>
      <c r="AG38" s="159"/>
      <c r="AH38" s="159"/>
      <c r="AI38" s="159"/>
      <c r="AJ38" s="159"/>
      <c r="AK38" s="159"/>
      <c r="AL38" s="155" t="s">
        <v>218</v>
      </c>
      <c r="AM38" s="156" t="s">
        <v>197</v>
      </c>
      <c r="AN38" s="162"/>
      <c r="AO38" s="231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/>
      <c r="B39" s="217">
        <v>41902</v>
      </c>
      <c r="C39" s="154" t="s">
        <v>189</v>
      </c>
      <c r="D39" s="155" t="s">
        <v>233</v>
      </c>
      <c r="E39" s="155"/>
      <c r="F39" s="155" t="s">
        <v>217</v>
      </c>
      <c r="G39" s="153">
        <v>41820</v>
      </c>
      <c r="H39" s="223" t="s">
        <v>310</v>
      </c>
      <c r="I39" s="156"/>
      <c r="J39" s="156"/>
      <c r="K39" s="155" t="s">
        <v>306</v>
      </c>
      <c r="L39" s="155" t="s">
        <v>195</v>
      </c>
      <c r="M39" s="219">
        <v>93.88</v>
      </c>
      <c r="N39" s="159">
        <v>35.1</v>
      </c>
      <c r="O39" s="155"/>
      <c r="P39" s="159"/>
      <c r="Q39" s="159"/>
      <c r="R39" s="155"/>
      <c r="S39" s="155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219">
        <v>15.23</v>
      </c>
      <c r="AF39" s="159"/>
      <c r="AG39" s="159"/>
      <c r="AH39" s="159"/>
      <c r="AI39" s="159"/>
      <c r="AJ39" s="159"/>
      <c r="AK39" s="159"/>
      <c r="AL39" s="155" t="s">
        <v>314</v>
      </c>
      <c r="AM39" s="156" t="s">
        <v>197</v>
      </c>
      <c r="AN39" s="162"/>
      <c r="AO39" s="231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</row>
    <row r="40" spans="1:94" x14ac:dyDescent="0.3">
      <c r="A40" s="152"/>
      <c r="B40" s="217">
        <v>41902</v>
      </c>
      <c r="C40" s="154" t="s">
        <v>189</v>
      </c>
      <c r="D40" s="155" t="s">
        <v>233</v>
      </c>
      <c r="E40" s="155"/>
      <c r="F40" s="155" t="s">
        <v>217</v>
      </c>
      <c r="G40" s="153">
        <v>41880</v>
      </c>
      <c r="H40" s="223" t="s">
        <v>309</v>
      </c>
      <c r="I40" s="156"/>
      <c r="J40" s="156"/>
      <c r="K40" s="155" t="s">
        <v>307</v>
      </c>
      <c r="L40" s="155" t="s">
        <v>195</v>
      </c>
      <c r="M40" s="159">
        <v>92</v>
      </c>
      <c r="N40" s="159">
        <v>37.700000000000003</v>
      </c>
      <c r="O40" s="155"/>
      <c r="P40" s="159"/>
      <c r="Q40" s="159"/>
      <c r="R40" s="155"/>
      <c r="S40" s="155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>
        <v>23.6</v>
      </c>
      <c r="AF40" s="159"/>
      <c r="AG40" s="159"/>
      <c r="AH40" s="159"/>
      <c r="AI40" s="159"/>
      <c r="AJ40" s="159"/>
      <c r="AK40" s="159"/>
      <c r="AL40" s="155" t="s">
        <v>314</v>
      </c>
      <c r="AM40" s="156" t="s">
        <v>197</v>
      </c>
      <c r="AN40" s="162"/>
      <c r="AO40" s="231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</row>
    <row r="41" spans="1:94" x14ac:dyDescent="0.3">
      <c r="A41" s="152"/>
      <c r="B41" s="217">
        <v>41902</v>
      </c>
      <c r="C41" s="154" t="s">
        <v>189</v>
      </c>
      <c r="D41" s="155" t="s">
        <v>233</v>
      </c>
      <c r="E41" s="155"/>
      <c r="F41" s="155" t="s">
        <v>217</v>
      </c>
      <c r="G41" s="153">
        <v>41820</v>
      </c>
      <c r="H41" s="223" t="s">
        <v>315</v>
      </c>
      <c r="I41" s="156"/>
      <c r="J41" s="156"/>
      <c r="K41" s="155" t="s">
        <v>308</v>
      </c>
      <c r="L41" s="155" t="s">
        <v>195</v>
      </c>
      <c r="M41" s="159">
        <v>88</v>
      </c>
      <c r="N41" s="159">
        <v>37.218000000000004</v>
      </c>
      <c r="O41" s="155"/>
      <c r="P41" s="159"/>
      <c r="Q41" s="159"/>
      <c r="R41" s="155"/>
      <c r="S41" s="155"/>
      <c r="T41" s="159"/>
      <c r="U41" s="159"/>
      <c r="V41" s="159"/>
      <c r="W41" s="159">
        <v>25.494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5" t="s">
        <v>314</v>
      </c>
      <c r="AM41" s="156" t="s">
        <v>197</v>
      </c>
      <c r="AN41" s="162"/>
      <c r="AO41" s="231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</row>
    <row r="42" spans="1:94" x14ac:dyDescent="0.3">
      <c r="A42" s="152">
        <v>4139</v>
      </c>
      <c r="B42" s="226">
        <v>41902</v>
      </c>
      <c r="C42" s="154" t="s">
        <v>189</v>
      </c>
      <c r="D42" s="155" t="s">
        <v>233</v>
      </c>
      <c r="E42" s="155"/>
      <c r="F42" s="155" t="s">
        <v>219</v>
      </c>
      <c r="G42" s="164">
        <v>41829</v>
      </c>
      <c r="H42" s="156" t="s">
        <v>192</v>
      </c>
      <c r="I42" s="156" t="s">
        <v>193</v>
      </c>
      <c r="J42" s="156"/>
      <c r="K42" s="155" t="s">
        <v>194</v>
      </c>
      <c r="L42" s="159" t="s">
        <v>222</v>
      </c>
      <c r="M42" s="159">
        <v>138</v>
      </c>
      <c r="N42" s="159">
        <v>23.99</v>
      </c>
      <c r="O42" s="155"/>
      <c r="P42" s="159"/>
      <c r="Q42" s="159"/>
      <c r="R42" s="163"/>
      <c r="S42" s="159"/>
      <c r="T42" s="159"/>
      <c r="U42" s="159"/>
      <c r="V42" s="159"/>
      <c r="W42" s="159">
        <v>20.99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22.99</v>
      </c>
      <c r="AI42" s="155"/>
      <c r="AJ42" s="155"/>
      <c r="AK42" s="155"/>
      <c r="AL42" s="155" t="s">
        <v>235</v>
      </c>
      <c r="AM42" s="156" t="s">
        <v>197</v>
      </c>
      <c r="AN42" s="156"/>
      <c r="AO42" s="230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</row>
    <row r="43" spans="1:94" x14ac:dyDescent="0.3">
      <c r="A43" s="152">
        <v>2008</v>
      </c>
      <c r="B43" s="226">
        <v>41902</v>
      </c>
      <c r="C43" s="154" t="s">
        <v>189</v>
      </c>
      <c r="D43" s="155" t="s">
        <v>233</v>
      </c>
      <c r="E43" s="155"/>
      <c r="F43" s="155" t="s">
        <v>219</v>
      </c>
      <c r="G43" s="153">
        <v>41820</v>
      </c>
      <c r="H43" s="156" t="s">
        <v>192</v>
      </c>
      <c r="I43" s="156" t="s">
        <v>193</v>
      </c>
      <c r="J43" s="156"/>
      <c r="K43" s="155" t="s">
        <v>198</v>
      </c>
      <c r="L43" s="159" t="s">
        <v>222</v>
      </c>
      <c r="M43" s="155">
        <v>89</v>
      </c>
      <c r="N43" s="155">
        <v>37.92</v>
      </c>
      <c r="O43" s="155"/>
      <c r="P43" s="155"/>
      <c r="Q43" s="155"/>
      <c r="R43" s="157"/>
      <c r="S43" s="155"/>
      <c r="T43" s="155"/>
      <c r="U43" s="155"/>
      <c r="V43" s="155"/>
      <c r="W43" s="155">
        <v>15.97</v>
      </c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>
        <v>31.94</v>
      </c>
      <c r="AI43" s="155"/>
      <c r="AJ43" s="155"/>
      <c r="AK43" s="155"/>
      <c r="AL43" s="155" t="s">
        <v>235</v>
      </c>
      <c r="AM43" s="156" t="s">
        <v>197</v>
      </c>
      <c r="AN43" s="156"/>
      <c r="AO43" s="230"/>
    </row>
    <row r="44" spans="1:94" x14ac:dyDescent="0.3">
      <c r="A44" s="152">
        <v>2562</v>
      </c>
      <c r="B44" s="226">
        <v>41902</v>
      </c>
      <c r="C44" s="154" t="s">
        <v>189</v>
      </c>
      <c r="D44" s="155" t="s">
        <v>233</v>
      </c>
      <c r="E44" s="155"/>
      <c r="F44" s="155" t="s">
        <v>219</v>
      </c>
      <c r="G44" s="164">
        <v>41852</v>
      </c>
      <c r="H44" s="156" t="s">
        <v>193</v>
      </c>
      <c r="I44" s="156" t="s">
        <v>199</v>
      </c>
      <c r="J44" s="156"/>
      <c r="K44" s="155" t="s">
        <v>200</v>
      </c>
      <c r="L44" s="159" t="s">
        <v>222</v>
      </c>
      <c r="M44" s="155">
        <v>96</v>
      </c>
      <c r="N44" s="155">
        <v>39.5</v>
      </c>
      <c r="O44" s="155"/>
      <c r="P44" s="155"/>
      <c r="Q44" s="155"/>
      <c r="R44" s="157"/>
      <c r="S44" s="155"/>
      <c r="T44" s="155"/>
      <c r="U44" s="155"/>
      <c r="V44" s="155"/>
      <c r="W44" s="227">
        <v>17.8</v>
      </c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>
        <v>33.5</v>
      </c>
      <c r="AI44" s="155"/>
      <c r="AJ44" s="155"/>
      <c r="AK44" s="155"/>
      <c r="AL44" s="155" t="s">
        <v>235</v>
      </c>
      <c r="AM44" s="156" t="s">
        <v>197</v>
      </c>
      <c r="AN44" s="156"/>
      <c r="AO44" s="230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</row>
    <row r="45" spans="1:94" x14ac:dyDescent="0.3">
      <c r="A45" s="152">
        <v>3229</v>
      </c>
      <c r="B45" s="226">
        <v>41902</v>
      </c>
      <c r="C45" s="154" t="s">
        <v>189</v>
      </c>
      <c r="D45" s="155" t="s">
        <v>233</v>
      </c>
      <c r="E45" s="155"/>
      <c r="F45" s="155" t="s">
        <v>219</v>
      </c>
      <c r="G45" s="153">
        <v>41880</v>
      </c>
      <c r="H45" s="156" t="s">
        <v>193</v>
      </c>
      <c r="I45" s="156" t="s">
        <v>199</v>
      </c>
      <c r="J45" s="156"/>
      <c r="K45" s="155" t="s">
        <v>203</v>
      </c>
      <c r="L45" s="159" t="s">
        <v>222</v>
      </c>
      <c r="M45" s="159">
        <v>94</v>
      </c>
      <c r="N45" s="159">
        <v>46.5</v>
      </c>
      <c r="O45" s="155"/>
      <c r="P45" s="159"/>
      <c r="Q45" s="155"/>
      <c r="R45" s="163"/>
      <c r="S45" s="159"/>
      <c r="T45" s="159"/>
      <c r="U45" s="159"/>
      <c r="V45" s="159"/>
      <c r="W45" s="155">
        <v>32</v>
      </c>
      <c r="X45" s="159"/>
      <c r="Y45" s="159"/>
      <c r="Z45" s="159"/>
      <c r="AA45" s="159"/>
      <c r="AB45" s="159"/>
      <c r="AC45" s="159"/>
      <c r="AD45" s="159"/>
      <c r="AE45" s="155"/>
      <c r="AF45" s="159"/>
      <c r="AG45" s="159"/>
      <c r="AH45" s="155">
        <v>40.1</v>
      </c>
      <c r="AI45" s="155"/>
      <c r="AJ45" s="155"/>
      <c r="AK45" s="159"/>
      <c r="AL45" s="155" t="s">
        <v>235</v>
      </c>
      <c r="AM45" s="156" t="s">
        <v>197</v>
      </c>
      <c r="AN45" s="156"/>
      <c r="AO45" s="230"/>
    </row>
    <row r="46" spans="1:94" x14ac:dyDescent="0.3">
      <c r="A46" s="152">
        <v>1476</v>
      </c>
      <c r="B46" s="226">
        <v>41902</v>
      </c>
      <c r="C46" s="154" t="s">
        <v>189</v>
      </c>
      <c r="D46" s="155" t="s">
        <v>233</v>
      </c>
      <c r="E46" s="155"/>
      <c r="F46" s="155" t="s">
        <v>219</v>
      </c>
      <c r="G46" s="153">
        <v>41639</v>
      </c>
      <c r="H46" s="156" t="s">
        <v>192</v>
      </c>
      <c r="I46" s="156" t="s">
        <v>193</v>
      </c>
      <c r="J46" s="156"/>
      <c r="K46" s="159" t="s">
        <v>204</v>
      </c>
      <c r="L46" s="159" t="s">
        <v>222</v>
      </c>
      <c r="M46" s="159">
        <v>128.02000000000001</v>
      </c>
      <c r="N46" s="159">
        <v>48.91</v>
      </c>
      <c r="O46" s="159"/>
      <c r="P46" s="159"/>
      <c r="Q46" s="159"/>
      <c r="R46" s="163"/>
      <c r="S46" s="159"/>
      <c r="T46" s="159"/>
      <c r="U46" s="159"/>
      <c r="V46" s="159"/>
      <c r="W46" s="159">
        <v>21.4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35.700000000000003</v>
      </c>
      <c r="AI46" s="159"/>
      <c r="AJ46" s="159"/>
      <c r="AK46" s="159"/>
      <c r="AL46" s="155" t="s">
        <v>235</v>
      </c>
      <c r="AM46" s="156" t="s">
        <v>197</v>
      </c>
      <c r="AN46" s="162"/>
      <c r="AO46" s="231"/>
    </row>
    <row r="47" spans="1:94" x14ac:dyDescent="0.3">
      <c r="A47" s="152">
        <v>4657</v>
      </c>
      <c r="B47" s="226">
        <v>41902</v>
      </c>
      <c r="C47" s="154" t="s">
        <v>189</v>
      </c>
      <c r="D47" s="155" t="s">
        <v>233</v>
      </c>
      <c r="E47" s="155"/>
      <c r="F47" s="155" t="s">
        <v>219</v>
      </c>
      <c r="G47" s="153">
        <v>41820</v>
      </c>
      <c r="H47" s="156" t="s">
        <v>192</v>
      </c>
      <c r="I47" s="156" t="s">
        <v>193</v>
      </c>
      <c r="J47" s="156"/>
      <c r="K47" s="159" t="s">
        <v>205</v>
      </c>
      <c r="L47" s="159" t="s">
        <v>222</v>
      </c>
      <c r="M47" s="159">
        <v>125</v>
      </c>
      <c r="N47" s="159">
        <v>36</v>
      </c>
      <c r="O47" s="155"/>
      <c r="P47" s="159"/>
      <c r="Q47" s="159"/>
      <c r="R47" s="163"/>
      <c r="S47" s="159"/>
      <c r="T47" s="159"/>
      <c r="U47" s="159"/>
      <c r="V47" s="159"/>
      <c r="W47" s="159">
        <v>24.5</v>
      </c>
      <c r="X47" s="159"/>
      <c r="Y47" s="159"/>
      <c r="Z47" s="159"/>
      <c r="AA47" s="159"/>
      <c r="AB47" s="159"/>
      <c r="AC47" s="159"/>
      <c r="AD47" s="159"/>
      <c r="AE47" s="159"/>
      <c r="AF47" s="159"/>
      <c r="AG47" s="159"/>
      <c r="AH47" s="159">
        <v>29</v>
      </c>
      <c r="AI47" s="159"/>
      <c r="AJ47" s="159"/>
      <c r="AK47" s="159"/>
      <c r="AL47" s="155" t="s">
        <v>235</v>
      </c>
      <c r="AM47" s="162" t="s">
        <v>197</v>
      </c>
      <c r="AN47" s="162"/>
      <c r="AO47" s="231"/>
    </row>
    <row r="48" spans="1:94" x14ac:dyDescent="0.3">
      <c r="A48" s="152">
        <v>1448</v>
      </c>
      <c r="B48" s="217">
        <v>41902</v>
      </c>
      <c r="C48" s="154" t="s">
        <v>189</v>
      </c>
      <c r="D48" s="155" t="s">
        <v>233</v>
      </c>
      <c r="E48" s="155"/>
      <c r="F48" s="155" t="s">
        <v>219</v>
      </c>
      <c r="G48" s="164">
        <v>41820</v>
      </c>
      <c r="H48" s="156" t="s">
        <v>192</v>
      </c>
      <c r="I48" s="156" t="s">
        <v>193</v>
      </c>
      <c r="J48" s="156"/>
      <c r="K48" s="155" t="s">
        <v>206</v>
      </c>
      <c r="L48" s="159" t="s">
        <v>222</v>
      </c>
      <c r="M48" s="159">
        <v>104.95</v>
      </c>
      <c r="N48" s="159">
        <v>34.9</v>
      </c>
      <c r="O48" s="159" t="s">
        <v>201</v>
      </c>
      <c r="P48" s="159">
        <v>1020</v>
      </c>
      <c r="Q48" s="159">
        <v>37.869999999999997</v>
      </c>
      <c r="R48" s="163"/>
      <c r="S48" s="159"/>
      <c r="T48" s="159"/>
      <c r="U48" s="159"/>
      <c r="V48" s="159"/>
      <c r="W48" s="159">
        <v>17.899999999999999</v>
      </c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>
        <v>27.97</v>
      </c>
      <c r="AI48" s="159"/>
      <c r="AJ48" s="159"/>
      <c r="AK48" s="159"/>
      <c r="AL48" s="155" t="s">
        <v>235</v>
      </c>
      <c r="AM48" s="156" t="s">
        <v>197</v>
      </c>
      <c r="AN48" s="162"/>
      <c r="AO48" s="231"/>
    </row>
    <row r="49" spans="1:94" x14ac:dyDescent="0.3">
      <c r="A49" s="152">
        <v>1488</v>
      </c>
      <c r="B49" s="217">
        <v>41902</v>
      </c>
      <c r="C49" s="154" t="s">
        <v>189</v>
      </c>
      <c r="D49" s="155" t="s">
        <v>233</v>
      </c>
      <c r="E49" s="155"/>
      <c r="F49" s="155" t="s">
        <v>219</v>
      </c>
      <c r="G49" s="228">
        <v>41639</v>
      </c>
      <c r="H49" s="156" t="s">
        <v>192</v>
      </c>
      <c r="I49" s="156" t="s">
        <v>193</v>
      </c>
      <c r="J49" s="156"/>
      <c r="K49" s="159" t="s">
        <v>207</v>
      </c>
      <c r="L49" s="159" t="s">
        <v>222</v>
      </c>
      <c r="M49" s="159">
        <v>123.09</v>
      </c>
      <c r="N49" s="159">
        <v>47.03</v>
      </c>
      <c r="O49" s="159"/>
      <c r="P49" s="159"/>
      <c r="Q49" s="159"/>
      <c r="R49" s="163"/>
      <c r="S49" s="159"/>
      <c r="T49" s="159"/>
      <c r="U49" s="159"/>
      <c r="V49" s="159"/>
      <c r="W49" s="159">
        <v>20.57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34.32</v>
      </c>
      <c r="AI49" s="159"/>
      <c r="AJ49" s="159"/>
      <c r="AK49" s="159"/>
      <c r="AL49" s="155" t="s">
        <v>235</v>
      </c>
      <c r="AM49" s="156" t="s">
        <v>197</v>
      </c>
      <c r="AN49" s="162"/>
      <c r="AO49" s="231"/>
    </row>
    <row r="50" spans="1:94" x14ac:dyDescent="0.3">
      <c r="A50" s="152">
        <v>1258</v>
      </c>
      <c r="B50" s="217">
        <v>41902</v>
      </c>
      <c r="C50" s="154" t="s">
        <v>189</v>
      </c>
      <c r="D50" s="155" t="s">
        <v>233</v>
      </c>
      <c r="E50" s="155"/>
      <c r="F50" s="155" t="s">
        <v>219</v>
      </c>
      <c r="G50" s="153">
        <v>41640</v>
      </c>
      <c r="H50" s="156" t="s">
        <v>192</v>
      </c>
      <c r="I50" s="156" t="s">
        <v>193</v>
      </c>
      <c r="J50" s="156"/>
      <c r="K50" s="155" t="s">
        <v>208</v>
      </c>
      <c r="L50" s="159" t="s">
        <v>222</v>
      </c>
      <c r="M50" s="159">
        <v>97.2</v>
      </c>
      <c r="N50" s="159">
        <v>42.05</v>
      </c>
      <c r="O50" s="159"/>
      <c r="P50" s="159"/>
      <c r="Q50" s="155"/>
      <c r="R50" s="163"/>
      <c r="S50" s="159"/>
      <c r="T50" s="159"/>
      <c r="U50" s="159"/>
      <c r="V50" s="159"/>
      <c r="W50" s="155">
        <v>17.75</v>
      </c>
      <c r="X50" s="159"/>
      <c r="Y50" s="159"/>
      <c r="Z50" s="159"/>
      <c r="AA50" s="159"/>
      <c r="AB50" s="159"/>
      <c r="AC50" s="159"/>
      <c r="AD50" s="159"/>
      <c r="AE50" s="155"/>
      <c r="AF50" s="159"/>
      <c r="AG50" s="159"/>
      <c r="AH50" s="155">
        <v>32.28</v>
      </c>
      <c r="AI50" s="155"/>
      <c r="AJ50" s="155"/>
      <c r="AK50" s="159"/>
      <c r="AL50" s="155" t="s">
        <v>235</v>
      </c>
      <c r="AM50" s="156" t="s">
        <v>197</v>
      </c>
      <c r="AN50" s="156"/>
      <c r="AO50" s="230"/>
    </row>
    <row r="51" spans="1:94" x14ac:dyDescent="0.3">
      <c r="A51" s="152">
        <v>3106</v>
      </c>
      <c r="B51" s="217">
        <v>41902</v>
      </c>
      <c r="C51" s="154" t="s">
        <v>189</v>
      </c>
      <c r="D51" s="155" t="s">
        <v>233</v>
      </c>
      <c r="E51" s="155"/>
      <c r="F51" s="155" t="s">
        <v>219</v>
      </c>
      <c r="G51" s="153">
        <v>41468</v>
      </c>
      <c r="H51" s="156" t="s">
        <v>192</v>
      </c>
      <c r="I51" s="156" t="s">
        <v>193</v>
      </c>
      <c r="J51" s="156"/>
      <c r="K51" s="159" t="s">
        <v>209</v>
      </c>
      <c r="L51" s="159" t="s">
        <v>222</v>
      </c>
      <c r="M51" s="159">
        <v>197.64</v>
      </c>
      <c r="N51" s="159">
        <v>34.08</v>
      </c>
      <c r="O51" s="155"/>
      <c r="P51" s="159"/>
      <c r="Q51" s="159"/>
      <c r="R51" s="163"/>
      <c r="S51" s="159"/>
      <c r="T51" s="159"/>
      <c r="U51" s="159"/>
      <c r="V51" s="159"/>
      <c r="W51" s="159">
        <v>16.63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>
        <v>25.5</v>
      </c>
      <c r="AI51" s="159"/>
      <c r="AJ51" s="159"/>
      <c r="AK51" s="159"/>
      <c r="AL51" s="155" t="s">
        <v>235</v>
      </c>
      <c r="AM51" s="156" t="s">
        <v>197</v>
      </c>
      <c r="AN51" s="162"/>
      <c r="AO51" s="231"/>
    </row>
    <row r="52" spans="1:94" x14ac:dyDescent="0.3">
      <c r="A52" s="152">
        <v>1426</v>
      </c>
      <c r="B52" s="217">
        <v>41902</v>
      </c>
      <c r="C52" s="154" t="s">
        <v>189</v>
      </c>
      <c r="D52" s="155" t="s">
        <v>233</v>
      </c>
      <c r="E52" s="155"/>
      <c r="F52" s="155" t="s">
        <v>219</v>
      </c>
      <c r="G52" s="153">
        <v>41820</v>
      </c>
      <c r="H52" s="156" t="s">
        <v>192</v>
      </c>
      <c r="I52" s="156" t="s">
        <v>193</v>
      </c>
      <c r="J52" s="156"/>
      <c r="K52" s="159" t="s">
        <v>210</v>
      </c>
      <c r="L52" s="159" t="s">
        <v>222</v>
      </c>
      <c r="M52" s="159">
        <v>99.26</v>
      </c>
      <c r="N52" s="159">
        <v>41.97</v>
      </c>
      <c r="O52" s="155" t="s">
        <v>201</v>
      </c>
      <c r="P52" s="159">
        <v>600</v>
      </c>
      <c r="Q52" s="159">
        <v>41.13</v>
      </c>
      <c r="R52" s="163"/>
      <c r="S52" s="159"/>
      <c r="T52" s="159"/>
      <c r="U52" s="159"/>
      <c r="V52" s="159"/>
      <c r="W52" s="159">
        <v>17.79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33.32</v>
      </c>
      <c r="AI52" s="159"/>
      <c r="AJ52" s="159"/>
      <c r="AK52" s="159"/>
      <c r="AL52" s="155" t="s">
        <v>235</v>
      </c>
      <c r="AM52" s="156" t="s">
        <v>197</v>
      </c>
      <c r="AN52" s="162"/>
      <c r="AO52" s="231"/>
    </row>
    <row r="53" spans="1:94" x14ac:dyDescent="0.3">
      <c r="A53" s="152">
        <v>2270</v>
      </c>
      <c r="B53" s="217">
        <v>41902</v>
      </c>
      <c r="C53" s="154" t="s">
        <v>223</v>
      </c>
      <c r="D53" s="155" t="s">
        <v>234</v>
      </c>
      <c r="E53" s="155"/>
      <c r="F53" s="155" t="s">
        <v>232</v>
      </c>
      <c r="G53" s="153">
        <v>41820</v>
      </c>
      <c r="H53" s="156" t="s">
        <v>226</v>
      </c>
      <c r="I53" s="156" t="s">
        <v>227</v>
      </c>
      <c r="J53" s="156"/>
      <c r="K53" s="155" t="s">
        <v>228</v>
      </c>
      <c r="L53" s="159" t="s">
        <v>222</v>
      </c>
      <c r="M53" s="155">
        <v>99.75</v>
      </c>
      <c r="N53" s="155">
        <v>40.98</v>
      </c>
      <c r="O53" s="155"/>
      <c r="P53" s="155"/>
      <c r="Q53" s="155"/>
      <c r="R53" s="157"/>
      <c r="S53" s="155"/>
      <c r="T53" s="155"/>
      <c r="U53" s="155"/>
      <c r="V53" s="155"/>
      <c r="W53" s="155">
        <v>17.88</v>
      </c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>
        <v>33.49</v>
      </c>
      <c r="AI53" s="155"/>
      <c r="AJ53" s="155"/>
      <c r="AK53" s="155"/>
      <c r="AL53" s="155" t="s">
        <v>235</v>
      </c>
      <c r="AM53" s="156" t="s">
        <v>197</v>
      </c>
      <c r="AN53" s="156"/>
      <c r="AO53" s="230"/>
    </row>
    <row r="54" spans="1:94" x14ac:dyDescent="0.3">
      <c r="A54" s="152">
        <v>3753</v>
      </c>
      <c r="B54" s="217">
        <v>41902</v>
      </c>
      <c r="C54" s="154" t="s">
        <v>189</v>
      </c>
      <c r="D54" s="155" t="s">
        <v>233</v>
      </c>
      <c r="E54" s="155"/>
      <c r="F54" s="155" t="s">
        <v>219</v>
      </c>
      <c r="G54" s="153">
        <v>41823</v>
      </c>
      <c r="H54" s="156" t="s">
        <v>192</v>
      </c>
      <c r="I54" s="156" t="s">
        <v>193</v>
      </c>
      <c r="J54" s="156"/>
      <c r="K54" s="155" t="s">
        <v>212</v>
      </c>
      <c r="L54" s="159" t="s">
        <v>222</v>
      </c>
      <c r="M54" s="159">
        <v>89</v>
      </c>
      <c r="N54" s="159">
        <v>37.92</v>
      </c>
      <c r="O54" s="159"/>
      <c r="P54" s="159"/>
      <c r="Q54" s="155"/>
      <c r="R54" s="163"/>
      <c r="S54" s="159"/>
      <c r="T54" s="159"/>
      <c r="U54" s="159"/>
      <c r="V54" s="159"/>
      <c r="W54" s="155">
        <v>15.97</v>
      </c>
      <c r="X54" s="159"/>
      <c r="Y54" s="159"/>
      <c r="Z54" s="159"/>
      <c r="AA54" s="159"/>
      <c r="AB54" s="159"/>
      <c r="AC54" s="159"/>
      <c r="AD54" s="159"/>
      <c r="AE54" s="155"/>
      <c r="AF54" s="159"/>
      <c r="AG54" s="159"/>
      <c r="AH54" s="155">
        <v>31.94</v>
      </c>
      <c r="AI54" s="155"/>
      <c r="AJ54" s="155"/>
      <c r="AK54" s="159"/>
      <c r="AL54" s="155" t="s">
        <v>235</v>
      </c>
      <c r="AM54" s="156" t="s">
        <v>197</v>
      </c>
      <c r="AN54" s="156"/>
      <c r="AO54" s="230"/>
    </row>
    <row r="55" spans="1:94" x14ac:dyDescent="0.3">
      <c r="A55" s="152">
        <v>1464</v>
      </c>
      <c r="B55" s="217">
        <v>41902</v>
      </c>
      <c r="C55" s="154" t="s">
        <v>189</v>
      </c>
      <c r="D55" s="155" t="s">
        <v>233</v>
      </c>
      <c r="E55" s="155"/>
      <c r="F55" s="155" t="s">
        <v>219</v>
      </c>
      <c r="G55" s="153">
        <v>41820</v>
      </c>
      <c r="H55" s="156" t="s">
        <v>192</v>
      </c>
      <c r="I55" s="156" t="s">
        <v>193</v>
      </c>
      <c r="J55" s="156"/>
      <c r="K55" s="159" t="s">
        <v>213</v>
      </c>
      <c r="L55" s="159" t="s">
        <v>222</v>
      </c>
      <c r="M55" s="159">
        <v>105.15</v>
      </c>
      <c r="N55" s="159">
        <v>29.86</v>
      </c>
      <c r="O55" s="159"/>
      <c r="P55" s="159"/>
      <c r="Q55" s="159"/>
      <c r="R55" s="163"/>
      <c r="S55" s="159"/>
      <c r="T55" s="159"/>
      <c r="U55" s="159"/>
      <c r="V55" s="159"/>
      <c r="W55" s="159">
        <v>22.4</v>
      </c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>
        <v>25.61</v>
      </c>
      <c r="AI55" s="159"/>
      <c r="AJ55" s="159"/>
      <c r="AK55" s="159"/>
      <c r="AL55" s="155" t="s">
        <v>235</v>
      </c>
      <c r="AM55" s="156" t="s">
        <v>197</v>
      </c>
      <c r="AN55" s="162"/>
      <c r="AO55" s="231"/>
    </row>
    <row r="56" spans="1:94" x14ac:dyDescent="0.3">
      <c r="A56" s="152">
        <v>1400</v>
      </c>
      <c r="B56" s="217">
        <v>41902</v>
      </c>
      <c r="C56" s="154" t="s">
        <v>189</v>
      </c>
      <c r="D56" s="155" t="s">
        <v>233</v>
      </c>
      <c r="E56" s="155"/>
      <c r="F56" s="155" t="s">
        <v>219</v>
      </c>
      <c r="G56" s="164">
        <v>41879</v>
      </c>
      <c r="H56" s="156" t="s">
        <v>192</v>
      </c>
      <c r="I56" s="156" t="s">
        <v>193</v>
      </c>
      <c r="J56" s="156"/>
      <c r="K56" s="155" t="s">
        <v>214</v>
      </c>
      <c r="L56" s="159" t="s">
        <v>222</v>
      </c>
      <c r="M56" s="159">
        <v>93.84</v>
      </c>
      <c r="N56" s="159">
        <v>36.72</v>
      </c>
      <c r="O56" s="159"/>
      <c r="P56" s="159"/>
      <c r="Q56" s="159"/>
      <c r="R56" s="163"/>
      <c r="S56" s="159"/>
      <c r="T56" s="159"/>
      <c r="U56" s="159"/>
      <c r="V56" s="159"/>
      <c r="W56" s="159">
        <v>17.649999999999999</v>
      </c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>
        <v>30.71</v>
      </c>
      <c r="AI56" s="159"/>
      <c r="AJ56" s="159"/>
      <c r="AK56" s="159"/>
      <c r="AL56" s="155" t="s">
        <v>235</v>
      </c>
      <c r="AM56" s="156" t="s">
        <v>197</v>
      </c>
      <c r="AN56" s="162"/>
      <c r="AO56" s="231"/>
    </row>
    <row r="57" spans="1:94" x14ac:dyDescent="0.3">
      <c r="A57" s="152">
        <v>3604</v>
      </c>
      <c r="B57" s="217">
        <v>41902</v>
      </c>
      <c r="C57" s="154" t="s">
        <v>189</v>
      </c>
      <c r="D57" s="155" t="s">
        <v>233</v>
      </c>
      <c r="E57" s="155"/>
      <c r="F57" s="155" t="s">
        <v>219</v>
      </c>
      <c r="G57" s="153">
        <v>41822</v>
      </c>
      <c r="H57" s="156" t="s">
        <v>192</v>
      </c>
      <c r="I57" s="156" t="s">
        <v>193</v>
      </c>
      <c r="J57" s="156"/>
      <c r="K57" s="155" t="s">
        <v>215</v>
      </c>
      <c r="L57" s="159" t="s">
        <v>222</v>
      </c>
      <c r="M57" s="159">
        <v>89.26</v>
      </c>
      <c r="N57" s="159">
        <v>38.880000000000003</v>
      </c>
      <c r="O57" s="155"/>
      <c r="P57" s="159"/>
      <c r="Q57" s="159"/>
      <c r="R57" s="163"/>
      <c r="S57" s="159"/>
      <c r="T57" s="159"/>
      <c r="U57" s="159"/>
      <c r="V57" s="159"/>
      <c r="W57" s="159">
        <v>18.32</v>
      </c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>
        <v>28.4</v>
      </c>
      <c r="AI57" s="155"/>
      <c r="AJ57" s="155"/>
      <c r="AK57" s="155"/>
      <c r="AL57" s="155" t="s">
        <v>235</v>
      </c>
      <c r="AM57" s="156" t="s">
        <v>197</v>
      </c>
      <c r="AN57" s="156"/>
      <c r="AO57" s="230"/>
    </row>
    <row r="58" spans="1:94" x14ac:dyDescent="0.3">
      <c r="A58" s="152"/>
      <c r="B58" s="217">
        <v>41902</v>
      </c>
      <c r="C58" s="154" t="s">
        <v>189</v>
      </c>
      <c r="D58" s="155" t="s">
        <v>233</v>
      </c>
      <c r="E58" s="155"/>
      <c r="F58" s="155" t="s">
        <v>219</v>
      </c>
      <c r="G58" s="153">
        <v>41884</v>
      </c>
      <c r="H58" s="156" t="s">
        <v>192</v>
      </c>
      <c r="I58" s="156"/>
      <c r="J58" s="156"/>
      <c r="K58" s="155" t="s">
        <v>305</v>
      </c>
      <c r="L58" s="155" t="s">
        <v>195</v>
      </c>
      <c r="M58" s="159">
        <v>133.30000000000001</v>
      </c>
      <c r="N58" s="159">
        <v>40.9</v>
      </c>
      <c r="O58" s="159"/>
      <c r="P58" s="159"/>
      <c r="Q58" s="159"/>
      <c r="R58" s="163"/>
      <c r="S58" s="159"/>
      <c r="T58" s="159"/>
      <c r="U58" s="159"/>
      <c r="V58" s="159"/>
      <c r="W58" s="219">
        <v>19.43</v>
      </c>
      <c r="X58" s="159"/>
      <c r="Y58" s="159"/>
      <c r="Z58" s="159"/>
      <c r="AA58" s="159"/>
      <c r="AB58" s="159"/>
      <c r="AC58" s="159"/>
      <c r="AD58" s="159"/>
      <c r="AE58" s="159"/>
      <c r="AF58" s="159"/>
      <c r="AG58" s="159"/>
      <c r="AH58" s="219">
        <v>35.54</v>
      </c>
      <c r="AI58" s="159"/>
      <c r="AJ58" s="159"/>
      <c r="AK58" s="159"/>
      <c r="AL58" s="155" t="s">
        <v>235</v>
      </c>
      <c r="AM58" s="156" t="s">
        <v>197</v>
      </c>
      <c r="AN58" s="162"/>
      <c r="AO58" s="231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</row>
    <row r="59" spans="1:94" x14ac:dyDescent="0.3">
      <c r="A59" s="152"/>
      <c r="B59" s="217">
        <v>41902</v>
      </c>
      <c r="C59" s="154" t="s">
        <v>189</v>
      </c>
      <c r="D59" s="155" t="s">
        <v>233</v>
      </c>
      <c r="E59" s="155"/>
      <c r="F59" s="155" t="s">
        <v>219</v>
      </c>
      <c r="G59" s="153">
        <v>41820</v>
      </c>
      <c r="H59" s="156" t="s">
        <v>192</v>
      </c>
      <c r="I59" s="159"/>
      <c r="J59" s="159"/>
      <c r="K59" s="155" t="s">
        <v>306</v>
      </c>
      <c r="L59" s="155" t="s">
        <v>195</v>
      </c>
      <c r="M59" s="219">
        <v>208.44</v>
      </c>
      <c r="N59" s="219">
        <v>45.24</v>
      </c>
      <c r="O59" s="159"/>
      <c r="P59" s="159"/>
      <c r="Q59" s="159"/>
      <c r="R59" s="159"/>
      <c r="S59" s="159"/>
      <c r="T59" s="159"/>
      <c r="U59" s="159"/>
      <c r="V59" s="159"/>
      <c r="W59" s="219">
        <v>20.49</v>
      </c>
      <c r="X59" s="159"/>
      <c r="Y59" s="159"/>
      <c r="Z59" s="159"/>
      <c r="AA59" s="159"/>
      <c r="AB59" s="159"/>
      <c r="AC59" s="159"/>
      <c r="AD59" s="159"/>
      <c r="AE59" s="159"/>
      <c r="AF59" s="159"/>
      <c r="AG59" s="159"/>
      <c r="AH59" s="159">
        <v>37.799999999999997</v>
      </c>
      <c r="AI59" s="159"/>
      <c r="AJ59" s="159"/>
      <c r="AK59" s="159"/>
      <c r="AL59" s="155" t="s">
        <v>235</v>
      </c>
      <c r="AM59" s="156" t="s">
        <v>197</v>
      </c>
      <c r="AN59" s="159"/>
      <c r="AO59" s="159"/>
    </row>
    <row r="60" spans="1:94" x14ac:dyDescent="0.3">
      <c r="A60" s="152"/>
      <c r="B60" s="217">
        <v>41902</v>
      </c>
      <c r="C60" s="154" t="s">
        <v>189</v>
      </c>
      <c r="D60" s="155" t="s">
        <v>233</v>
      </c>
      <c r="E60" s="155"/>
      <c r="F60" s="155" t="s">
        <v>219</v>
      </c>
      <c r="G60" s="153">
        <v>41880</v>
      </c>
      <c r="H60" s="232" t="s">
        <v>309</v>
      </c>
      <c r="I60" s="159"/>
      <c r="J60" s="159"/>
      <c r="K60" s="155" t="s">
        <v>307</v>
      </c>
      <c r="L60" s="155" t="s">
        <v>195</v>
      </c>
      <c r="M60" s="219">
        <v>93.64</v>
      </c>
      <c r="N60" s="159">
        <v>46.5</v>
      </c>
      <c r="O60" s="159"/>
      <c r="P60" s="159"/>
      <c r="Q60" s="159"/>
      <c r="R60" s="159"/>
      <c r="S60" s="159"/>
      <c r="T60" s="159"/>
      <c r="U60" s="159"/>
      <c r="V60" s="159"/>
      <c r="W60" s="159">
        <v>32</v>
      </c>
      <c r="X60" s="159"/>
      <c r="Y60" s="159"/>
      <c r="Z60" s="159"/>
      <c r="AA60" s="159"/>
      <c r="AB60" s="159"/>
      <c r="AC60" s="159"/>
      <c r="AD60" s="159"/>
      <c r="AE60" s="159"/>
      <c r="AF60" s="159"/>
      <c r="AG60" s="159"/>
      <c r="AH60" s="159">
        <v>40.1</v>
      </c>
      <c r="AI60" s="159"/>
      <c r="AJ60" s="159"/>
      <c r="AK60" s="159"/>
      <c r="AL60" s="155" t="s">
        <v>235</v>
      </c>
      <c r="AM60" s="156" t="s">
        <v>197</v>
      </c>
      <c r="AN60" s="159"/>
      <c r="AO60" s="159"/>
    </row>
    <row r="61" spans="1:94" x14ac:dyDescent="0.3">
      <c r="A61" s="152"/>
      <c r="B61" s="217">
        <v>41902</v>
      </c>
      <c r="C61" s="154" t="s">
        <v>189</v>
      </c>
      <c r="D61" s="155" t="s">
        <v>233</v>
      </c>
      <c r="E61" s="155"/>
      <c r="F61" s="155" t="s">
        <v>219</v>
      </c>
      <c r="G61" s="153">
        <v>41820</v>
      </c>
      <c r="H61" s="159"/>
      <c r="I61" s="159"/>
      <c r="J61" s="159"/>
      <c r="K61" s="155" t="s">
        <v>308</v>
      </c>
      <c r="L61" s="155" t="s">
        <v>195</v>
      </c>
      <c r="M61" s="155">
        <v>110</v>
      </c>
      <c r="N61" s="159">
        <v>44.555</v>
      </c>
      <c r="O61" s="159"/>
      <c r="P61" s="159"/>
      <c r="Q61" s="159"/>
      <c r="R61" s="159"/>
      <c r="S61" s="159"/>
      <c r="T61" s="159"/>
      <c r="U61" s="159"/>
      <c r="V61" s="159"/>
      <c r="W61" s="159">
        <v>32.408999999999999</v>
      </c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>
        <v>37.761000000000003</v>
      </c>
      <c r="AI61" s="159"/>
      <c r="AJ61" s="159"/>
      <c r="AK61" s="159"/>
      <c r="AL61" s="155" t="s">
        <v>235</v>
      </c>
      <c r="AM61" s="156" t="s">
        <v>197</v>
      </c>
      <c r="AN61" s="159"/>
      <c r="AO61" s="159"/>
    </row>
  </sheetData>
  <sheetProtection algorithmName="SHA-512" hashValue="6qHzzNsV/XzsxFJkWLSy4qrNhX3191Xr4dOHiEiEb5PjztgwuBNKhe8j+Py7L/W82goxNN10hSyIqpxNz5hNzQ==" saltValue="E7/3rc8JsgVJPqxLd5fbJg==" spinCount="100000" sheet="1" objects="1" scenarios="1"/>
  <pageMargins left="0.75" right="0.75" top="1" bottom="1" header="0.5" footer="0.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4"/>
  <dimension ref="A1:CS52"/>
  <sheetViews>
    <sheetView topLeftCell="AG1" zoomScale="120" zoomScaleNormal="120" workbookViewId="0">
      <selection activeCell="B49" sqref="B49:B52"/>
    </sheetView>
  </sheetViews>
  <sheetFormatPr defaultColWidth="11" defaultRowHeight="13.5" x14ac:dyDescent="0.3"/>
  <cols>
    <col min="41" max="41" width="13.69140625" customWidth="1"/>
  </cols>
  <sheetData>
    <row r="1" spans="1:97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8"/>
      <c r="AM1" s="148"/>
      <c r="AN1" s="148"/>
      <c r="AO1" s="149" t="s">
        <v>185</v>
      </c>
      <c r="AP1" s="150" t="s">
        <v>186</v>
      </c>
      <c r="AQ1" s="150" t="s">
        <v>187</v>
      </c>
      <c r="AR1" s="151" t="s">
        <v>188</v>
      </c>
    </row>
    <row r="2" spans="1:97" x14ac:dyDescent="0.3">
      <c r="A2" s="152">
        <v>4142</v>
      </c>
      <c r="B2" s="194">
        <v>41478</v>
      </c>
      <c r="C2" s="154" t="s">
        <v>189</v>
      </c>
      <c r="D2" s="155" t="s">
        <v>190</v>
      </c>
      <c r="E2" s="155"/>
      <c r="F2" s="155" t="s">
        <v>191</v>
      </c>
      <c r="G2" s="164">
        <v>41374</v>
      </c>
      <c r="H2" s="156" t="s">
        <v>192</v>
      </c>
      <c r="I2" s="156" t="s">
        <v>193</v>
      </c>
      <c r="J2" s="156"/>
      <c r="K2" s="155" t="s">
        <v>194</v>
      </c>
      <c r="L2" s="155" t="s">
        <v>195</v>
      </c>
      <c r="M2" s="159">
        <v>145</v>
      </c>
      <c r="N2" s="159">
        <v>23</v>
      </c>
      <c r="O2" s="155"/>
      <c r="P2" s="159"/>
      <c r="Q2" s="159"/>
      <c r="R2" s="163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9"/>
      <c r="AJ2" s="159"/>
      <c r="AK2" s="159"/>
      <c r="AL2" s="155"/>
      <c r="AM2" s="155"/>
      <c r="AN2" s="155"/>
      <c r="AO2" s="155" t="s">
        <v>196</v>
      </c>
      <c r="AP2" s="156" t="s">
        <v>197</v>
      </c>
      <c r="AQ2" s="156"/>
      <c r="AR2" s="156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</row>
    <row r="3" spans="1:97" x14ac:dyDescent="0.3">
      <c r="A3" s="152">
        <v>2017</v>
      </c>
      <c r="B3" s="194">
        <v>41478</v>
      </c>
      <c r="C3" s="154" t="s">
        <v>189</v>
      </c>
      <c r="D3" s="155" t="s">
        <v>190</v>
      </c>
      <c r="E3" s="155"/>
      <c r="F3" s="155" t="s">
        <v>191</v>
      </c>
      <c r="G3" s="153">
        <v>41457</v>
      </c>
      <c r="H3" s="156" t="s">
        <v>192</v>
      </c>
      <c r="I3" s="156" t="s">
        <v>193</v>
      </c>
      <c r="J3" s="156"/>
      <c r="K3" s="155" t="s">
        <v>198</v>
      </c>
      <c r="L3" s="155" t="s">
        <v>195</v>
      </c>
      <c r="M3" s="155">
        <v>142</v>
      </c>
      <c r="N3" s="155">
        <v>29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 t="s">
        <v>196</v>
      </c>
      <c r="AP3" s="156" t="s">
        <v>197</v>
      </c>
      <c r="AQ3" s="156"/>
      <c r="AR3" s="156"/>
    </row>
    <row r="4" spans="1:97" x14ac:dyDescent="0.3">
      <c r="A4" s="152">
        <v>2563</v>
      </c>
      <c r="B4" s="194">
        <v>41478</v>
      </c>
      <c r="C4" s="154" t="s">
        <v>189</v>
      </c>
      <c r="D4" s="155" t="s">
        <v>190</v>
      </c>
      <c r="E4" s="155"/>
      <c r="F4" s="155" t="s">
        <v>191</v>
      </c>
      <c r="G4" s="164">
        <v>41477</v>
      </c>
      <c r="H4" s="156" t="s">
        <v>193</v>
      </c>
      <c r="I4" s="156" t="s">
        <v>199</v>
      </c>
      <c r="J4" s="156"/>
      <c r="K4" s="155" t="s">
        <v>200</v>
      </c>
      <c r="L4" s="155" t="s">
        <v>195</v>
      </c>
      <c r="M4" s="155">
        <v>165.36</v>
      </c>
      <c r="N4" s="155">
        <v>27.92</v>
      </c>
      <c r="O4" s="155" t="s">
        <v>201</v>
      </c>
      <c r="P4" s="155">
        <v>1000</v>
      </c>
      <c r="Q4" s="155">
        <v>27.52</v>
      </c>
      <c r="R4" s="157">
        <v>1750</v>
      </c>
      <c r="S4" s="155">
        <v>27.12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 t="s">
        <v>196</v>
      </c>
      <c r="AP4" s="156" t="s">
        <v>197</v>
      </c>
      <c r="AQ4" s="156"/>
      <c r="AR4" s="156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</row>
    <row r="5" spans="1:97" x14ac:dyDescent="0.3">
      <c r="A5" s="152">
        <v>3230</v>
      </c>
      <c r="B5" s="194">
        <v>41478</v>
      </c>
      <c r="C5" s="154" t="s">
        <v>189</v>
      </c>
      <c r="D5" s="155" t="s">
        <v>202</v>
      </c>
      <c r="E5" s="155"/>
      <c r="F5" s="155" t="s">
        <v>191</v>
      </c>
      <c r="G5" s="153">
        <v>41455</v>
      </c>
      <c r="H5" s="156" t="s">
        <v>193</v>
      </c>
      <c r="I5" s="156" t="s">
        <v>199</v>
      </c>
      <c r="J5" s="156"/>
      <c r="K5" s="155" t="s">
        <v>203</v>
      </c>
      <c r="L5" s="155" t="s">
        <v>195</v>
      </c>
      <c r="M5" s="159">
        <v>147</v>
      </c>
      <c r="N5" s="159">
        <v>39.700000000000003</v>
      </c>
      <c r="O5" s="159"/>
      <c r="P5" s="159"/>
      <c r="Q5" s="155"/>
      <c r="R5" s="163"/>
      <c r="S5" s="159"/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9"/>
      <c r="AM5" s="159"/>
      <c r="AN5" s="159"/>
      <c r="AO5" s="155" t="s">
        <v>196</v>
      </c>
      <c r="AP5" s="156" t="s">
        <v>197</v>
      </c>
      <c r="AQ5" s="156"/>
      <c r="AR5" s="156"/>
    </row>
    <row r="6" spans="1:97" x14ac:dyDescent="0.3">
      <c r="A6" s="152">
        <v>1477</v>
      </c>
      <c r="B6" s="194">
        <v>41478</v>
      </c>
      <c r="C6" s="154" t="s">
        <v>189</v>
      </c>
      <c r="D6" s="155" t="s">
        <v>190</v>
      </c>
      <c r="E6" s="155"/>
      <c r="F6" s="155" t="s">
        <v>191</v>
      </c>
      <c r="G6" s="153">
        <v>41419</v>
      </c>
      <c r="H6" s="156" t="s">
        <v>192</v>
      </c>
      <c r="I6" s="156" t="s">
        <v>193</v>
      </c>
      <c r="J6" s="156"/>
      <c r="K6" s="159" t="s">
        <v>204</v>
      </c>
      <c r="L6" s="155" t="s">
        <v>195</v>
      </c>
      <c r="M6" s="159">
        <v>157.01</v>
      </c>
      <c r="N6" s="159">
        <v>33.340000000000003</v>
      </c>
      <c r="O6" s="159" t="s">
        <v>201</v>
      </c>
      <c r="P6" s="159">
        <v>1750</v>
      </c>
      <c r="Q6" s="159">
        <v>32.65</v>
      </c>
      <c r="R6" s="192">
        <v>1750</v>
      </c>
      <c r="S6" s="192">
        <v>32.65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5" t="s">
        <v>196</v>
      </c>
      <c r="AP6" s="156" t="s">
        <v>197</v>
      </c>
      <c r="AQ6" s="162"/>
      <c r="AR6" s="162"/>
    </row>
    <row r="7" spans="1:97" x14ac:dyDescent="0.3">
      <c r="A7" s="152">
        <v>4658</v>
      </c>
      <c r="B7" s="194">
        <v>41478</v>
      </c>
      <c r="C7" s="154" t="s">
        <v>189</v>
      </c>
      <c r="D7" s="155" t="s">
        <v>202</v>
      </c>
      <c r="E7" s="155"/>
      <c r="F7" s="155" t="s">
        <v>191</v>
      </c>
      <c r="G7" s="153">
        <v>41455</v>
      </c>
      <c r="H7" s="156" t="s">
        <v>192</v>
      </c>
      <c r="I7" s="156" t="s">
        <v>193</v>
      </c>
      <c r="J7" s="156"/>
      <c r="K7" s="159" t="s">
        <v>205</v>
      </c>
      <c r="L7" s="155" t="s">
        <v>195</v>
      </c>
      <c r="M7" s="159">
        <v>138</v>
      </c>
      <c r="N7" s="159">
        <v>29.5</v>
      </c>
      <c r="O7" s="159"/>
      <c r="P7" s="159"/>
      <c r="Q7" s="159"/>
      <c r="R7" s="163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5" t="s">
        <v>196</v>
      </c>
      <c r="AP7" s="162" t="s">
        <v>197</v>
      </c>
      <c r="AQ7" s="162"/>
      <c r="AR7" s="162"/>
    </row>
    <row r="8" spans="1:97" x14ac:dyDescent="0.3">
      <c r="A8" s="152">
        <v>1451</v>
      </c>
      <c r="B8" s="194">
        <v>41478</v>
      </c>
      <c r="C8" s="154" t="s">
        <v>189</v>
      </c>
      <c r="D8" s="155" t="s">
        <v>190</v>
      </c>
      <c r="E8" s="155"/>
      <c r="F8" s="155" t="s">
        <v>191</v>
      </c>
      <c r="G8" s="164">
        <v>41455</v>
      </c>
      <c r="H8" s="156" t="s">
        <v>192</v>
      </c>
      <c r="I8" s="156" t="s">
        <v>193</v>
      </c>
      <c r="J8" s="156"/>
      <c r="K8" s="155" t="s">
        <v>206</v>
      </c>
      <c r="L8" s="155" t="s">
        <v>195</v>
      </c>
      <c r="M8" s="159">
        <v>149.5</v>
      </c>
      <c r="N8" s="159">
        <v>25.97</v>
      </c>
      <c r="O8" s="159" t="s">
        <v>201</v>
      </c>
      <c r="P8" s="159">
        <v>300</v>
      </c>
      <c r="Q8" s="159">
        <v>27.96</v>
      </c>
      <c r="R8" s="163">
        <v>1020</v>
      </c>
      <c r="S8" s="159">
        <v>30.89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5" t="s">
        <v>196</v>
      </c>
      <c r="AP8" s="156" t="s">
        <v>197</v>
      </c>
      <c r="AQ8" s="162"/>
      <c r="AR8" s="162"/>
    </row>
    <row r="9" spans="1:97" x14ac:dyDescent="0.3">
      <c r="A9" s="152">
        <v>1489</v>
      </c>
      <c r="B9" s="194">
        <v>41478</v>
      </c>
      <c r="C9" s="154" t="s">
        <v>189</v>
      </c>
      <c r="D9" s="155" t="s">
        <v>190</v>
      </c>
      <c r="E9" s="155"/>
      <c r="F9" s="155" t="s">
        <v>191</v>
      </c>
      <c r="G9" s="153">
        <v>41419</v>
      </c>
      <c r="H9" s="156" t="s">
        <v>192</v>
      </c>
      <c r="I9" s="156" t="s">
        <v>193</v>
      </c>
      <c r="J9" s="156"/>
      <c r="K9" s="159" t="s">
        <v>207</v>
      </c>
      <c r="L9" s="155" t="s">
        <v>195</v>
      </c>
      <c r="M9" s="159">
        <v>154.5</v>
      </c>
      <c r="N9" s="159">
        <v>31.17</v>
      </c>
      <c r="O9" s="159" t="s">
        <v>201</v>
      </c>
      <c r="P9" s="159">
        <v>1750</v>
      </c>
      <c r="Q9" s="159">
        <v>30.36</v>
      </c>
      <c r="R9" s="192">
        <v>1750</v>
      </c>
      <c r="S9" s="192">
        <v>30.36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9"/>
      <c r="AM9" s="159"/>
      <c r="AN9" s="159"/>
      <c r="AO9" s="155" t="s">
        <v>196</v>
      </c>
      <c r="AP9" s="156" t="s">
        <v>197</v>
      </c>
      <c r="AQ9" s="162"/>
      <c r="AR9" s="162"/>
    </row>
    <row r="10" spans="1:97" x14ac:dyDescent="0.3">
      <c r="A10" s="152">
        <v>1267</v>
      </c>
      <c r="B10" s="194">
        <v>41478</v>
      </c>
      <c r="C10" s="154" t="s">
        <v>189</v>
      </c>
      <c r="D10" s="155" t="s">
        <v>190</v>
      </c>
      <c r="E10" s="155"/>
      <c r="F10" s="155" t="s">
        <v>191</v>
      </c>
      <c r="G10" s="153">
        <v>41467</v>
      </c>
      <c r="H10" s="156" t="s">
        <v>192</v>
      </c>
      <c r="I10" s="156" t="s">
        <v>193</v>
      </c>
      <c r="J10" s="156"/>
      <c r="K10" s="155" t="s">
        <v>208</v>
      </c>
      <c r="L10" s="155" t="s">
        <v>195</v>
      </c>
      <c r="M10" s="159">
        <v>144.30000000000001</v>
      </c>
      <c r="N10" s="159">
        <v>31.71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9"/>
      <c r="AM10" s="159"/>
      <c r="AN10" s="159"/>
      <c r="AO10" s="155" t="s">
        <v>196</v>
      </c>
      <c r="AP10" s="156" t="s">
        <v>197</v>
      </c>
      <c r="AQ10" s="156"/>
      <c r="AR10" s="156"/>
    </row>
    <row r="11" spans="1:97" x14ac:dyDescent="0.3">
      <c r="A11" s="152">
        <v>3120</v>
      </c>
      <c r="B11" s="194">
        <v>41478</v>
      </c>
      <c r="C11" s="154" t="s">
        <v>189</v>
      </c>
      <c r="D11" s="155" t="s">
        <v>202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5" t="s">
        <v>195</v>
      </c>
      <c r="M11" s="159">
        <v>237.05</v>
      </c>
      <c r="N11" s="159">
        <v>25.41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5" t="s">
        <v>196</v>
      </c>
      <c r="AP11" s="156" t="s">
        <v>197</v>
      </c>
      <c r="AQ11" s="162"/>
      <c r="AR11" s="162"/>
    </row>
    <row r="12" spans="1:97" x14ac:dyDescent="0.3">
      <c r="A12" s="152">
        <v>1431</v>
      </c>
      <c r="B12" s="194">
        <v>41478</v>
      </c>
      <c r="C12" s="154" t="s">
        <v>189</v>
      </c>
      <c r="D12" s="155" t="s">
        <v>190</v>
      </c>
      <c r="E12" s="155"/>
      <c r="F12" s="155" t="s">
        <v>191</v>
      </c>
      <c r="G12" s="153">
        <v>41469</v>
      </c>
      <c r="H12" s="156" t="s">
        <v>192</v>
      </c>
      <c r="I12" s="156" t="s">
        <v>193</v>
      </c>
      <c r="J12" s="156"/>
      <c r="K12" s="159" t="s">
        <v>210</v>
      </c>
      <c r="L12" s="155" t="s">
        <v>195</v>
      </c>
      <c r="M12" s="159">
        <v>141.30000000000001</v>
      </c>
      <c r="N12" s="159">
        <v>28.36</v>
      </c>
      <c r="O12" s="155" t="s">
        <v>201</v>
      </c>
      <c r="P12" s="159">
        <v>600</v>
      </c>
      <c r="Q12" s="159">
        <v>33.83</v>
      </c>
      <c r="R12" s="192">
        <v>600</v>
      </c>
      <c r="S12" s="192">
        <v>33.83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5" t="s">
        <v>196</v>
      </c>
      <c r="AP12" s="156" t="s">
        <v>197</v>
      </c>
      <c r="AQ12" s="162"/>
      <c r="AR12" s="162"/>
    </row>
    <row r="13" spans="1:97" x14ac:dyDescent="0.3">
      <c r="A13" s="152">
        <v>2275</v>
      </c>
      <c r="B13" s="194">
        <v>41478</v>
      </c>
      <c r="C13" s="154" t="s">
        <v>189</v>
      </c>
      <c r="D13" s="155" t="s">
        <v>202</v>
      </c>
      <c r="E13" s="155"/>
      <c r="F13" s="155" t="s">
        <v>191</v>
      </c>
      <c r="G13" s="153">
        <v>41455</v>
      </c>
      <c r="H13" s="156" t="s">
        <v>192</v>
      </c>
      <c r="I13" s="156" t="s">
        <v>193</v>
      </c>
      <c r="J13" s="156"/>
      <c r="K13" s="155" t="s">
        <v>211</v>
      </c>
      <c r="L13" s="155" t="s">
        <v>195</v>
      </c>
      <c r="M13" s="155">
        <v>141.01</v>
      </c>
      <c r="N13" s="155">
        <v>28.47</v>
      </c>
      <c r="O13" s="155"/>
      <c r="P13" s="155"/>
      <c r="Q13" s="155"/>
      <c r="R13" s="157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 t="s">
        <v>196</v>
      </c>
      <c r="AP13" s="156" t="s">
        <v>197</v>
      </c>
      <c r="AQ13" s="156"/>
      <c r="AR13" s="156"/>
    </row>
    <row r="14" spans="1:97" x14ac:dyDescent="0.3">
      <c r="A14" s="152">
        <v>3756</v>
      </c>
      <c r="B14" s="194">
        <v>41478</v>
      </c>
      <c r="C14" s="154" t="s">
        <v>189</v>
      </c>
      <c r="D14" s="155" t="s">
        <v>190</v>
      </c>
      <c r="E14" s="155"/>
      <c r="F14" s="155" t="s">
        <v>191</v>
      </c>
      <c r="G14" s="153">
        <v>41455</v>
      </c>
      <c r="H14" s="156" t="s">
        <v>192</v>
      </c>
      <c r="I14" s="156" t="s">
        <v>193</v>
      </c>
      <c r="J14" s="156"/>
      <c r="K14" s="155" t="s">
        <v>212</v>
      </c>
      <c r="L14" s="155" t="s">
        <v>195</v>
      </c>
      <c r="M14" s="159">
        <v>142</v>
      </c>
      <c r="N14" s="159">
        <v>29</v>
      </c>
      <c r="O14" s="159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9"/>
      <c r="AM14" s="159"/>
      <c r="AN14" s="159"/>
      <c r="AO14" s="155" t="s">
        <v>196</v>
      </c>
      <c r="AP14" s="156" t="s">
        <v>197</v>
      </c>
      <c r="AQ14" s="156"/>
      <c r="AR14" s="156"/>
    </row>
    <row r="15" spans="1:97" x14ac:dyDescent="0.3">
      <c r="A15" s="152">
        <v>1465</v>
      </c>
      <c r="B15" s="194">
        <v>41478</v>
      </c>
      <c r="C15" s="154" t="s">
        <v>189</v>
      </c>
      <c r="D15" s="155" t="s">
        <v>190</v>
      </c>
      <c r="E15" s="155"/>
      <c r="F15" s="155" t="s">
        <v>191</v>
      </c>
      <c r="G15" s="153">
        <v>41455</v>
      </c>
      <c r="H15" s="156" t="s">
        <v>192</v>
      </c>
      <c r="I15" s="156" t="s">
        <v>193</v>
      </c>
      <c r="J15" s="156"/>
      <c r="K15" s="159" t="s">
        <v>213</v>
      </c>
      <c r="L15" s="155" t="s">
        <v>195</v>
      </c>
      <c r="M15" s="159">
        <v>155.19999999999999</v>
      </c>
      <c r="N15" s="159">
        <v>29.06</v>
      </c>
      <c r="O15" s="159"/>
      <c r="P15" s="159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5" t="s">
        <v>196</v>
      </c>
      <c r="AP15" s="156" t="s">
        <v>197</v>
      </c>
      <c r="AQ15" s="162"/>
      <c r="AR15" s="162"/>
    </row>
    <row r="16" spans="1:97" x14ac:dyDescent="0.3">
      <c r="A16" s="152">
        <v>1409</v>
      </c>
      <c r="B16" s="194">
        <v>41478</v>
      </c>
      <c r="C16" s="154" t="s">
        <v>189</v>
      </c>
      <c r="D16" s="155" t="s">
        <v>190</v>
      </c>
      <c r="E16" s="155"/>
      <c r="F16" s="155" t="s">
        <v>191</v>
      </c>
      <c r="G16" s="164">
        <v>41479</v>
      </c>
      <c r="H16" s="156" t="s">
        <v>192</v>
      </c>
      <c r="I16" s="156" t="s">
        <v>193</v>
      </c>
      <c r="J16" s="156"/>
      <c r="K16" s="155" t="s">
        <v>214</v>
      </c>
      <c r="L16" s="155" t="s">
        <v>195</v>
      </c>
      <c r="M16" s="159">
        <v>133.62</v>
      </c>
      <c r="N16" s="159">
        <v>29.58</v>
      </c>
      <c r="O16" s="159" t="s">
        <v>201</v>
      </c>
      <c r="P16" s="159">
        <v>1000</v>
      </c>
      <c r="Q16" s="159">
        <v>29.07</v>
      </c>
      <c r="R16" s="163">
        <v>1750</v>
      </c>
      <c r="S16" s="159">
        <v>28.97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5" t="s">
        <v>196</v>
      </c>
      <c r="AP16" s="156" t="s">
        <v>197</v>
      </c>
      <c r="AQ16" s="162"/>
      <c r="AR16" s="162"/>
    </row>
    <row r="17" spans="1:97" x14ac:dyDescent="0.3">
      <c r="A17" s="152">
        <v>3609</v>
      </c>
      <c r="B17" s="194">
        <v>41478</v>
      </c>
      <c r="C17" s="154" t="s">
        <v>189</v>
      </c>
      <c r="D17" s="155" t="s">
        <v>190</v>
      </c>
      <c r="E17" s="155"/>
      <c r="F17" s="155" t="s">
        <v>191</v>
      </c>
      <c r="G17" s="153">
        <v>41459</v>
      </c>
      <c r="H17" s="156" t="s">
        <v>192</v>
      </c>
      <c r="I17" s="156" t="s">
        <v>193</v>
      </c>
      <c r="J17" s="156"/>
      <c r="K17" s="155" t="s">
        <v>215</v>
      </c>
      <c r="L17" s="155" t="s">
        <v>195</v>
      </c>
      <c r="M17" s="159">
        <v>115.3</v>
      </c>
      <c r="N17" s="159">
        <v>25.7</v>
      </c>
      <c r="O17" s="155" t="s">
        <v>201</v>
      </c>
      <c r="P17" s="159">
        <v>1000</v>
      </c>
      <c r="Q17" s="159">
        <v>25.18</v>
      </c>
      <c r="R17" s="163">
        <v>1700</v>
      </c>
      <c r="S17" s="159">
        <v>24.66</v>
      </c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5"/>
      <c r="AM17" s="155"/>
      <c r="AN17" s="155"/>
      <c r="AO17" s="155" t="s">
        <v>196</v>
      </c>
      <c r="AP17" s="156" t="s">
        <v>197</v>
      </c>
      <c r="AQ17" s="156"/>
      <c r="AR17" s="156"/>
    </row>
    <row r="18" spans="1:97" x14ac:dyDescent="0.3">
      <c r="A18" s="152">
        <v>1505</v>
      </c>
      <c r="B18" s="194">
        <v>41478</v>
      </c>
      <c r="C18" s="154" t="s">
        <v>189</v>
      </c>
      <c r="D18" s="155" t="s">
        <v>190</v>
      </c>
      <c r="E18" s="155"/>
      <c r="F18" s="155" t="s">
        <v>191</v>
      </c>
      <c r="G18" s="153">
        <v>41455</v>
      </c>
      <c r="H18" s="156" t="s">
        <v>192</v>
      </c>
      <c r="I18" s="156" t="s">
        <v>193</v>
      </c>
      <c r="J18" s="156"/>
      <c r="K18" s="159" t="s">
        <v>216</v>
      </c>
      <c r="L18" s="155" t="s">
        <v>195</v>
      </c>
      <c r="M18" s="159">
        <v>143.5085</v>
      </c>
      <c r="N18" s="159">
        <v>35.765000000000001</v>
      </c>
      <c r="O18" s="159"/>
      <c r="P18" s="159"/>
      <c r="Q18" s="159"/>
      <c r="R18" s="163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5" t="s">
        <v>196</v>
      </c>
      <c r="AP18" s="156" t="s">
        <v>197</v>
      </c>
      <c r="AQ18" s="162"/>
      <c r="AR18" s="16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</row>
    <row r="19" spans="1:97" x14ac:dyDescent="0.3">
      <c r="A19" s="152">
        <v>4143</v>
      </c>
      <c r="B19" s="194">
        <v>41478</v>
      </c>
      <c r="C19" s="154" t="s">
        <v>189</v>
      </c>
      <c r="D19" s="155" t="s">
        <v>190</v>
      </c>
      <c r="E19" s="155"/>
      <c r="F19" s="155" t="s">
        <v>217</v>
      </c>
      <c r="G19" s="164">
        <v>41374</v>
      </c>
      <c r="H19" s="156" t="s">
        <v>192</v>
      </c>
      <c r="I19" s="156" t="s">
        <v>193</v>
      </c>
      <c r="J19" s="156"/>
      <c r="K19" s="155" t="s">
        <v>194</v>
      </c>
      <c r="L19" s="155" t="s">
        <v>195</v>
      </c>
      <c r="M19" s="155">
        <v>156</v>
      </c>
      <c r="N19" s="159">
        <v>23</v>
      </c>
      <c r="O19" s="155"/>
      <c r="P19" s="159"/>
      <c r="Q19" s="159"/>
      <c r="R19" s="163"/>
      <c r="S19" s="159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15</v>
      </c>
      <c r="AF19" s="159"/>
      <c r="AG19" s="159"/>
      <c r="AH19" s="159"/>
      <c r="AI19" s="159"/>
      <c r="AJ19" s="159"/>
      <c r="AK19" s="159"/>
      <c r="AL19" s="155"/>
      <c r="AM19" s="155"/>
      <c r="AN19" s="155"/>
      <c r="AO19" s="155" t="s">
        <v>218</v>
      </c>
      <c r="AP19" s="156" t="s">
        <v>197</v>
      </c>
      <c r="AQ19" s="156"/>
      <c r="AR19" s="156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</row>
    <row r="20" spans="1:97" x14ac:dyDescent="0.3">
      <c r="A20" s="152">
        <v>2018</v>
      </c>
      <c r="B20" s="194">
        <v>41478</v>
      </c>
      <c r="C20" s="154" t="s">
        <v>189</v>
      </c>
      <c r="D20" s="155" t="s">
        <v>190</v>
      </c>
      <c r="E20" s="155"/>
      <c r="F20" s="155" t="s">
        <v>217</v>
      </c>
      <c r="G20" s="153">
        <v>41457</v>
      </c>
      <c r="H20" s="156" t="s">
        <v>192</v>
      </c>
      <c r="I20" s="156" t="s">
        <v>193</v>
      </c>
      <c r="J20" s="156"/>
      <c r="K20" s="155" t="s">
        <v>198</v>
      </c>
      <c r="L20" s="155" t="s">
        <v>195</v>
      </c>
      <c r="M20" s="155">
        <v>155</v>
      </c>
      <c r="N20" s="155">
        <v>29</v>
      </c>
      <c r="O20" s="155"/>
      <c r="P20" s="155"/>
      <c r="Q20" s="155"/>
      <c r="R20" s="157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16</v>
      </c>
      <c r="AF20" s="155"/>
      <c r="AG20" s="155"/>
      <c r="AH20" s="155"/>
      <c r="AI20" s="155"/>
      <c r="AJ20" s="155"/>
      <c r="AK20" s="155"/>
      <c r="AL20" s="155"/>
      <c r="AM20" s="155"/>
      <c r="AN20" s="155"/>
      <c r="AO20" s="155" t="s">
        <v>218</v>
      </c>
      <c r="AP20" s="156" t="s">
        <v>197</v>
      </c>
      <c r="AQ20" s="156"/>
      <c r="AR20" s="156"/>
    </row>
    <row r="21" spans="1:97" x14ac:dyDescent="0.3">
      <c r="A21" s="152">
        <v>2564</v>
      </c>
      <c r="B21" s="194">
        <v>41478</v>
      </c>
      <c r="C21" s="154" t="s">
        <v>189</v>
      </c>
      <c r="D21" s="155" t="s">
        <v>190</v>
      </c>
      <c r="E21" s="155"/>
      <c r="F21" s="155" t="s">
        <v>217</v>
      </c>
      <c r="G21" s="164">
        <v>41477</v>
      </c>
      <c r="H21" s="156" t="s">
        <v>193</v>
      </c>
      <c r="I21" s="156" t="s">
        <v>199</v>
      </c>
      <c r="J21" s="156"/>
      <c r="K21" s="155" t="s">
        <v>200</v>
      </c>
      <c r="L21" s="155" t="s">
        <v>195</v>
      </c>
      <c r="M21" s="155">
        <v>181.32</v>
      </c>
      <c r="N21" s="155">
        <v>27.92</v>
      </c>
      <c r="O21" s="155" t="s">
        <v>201</v>
      </c>
      <c r="P21" s="155">
        <v>1000</v>
      </c>
      <c r="Q21" s="155">
        <v>27.52</v>
      </c>
      <c r="R21" s="157">
        <v>1750</v>
      </c>
      <c r="S21" s="155">
        <v>27.12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13.48</v>
      </c>
      <c r="AF21" s="155"/>
      <c r="AG21" s="155"/>
      <c r="AH21" s="155"/>
      <c r="AI21" s="155"/>
      <c r="AJ21" s="155"/>
      <c r="AK21" s="155"/>
      <c r="AL21" s="155"/>
      <c r="AM21" s="155"/>
      <c r="AN21" s="155"/>
      <c r="AO21" s="155" t="s">
        <v>218</v>
      </c>
      <c r="AP21" s="156" t="s">
        <v>197</v>
      </c>
      <c r="AQ21" s="156"/>
      <c r="AR21" s="156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</row>
    <row r="22" spans="1:97" x14ac:dyDescent="0.3">
      <c r="A22" s="152">
        <v>3231</v>
      </c>
      <c r="B22" s="194">
        <v>41478</v>
      </c>
      <c r="C22" s="154" t="s">
        <v>189</v>
      </c>
      <c r="D22" s="155" t="s">
        <v>202</v>
      </c>
      <c r="E22" s="155"/>
      <c r="F22" s="155" t="s">
        <v>217</v>
      </c>
      <c r="G22" s="153">
        <v>41455</v>
      </c>
      <c r="H22" s="156" t="s">
        <v>193</v>
      </c>
      <c r="I22" s="156" t="s">
        <v>199</v>
      </c>
      <c r="J22" s="156"/>
      <c r="K22" s="155" t="s">
        <v>203</v>
      </c>
      <c r="L22" s="155" t="s">
        <v>195</v>
      </c>
      <c r="M22" s="159">
        <v>162</v>
      </c>
      <c r="N22" s="159">
        <v>39.700000000000003</v>
      </c>
      <c r="O22" s="159"/>
      <c r="P22" s="159"/>
      <c r="Q22" s="155"/>
      <c r="R22" s="163"/>
      <c r="S22" s="159"/>
      <c r="T22" s="159"/>
      <c r="U22" s="159"/>
      <c r="V22" s="159"/>
      <c r="W22" s="155"/>
      <c r="X22" s="159"/>
      <c r="Y22" s="159"/>
      <c r="Z22" s="159"/>
      <c r="AA22" s="159"/>
      <c r="AB22" s="159"/>
      <c r="AC22" s="159"/>
      <c r="AD22" s="159"/>
      <c r="AE22" s="155">
        <v>26.3</v>
      </c>
      <c r="AF22" s="159"/>
      <c r="AG22" s="159"/>
      <c r="AH22" s="155"/>
      <c r="AI22" s="155"/>
      <c r="AJ22" s="155"/>
      <c r="AK22" s="159"/>
      <c r="AL22" s="159"/>
      <c r="AM22" s="159"/>
      <c r="AN22" s="159"/>
      <c r="AO22" s="155" t="s">
        <v>218</v>
      </c>
      <c r="AP22" s="156" t="s">
        <v>197</v>
      </c>
      <c r="AQ22" s="156"/>
      <c r="AR22" s="156"/>
    </row>
    <row r="23" spans="1:97" x14ac:dyDescent="0.3">
      <c r="A23" s="152">
        <v>1478</v>
      </c>
      <c r="B23" s="194">
        <v>41478</v>
      </c>
      <c r="C23" s="154" t="s">
        <v>189</v>
      </c>
      <c r="D23" s="155" t="s">
        <v>190</v>
      </c>
      <c r="E23" s="155"/>
      <c r="F23" s="155" t="s">
        <v>217</v>
      </c>
      <c r="G23" s="153">
        <v>41419</v>
      </c>
      <c r="H23" s="156" t="s">
        <v>192</v>
      </c>
      <c r="I23" s="156" t="s">
        <v>193</v>
      </c>
      <c r="J23" s="156"/>
      <c r="K23" s="159" t="s">
        <v>204</v>
      </c>
      <c r="L23" s="155" t="s">
        <v>195</v>
      </c>
      <c r="M23" s="159">
        <v>172.41</v>
      </c>
      <c r="N23" s="159">
        <v>33.340000000000003</v>
      </c>
      <c r="O23" s="159" t="s">
        <v>201</v>
      </c>
      <c r="P23" s="159">
        <v>1750</v>
      </c>
      <c r="Q23" s="159">
        <v>32.65</v>
      </c>
      <c r="R23" s="192">
        <v>1750</v>
      </c>
      <c r="S23" s="192">
        <v>32.65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15.68</v>
      </c>
      <c r="AF23" s="159"/>
      <c r="AG23" s="159"/>
      <c r="AH23" s="159"/>
      <c r="AI23" s="159"/>
      <c r="AJ23" s="159"/>
      <c r="AK23" s="159"/>
      <c r="AL23" s="159"/>
      <c r="AM23" s="159"/>
      <c r="AN23" s="159"/>
      <c r="AO23" s="155" t="s">
        <v>218</v>
      </c>
      <c r="AP23" s="156" t="s">
        <v>197</v>
      </c>
      <c r="AQ23" s="162"/>
      <c r="AR23" s="162"/>
    </row>
    <row r="24" spans="1:97" x14ac:dyDescent="0.3">
      <c r="A24" s="152">
        <v>4659</v>
      </c>
      <c r="B24" s="194">
        <v>41478</v>
      </c>
      <c r="C24" s="154" t="s">
        <v>189</v>
      </c>
      <c r="D24" s="155" t="s">
        <v>202</v>
      </c>
      <c r="E24" s="155"/>
      <c r="F24" s="155" t="s">
        <v>217</v>
      </c>
      <c r="G24" s="153">
        <v>41455</v>
      </c>
      <c r="H24" s="156" t="s">
        <v>192</v>
      </c>
      <c r="I24" s="156" t="s">
        <v>193</v>
      </c>
      <c r="J24" s="156"/>
      <c r="K24" s="159" t="s">
        <v>205</v>
      </c>
      <c r="L24" s="155" t="s">
        <v>195</v>
      </c>
      <c r="M24" s="159">
        <v>152</v>
      </c>
      <c r="N24" s="159">
        <v>29.5</v>
      </c>
      <c r="O24" s="159"/>
      <c r="P24" s="159"/>
      <c r="Q24" s="159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19.350000000000001</v>
      </c>
      <c r="AF24" s="159"/>
      <c r="AG24" s="159"/>
      <c r="AH24" s="159"/>
      <c r="AI24" s="159"/>
      <c r="AJ24" s="159"/>
      <c r="AK24" s="159"/>
      <c r="AL24" s="159"/>
      <c r="AM24" s="159"/>
      <c r="AN24" s="159"/>
      <c r="AO24" s="155" t="s">
        <v>218</v>
      </c>
      <c r="AP24" s="162" t="s">
        <v>197</v>
      </c>
      <c r="AQ24" s="162"/>
      <c r="AR24" s="162"/>
    </row>
    <row r="25" spans="1:97" x14ac:dyDescent="0.3">
      <c r="A25" s="152">
        <v>1452</v>
      </c>
      <c r="B25" s="194">
        <v>41478</v>
      </c>
      <c r="C25" s="154" t="s">
        <v>189</v>
      </c>
      <c r="D25" s="155" t="s">
        <v>190</v>
      </c>
      <c r="E25" s="155"/>
      <c r="F25" s="155" t="s">
        <v>217</v>
      </c>
      <c r="G25" s="164">
        <v>41455</v>
      </c>
      <c r="H25" s="156" t="s">
        <v>192</v>
      </c>
      <c r="I25" s="156" t="s">
        <v>193</v>
      </c>
      <c r="J25" s="156"/>
      <c r="K25" s="155" t="s">
        <v>206</v>
      </c>
      <c r="L25" s="155" t="s">
        <v>195</v>
      </c>
      <c r="M25" s="159">
        <v>164.4</v>
      </c>
      <c r="N25" s="159">
        <v>25.97</v>
      </c>
      <c r="O25" s="159" t="s">
        <v>201</v>
      </c>
      <c r="P25" s="159">
        <v>300</v>
      </c>
      <c r="Q25" s="159">
        <v>27.96</v>
      </c>
      <c r="R25" s="163">
        <v>1020</v>
      </c>
      <c r="S25" s="159">
        <v>30.89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15.6</v>
      </c>
      <c r="AF25" s="159"/>
      <c r="AG25" s="159"/>
      <c r="AH25" s="159"/>
      <c r="AI25" s="159"/>
      <c r="AJ25" s="159"/>
      <c r="AK25" s="159"/>
      <c r="AL25" s="159"/>
      <c r="AM25" s="159"/>
      <c r="AN25" s="159"/>
      <c r="AO25" s="155" t="s">
        <v>218</v>
      </c>
      <c r="AP25" s="156" t="s">
        <v>197</v>
      </c>
      <c r="AQ25" s="162"/>
      <c r="AR25" s="162"/>
    </row>
    <row r="26" spans="1:97" x14ac:dyDescent="0.3">
      <c r="A26" s="152">
        <v>1490</v>
      </c>
      <c r="B26" s="194">
        <v>41478</v>
      </c>
      <c r="C26" s="154" t="s">
        <v>189</v>
      </c>
      <c r="D26" s="155" t="s">
        <v>190</v>
      </c>
      <c r="E26" s="155"/>
      <c r="F26" s="155" t="s">
        <v>217</v>
      </c>
      <c r="G26" s="153">
        <v>41419</v>
      </c>
      <c r="H26" s="156" t="s">
        <v>192</v>
      </c>
      <c r="I26" s="156" t="s">
        <v>193</v>
      </c>
      <c r="J26" s="156"/>
      <c r="K26" s="159" t="s">
        <v>207</v>
      </c>
      <c r="L26" s="155" t="s">
        <v>195</v>
      </c>
      <c r="M26" s="159">
        <v>169.6</v>
      </c>
      <c r="N26" s="159">
        <v>31.17</v>
      </c>
      <c r="O26" s="159" t="s">
        <v>201</v>
      </c>
      <c r="P26" s="159">
        <v>1750</v>
      </c>
      <c r="Q26" s="159">
        <v>30.36</v>
      </c>
      <c r="R26" s="192">
        <v>1750</v>
      </c>
      <c r="S26" s="192">
        <v>30.36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15.35</v>
      </c>
      <c r="AF26" s="159"/>
      <c r="AG26" s="159"/>
      <c r="AH26" s="159"/>
      <c r="AI26" s="159"/>
      <c r="AJ26" s="159"/>
      <c r="AK26" s="159"/>
      <c r="AL26" s="159"/>
      <c r="AM26" s="159"/>
      <c r="AN26" s="159"/>
      <c r="AO26" s="155" t="s">
        <v>218</v>
      </c>
      <c r="AP26" s="156" t="s">
        <v>197</v>
      </c>
      <c r="AQ26" s="162"/>
      <c r="AR26" s="162"/>
    </row>
    <row r="27" spans="1:97" x14ac:dyDescent="0.3">
      <c r="A27" s="152">
        <v>1268</v>
      </c>
      <c r="B27" s="194">
        <v>41478</v>
      </c>
      <c r="C27" s="154" t="s">
        <v>189</v>
      </c>
      <c r="D27" s="155" t="s">
        <v>190</v>
      </c>
      <c r="E27" s="155"/>
      <c r="F27" s="155" t="s">
        <v>217</v>
      </c>
      <c r="G27" s="153">
        <v>41467</v>
      </c>
      <c r="H27" s="156" t="s">
        <v>192</v>
      </c>
      <c r="I27" s="156" t="s">
        <v>193</v>
      </c>
      <c r="J27" s="156"/>
      <c r="K27" s="155" t="s">
        <v>208</v>
      </c>
      <c r="L27" s="155" t="s">
        <v>195</v>
      </c>
      <c r="M27" s="159">
        <v>157</v>
      </c>
      <c r="N27" s="159">
        <v>31.71</v>
      </c>
      <c r="O27" s="155"/>
      <c r="P27" s="159"/>
      <c r="Q27" s="155"/>
      <c r="R27" s="163"/>
      <c r="S27" s="159"/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12.62</v>
      </c>
      <c r="AF27" s="159"/>
      <c r="AG27" s="159"/>
      <c r="AH27" s="155"/>
      <c r="AI27" s="155"/>
      <c r="AJ27" s="155"/>
      <c r="AK27" s="159"/>
      <c r="AL27" s="159"/>
      <c r="AM27" s="159"/>
      <c r="AN27" s="159"/>
      <c r="AO27" s="155" t="s">
        <v>218</v>
      </c>
      <c r="AP27" s="156" t="s">
        <v>197</v>
      </c>
      <c r="AQ27" s="156"/>
      <c r="AR27" s="156"/>
    </row>
    <row r="28" spans="1:97" x14ac:dyDescent="0.3">
      <c r="A28" s="152">
        <v>3121</v>
      </c>
      <c r="B28" s="194">
        <v>41478</v>
      </c>
      <c r="C28" s="154" t="s">
        <v>189</v>
      </c>
      <c r="D28" s="155" t="s">
        <v>202</v>
      </c>
      <c r="E28" s="155"/>
      <c r="F28" s="155" t="s">
        <v>217</v>
      </c>
      <c r="G28" s="153">
        <v>41468</v>
      </c>
      <c r="H28" s="156" t="s">
        <v>192</v>
      </c>
      <c r="I28" s="156" t="s">
        <v>193</v>
      </c>
      <c r="J28" s="156"/>
      <c r="K28" s="159" t="s">
        <v>209</v>
      </c>
      <c r="L28" s="155" t="s">
        <v>195</v>
      </c>
      <c r="M28" s="159">
        <v>248.94</v>
      </c>
      <c r="N28" s="159">
        <v>25.41</v>
      </c>
      <c r="O28" s="155"/>
      <c r="P28" s="159"/>
      <c r="Q28" s="159"/>
      <c r="R28" s="163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14.73</v>
      </c>
      <c r="AF28" s="159"/>
      <c r="AG28" s="159"/>
      <c r="AH28" s="159"/>
      <c r="AI28" s="159"/>
      <c r="AJ28" s="159"/>
      <c r="AK28" s="159"/>
      <c r="AL28" s="159"/>
      <c r="AM28" s="159"/>
      <c r="AN28" s="159"/>
      <c r="AO28" s="155" t="s">
        <v>218</v>
      </c>
      <c r="AP28" s="156" t="s">
        <v>197</v>
      </c>
      <c r="AQ28" s="162"/>
      <c r="AR28" s="162"/>
    </row>
    <row r="29" spans="1:97" x14ac:dyDescent="0.3">
      <c r="A29" s="152">
        <v>1432</v>
      </c>
      <c r="B29" s="194">
        <v>41478</v>
      </c>
      <c r="C29" s="154" t="s">
        <v>189</v>
      </c>
      <c r="D29" s="155" t="s">
        <v>190</v>
      </c>
      <c r="E29" s="155"/>
      <c r="F29" s="155" t="s">
        <v>217</v>
      </c>
      <c r="G29" s="153">
        <v>41469</v>
      </c>
      <c r="H29" s="156" t="s">
        <v>192</v>
      </c>
      <c r="I29" s="156" t="s">
        <v>193</v>
      </c>
      <c r="J29" s="156"/>
      <c r="K29" s="159" t="s">
        <v>210</v>
      </c>
      <c r="L29" s="155" t="s">
        <v>195</v>
      </c>
      <c r="M29" s="159">
        <v>154.22999999999999</v>
      </c>
      <c r="N29" s="159">
        <v>28.36</v>
      </c>
      <c r="O29" s="155" t="s">
        <v>201</v>
      </c>
      <c r="P29" s="159">
        <v>600</v>
      </c>
      <c r="Q29" s="159">
        <v>33.83</v>
      </c>
      <c r="R29" s="192">
        <v>600</v>
      </c>
      <c r="S29" s="192">
        <v>33.83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15.92</v>
      </c>
      <c r="AF29" s="159"/>
      <c r="AG29" s="159"/>
      <c r="AH29" s="159"/>
      <c r="AI29" s="159"/>
      <c r="AJ29" s="159"/>
      <c r="AK29" s="159"/>
      <c r="AL29" s="159"/>
      <c r="AM29" s="159"/>
      <c r="AN29" s="159"/>
      <c r="AO29" s="155" t="s">
        <v>218</v>
      </c>
      <c r="AP29" s="156" t="s">
        <v>197</v>
      </c>
      <c r="AQ29" s="162"/>
      <c r="AR29" s="162"/>
    </row>
    <row r="30" spans="1:97" x14ac:dyDescent="0.3">
      <c r="A30" s="152">
        <v>2276</v>
      </c>
      <c r="B30" s="194">
        <v>41478</v>
      </c>
      <c r="C30" s="154" t="s">
        <v>189</v>
      </c>
      <c r="D30" s="155" t="s">
        <v>202</v>
      </c>
      <c r="E30" s="155"/>
      <c r="F30" s="155" t="s">
        <v>217</v>
      </c>
      <c r="G30" s="153">
        <v>41455</v>
      </c>
      <c r="H30" s="156" t="s">
        <v>192</v>
      </c>
      <c r="I30" s="156" t="s">
        <v>193</v>
      </c>
      <c r="J30" s="156"/>
      <c r="K30" s="155" t="s">
        <v>211</v>
      </c>
      <c r="L30" s="155" t="s">
        <v>195</v>
      </c>
      <c r="M30" s="155">
        <v>154.51</v>
      </c>
      <c r="N30" s="155">
        <v>28.47</v>
      </c>
      <c r="O30" s="155"/>
      <c r="P30" s="155"/>
      <c r="Q30" s="155"/>
      <c r="R30" s="157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15.1</v>
      </c>
      <c r="AF30" s="155"/>
      <c r="AG30" s="155"/>
      <c r="AH30" s="155"/>
      <c r="AI30" s="155"/>
      <c r="AJ30" s="155"/>
      <c r="AK30" s="155"/>
      <c r="AL30" s="155"/>
      <c r="AM30" s="155"/>
      <c r="AN30" s="155"/>
      <c r="AO30" s="155" t="s">
        <v>218</v>
      </c>
      <c r="AP30" s="156" t="s">
        <v>197</v>
      </c>
      <c r="AQ30" s="156"/>
      <c r="AR30" s="156"/>
    </row>
    <row r="31" spans="1:97" x14ac:dyDescent="0.3">
      <c r="A31" s="152">
        <v>3757</v>
      </c>
      <c r="B31" s="194">
        <v>41478</v>
      </c>
      <c r="C31" s="154" t="s">
        <v>189</v>
      </c>
      <c r="D31" s="155" t="s">
        <v>190</v>
      </c>
      <c r="E31" s="155"/>
      <c r="F31" s="155" t="s">
        <v>217</v>
      </c>
      <c r="G31" s="153">
        <v>41455</v>
      </c>
      <c r="H31" s="156" t="s">
        <v>192</v>
      </c>
      <c r="I31" s="156" t="s">
        <v>193</v>
      </c>
      <c r="J31" s="156"/>
      <c r="K31" s="155" t="s">
        <v>212</v>
      </c>
      <c r="L31" s="155" t="s">
        <v>195</v>
      </c>
      <c r="M31" s="159">
        <v>155</v>
      </c>
      <c r="N31" s="159">
        <v>29</v>
      </c>
      <c r="O31" s="159"/>
      <c r="P31" s="159"/>
      <c r="Q31" s="155"/>
      <c r="R31" s="163"/>
      <c r="S31" s="159"/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16</v>
      </c>
      <c r="AF31" s="159"/>
      <c r="AG31" s="159"/>
      <c r="AH31" s="155"/>
      <c r="AI31" s="155"/>
      <c r="AJ31" s="155"/>
      <c r="AK31" s="159"/>
      <c r="AL31" s="159"/>
      <c r="AM31" s="159"/>
      <c r="AN31" s="159"/>
      <c r="AO31" s="155" t="s">
        <v>218</v>
      </c>
      <c r="AP31" s="156" t="s">
        <v>197</v>
      </c>
      <c r="AQ31" s="156"/>
      <c r="AR31" s="156"/>
    </row>
    <row r="32" spans="1:97" x14ac:dyDescent="0.3">
      <c r="A32" s="152">
        <v>1466</v>
      </c>
      <c r="B32" s="194">
        <v>41478</v>
      </c>
      <c r="C32" s="154" t="s">
        <v>189</v>
      </c>
      <c r="D32" s="155" t="s">
        <v>190</v>
      </c>
      <c r="E32" s="155"/>
      <c r="F32" s="155" t="s">
        <v>217</v>
      </c>
      <c r="G32" s="153">
        <v>41455</v>
      </c>
      <c r="H32" s="156" t="s">
        <v>192</v>
      </c>
      <c r="I32" s="156" t="s">
        <v>193</v>
      </c>
      <c r="J32" s="156"/>
      <c r="K32" s="159" t="s">
        <v>213</v>
      </c>
      <c r="L32" s="155" t="s">
        <v>195</v>
      </c>
      <c r="M32" s="159">
        <v>169.5</v>
      </c>
      <c r="N32" s="159">
        <v>29.06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18.13</v>
      </c>
      <c r="AF32" s="159"/>
      <c r="AG32" s="159"/>
      <c r="AH32" s="159"/>
      <c r="AI32" s="159"/>
      <c r="AJ32" s="159"/>
      <c r="AK32" s="159"/>
      <c r="AL32" s="159"/>
      <c r="AM32" s="159"/>
      <c r="AN32" s="159"/>
      <c r="AO32" s="155" t="s">
        <v>218</v>
      </c>
      <c r="AP32" s="156" t="s">
        <v>197</v>
      </c>
      <c r="AQ32" s="162"/>
      <c r="AR32" s="162"/>
    </row>
    <row r="33" spans="1:97" x14ac:dyDescent="0.3">
      <c r="A33" s="152">
        <v>1410</v>
      </c>
      <c r="B33" s="194">
        <v>41478</v>
      </c>
      <c r="C33" s="154" t="s">
        <v>189</v>
      </c>
      <c r="D33" s="155" t="s">
        <v>190</v>
      </c>
      <c r="E33" s="155"/>
      <c r="F33" s="155" t="s">
        <v>217</v>
      </c>
      <c r="G33" s="164">
        <v>41479</v>
      </c>
      <c r="H33" s="156" t="s">
        <v>192</v>
      </c>
      <c r="I33" s="156" t="s">
        <v>193</v>
      </c>
      <c r="J33" s="156"/>
      <c r="K33" s="155" t="s">
        <v>214</v>
      </c>
      <c r="L33" s="155" t="s">
        <v>195</v>
      </c>
      <c r="M33" s="159">
        <v>145.86000000000001</v>
      </c>
      <c r="N33" s="159">
        <v>29.58</v>
      </c>
      <c r="O33" s="159" t="s">
        <v>201</v>
      </c>
      <c r="P33" s="159">
        <v>1000</v>
      </c>
      <c r="Q33" s="159">
        <v>29.07</v>
      </c>
      <c r="R33" s="163">
        <v>1750</v>
      </c>
      <c r="S33" s="159">
        <v>28.97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13.37</v>
      </c>
      <c r="AF33" s="159"/>
      <c r="AG33" s="159"/>
      <c r="AH33" s="159"/>
      <c r="AI33" s="159"/>
      <c r="AJ33" s="159"/>
      <c r="AK33" s="159"/>
      <c r="AL33" s="159"/>
      <c r="AM33" s="159"/>
      <c r="AN33" s="159"/>
      <c r="AO33" s="155" t="s">
        <v>218</v>
      </c>
      <c r="AP33" s="156" t="s">
        <v>197</v>
      </c>
      <c r="AQ33" s="162"/>
      <c r="AR33" s="162"/>
    </row>
    <row r="34" spans="1:97" x14ac:dyDescent="0.3">
      <c r="A34" s="152">
        <v>3610</v>
      </c>
      <c r="B34" s="194">
        <v>41478</v>
      </c>
      <c r="C34" s="154" t="s">
        <v>189</v>
      </c>
      <c r="D34" s="155" t="s">
        <v>190</v>
      </c>
      <c r="E34" s="155"/>
      <c r="F34" s="155" t="s">
        <v>217</v>
      </c>
      <c r="G34" s="153">
        <v>41459</v>
      </c>
      <c r="H34" s="156" t="s">
        <v>192</v>
      </c>
      <c r="I34" s="156" t="s">
        <v>193</v>
      </c>
      <c r="J34" s="156"/>
      <c r="K34" s="155" t="s">
        <v>215</v>
      </c>
      <c r="L34" s="155" t="s">
        <v>195</v>
      </c>
      <c r="M34" s="155">
        <v>127.88</v>
      </c>
      <c r="N34" s="159">
        <v>25.7</v>
      </c>
      <c r="O34" s="155" t="s">
        <v>201</v>
      </c>
      <c r="P34" s="159">
        <v>1000</v>
      </c>
      <c r="Q34" s="159">
        <v>25.18</v>
      </c>
      <c r="R34" s="163">
        <v>1700</v>
      </c>
      <c r="S34" s="159">
        <v>24.66</v>
      </c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10.6</v>
      </c>
      <c r="AF34" s="159"/>
      <c r="AG34" s="159"/>
      <c r="AH34" s="159"/>
      <c r="AI34" s="159"/>
      <c r="AJ34" s="159"/>
      <c r="AK34" s="159"/>
      <c r="AL34" s="155"/>
      <c r="AM34" s="155"/>
      <c r="AN34" s="155"/>
      <c r="AO34" s="155" t="s">
        <v>218</v>
      </c>
      <c r="AP34" s="156" t="s">
        <v>197</v>
      </c>
      <c r="AQ34" s="156"/>
      <c r="AR34" s="156"/>
    </row>
    <row r="35" spans="1:97" x14ac:dyDescent="0.3">
      <c r="A35" s="152">
        <v>1506</v>
      </c>
      <c r="B35" s="194">
        <v>41478</v>
      </c>
      <c r="C35" s="154" t="s">
        <v>189</v>
      </c>
      <c r="D35" s="155" t="s">
        <v>190</v>
      </c>
      <c r="E35" s="155"/>
      <c r="F35" s="155" t="s">
        <v>217</v>
      </c>
      <c r="G35" s="153">
        <v>41455</v>
      </c>
      <c r="H35" s="156" t="s">
        <v>192</v>
      </c>
      <c r="I35" s="156" t="s">
        <v>193</v>
      </c>
      <c r="J35" s="156"/>
      <c r="K35" s="159" t="s">
        <v>216</v>
      </c>
      <c r="L35" s="155" t="s">
        <v>195</v>
      </c>
      <c r="M35" s="159">
        <v>156.55000000000001</v>
      </c>
      <c r="N35" s="159">
        <v>35.765000000000001</v>
      </c>
      <c r="O35" s="159"/>
      <c r="P35" s="159"/>
      <c r="Q35" s="159"/>
      <c r="R35" s="163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14.053000000000001</v>
      </c>
      <c r="AF35" s="159"/>
      <c r="AG35" s="159"/>
      <c r="AH35" s="159"/>
      <c r="AI35" s="159"/>
      <c r="AJ35" s="159"/>
      <c r="AK35" s="159"/>
      <c r="AL35" s="159"/>
      <c r="AM35" s="159"/>
      <c r="AN35" s="159"/>
      <c r="AO35" s="155" t="s">
        <v>218</v>
      </c>
      <c r="AP35" s="156" t="s">
        <v>197</v>
      </c>
      <c r="AQ35" s="162"/>
      <c r="AR35" s="16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</row>
    <row r="36" spans="1:97" x14ac:dyDescent="0.3">
      <c r="A36" s="152">
        <v>4145</v>
      </c>
      <c r="B36" s="194">
        <v>41478</v>
      </c>
      <c r="C36" s="154" t="s">
        <v>189</v>
      </c>
      <c r="D36" s="155" t="s">
        <v>190</v>
      </c>
      <c r="E36" s="155"/>
      <c r="F36" s="155" t="s">
        <v>219</v>
      </c>
      <c r="G36" s="164">
        <v>41374</v>
      </c>
      <c r="H36" s="156" t="s">
        <v>192</v>
      </c>
      <c r="I36" s="156" t="s">
        <v>193</v>
      </c>
      <c r="J36" s="156"/>
      <c r="K36" s="155" t="s">
        <v>194</v>
      </c>
      <c r="L36" s="155" t="s">
        <v>195</v>
      </c>
      <c r="M36" s="159">
        <v>133</v>
      </c>
      <c r="N36" s="159">
        <v>26</v>
      </c>
      <c r="O36" s="155"/>
      <c r="P36" s="159"/>
      <c r="Q36" s="159"/>
      <c r="R36" s="163"/>
      <c r="S36" s="159"/>
      <c r="T36" s="159"/>
      <c r="U36" s="159"/>
      <c r="V36" s="159"/>
      <c r="W36" s="159">
        <v>18</v>
      </c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>
        <v>18</v>
      </c>
      <c r="AI36" s="159"/>
      <c r="AJ36" s="159"/>
      <c r="AK36" s="159"/>
      <c r="AL36" s="155"/>
      <c r="AM36" s="155"/>
      <c r="AN36" s="155"/>
      <c r="AO36" s="155" t="s">
        <v>220</v>
      </c>
      <c r="AP36" s="156" t="s">
        <v>197</v>
      </c>
      <c r="AQ36" s="156"/>
      <c r="AR36" s="156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</row>
    <row r="37" spans="1:97" x14ac:dyDescent="0.3">
      <c r="A37" s="152">
        <v>2020</v>
      </c>
      <c r="B37" s="194">
        <v>41478</v>
      </c>
      <c r="C37" s="154" t="s">
        <v>189</v>
      </c>
      <c r="D37" s="155" t="s">
        <v>190</v>
      </c>
      <c r="E37" s="155"/>
      <c r="F37" s="155" t="s">
        <v>219</v>
      </c>
      <c r="G37" s="153">
        <v>41457</v>
      </c>
      <c r="H37" s="156" t="s">
        <v>192</v>
      </c>
      <c r="I37" s="156" t="s">
        <v>193</v>
      </c>
      <c r="J37" s="156"/>
      <c r="K37" s="155" t="s">
        <v>198</v>
      </c>
      <c r="L37" s="155" t="s">
        <v>195</v>
      </c>
      <c r="M37" s="155">
        <v>142</v>
      </c>
      <c r="N37" s="155">
        <v>36</v>
      </c>
      <c r="O37" s="155"/>
      <c r="P37" s="155"/>
      <c r="Q37" s="155"/>
      <c r="R37" s="157"/>
      <c r="S37" s="155"/>
      <c r="T37" s="155"/>
      <c r="U37" s="155"/>
      <c r="V37" s="155"/>
      <c r="W37" s="155">
        <v>19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35</v>
      </c>
      <c r="AI37" s="155"/>
      <c r="AJ37" s="155"/>
      <c r="AK37" s="155"/>
      <c r="AL37" s="155"/>
      <c r="AM37" s="155"/>
      <c r="AN37" s="155"/>
      <c r="AO37" s="155" t="s">
        <v>220</v>
      </c>
      <c r="AP37" s="156" t="s">
        <v>197</v>
      </c>
      <c r="AQ37" s="156"/>
      <c r="AR37" s="156"/>
    </row>
    <row r="38" spans="1:97" x14ac:dyDescent="0.3">
      <c r="A38" s="152">
        <v>2566</v>
      </c>
      <c r="B38" s="194">
        <v>41478</v>
      </c>
      <c r="C38" s="154" t="s">
        <v>189</v>
      </c>
      <c r="D38" s="155" t="s">
        <v>190</v>
      </c>
      <c r="E38" s="155"/>
      <c r="F38" s="155" t="s">
        <v>219</v>
      </c>
      <c r="G38" s="164">
        <v>41477</v>
      </c>
      <c r="H38" s="156" t="s">
        <v>193</v>
      </c>
      <c r="I38" s="156" t="s">
        <v>199</v>
      </c>
      <c r="J38" s="156"/>
      <c r="K38" s="155" t="s">
        <v>200</v>
      </c>
      <c r="L38" s="155" t="s">
        <v>195</v>
      </c>
      <c r="M38" s="155">
        <v>163.13999999999999</v>
      </c>
      <c r="N38" s="155">
        <v>33.47</v>
      </c>
      <c r="O38" s="155"/>
      <c r="P38" s="155"/>
      <c r="Q38" s="155"/>
      <c r="R38" s="157"/>
      <c r="S38" s="155"/>
      <c r="T38" s="155"/>
      <c r="U38" s="155"/>
      <c r="V38" s="155"/>
      <c r="W38" s="155">
        <v>18.09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33.47</v>
      </c>
      <c r="AI38" s="155"/>
      <c r="AJ38" s="155"/>
      <c r="AK38" s="155"/>
      <c r="AL38" s="155"/>
      <c r="AM38" s="155"/>
      <c r="AN38" s="155"/>
      <c r="AO38" s="155" t="s">
        <v>220</v>
      </c>
      <c r="AP38" s="156" t="s">
        <v>197</v>
      </c>
      <c r="AQ38" s="156"/>
      <c r="AR38" s="156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</row>
    <row r="39" spans="1:97" x14ac:dyDescent="0.3">
      <c r="A39" s="152">
        <v>3233</v>
      </c>
      <c r="B39" s="194">
        <v>41478</v>
      </c>
      <c r="C39" s="154" t="s">
        <v>189</v>
      </c>
      <c r="D39" s="155" t="s">
        <v>202</v>
      </c>
      <c r="E39" s="155"/>
      <c r="F39" s="155" t="s">
        <v>219</v>
      </c>
      <c r="G39" s="153">
        <v>41455</v>
      </c>
      <c r="H39" s="156" t="s">
        <v>193</v>
      </c>
      <c r="I39" s="156" t="s">
        <v>199</v>
      </c>
      <c r="J39" s="156"/>
      <c r="K39" s="155" t="s">
        <v>203</v>
      </c>
      <c r="L39" s="155" t="s">
        <v>195</v>
      </c>
      <c r="M39" s="159">
        <v>147</v>
      </c>
      <c r="N39" s="159">
        <v>43.1</v>
      </c>
      <c r="O39" s="159"/>
      <c r="P39" s="159"/>
      <c r="Q39" s="155"/>
      <c r="R39" s="163"/>
      <c r="S39" s="159"/>
      <c r="T39" s="159"/>
      <c r="U39" s="159"/>
      <c r="V39" s="159"/>
      <c r="W39" s="155">
        <v>30</v>
      </c>
      <c r="X39" s="159"/>
      <c r="Y39" s="159"/>
      <c r="Z39" s="159"/>
      <c r="AA39" s="159"/>
      <c r="AB39" s="159"/>
      <c r="AC39" s="159"/>
      <c r="AD39" s="159"/>
      <c r="AE39" s="155"/>
      <c r="AF39" s="159"/>
      <c r="AG39" s="159"/>
      <c r="AH39" s="155">
        <v>41.5</v>
      </c>
      <c r="AI39" s="155"/>
      <c r="AJ39" s="155"/>
      <c r="AK39" s="159"/>
      <c r="AL39" s="159"/>
      <c r="AM39" s="159"/>
      <c r="AN39" s="159"/>
      <c r="AO39" s="155" t="s">
        <v>220</v>
      </c>
      <c r="AP39" s="156" t="s">
        <v>197</v>
      </c>
      <c r="AQ39" s="156"/>
      <c r="AR39" s="156"/>
    </row>
    <row r="40" spans="1:97" x14ac:dyDescent="0.3">
      <c r="A40" s="152">
        <v>1480</v>
      </c>
      <c r="B40" s="194">
        <v>41478</v>
      </c>
      <c r="C40" s="154" t="s">
        <v>189</v>
      </c>
      <c r="D40" s="155" t="s">
        <v>190</v>
      </c>
      <c r="E40" s="155"/>
      <c r="F40" s="155" t="s">
        <v>219</v>
      </c>
      <c r="G40" s="153">
        <v>41419</v>
      </c>
      <c r="H40" s="156" t="s">
        <v>192</v>
      </c>
      <c r="I40" s="156" t="s">
        <v>193</v>
      </c>
      <c r="J40" s="156"/>
      <c r="K40" s="159" t="s">
        <v>204</v>
      </c>
      <c r="L40" s="155" t="s">
        <v>195</v>
      </c>
      <c r="M40" s="159">
        <v>157.01</v>
      </c>
      <c r="N40" s="159">
        <v>39.97</v>
      </c>
      <c r="O40" s="159"/>
      <c r="P40" s="159"/>
      <c r="Q40" s="159"/>
      <c r="R40" s="163"/>
      <c r="S40" s="159"/>
      <c r="T40" s="159"/>
      <c r="U40" s="159"/>
      <c r="V40" s="159"/>
      <c r="W40" s="159">
        <v>21.45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39.97</v>
      </c>
      <c r="AI40" s="159"/>
      <c r="AJ40" s="159"/>
      <c r="AK40" s="159"/>
      <c r="AL40" s="159"/>
      <c r="AM40" s="159"/>
      <c r="AN40" s="159"/>
      <c r="AO40" s="155" t="s">
        <v>220</v>
      </c>
      <c r="AP40" s="156" t="s">
        <v>197</v>
      </c>
      <c r="AQ40" s="162"/>
      <c r="AR40" s="162"/>
    </row>
    <row r="41" spans="1:97" x14ac:dyDescent="0.3">
      <c r="A41" s="152">
        <v>4661</v>
      </c>
      <c r="B41" s="194">
        <v>41478</v>
      </c>
      <c r="C41" s="154" t="s">
        <v>189</v>
      </c>
      <c r="D41" s="155" t="s">
        <v>202</v>
      </c>
      <c r="E41" s="155"/>
      <c r="F41" s="155" t="s">
        <v>219</v>
      </c>
      <c r="G41" s="153">
        <v>41455</v>
      </c>
      <c r="H41" s="156" t="s">
        <v>192</v>
      </c>
      <c r="I41" s="156" t="s">
        <v>193</v>
      </c>
      <c r="J41" s="156"/>
      <c r="K41" s="159" t="s">
        <v>205</v>
      </c>
      <c r="L41" s="155" t="s">
        <v>195</v>
      </c>
      <c r="M41" s="159">
        <v>138</v>
      </c>
      <c r="N41" s="159">
        <v>29.5</v>
      </c>
      <c r="O41" s="159"/>
      <c r="P41" s="159"/>
      <c r="Q41" s="159"/>
      <c r="R41" s="163"/>
      <c r="S41" s="159"/>
      <c r="T41" s="159"/>
      <c r="U41" s="159"/>
      <c r="V41" s="159"/>
      <c r="W41" s="159">
        <v>29.5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29.5</v>
      </c>
      <c r="AI41" s="159"/>
      <c r="AJ41" s="159"/>
      <c r="AK41" s="159"/>
      <c r="AL41" s="159"/>
      <c r="AM41" s="159"/>
      <c r="AN41" s="159"/>
      <c r="AO41" s="155" t="s">
        <v>220</v>
      </c>
      <c r="AP41" s="162" t="s">
        <v>197</v>
      </c>
      <c r="AQ41" s="162"/>
      <c r="AR41" s="162"/>
    </row>
    <row r="42" spans="1:97" x14ac:dyDescent="0.3">
      <c r="A42" s="152">
        <v>1454</v>
      </c>
      <c r="B42" s="194">
        <v>41478</v>
      </c>
      <c r="C42" s="154" t="s">
        <v>189</v>
      </c>
      <c r="D42" s="155" t="s">
        <v>190</v>
      </c>
      <c r="E42" s="155"/>
      <c r="F42" s="155" t="s">
        <v>219</v>
      </c>
      <c r="G42" s="164">
        <v>41455</v>
      </c>
      <c r="H42" s="156" t="s">
        <v>192</v>
      </c>
      <c r="I42" s="156" t="s">
        <v>193</v>
      </c>
      <c r="J42" s="156"/>
      <c r="K42" s="155" t="s">
        <v>206</v>
      </c>
      <c r="L42" s="155" t="s">
        <v>195</v>
      </c>
      <c r="M42" s="159">
        <v>149.9</v>
      </c>
      <c r="N42" s="159">
        <v>32.24</v>
      </c>
      <c r="O42" s="159" t="s">
        <v>201</v>
      </c>
      <c r="P42" s="159">
        <v>1020</v>
      </c>
      <c r="Q42" s="159">
        <v>34.950000000000003</v>
      </c>
      <c r="R42" s="163"/>
      <c r="S42" s="159"/>
      <c r="T42" s="159"/>
      <c r="U42" s="159"/>
      <c r="V42" s="159"/>
      <c r="W42" s="159">
        <v>19.39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31.72</v>
      </c>
      <c r="AI42" s="159"/>
      <c r="AJ42" s="159"/>
      <c r="AK42" s="159"/>
      <c r="AL42" s="159"/>
      <c r="AM42" s="159"/>
      <c r="AN42" s="159"/>
      <c r="AO42" s="155" t="s">
        <v>220</v>
      </c>
      <c r="AP42" s="156" t="s">
        <v>197</v>
      </c>
      <c r="AQ42" s="162"/>
      <c r="AR42" s="162"/>
    </row>
    <row r="43" spans="1:97" x14ac:dyDescent="0.3">
      <c r="A43" s="152">
        <v>1492</v>
      </c>
      <c r="B43" s="194">
        <v>41478</v>
      </c>
      <c r="C43" s="154" t="s">
        <v>189</v>
      </c>
      <c r="D43" s="155" t="s">
        <v>190</v>
      </c>
      <c r="E43" s="155"/>
      <c r="F43" s="155" t="s">
        <v>219</v>
      </c>
      <c r="G43" s="153">
        <v>41419</v>
      </c>
      <c r="H43" s="156" t="s">
        <v>192</v>
      </c>
      <c r="I43" s="156" t="s">
        <v>193</v>
      </c>
      <c r="J43" s="156"/>
      <c r="K43" s="159" t="s">
        <v>207</v>
      </c>
      <c r="L43" s="155" t="s">
        <v>195</v>
      </c>
      <c r="M43" s="159">
        <v>154.5</v>
      </c>
      <c r="N43" s="159">
        <v>37.869999999999997</v>
      </c>
      <c r="O43" s="159"/>
      <c r="P43" s="159"/>
      <c r="Q43" s="159"/>
      <c r="R43" s="163"/>
      <c r="S43" s="159"/>
      <c r="T43" s="159"/>
      <c r="U43" s="159"/>
      <c r="V43" s="159"/>
      <c r="W43" s="159">
        <v>19.75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37.869999999999997</v>
      </c>
      <c r="AI43" s="159"/>
      <c r="AJ43" s="159"/>
      <c r="AK43" s="159"/>
      <c r="AL43" s="159"/>
      <c r="AM43" s="159"/>
      <c r="AN43" s="159"/>
      <c r="AO43" s="155" t="s">
        <v>220</v>
      </c>
      <c r="AP43" s="156" t="s">
        <v>197</v>
      </c>
      <c r="AQ43" s="162"/>
      <c r="AR43" s="162"/>
    </row>
    <row r="44" spans="1:97" x14ac:dyDescent="0.3">
      <c r="A44" s="152">
        <v>1270</v>
      </c>
      <c r="B44" s="194">
        <v>41478</v>
      </c>
      <c r="C44" s="154" t="s">
        <v>189</v>
      </c>
      <c r="D44" s="155" t="s">
        <v>190</v>
      </c>
      <c r="E44" s="155"/>
      <c r="F44" s="155" t="s">
        <v>219</v>
      </c>
      <c r="G44" s="153">
        <v>41467</v>
      </c>
      <c r="H44" s="156" t="s">
        <v>192</v>
      </c>
      <c r="I44" s="156" t="s">
        <v>193</v>
      </c>
      <c r="J44" s="156"/>
      <c r="K44" s="155" t="s">
        <v>208</v>
      </c>
      <c r="L44" s="155" t="s">
        <v>195</v>
      </c>
      <c r="M44" s="159">
        <v>144.80000000000001</v>
      </c>
      <c r="N44" s="159">
        <v>36.07</v>
      </c>
      <c r="O44" s="159"/>
      <c r="P44" s="159"/>
      <c r="Q44" s="155"/>
      <c r="R44" s="163"/>
      <c r="S44" s="159"/>
      <c r="T44" s="159"/>
      <c r="U44" s="159"/>
      <c r="V44" s="159"/>
      <c r="W44" s="155">
        <v>18.62</v>
      </c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5">
        <v>33.840000000000003</v>
      </c>
      <c r="AI44" s="155"/>
      <c r="AJ44" s="155"/>
      <c r="AK44" s="159"/>
      <c r="AL44" s="159"/>
      <c r="AM44" s="159"/>
      <c r="AN44" s="159"/>
      <c r="AO44" s="155" t="s">
        <v>220</v>
      </c>
      <c r="AP44" s="156" t="s">
        <v>197</v>
      </c>
      <c r="AQ44" s="156"/>
      <c r="AR44" s="156"/>
    </row>
    <row r="45" spans="1:97" x14ac:dyDescent="0.3">
      <c r="A45" s="152">
        <v>3123</v>
      </c>
      <c r="B45" s="194">
        <v>41478</v>
      </c>
      <c r="C45" s="154" t="s">
        <v>189</v>
      </c>
      <c r="D45" s="155" t="s">
        <v>202</v>
      </c>
      <c r="E45" s="155"/>
      <c r="F45" s="155" t="s">
        <v>219</v>
      </c>
      <c r="G45" s="153">
        <v>41468</v>
      </c>
      <c r="H45" s="156" t="s">
        <v>192</v>
      </c>
      <c r="I45" s="156" t="s">
        <v>193</v>
      </c>
      <c r="J45" s="156"/>
      <c r="K45" s="159" t="s">
        <v>209</v>
      </c>
      <c r="L45" s="155" t="s">
        <v>195</v>
      </c>
      <c r="M45" s="159">
        <v>239.47</v>
      </c>
      <c r="N45" s="159">
        <v>31.92</v>
      </c>
      <c r="O45" s="155"/>
      <c r="P45" s="159"/>
      <c r="Q45" s="2"/>
      <c r="R45" s="163"/>
      <c r="S45" s="159"/>
      <c r="T45" s="159"/>
      <c r="U45" s="159"/>
      <c r="V45" s="159"/>
      <c r="W45" s="159">
        <v>16.88</v>
      </c>
      <c r="X45" s="159"/>
      <c r="Y45" s="159"/>
      <c r="Z45" s="159"/>
      <c r="AA45" s="159"/>
      <c r="AB45" s="159"/>
      <c r="AC45" s="159"/>
      <c r="AD45" s="159"/>
      <c r="AE45" s="2"/>
      <c r="AF45" s="159"/>
      <c r="AG45" s="159"/>
      <c r="AH45" s="159">
        <v>29.23</v>
      </c>
      <c r="AI45" s="159"/>
      <c r="AJ45" s="159"/>
      <c r="AK45" s="159"/>
      <c r="AL45" s="159"/>
      <c r="AM45" s="159"/>
      <c r="AN45" s="159"/>
      <c r="AO45" s="155" t="s">
        <v>220</v>
      </c>
      <c r="AP45" s="156" t="s">
        <v>197</v>
      </c>
      <c r="AQ45" s="162"/>
      <c r="AR45" s="162"/>
    </row>
    <row r="46" spans="1:97" x14ac:dyDescent="0.3">
      <c r="A46" s="152">
        <v>1434</v>
      </c>
      <c r="B46" s="194">
        <v>41478</v>
      </c>
      <c r="C46" s="154" t="s">
        <v>189</v>
      </c>
      <c r="D46" s="155" t="s">
        <v>190</v>
      </c>
      <c r="E46" s="155"/>
      <c r="F46" s="155" t="s">
        <v>219</v>
      </c>
      <c r="G46" s="153">
        <v>41469</v>
      </c>
      <c r="H46" s="156" t="s">
        <v>192</v>
      </c>
      <c r="I46" s="156" t="s">
        <v>193</v>
      </c>
      <c r="J46" s="156"/>
      <c r="K46" s="159" t="s">
        <v>210</v>
      </c>
      <c r="L46" s="155" t="s">
        <v>195</v>
      </c>
      <c r="M46" s="159">
        <v>141.30000000000001</v>
      </c>
      <c r="N46" s="159">
        <v>35.82</v>
      </c>
      <c r="O46" s="155" t="s">
        <v>201</v>
      </c>
      <c r="P46" s="159">
        <v>600</v>
      </c>
      <c r="Q46" s="159">
        <v>41.78</v>
      </c>
      <c r="R46" s="163"/>
      <c r="S46" s="159"/>
      <c r="T46" s="159"/>
      <c r="U46" s="159"/>
      <c r="V46" s="159"/>
      <c r="W46" s="159">
        <v>19.3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34.83</v>
      </c>
      <c r="AI46" s="159"/>
      <c r="AJ46" s="159"/>
      <c r="AK46" s="159"/>
      <c r="AL46" s="159"/>
      <c r="AM46" s="159"/>
      <c r="AN46" s="159"/>
      <c r="AO46" s="155" t="s">
        <v>220</v>
      </c>
      <c r="AP46" s="156" t="s">
        <v>197</v>
      </c>
      <c r="AQ46" s="162"/>
      <c r="AR46" s="162"/>
    </row>
    <row r="47" spans="1:97" x14ac:dyDescent="0.3">
      <c r="A47" s="152">
        <v>2278</v>
      </c>
      <c r="B47" s="194">
        <v>41478</v>
      </c>
      <c r="C47" s="154" t="s">
        <v>189</v>
      </c>
      <c r="D47" s="155" t="s">
        <v>202</v>
      </c>
      <c r="E47" s="155"/>
      <c r="F47" s="155" t="s">
        <v>219</v>
      </c>
      <c r="G47" s="153">
        <v>41455</v>
      </c>
      <c r="H47" s="156" t="s">
        <v>192</v>
      </c>
      <c r="I47" s="156" t="s">
        <v>193</v>
      </c>
      <c r="J47" s="156"/>
      <c r="K47" s="155" t="s">
        <v>211</v>
      </c>
      <c r="L47" s="155" t="s">
        <v>195</v>
      </c>
      <c r="M47" s="155">
        <v>141.01</v>
      </c>
      <c r="N47" s="155">
        <v>35.08</v>
      </c>
      <c r="O47" s="155"/>
      <c r="P47" s="155"/>
      <c r="Q47" s="155"/>
      <c r="R47" s="157"/>
      <c r="S47" s="155"/>
      <c r="T47" s="155"/>
      <c r="U47" s="155"/>
      <c r="V47" s="155"/>
      <c r="W47" s="155">
        <v>19.399999999999999</v>
      </c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>
        <v>33.770000000000003</v>
      </c>
      <c r="AI47" s="155"/>
      <c r="AJ47" s="155"/>
      <c r="AK47" s="155"/>
      <c r="AL47" s="155"/>
      <c r="AM47" s="155"/>
      <c r="AN47" s="155"/>
      <c r="AO47" s="155" t="s">
        <v>220</v>
      </c>
      <c r="AP47" s="156" t="s">
        <v>197</v>
      </c>
      <c r="AQ47" s="156"/>
      <c r="AR47" s="156"/>
    </row>
    <row r="48" spans="1:97" x14ac:dyDescent="0.3">
      <c r="A48" s="152">
        <v>3759</v>
      </c>
      <c r="B48" s="194">
        <v>41478</v>
      </c>
      <c r="C48" s="154" t="s">
        <v>189</v>
      </c>
      <c r="D48" s="155" t="s">
        <v>190</v>
      </c>
      <c r="E48" s="155"/>
      <c r="F48" s="155" t="s">
        <v>219</v>
      </c>
      <c r="G48" s="153">
        <v>41455</v>
      </c>
      <c r="H48" s="156" t="s">
        <v>192</v>
      </c>
      <c r="I48" s="156" t="s">
        <v>193</v>
      </c>
      <c r="J48" s="156"/>
      <c r="K48" s="155" t="s">
        <v>212</v>
      </c>
      <c r="L48" s="155" t="s">
        <v>195</v>
      </c>
      <c r="M48" s="159">
        <v>142</v>
      </c>
      <c r="N48" s="159">
        <v>36</v>
      </c>
      <c r="O48" s="159"/>
      <c r="P48" s="159"/>
      <c r="Q48" s="155"/>
      <c r="R48" s="163"/>
      <c r="S48" s="159"/>
      <c r="T48" s="159"/>
      <c r="U48" s="159"/>
      <c r="V48" s="159"/>
      <c r="W48" s="155">
        <v>19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35</v>
      </c>
      <c r="AI48" s="155"/>
      <c r="AJ48" s="155"/>
      <c r="AK48" s="159"/>
      <c r="AL48" s="159"/>
      <c r="AM48" s="159"/>
      <c r="AN48" s="159"/>
      <c r="AO48" s="155" t="s">
        <v>220</v>
      </c>
      <c r="AP48" s="156" t="s">
        <v>197</v>
      </c>
      <c r="AQ48" s="156"/>
      <c r="AR48" s="156"/>
    </row>
    <row r="49" spans="1:97" x14ac:dyDescent="0.3">
      <c r="A49" s="152">
        <v>1468</v>
      </c>
      <c r="B49" s="194">
        <v>41478</v>
      </c>
      <c r="C49" s="154" t="s">
        <v>189</v>
      </c>
      <c r="D49" s="155" t="s">
        <v>190</v>
      </c>
      <c r="E49" s="155"/>
      <c r="F49" s="155" t="s">
        <v>219</v>
      </c>
      <c r="G49" s="153">
        <v>41455</v>
      </c>
      <c r="H49" s="156" t="s">
        <v>192</v>
      </c>
      <c r="I49" s="156" t="s">
        <v>193</v>
      </c>
      <c r="J49" s="156"/>
      <c r="K49" s="159" t="s">
        <v>213</v>
      </c>
      <c r="L49" s="155" t="s">
        <v>195</v>
      </c>
      <c r="M49" s="159">
        <v>157.75</v>
      </c>
      <c r="N49" s="159">
        <v>32.35</v>
      </c>
      <c r="O49" s="159"/>
      <c r="P49" s="159"/>
      <c r="Q49" s="159"/>
      <c r="R49" s="163"/>
      <c r="S49" s="159"/>
      <c r="T49" s="159"/>
      <c r="U49" s="159"/>
      <c r="V49" s="159"/>
      <c r="W49" s="159">
        <v>23.15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31.01</v>
      </c>
      <c r="AI49" s="159"/>
      <c r="AJ49" s="159"/>
      <c r="AK49" s="159"/>
      <c r="AL49" s="159"/>
      <c r="AM49" s="159"/>
      <c r="AN49" s="159"/>
      <c r="AO49" s="155" t="s">
        <v>220</v>
      </c>
      <c r="AP49" s="156" t="s">
        <v>197</v>
      </c>
      <c r="AQ49" s="162"/>
      <c r="AR49" s="162"/>
    </row>
    <row r="50" spans="1:97" x14ac:dyDescent="0.3">
      <c r="A50" s="152">
        <v>1412</v>
      </c>
      <c r="B50" s="194">
        <v>41478</v>
      </c>
      <c r="C50" s="154" t="s">
        <v>189</v>
      </c>
      <c r="D50" s="155" t="s">
        <v>190</v>
      </c>
      <c r="E50" s="155"/>
      <c r="F50" s="155" t="s">
        <v>219</v>
      </c>
      <c r="G50" s="164">
        <v>41479</v>
      </c>
      <c r="H50" s="156" t="s">
        <v>192</v>
      </c>
      <c r="I50" s="156" t="s">
        <v>193</v>
      </c>
      <c r="J50" s="156"/>
      <c r="K50" s="155" t="s">
        <v>214</v>
      </c>
      <c r="L50" s="155" t="s">
        <v>195</v>
      </c>
      <c r="M50" s="159">
        <v>133.62</v>
      </c>
      <c r="N50" s="159">
        <v>34.479999999999997</v>
      </c>
      <c r="O50" s="159"/>
      <c r="P50" s="159"/>
      <c r="Q50" s="159"/>
      <c r="R50" s="163"/>
      <c r="S50" s="159"/>
      <c r="T50" s="159"/>
      <c r="U50" s="159"/>
      <c r="V50" s="159"/>
      <c r="W50" s="159">
        <v>19.28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32.64</v>
      </c>
      <c r="AI50" s="159"/>
      <c r="AJ50" s="159"/>
      <c r="AK50" s="159"/>
      <c r="AL50" s="159"/>
      <c r="AM50" s="159"/>
      <c r="AN50" s="159"/>
      <c r="AO50" s="155" t="s">
        <v>220</v>
      </c>
      <c r="AP50" s="156" t="s">
        <v>197</v>
      </c>
      <c r="AQ50" s="162"/>
      <c r="AR50" s="162"/>
    </row>
    <row r="51" spans="1:97" x14ac:dyDescent="0.3">
      <c r="A51" s="152">
        <v>3612</v>
      </c>
      <c r="B51" s="194">
        <v>41478</v>
      </c>
      <c r="C51" s="154" t="s">
        <v>189</v>
      </c>
      <c r="D51" s="155" t="s">
        <v>190</v>
      </c>
      <c r="E51" s="155"/>
      <c r="F51" s="155" t="s">
        <v>219</v>
      </c>
      <c r="G51" s="153">
        <v>41459</v>
      </c>
      <c r="H51" s="156" t="s">
        <v>192</v>
      </c>
      <c r="I51" s="156" t="s">
        <v>193</v>
      </c>
      <c r="J51" s="156"/>
      <c r="K51" s="155" t="s">
        <v>215</v>
      </c>
      <c r="L51" s="155" t="s">
        <v>195</v>
      </c>
      <c r="M51" s="159">
        <v>115.36</v>
      </c>
      <c r="N51" s="159">
        <v>30.84</v>
      </c>
      <c r="O51" s="155"/>
      <c r="P51" s="159"/>
      <c r="Q51" s="159"/>
      <c r="R51" s="163"/>
      <c r="S51" s="159"/>
      <c r="T51" s="159"/>
      <c r="U51" s="159"/>
      <c r="V51" s="159"/>
      <c r="W51" s="159">
        <v>16.510000000000002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>
        <v>28.97</v>
      </c>
      <c r="AI51" s="159"/>
      <c r="AJ51" s="159"/>
      <c r="AK51" s="159"/>
      <c r="AL51" s="155"/>
      <c r="AM51" s="155"/>
      <c r="AN51" s="155"/>
      <c r="AO51" s="155" t="s">
        <v>220</v>
      </c>
      <c r="AP51" s="156" t="s">
        <v>197</v>
      </c>
      <c r="AQ51" s="156"/>
      <c r="AR51" s="156"/>
    </row>
    <row r="52" spans="1:97" x14ac:dyDescent="0.3">
      <c r="A52" s="152">
        <v>1508</v>
      </c>
      <c r="B52" s="194">
        <v>41478</v>
      </c>
      <c r="C52" s="154" t="s">
        <v>189</v>
      </c>
      <c r="D52" s="155" t="s">
        <v>190</v>
      </c>
      <c r="E52" s="155"/>
      <c r="F52" s="155" t="s">
        <v>219</v>
      </c>
      <c r="G52" s="153">
        <v>41455</v>
      </c>
      <c r="H52" s="156" t="s">
        <v>192</v>
      </c>
      <c r="I52" s="156" t="s">
        <v>193</v>
      </c>
      <c r="J52" s="156"/>
      <c r="K52" s="159" t="s">
        <v>216</v>
      </c>
      <c r="L52" s="155" t="s">
        <v>195</v>
      </c>
      <c r="M52" s="159">
        <v>143.5085</v>
      </c>
      <c r="N52" s="159">
        <v>39.893500000000003</v>
      </c>
      <c r="O52" s="159"/>
      <c r="P52" s="159"/>
      <c r="Q52" s="159"/>
      <c r="R52" s="163"/>
      <c r="S52" s="159"/>
      <c r="T52" s="159"/>
      <c r="U52" s="159"/>
      <c r="V52" s="159"/>
      <c r="W52" s="159">
        <v>19.860499999999998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39.893500000000003</v>
      </c>
      <c r="AI52" s="159"/>
      <c r="AJ52" s="159"/>
      <c r="AK52" s="159"/>
      <c r="AL52" s="159"/>
      <c r="AM52" s="159"/>
      <c r="AN52" s="159"/>
      <c r="AO52" s="155" t="s">
        <v>220</v>
      </c>
      <c r="AP52" s="156" t="s">
        <v>197</v>
      </c>
      <c r="AQ52" s="162"/>
      <c r="AR52" s="16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</row>
  </sheetData>
  <sheetProtection algorithmName="SHA-512" hashValue="JbYFOwRxv+zzJpXQe+gPpfx7/lfPdHp78AYhkW8/DmjMb+MwPa9pe/aJ6rQKAHO80EjYs3VQijsCHSY71Po9Nw==" saltValue="/7tvWiodqe6lFulqIETTAQ==" spinCount="100000" sheet="1" objects="1" scenarios="1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5"/>
  <dimension ref="A1:CP53"/>
  <sheetViews>
    <sheetView zoomScale="120" zoomScaleNormal="120" workbookViewId="0">
      <selection activeCell="B32" sqref="B32:B52"/>
    </sheetView>
  </sheetViews>
  <sheetFormatPr defaultColWidth="11" defaultRowHeight="13.5" x14ac:dyDescent="0.3"/>
  <cols>
    <col min="12" max="12" width="15.15234375" customWidth="1"/>
    <col min="38" max="38" width="17.4609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4130</v>
      </c>
      <c r="B2" s="194">
        <v>41478</v>
      </c>
      <c r="C2" s="154" t="s">
        <v>189</v>
      </c>
      <c r="D2" s="155" t="s">
        <v>221</v>
      </c>
      <c r="E2" s="155"/>
      <c r="F2" s="155" t="s">
        <v>191</v>
      </c>
      <c r="G2" s="164">
        <v>41374</v>
      </c>
      <c r="H2" s="156" t="s">
        <v>192</v>
      </c>
      <c r="I2" s="156" t="s">
        <v>193</v>
      </c>
      <c r="J2" s="156"/>
      <c r="K2" s="155" t="s">
        <v>194</v>
      </c>
      <c r="L2" s="159" t="s">
        <v>222</v>
      </c>
      <c r="M2" s="155">
        <v>95</v>
      </c>
      <c r="N2" s="155">
        <v>23</v>
      </c>
      <c r="O2" s="155"/>
      <c r="P2" s="155"/>
      <c r="Q2" s="155"/>
      <c r="R2" s="157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 t="s">
        <v>196</v>
      </c>
      <c r="AM2" s="156" t="s">
        <v>197</v>
      </c>
      <c r="AN2" s="156"/>
      <c r="AO2" s="156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1993</v>
      </c>
      <c r="B3" s="194">
        <v>41478</v>
      </c>
      <c r="C3" s="154" t="s">
        <v>189</v>
      </c>
      <c r="D3" s="155" t="s">
        <v>221</v>
      </c>
      <c r="E3" s="155"/>
      <c r="F3" s="155" t="s">
        <v>191</v>
      </c>
      <c r="G3" s="153">
        <v>41457</v>
      </c>
      <c r="H3" s="156" t="s">
        <v>192</v>
      </c>
      <c r="I3" s="156" t="s">
        <v>193</v>
      </c>
      <c r="J3" s="156"/>
      <c r="K3" s="155" t="s">
        <v>198</v>
      </c>
      <c r="L3" s="159" t="s">
        <v>222</v>
      </c>
      <c r="M3" s="155">
        <v>84</v>
      </c>
      <c r="N3" s="155">
        <v>29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2555</v>
      </c>
      <c r="B4" s="194">
        <v>41478</v>
      </c>
      <c r="C4" s="154" t="s">
        <v>189</v>
      </c>
      <c r="D4" s="155" t="s">
        <v>221</v>
      </c>
      <c r="E4" s="155"/>
      <c r="F4" s="155" t="s">
        <v>191</v>
      </c>
      <c r="G4" s="164">
        <v>41477</v>
      </c>
      <c r="H4" s="156" t="s">
        <v>193</v>
      </c>
      <c r="I4" s="156" t="s">
        <v>199</v>
      </c>
      <c r="J4" s="156"/>
      <c r="K4" s="155" t="s">
        <v>200</v>
      </c>
      <c r="L4" s="159" t="s">
        <v>222</v>
      </c>
      <c r="M4" s="155">
        <v>87.66</v>
      </c>
      <c r="N4" s="155">
        <v>29.19</v>
      </c>
      <c r="O4" s="155" t="s">
        <v>201</v>
      </c>
      <c r="P4" s="155">
        <v>1000</v>
      </c>
      <c r="Q4" s="155">
        <v>28.8</v>
      </c>
      <c r="R4" s="157">
        <v>2000</v>
      </c>
      <c r="S4" s="155">
        <v>28.42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3222</v>
      </c>
      <c r="B5" s="194">
        <v>41478</v>
      </c>
      <c r="C5" s="154" t="s">
        <v>189</v>
      </c>
      <c r="D5" s="155" t="s">
        <v>221</v>
      </c>
      <c r="E5" s="155"/>
      <c r="F5" s="155" t="s">
        <v>191</v>
      </c>
      <c r="G5" s="153">
        <v>41455</v>
      </c>
      <c r="H5" s="156" t="s">
        <v>193</v>
      </c>
      <c r="I5" s="156" t="s">
        <v>199</v>
      </c>
      <c r="J5" s="156"/>
      <c r="K5" s="155" t="s">
        <v>203</v>
      </c>
      <c r="L5" s="159" t="s">
        <v>222</v>
      </c>
      <c r="M5" s="155">
        <v>90</v>
      </c>
      <c r="N5" s="155">
        <v>38.299999999999997</v>
      </c>
      <c r="O5" s="155"/>
      <c r="P5" s="155"/>
      <c r="Q5" s="155"/>
      <c r="R5" s="157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1469</v>
      </c>
      <c r="B6" s="194">
        <v>41478</v>
      </c>
      <c r="C6" s="154" t="s">
        <v>189</v>
      </c>
      <c r="D6" s="155" t="s">
        <v>221</v>
      </c>
      <c r="E6" s="155"/>
      <c r="F6" s="155" t="s">
        <v>191</v>
      </c>
      <c r="G6" s="153">
        <v>41419</v>
      </c>
      <c r="H6" s="156" t="s">
        <v>192</v>
      </c>
      <c r="I6" s="156" t="s">
        <v>193</v>
      </c>
      <c r="J6" s="156"/>
      <c r="K6" s="159" t="s">
        <v>204</v>
      </c>
      <c r="L6" s="159" t="s">
        <v>222</v>
      </c>
      <c r="M6" s="159">
        <v>91.81</v>
      </c>
      <c r="N6" s="159">
        <v>30.42</v>
      </c>
      <c r="O6" s="155" t="s">
        <v>201</v>
      </c>
      <c r="P6" s="159">
        <v>1000</v>
      </c>
      <c r="Q6" s="159">
        <v>30.42</v>
      </c>
      <c r="R6" s="157">
        <v>2000</v>
      </c>
      <c r="S6" s="159">
        <v>30.42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4650</v>
      </c>
      <c r="B7" s="194">
        <v>41478</v>
      </c>
      <c r="C7" s="154" t="s">
        <v>189</v>
      </c>
      <c r="D7" s="155" t="s">
        <v>221</v>
      </c>
      <c r="E7" s="155"/>
      <c r="F7" s="155" t="s">
        <v>191</v>
      </c>
      <c r="G7" s="153">
        <v>41455</v>
      </c>
      <c r="H7" s="156" t="s">
        <v>192</v>
      </c>
      <c r="I7" s="156" t="s">
        <v>193</v>
      </c>
      <c r="J7" s="156"/>
      <c r="K7" s="159" t="s">
        <v>205</v>
      </c>
      <c r="L7" s="159" t="s">
        <v>222</v>
      </c>
      <c r="M7" s="159">
        <v>85</v>
      </c>
      <c r="N7" s="159">
        <v>29.2</v>
      </c>
      <c r="O7" s="155"/>
      <c r="P7" s="159"/>
      <c r="Q7" s="159"/>
      <c r="R7" s="163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1439</v>
      </c>
      <c r="B8" s="194">
        <v>41478</v>
      </c>
      <c r="C8" s="154" t="s">
        <v>189</v>
      </c>
      <c r="D8" s="155" t="s">
        <v>221</v>
      </c>
      <c r="E8" s="155"/>
      <c r="F8" s="155" t="s">
        <v>191</v>
      </c>
      <c r="G8" s="164">
        <v>41455</v>
      </c>
      <c r="H8" s="156" t="s">
        <v>192</v>
      </c>
      <c r="I8" s="156" t="s">
        <v>193</v>
      </c>
      <c r="J8" s="156"/>
      <c r="K8" s="155" t="s">
        <v>206</v>
      </c>
      <c r="L8" s="159" t="s">
        <v>222</v>
      </c>
      <c r="M8" s="159">
        <v>87.5</v>
      </c>
      <c r="N8" s="159">
        <v>26.39</v>
      </c>
      <c r="O8" s="155" t="s">
        <v>201</v>
      </c>
      <c r="P8" s="159">
        <v>300</v>
      </c>
      <c r="Q8" s="159">
        <v>28.51</v>
      </c>
      <c r="R8" s="163">
        <v>1020</v>
      </c>
      <c r="S8" s="159">
        <v>31.95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1481</v>
      </c>
      <c r="B9" s="194">
        <v>41478</v>
      </c>
      <c r="C9" s="154" t="s">
        <v>189</v>
      </c>
      <c r="D9" s="155" t="s">
        <v>221</v>
      </c>
      <c r="E9" s="155"/>
      <c r="F9" s="155" t="s">
        <v>191</v>
      </c>
      <c r="G9" s="153">
        <v>41419</v>
      </c>
      <c r="H9" s="156" t="s">
        <v>192</v>
      </c>
      <c r="I9" s="156" t="s">
        <v>193</v>
      </c>
      <c r="J9" s="156"/>
      <c r="K9" s="159" t="s">
        <v>207</v>
      </c>
      <c r="L9" s="159" t="s">
        <v>222</v>
      </c>
      <c r="M9" s="159">
        <v>90.26</v>
      </c>
      <c r="N9" s="159">
        <v>29.45</v>
      </c>
      <c r="O9" s="155" t="s">
        <v>201</v>
      </c>
      <c r="P9" s="159">
        <v>1000</v>
      </c>
      <c r="Q9" s="159">
        <v>29.45</v>
      </c>
      <c r="R9" s="163">
        <v>2000</v>
      </c>
      <c r="S9" s="159">
        <v>29.45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1239</v>
      </c>
      <c r="B10" s="194">
        <v>41478</v>
      </c>
      <c r="C10" s="154" t="s">
        <v>189</v>
      </c>
      <c r="D10" s="155" t="s">
        <v>221</v>
      </c>
      <c r="E10" s="155"/>
      <c r="F10" s="155" t="s">
        <v>191</v>
      </c>
      <c r="G10" s="153">
        <v>41467</v>
      </c>
      <c r="H10" s="156" t="s">
        <v>192</v>
      </c>
      <c r="I10" s="156" t="s">
        <v>193</v>
      </c>
      <c r="J10" s="156"/>
      <c r="K10" s="155" t="s">
        <v>208</v>
      </c>
      <c r="L10" s="159" t="s">
        <v>222</v>
      </c>
      <c r="M10" s="159">
        <v>84.1</v>
      </c>
      <c r="N10" s="159">
        <v>29.35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2515</v>
      </c>
      <c r="B11" s="194">
        <v>41478</v>
      </c>
      <c r="C11" s="154" t="s">
        <v>189</v>
      </c>
      <c r="D11" s="155" t="s">
        <v>221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9" t="s">
        <v>222</v>
      </c>
      <c r="M11" s="159">
        <v>193.82</v>
      </c>
      <c r="N11" s="159">
        <v>25.35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>
        <v>1415</v>
      </c>
      <c r="B12" s="194">
        <v>41478</v>
      </c>
      <c r="C12" s="154" t="s">
        <v>189</v>
      </c>
      <c r="D12" s="155" t="s">
        <v>221</v>
      </c>
      <c r="E12" s="155"/>
      <c r="F12" s="155" t="s">
        <v>191</v>
      </c>
      <c r="G12" s="153">
        <v>41469</v>
      </c>
      <c r="H12" s="156" t="s">
        <v>192</v>
      </c>
      <c r="I12" s="156" t="s">
        <v>193</v>
      </c>
      <c r="J12" s="156"/>
      <c r="K12" s="159" t="s">
        <v>210</v>
      </c>
      <c r="L12" s="159" t="s">
        <v>222</v>
      </c>
      <c r="M12" s="159">
        <v>83.59</v>
      </c>
      <c r="N12" s="159">
        <v>30.05</v>
      </c>
      <c r="O12" s="155" t="s">
        <v>201</v>
      </c>
      <c r="P12" s="159">
        <v>600</v>
      </c>
      <c r="Q12" s="159">
        <v>29.45</v>
      </c>
      <c r="R12" s="163">
        <v>2000</v>
      </c>
      <c r="S12" s="159">
        <v>29.14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/>
      <c r="AN12" s="162"/>
      <c r="AO12" s="162"/>
    </row>
    <row r="13" spans="1:94" x14ac:dyDescent="0.3">
      <c r="A13" s="152">
        <v>2259</v>
      </c>
      <c r="B13" s="194">
        <v>41478</v>
      </c>
      <c r="C13" s="154" t="s">
        <v>223</v>
      </c>
      <c r="D13" s="155" t="s">
        <v>224</v>
      </c>
      <c r="E13" s="155"/>
      <c r="F13" s="155" t="s">
        <v>225</v>
      </c>
      <c r="G13" s="153">
        <v>41455</v>
      </c>
      <c r="H13" s="156" t="s">
        <v>226</v>
      </c>
      <c r="I13" s="156" t="s">
        <v>227</v>
      </c>
      <c r="J13" s="156"/>
      <c r="K13" s="155" t="s">
        <v>228</v>
      </c>
      <c r="L13" s="159" t="s">
        <v>222</v>
      </c>
      <c r="M13" s="155">
        <v>83.39</v>
      </c>
      <c r="N13" s="155">
        <v>28.52</v>
      </c>
      <c r="O13" s="155"/>
      <c r="P13" s="155"/>
      <c r="Q13" s="155"/>
      <c r="R13" s="163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3744</v>
      </c>
      <c r="B14" s="194">
        <v>41478</v>
      </c>
      <c r="C14" s="154" t="s">
        <v>189</v>
      </c>
      <c r="D14" s="155" t="s">
        <v>221</v>
      </c>
      <c r="E14" s="155"/>
      <c r="F14" s="155" t="s">
        <v>191</v>
      </c>
      <c r="G14" s="153">
        <v>41455</v>
      </c>
      <c r="H14" s="156" t="s">
        <v>192</v>
      </c>
      <c r="I14" s="156" t="s">
        <v>193</v>
      </c>
      <c r="J14" s="156"/>
      <c r="K14" s="155" t="s">
        <v>212</v>
      </c>
      <c r="L14" s="159" t="s">
        <v>222</v>
      </c>
      <c r="M14" s="159">
        <v>84</v>
      </c>
      <c r="N14" s="159">
        <v>29</v>
      </c>
      <c r="O14" s="155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1457</v>
      </c>
      <c r="B15" s="194">
        <v>41478</v>
      </c>
      <c r="C15" s="154" t="s">
        <v>189</v>
      </c>
      <c r="D15" s="155" t="s">
        <v>221</v>
      </c>
      <c r="E15" s="155"/>
      <c r="F15" s="155" t="s">
        <v>191</v>
      </c>
      <c r="G15" s="153">
        <v>41455</v>
      </c>
      <c r="H15" s="156" t="s">
        <v>192</v>
      </c>
      <c r="I15" s="156" t="s">
        <v>193</v>
      </c>
      <c r="J15" s="156"/>
      <c r="K15" s="159" t="s">
        <v>213</v>
      </c>
      <c r="L15" s="159" t="s">
        <v>222</v>
      </c>
      <c r="M15" s="159">
        <v>92.75</v>
      </c>
      <c r="N15" s="159">
        <v>29.87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1387</v>
      </c>
      <c r="B16" s="194">
        <v>41478</v>
      </c>
      <c r="C16" s="154" t="s">
        <v>189</v>
      </c>
      <c r="D16" s="155" t="s">
        <v>221</v>
      </c>
      <c r="E16" s="155"/>
      <c r="F16" s="155" t="s">
        <v>191</v>
      </c>
      <c r="G16" s="164">
        <v>41479</v>
      </c>
      <c r="H16" s="156" t="s">
        <v>192</v>
      </c>
      <c r="I16" s="156" t="s">
        <v>193</v>
      </c>
      <c r="J16" s="156"/>
      <c r="K16" s="155" t="s">
        <v>214</v>
      </c>
      <c r="L16" s="159" t="s">
        <v>222</v>
      </c>
      <c r="M16" s="159">
        <v>84.66</v>
      </c>
      <c r="N16" s="159">
        <v>27.95</v>
      </c>
      <c r="O16" s="155" t="s">
        <v>201</v>
      </c>
      <c r="P16" s="159">
        <v>1000</v>
      </c>
      <c r="Q16" s="159">
        <v>27.34</v>
      </c>
      <c r="R16" s="163">
        <v>2000</v>
      </c>
      <c r="S16" s="159">
        <v>27.24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3593</v>
      </c>
      <c r="B17" s="194">
        <v>41478</v>
      </c>
      <c r="C17" s="154" t="s">
        <v>189</v>
      </c>
      <c r="D17" s="155" t="s">
        <v>221</v>
      </c>
      <c r="E17" s="155"/>
      <c r="F17" s="155" t="s">
        <v>191</v>
      </c>
      <c r="G17" s="153">
        <v>41459</v>
      </c>
      <c r="H17" s="156" t="s">
        <v>192</v>
      </c>
      <c r="I17" s="156" t="s">
        <v>193</v>
      </c>
      <c r="J17" s="156"/>
      <c r="K17" s="155" t="s">
        <v>215</v>
      </c>
      <c r="L17" s="159" t="s">
        <v>222</v>
      </c>
      <c r="M17" s="155">
        <v>68.489999999999995</v>
      </c>
      <c r="N17" s="155">
        <v>24.78</v>
      </c>
      <c r="O17" s="155" t="s">
        <v>201</v>
      </c>
      <c r="P17" s="155">
        <v>1000</v>
      </c>
      <c r="Q17" s="155">
        <v>24.41</v>
      </c>
      <c r="R17" s="163">
        <v>2000</v>
      </c>
      <c r="S17" s="155">
        <v>24.09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>
        <v>1493</v>
      </c>
      <c r="B18" s="194">
        <v>41478</v>
      </c>
      <c r="C18" s="154" t="s">
        <v>189</v>
      </c>
      <c r="D18" s="155" t="s">
        <v>221</v>
      </c>
      <c r="E18" s="155"/>
      <c r="F18" s="155" t="s">
        <v>191</v>
      </c>
      <c r="G18" s="153">
        <v>41455</v>
      </c>
      <c r="H18" s="156" t="s">
        <v>192</v>
      </c>
      <c r="I18" s="156" t="s">
        <v>193</v>
      </c>
      <c r="J18" s="156"/>
      <c r="K18" s="159" t="s">
        <v>216</v>
      </c>
      <c r="L18" s="159" t="s">
        <v>222</v>
      </c>
      <c r="M18" s="159">
        <v>81.650000000000006</v>
      </c>
      <c r="N18" s="159">
        <v>28.635000000000002</v>
      </c>
      <c r="O18" s="155" t="s">
        <v>201</v>
      </c>
      <c r="P18" s="159">
        <v>1000</v>
      </c>
      <c r="Q18" s="159">
        <v>30.337</v>
      </c>
      <c r="R18" s="163">
        <v>2000</v>
      </c>
      <c r="S18" s="159">
        <v>32.752000000000002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>
        <v>4131</v>
      </c>
      <c r="B19" s="194">
        <v>41478</v>
      </c>
      <c r="C19" s="154" t="s">
        <v>189</v>
      </c>
      <c r="D19" s="155" t="s">
        <v>221</v>
      </c>
      <c r="E19" s="155"/>
      <c r="F19" s="155" t="s">
        <v>217</v>
      </c>
      <c r="G19" s="164">
        <v>41374</v>
      </c>
      <c r="H19" s="156" t="s">
        <v>192</v>
      </c>
      <c r="I19" s="156" t="s">
        <v>193</v>
      </c>
      <c r="J19" s="156"/>
      <c r="K19" s="155" t="s">
        <v>194</v>
      </c>
      <c r="L19" s="159" t="s">
        <v>222</v>
      </c>
      <c r="M19" s="155">
        <v>95</v>
      </c>
      <c r="N19" s="155">
        <v>23</v>
      </c>
      <c r="O19" s="155"/>
      <c r="P19" s="159"/>
      <c r="Q19" s="159"/>
      <c r="R19" s="163"/>
      <c r="S19" s="159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14</v>
      </c>
      <c r="AF19" s="155"/>
      <c r="AG19" s="155"/>
      <c r="AH19" s="155"/>
      <c r="AI19" s="155"/>
      <c r="AJ19" s="155"/>
      <c r="AK19" s="155"/>
      <c r="AL19" s="155" t="s">
        <v>218</v>
      </c>
      <c r="AM19" s="156" t="s">
        <v>197</v>
      </c>
      <c r="AN19" s="156"/>
      <c r="AO19" s="156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>
        <v>1994</v>
      </c>
      <c r="B20" s="194">
        <v>41478</v>
      </c>
      <c r="C20" s="154" t="s">
        <v>189</v>
      </c>
      <c r="D20" s="155" t="s">
        <v>221</v>
      </c>
      <c r="E20" s="155"/>
      <c r="F20" s="155" t="s">
        <v>217</v>
      </c>
      <c r="G20" s="153">
        <v>41457</v>
      </c>
      <c r="H20" s="156" t="s">
        <v>192</v>
      </c>
      <c r="I20" s="156" t="s">
        <v>193</v>
      </c>
      <c r="J20" s="156"/>
      <c r="K20" s="155" t="s">
        <v>198</v>
      </c>
      <c r="L20" s="159" t="s">
        <v>222</v>
      </c>
      <c r="M20" s="155">
        <v>84</v>
      </c>
      <c r="N20" s="155">
        <v>29</v>
      </c>
      <c r="O20" s="155"/>
      <c r="P20" s="155"/>
      <c r="Q20" s="155"/>
      <c r="R20" s="157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14</v>
      </c>
      <c r="AF20" s="155"/>
      <c r="AG20" s="155"/>
      <c r="AH20" s="155"/>
      <c r="AI20" s="155"/>
      <c r="AJ20" s="155"/>
      <c r="AK20" s="155"/>
      <c r="AL20" s="155" t="s">
        <v>218</v>
      </c>
      <c r="AM20" s="156" t="s">
        <v>197</v>
      </c>
      <c r="AN20" s="156"/>
      <c r="AO20" s="156"/>
    </row>
    <row r="21" spans="1:94" x14ac:dyDescent="0.3">
      <c r="A21" s="152">
        <v>2556</v>
      </c>
      <c r="B21" s="194">
        <v>41478</v>
      </c>
      <c r="C21" s="154" t="s">
        <v>189</v>
      </c>
      <c r="D21" s="155" t="s">
        <v>221</v>
      </c>
      <c r="E21" s="155"/>
      <c r="F21" s="155" t="s">
        <v>217</v>
      </c>
      <c r="G21" s="164">
        <v>41477</v>
      </c>
      <c r="H21" s="156" t="s">
        <v>193</v>
      </c>
      <c r="I21" s="156" t="s">
        <v>199</v>
      </c>
      <c r="J21" s="156"/>
      <c r="K21" s="155" t="s">
        <v>200</v>
      </c>
      <c r="L21" s="159" t="s">
        <v>222</v>
      </c>
      <c r="M21" s="155">
        <v>93.11</v>
      </c>
      <c r="N21" s="155">
        <v>29.19</v>
      </c>
      <c r="O21" s="155" t="s">
        <v>201</v>
      </c>
      <c r="P21" s="155">
        <v>1000</v>
      </c>
      <c r="Q21" s="155">
        <v>28.8</v>
      </c>
      <c r="R21" s="163">
        <v>2000</v>
      </c>
      <c r="S21" s="155">
        <v>28.42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10.86</v>
      </c>
      <c r="AF21" s="155"/>
      <c r="AG21" s="155"/>
      <c r="AH21" s="155"/>
      <c r="AI21" s="155"/>
      <c r="AJ21" s="155"/>
      <c r="AK21" s="155"/>
      <c r="AL21" s="155" t="s">
        <v>218</v>
      </c>
      <c r="AM21" s="156" t="s">
        <v>197</v>
      </c>
      <c r="AN21" s="156"/>
      <c r="AO21" s="156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3223</v>
      </c>
      <c r="B22" s="194">
        <v>41478</v>
      </c>
      <c r="C22" s="154" t="s">
        <v>189</v>
      </c>
      <c r="D22" s="155" t="s">
        <v>221</v>
      </c>
      <c r="E22" s="155"/>
      <c r="F22" s="155" t="s">
        <v>217</v>
      </c>
      <c r="G22" s="153">
        <v>41455</v>
      </c>
      <c r="H22" s="156" t="s">
        <v>193</v>
      </c>
      <c r="I22" s="156" t="s">
        <v>199</v>
      </c>
      <c r="J22" s="156"/>
      <c r="K22" s="155" t="s">
        <v>203</v>
      </c>
      <c r="L22" s="159" t="s">
        <v>222</v>
      </c>
      <c r="M22" s="155">
        <v>94</v>
      </c>
      <c r="N22" s="155">
        <v>38.299999999999997</v>
      </c>
      <c r="O22" s="155"/>
      <c r="P22" s="155"/>
      <c r="Q22" s="155"/>
      <c r="R22" s="157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>
        <v>25</v>
      </c>
      <c r="AF22" s="155"/>
      <c r="AG22" s="155"/>
      <c r="AH22" s="155"/>
      <c r="AI22" s="155"/>
      <c r="AJ22" s="155"/>
      <c r="AK22" s="155"/>
      <c r="AL22" s="155" t="s">
        <v>218</v>
      </c>
      <c r="AM22" s="156" t="s">
        <v>197</v>
      </c>
      <c r="AN22" s="156"/>
      <c r="AO22" s="156"/>
    </row>
    <row r="23" spans="1:94" x14ac:dyDescent="0.3">
      <c r="A23" s="152">
        <v>1470</v>
      </c>
      <c r="B23" s="194">
        <v>41478</v>
      </c>
      <c r="C23" s="154" t="s">
        <v>189</v>
      </c>
      <c r="D23" s="155" t="s">
        <v>221</v>
      </c>
      <c r="E23" s="155"/>
      <c r="F23" s="155" t="s">
        <v>217</v>
      </c>
      <c r="G23" s="153">
        <v>41419</v>
      </c>
      <c r="H23" s="156" t="s">
        <v>192</v>
      </c>
      <c r="I23" s="156" t="s">
        <v>193</v>
      </c>
      <c r="J23" s="156"/>
      <c r="K23" s="159" t="s">
        <v>204</v>
      </c>
      <c r="L23" s="159" t="s">
        <v>222</v>
      </c>
      <c r="M23" s="159">
        <v>97.31</v>
      </c>
      <c r="N23" s="159">
        <v>30.42</v>
      </c>
      <c r="O23" s="155" t="s">
        <v>201</v>
      </c>
      <c r="P23" s="159">
        <v>1000</v>
      </c>
      <c r="Q23" s="159">
        <v>30.42</v>
      </c>
      <c r="R23" s="157">
        <v>2000</v>
      </c>
      <c r="S23" s="159">
        <v>30.42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12.8</v>
      </c>
      <c r="AF23" s="159"/>
      <c r="AG23" s="159"/>
      <c r="AH23" s="159"/>
      <c r="AI23" s="159"/>
      <c r="AJ23" s="159"/>
      <c r="AK23" s="159"/>
      <c r="AL23" s="155" t="s">
        <v>218</v>
      </c>
      <c r="AM23" s="156" t="s">
        <v>197</v>
      </c>
      <c r="AN23" s="162"/>
      <c r="AO23" s="162"/>
    </row>
    <row r="24" spans="1:94" x14ac:dyDescent="0.3">
      <c r="A24" s="152">
        <v>4651</v>
      </c>
      <c r="B24" s="194">
        <v>41478</v>
      </c>
      <c r="C24" s="154" t="s">
        <v>189</v>
      </c>
      <c r="D24" s="155" t="s">
        <v>221</v>
      </c>
      <c r="E24" s="155"/>
      <c r="F24" s="155" t="s">
        <v>217</v>
      </c>
      <c r="G24" s="153">
        <v>41455</v>
      </c>
      <c r="H24" s="156" t="s">
        <v>192</v>
      </c>
      <c r="I24" s="156" t="s">
        <v>193</v>
      </c>
      <c r="J24" s="156"/>
      <c r="K24" s="159" t="s">
        <v>205</v>
      </c>
      <c r="L24" s="159" t="s">
        <v>222</v>
      </c>
      <c r="M24" s="159">
        <v>85</v>
      </c>
      <c r="N24" s="159">
        <v>29.2</v>
      </c>
      <c r="O24" s="155"/>
      <c r="P24" s="159"/>
      <c r="Q24" s="159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19</v>
      </c>
      <c r="AF24" s="159"/>
      <c r="AG24" s="159"/>
      <c r="AH24" s="159"/>
      <c r="AI24" s="159"/>
      <c r="AJ24" s="159"/>
      <c r="AK24" s="159"/>
      <c r="AL24" s="155" t="s">
        <v>218</v>
      </c>
      <c r="AM24" s="162" t="s">
        <v>197</v>
      </c>
      <c r="AN24" s="162"/>
      <c r="AO24" s="162"/>
    </row>
    <row r="25" spans="1:94" x14ac:dyDescent="0.3">
      <c r="A25" s="152">
        <v>1440</v>
      </c>
      <c r="B25" s="194">
        <v>41478</v>
      </c>
      <c r="C25" s="154" t="s">
        <v>189</v>
      </c>
      <c r="D25" s="155" t="s">
        <v>221</v>
      </c>
      <c r="E25" s="155"/>
      <c r="F25" s="155" t="s">
        <v>217</v>
      </c>
      <c r="G25" s="164">
        <v>41455</v>
      </c>
      <c r="H25" s="156" t="s">
        <v>192</v>
      </c>
      <c r="I25" s="156" t="s">
        <v>193</v>
      </c>
      <c r="J25" s="156"/>
      <c r="K25" s="155" t="s">
        <v>206</v>
      </c>
      <c r="L25" s="159" t="s">
        <v>222</v>
      </c>
      <c r="M25" s="159">
        <v>91.49</v>
      </c>
      <c r="N25" s="159">
        <v>26.39</v>
      </c>
      <c r="O25" s="155" t="s">
        <v>201</v>
      </c>
      <c r="P25" s="159">
        <v>300</v>
      </c>
      <c r="Q25" s="159">
        <v>28.51</v>
      </c>
      <c r="R25" s="163">
        <v>1020</v>
      </c>
      <c r="S25" s="159">
        <v>31.95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13.95</v>
      </c>
      <c r="AF25" s="159"/>
      <c r="AG25" s="159"/>
      <c r="AH25" s="159"/>
      <c r="AI25" s="159"/>
      <c r="AJ25" s="159"/>
      <c r="AK25" s="159"/>
      <c r="AL25" s="155" t="s">
        <v>218</v>
      </c>
      <c r="AM25" s="156" t="s">
        <v>197</v>
      </c>
      <c r="AN25" s="162"/>
      <c r="AO25" s="162"/>
    </row>
    <row r="26" spans="1:94" x14ac:dyDescent="0.3">
      <c r="A26" s="152">
        <v>1482</v>
      </c>
      <c r="B26" s="194">
        <v>41478</v>
      </c>
      <c r="C26" s="154" t="s">
        <v>189</v>
      </c>
      <c r="D26" s="155" t="s">
        <v>221</v>
      </c>
      <c r="E26" s="155"/>
      <c r="F26" s="155" t="s">
        <v>217</v>
      </c>
      <c r="G26" s="153">
        <v>41419</v>
      </c>
      <c r="H26" s="156" t="s">
        <v>192</v>
      </c>
      <c r="I26" s="156" t="s">
        <v>193</v>
      </c>
      <c r="J26" s="156"/>
      <c r="K26" s="159" t="s">
        <v>207</v>
      </c>
      <c r="L26" s="159" t="s">
        <v>222</v>
      </c>
      <c r="M26" s="159">
        <v>95.76</v>
      </c>
      <c r="N26" s="159">
        <v>29.45</v>
      </c>
      <c r="O26" s="155" t="s">
        <v>201</v>
      </c>
      <c r="P26" s="159">
        <v>1000</v>
      </c>
      <c r="Q26" s="159">
        <v>29.45</v>
      </c>
      <c r="R26" s="163">
        <v>2000</v>
      </c>
      <c r="S26" s="159">
        <v>29.45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13.81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1240</v>
      </c>
      <c r="B27" s="194">
        <v>41478</v>
      </c>
      <c r="C27" s="154" t="s">
        <v>189</v>
      </c>
      <c r="D27" s="155" t="s">
        <v>221</v>
      </c>
      <c r="E27" s="155"/>
      <c r="F27" s="155" t="s">
        <v>217</v>
      </c>
      <c r="G27" s="153">
        <v>41467</v>
      </c>
      <c r="H27" s="156" t="s">
        <v>192</v>
      </c>
      <c r="I27" s="156" t="s">
        <v>193</v>
      </c>
      <c r="J27" s="156"/>
      <c r="K27" s="155" t="s">
        <v>208</v>
      </c>
      <c r="L27" s="159" t="s">
        <v>222</v>
      </c>
      <c r="M27" s="159">
        <v>87.7</v>
      </c>
      <c r="N27" s="159">
        <v>29.35</v>
      </c>
      <c r="O27" s="155"/>
      <c r="P27" s="159"/>
      <c r="Q27" s="155"/>
      <c r="R27" s="163"/>
      <c r="S27" s="159"/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12.06</v>
      </c>
      <c r="AF27" s="159"/>
      <c r="AG27" s="159"/>
      <c r="AH27" s="155"/>
      <c r="AI27" s="155"/>
      <c r="AJ27" s="155"/>
      <c r="AK27" s="159"/>
      <c r="AL27" s="155" t="s">
        <v>218</v>
      </c>
      <c r="AM27" s="156" t="s">
        <v>197</v>
      </c>
      <c r="AN27" s="156"/>
      <c r="AO27" s="156"/>
    </row>
    <row r="28" spans="1:94" x14ac:dyDescent="0.3">
      <c r="A28" s="152">
        <v>2516</v>
      </c>
      <c r="B28" s="194">
        <v>41478</v>
      </c>
      <c r="C28" s="154" t="s">
        <v>189</v>
      </c>
      <c r="D28" s="155" t="s">
        <v>221</v>
      </c>
      <c r="E28" s="155"/>
      <c r="F28" s="155" t="s">
        <v>217</v>
      </c>
      <c r="G28" s="153">
        <v>41468</v>
      </c>
      <c r="H28" s="156" t="s">
        <v>192</v>
      </c>
      <c r="I28" s="156" t="s">
        <v>193</v>
      </c>
      <c r="J28" s="156"/>
      <c r="K28" s="159" t="s">
        <v>209</v>
      </c>
      <c r="L28" s="159" t="s">
        <v>222</v>
      </c>
      <c r="M28" s="159">
        <v>197.21</v>
      </c>
      <c r="N28" s="159">
        <v>25.35</v>
      </c>
      <c r="O28" s="155"/>
      <c r="P28" s="159"/>
      <c r="Q28" s="159"/>
      <c r="R28" s="163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13.13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1416</v>
      </c>
      <c r="B29" s="194">
        <v>41478</v>
      </c>
      <c r="C29" s="154" t="s">
        <v>189</v>
      </c>
      <c r="D29" s="155" t="s">
        <v>221</v>
      </c>
      <c r="E29" s="155"/>
      <c r="F29" s="155" t="s">
        <v>217</v>
      </c>
      <c r="G29" s="153">
        <v>41469</v>
      </c>
      <c r="H29" s="156" t="s">
        <v>192</v>
      </c>
      <c r="I29" s="156" t="s">
        <v>193</v>
      </c>
      <c r="J29" s="156"/>
      <c r="K29" s="159" t="s">
        <v>210</v>
      </c>
      <c r="L29" s="159" t="s">
        <v>222</v>
      </c>
      <c r="M29" s="159">
        <v>83.59</v>
      </c>
      <c r="N29" s="159">
        <v>30.05</v>
      </c>
      <c r="O29" s="155" t="s">
        <v>201</v>
      </c>
      <c r="P29" s="159">
        <v>600</v>
      </c>
      <c r="Q29" s="159">
        <v>29.45</v>
      </c>
      <c r="R29" s="163">
        <v>2000</v>
      </c>
      <c r="S29" s="159">
        <v>29.14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13.93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2260</v>
      </c>
      <c r="B30" s="194">
        <v>41478</v>
      </c>
      <c r="C30" s="154" t="s">
        <v>223</v>
      </c>
      <c r="D30" s="155" t="s">
        <v>224</v>
      </c>
      <c r="E30" s="155"/>
      <c r="F30" s="155" t="s">
        <v>229</v>
      </c>
      <c r="G30" s="153">
        <v>41455</v>
      </c>
      <c r="H30" s="156" t="s">
        <v>226</v>
      </c>
      <c r="I30" s="156" t="s">
        <v>227</v>
      </c>
      <c r="J30" s="156"/>
      <c r="K30" s="155" t="s">
        <v>228</v>
      </c>
      <c r="L30" s="159" t="s">
        <v>222</v>
      </c>
      <c r="M30" s="155">
        <v>83.39</v>
      </c>
      <c r="N30" s="155">
        <v>28.52</v>
      </c>
      <c r="O30" s="155"/>
      <c r="P30" s="155"/>
      <c r="Q30" s="155"/>
      <c r="R30" s="163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12.29</v>
      </c>
      <c r="AF30" s="155"/>
      <c r="AG30" s="155"/>
      <c r="AH30" s="155"/>
      <c r="AI30" s="155"/>
      <c r="AJ30" s="155"/>
      <c r="AK30" s="155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3745</v>
      </c>
      <c r="B31" s="194">
        <v>41478</v>
      </c>
      <c r="C31" s="154" t="s">
        <v>189</v>
      </c>
      <c r="D31" s="155" t="s">
        <v>230</v>
      </c>
      <c r="E31" s="155"/>
      <c r="F31" s="155" t="s">
        <v>217</v>
      </c>
      <c r="G31" s="153">
        <v>41455</v>
      </c>
      <c r="H31" s="156" t="s">
        <v>192</v>
      </c>
      <c r="I31" s="156" t="s">
        <v>193</v>
      </c>
      <c r="J31" s="156"/>
      <c r="K31" s="155" t="s">
        <v>212</v>
      </c>
      <c r="L31" s="159" t="s">
        <v>222</v>
      </c>
      <c r="M31" s="159">
        <v>84</v>
      </c>
      <c r="N31" s="159">
        <v>29</v>
      </c>
      <c r="O31" s="155"/>
      <c r="P31" s="159"/>
      <c r="Q31" s="155"/>
      <c r="R31" s="163"/>
      <c r="S31" s="159"/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14</v>
      </c>
      <c r="AF31" s="159"/>
      <c r="AG31" s="159"/>
      <c r="AH31" s="155"/>
      <c r="AI31" s="155"/>
      <c r="AJ31" s="155"/>
      <c r="AK31" s="159"/>
      <c r="AL31" s="155" t="s">
        <v>218</v>
      </c>
      <c r="AM31" s="156" t="s">
        <v>197</v>
      </c>
      <c r="AN31" s="156"/>
      <c r="AO31" s="156"/>
    </row>
    <row r="32" spans="1:94" x14ac:dyDescent="0.3">
      <c r="A32" s="152">
        <v>1458</v>
      </c>
      <c r="B32" s="194">
        <v>41478</v>
      </c>
      <c r="C32" s="154" t="s">
        <v>189</v>
      </c>
      <c r="D32" s="155" t="s">
        <v>221</v>
      </c>
      <c r="E32" s="155"/>
      <c r="F32" s="155" t="s">
        <v>217</v>
      </c>
      <c r="G32" s="153">
        <v>41455</v>
      </c>
      <c r="H32" s="156" t="s">
        <v>192</v>
      </c>
      <c r="I32" s="156" t="s">
        <v>193</v>
      </c>
      <c r="J32" s="156"/>
      <c r="K32" s="159" t="s">
        <v>213</v>
      </c>
      <c r="L32" s="159" t="s">
        <v>222</v>
      </c>
      <c r="M32" s="159">
        <v>97.25</v>
      </c>
      <c r="N32" s="159">
        <v>29.87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19.760000000000002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1388</v>
      </c>
      <c r="B33" s="194">
        <v>41478</v>
      </c>
      <c r="C33" s="154" t="s">
        <v>189</v>
      </c>
      <c r="D33" s="155" t="s">
        <v>221</v>
      </c>
      <c r="E33" s="155"/>
      <c r="F33" s="155" t="s">
        <v>217</v>
      </c>
      <c r="G33" s="164">
        <v>41479</v>
      </c>
      <c r="H33" s="156" t="s">
        <v>192</v>
      </c>
      <c r="I33" s="156" t="s">
        <v>193</v>
      </c>
      <c r="J33" s="156"/>
      <c r="K33" s="155" t="s">
        <v>214</v>
      </c>
      <c r="L33" s="159" t="s">
        <v>222</v>
      </c>
      <c r="M33" s="159">
        <v>87.72</v>
      </c>
      <c r="N33" s="159">
        <v>27.95</v>
      </c>
      <c r="O33" s="155" t="s">
        <v>201</v>
      </c>
      <c r="P33" s="159">
        <v>1000</v>
      </c>
      <c r="Q33" s="159">
        <v>27.34</v>
      </c>
      <c r="R33" s="163">
        <v>2000</v>
      </c>
      <c r="S33" s="159">
        <v>27.24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11.94</v>
      </c>
      <c r="AF33" s="159"/>
      <c r="AG33" s="159"/>
      <c r="AH33" s="159"/>
      <c r="AI33" s="159"/>
      <c r="AJ33" s="159"/>
      <c r="AK33" s="159"/>
      <c r="AL33" s="155" t="s">
        <v>218</v>
      </c>
      <c r="AM33" s="156" t="s">
        <v>197</v>
      </c>
      <c r="AN33" s="162"/>
      <c r="AO33" s="162"/>
    </row>
    <row r="34" spans="1:94" x14ac:dyDescent="0.3">
      <c r="A34" s="152">
        <v>3594</v>
      </c>
      <c r="B34" s="194">
        <v>41478</v>
      </c>
      <c r="C34" s="154" t="s">
        <v>189</v>
      </c>
      <c r="D34" s="155" t="s">
        <v>221</v>
      </c>
      <c r="E34" s="155"/>
      <c r="F34" s="155" t="s">
        <v>217</v>
      </c>
      <c r="G34" s="153">
        <v>41459</v>
      </c>
      <c r="H34" s="156" t="s">
        <v>192</v>
      </c>
      <c r="I34" s="156" t="s">
        <v>193</v>
      </c>
      <c r="J34" s="156"/>
      <c r="K34" s="155" t="s">
        <v>215</v>
      </c>
      <c r="L34" s="159" t="s">
        <v>222</v>
      </c>
      <c r="M34" s="155">
        <v>72.180000000000007</v>
      </c>
      <c r="N34" s="155">
        <v>24.78</v>
      </c>
      <c r="O34" s="155" t="s">
        <v>201</v>
      </c>
      <c r="P34" s="155">
        <v>1000</v>
      </c>
      <c r="Q34" s="155">
        <v>24.41</v>
      </c>
      <c r="R34" s="163">
        <v>2000</v>
      </c>
      <c r="S34" s="155">
        <v>24.09</v>
      </c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9.9</v>
      </c>
      <c r="AF34" s="155"/>
      <c r="AG34" s="155"/>
      <c r="AH34" s="155"/>
      <c r="AI34" s="155"/>
      <c r="AJ34" s="155"/>
      <c r="AK34" s="155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1494</v>
      </c>
      <c r="B35" s="194">
        <v>41478</v>
      </c>
      <c r="C35" s="154" t="s">
        <v>189</v>
      </c>
      <c r="D35" s="155" t="s">
        <v>221</v>
      </c>
      <c r="E35" s="155"/>
      <c r="F35" s="155" t="s">
        <v>217</v>
      </c>
      <c r="G35" s="153">
        <v>41455</v>
      </c>
      <c r="H35" s="156" t="s">
        <v>192</v>
      </c>
      <c r="I35" s="156" t="s">
        <v>193</v>
      </c>
      <c r="J35" s="156"/>
      <c r="K35" s="159" t="s">
        <v>216</v>
      </c>
      <c r="L35" s="159" t="s">
        <v>222</v>
      </c>
      <c r="M35" s="159">
        <v>81.650000000000006</v>
      </c>
      <c r="N35" s="159">
        <v>28.635000000000002</v>
      </c>
      <c r="O35" s="155" t="s">
        <v>201</v>
      </c>
      <c r="P35" s="159">
        <v>1000</v>
      </c>
      <c r="Q35" s="159">
        <v>30.337</v>
      </c>
      <c r="R35" s="163">
        <v>2000</v>
      </c>
      <c r="S35" s="159">
        <v>32.752000000000002</v>
      </c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11.7875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1:94" x14ac:dyDescent="0.3">
      <c r="A36" s="152">
        <v>4133</v>
      </c>
      <c r="B36" s="194">
        <v>41478</v>
      </c>
      <c r="C36" s="154" t="s">
        <v>189</v>
      </c>
      <c r="D36" s="155" t="s">
        <v>221</v>
      </c>
      <c r="E36" s="155"/>
      <c r="F36" s="155" t="s">
        <v>219</v>
      </c>
      <c r="G36" s="164">
        <v>41374</v>
      </c>
      <c r="H36" s="156" t="s">
        <v>192</v>
      </c>
      <c r="I36" s="156" t="s">
        <v>193</v>
      </c>
      <c r="J36" s="156"/>
      <c r="K36" s="155" t="s">
        <v>194</v>
      </c>
      <c r="L36" s="159" t="s">
        <v>222</v>
      </c>
      <c r="M36" s="155">
        <v>98</v>
      </c>
      <c r="N36" s="155">
        <v>39</v>
      </c>
      <c r="O36" s="155"/>
      <c r="P36" s="155"/>
      <c r="Q36" s="155"/>
      <c r="R36" s="157"/>
      <c r="S36" s="155"/>
      <c r="T36" s="155"/>
      <c r="U36" s="155"/>
      <c r="V36" s="155"/>
      <c r="W36" s="155">
        <v>16</v>
      </c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>
        <v>18</v>
      </c>
      <c r="AI36" s="155"/>
      <c r="AJ36" s="155"/>
      <c r="AK36" s="155"/>
      <c r="AL36" s="155" t="s">
        <v>231</v>
      </c>
      <c r="AM36" s="156" t="s">
        <v>197</v>
      </c>
      <c r="AN36" s="156"/>
      <c r="AO36" s="156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1:94" x14ac:dyDescent="0.3">
      <c r="A37" s="152">
        <v>1996</v>
      </c>
      <c r="B37" s="194">
        <v>41478</v>
      </c>
      <c r="C37" s="154" t="s">
        <v>189</v>
      </c>
      <c r="D37" s="155" t="s">
        <v>221</v>
      </c>
      <c r="E37" s="155"/>
      <c r="F37" s="155" t="s">
        <v>219</v>
      </c>
      <c r="G37" s="153">
        <v>41457</v>
      </c>
      <c r="H37" s="156" t="s">
        <v>192</v>
      </c>
      <c r="I37" s="156" t="s">
        <v>193</v>
      </c>
      <c r="J37" s="156"/>
      <c r="K37" s="155" t="s">
        <v>198</v>
      </c>
      <c r="L37" s="159" t="s">
        <v>222</v>
      </c>
      <c r="M37" s="155">
        <v>96</v>
      </c>
      <c r="N37" s="155">
        <v>54</v>
      </c>
      <c r="O37" s="155"/>
      <c r="P37" s="155"/>
      <c r="Q37" s="155"/>
      <c r="R37" s="157"/>
      <c r="S37" s="155"/>
      <c r="T37" s="155"/>
      <c r="U37" s="155"/>
      <c r="V37" s="155"/>
      <c r="W37" s="155">
        <v>15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23</v>
      </c>
      <c r="AI37" s="155"/>
      <c r="AJ37" s="155"/>
      <c r="AK37" s="155"/>
      <c r="AL37" s="155" t="s">
        <v>231</v>
      </c>
      <c r="AM37" s="156" t="s">
        <v>197</v>
      </c>
      <c r="AN37" s="156"/>
      <c r="AO37" s="156"/>
    </row>
    <row r="38" spans="1:94" x14ac:dyDescent="0.3">
      <c r="A38" s="152">
        <v>2558</v>
      </c>
      <c r="B38" s="194">
        <v>41478</v>
      </c>
      <c r="C38" s="154" t="s">
        <v>189</v>
      </c>
      <c r="D38" s="155" t="s">
        <v>221</v>
      </c>
      <c r="E38" s="155"/>
      <c r="F38" s="155" t="s">
        <v>219</v>
      </c>
      <c r="G38" s="164">
        <v>41477</v>
      </c>
      <c r="H38" s="156" t="s">
        <v>193</v>
      </c>
      <c r="I38" s="156" t="s">
        <v>199</v>
      </c>
      <c r="J38" s="156"/>
      <c r="K38" s="155" t="s">
        <v>200</v>
      </c>
      <c r="L38" s="159" t="s">
        <v>222</v>
      </c>
      <c r="M38" s="155">
        <v>102.54</v>
      </c>
      <c r="N38" s="155">
        <v>55.42</v>
      </c>
      <c r="O38" s="155"/>
      <c r="P38" s="155"/>
      <c r="Q38" s="155"/>
      <c r="R38" s="157"/>
      <c r="S38" s="155"/>
      <c r="T38" s="155"/>
      <c r="U38" s="155"/>
      <c r="V38" s="155"/>
      <c r="W38" s="155">
        <v>13.08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23.21</v>
      </c>
      <c r="AI38" s="155"/>
      <c r="AJ38" s="155"/>
      <c r="AK38" s="155"/>
      <c r="AL38" s="155" t="s">
        <v>231</v>
      </c>
      <c r="AM38" s="156" t="s">
        <v>197</v>
      </c>
      <c r="AN38" s="156"/>
      <c r="AO38" s="156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>
        <v>3225</v>
      </c>
      <c r="B39" s="194">
        <v>41478</v>
      </c>
      <c r="C39" s="154" t="s">
        <v>189</v>
      </c>
      <c r="D39" s="155" t="s">
        <v>221</v>
      </c>
      <c r="E39" s="155"/>
      <c r="F39" s="155" t="s">
        <v>219</v>
      </c>
      <c r="G39" s="153">
        <v>41455</v>
      </c>
      <c r="H39" s="156" t="s">
        <v>193</v>
      </c>
      <c r="I39" s="156" t="s">
        <v>199</v>
      </c>
      <c r="J39" s="156"/>
      <c r="K39" s="155" t="s">
        <v>203</v>
      </c>
      <c r="L39" s="159" t="s">
        <v>222</v>
      </c>
      <c r="M39" s="155">
        <v>101</v>
      </c>
      <c r="N39" s="155">
        <v>58.7</v>
      </c>
      <c r="O39" s="155"/>
      <c r="P39" s="155"/>
      <c r="Q39" s="155"/>
      <c r="R39" s="157"/>
      <c r="S39" s="155"/>
      <c r="T39" s="155"/>
      <c r="U39" s="155"/>
      <c r="V39" s="155"/>
      <c r="W39" s="155">
        <v>27.8</v>
      </c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>
        <v>31.3</v>
      </c>
      <c r="AI39" s="155"/>
      <c r="AJ39" s="155"/>
      <c r="AK39" s="155"/>
      <c r="AL39" s="155" t="s">
        <v>231</v>
      </c>
      <c r="AM39" s="156" t="s">
        <v>197</v>
      </c>
      <c r="AN39" s="156"/>
      <c r="AO39" s="156"/>
    </row>
    <row r="40" spans="1:94" x14ac:dyDescent="0.3">
      <c r="A40" s="152">
        <v>1472</v>
      </c>
      <c r="B40" s="194">
        <v>41478</v>
      </c>
      <c r="C40" s="154" t="s">
        <v>189</v>
      </c>
      <c r="D40" s="155" t="s">
        <v>221</v>
      </c>
      <c r="E40" s="155"/>
      <c r="F40" s="155" t="s">
        <v>219</v>
      </c>
      <c r="G40" s="153">
        <v>41419</v>
      </c>
      <c r="H40" s="156" t="s">
        <v>192</v>
      </c>
      <c r="I40" s="156" t="s">
        <v>193</v>
      </c>
      <c r="J40" s="156"/>
      <c r="K40" s="159" t="s">
        <v>204</v>
      </c>
      <c r="L40" s="159" t="s">
        <v>222</v>
      </c>
      <c r="M40" s="159">
        <v>102.28</v>
      </c>
      <c r="N40" s="159">
        <v>59.28</v>
      </c>
      <c r="O40" s="155"/>
      <c r="P40" s="159"/>
      <c r="Q40" s="159"/>
      <c r="R40" s="163"/>
      <c r="S40" s="159"/>
      <c r="T40" s="159"/>
      <c r="U40" s="159"/>
      <c r="V40" s="159"/>
      <c r="W40" s="159">
        <v>15.35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25.32</v>
      </c>
      <c r="AI40" s="159"/>
      <c r="AJ40" s="159"/>
      <c r="AK40" s="159"/>
      <c r="AL40" s="155" t="s">
        <v>231</v>
      </c>
      <c r="AM40" s="156" t="s">
        <v>197</v>
      </c>
      <c r="AN40" s="162"/>
      <c r="AO40" s="162"/>
    </row>
    <row r="41" spans="1:94" x14ac:dyDescent="0.3">
      <c r="A41" s="152">
        <v>4653</v>
      </c>
      <c r="B41" s="194">
        <v>41478</v>
      </c>
      <c r="C41" s="154" t="s">
        <v>189</v>
      </c>
      <c r="D41" s="155" t="s">
        <v>221</v>
      </c>
      <c r="E41" s="155"/>
      <c r="F41" s="155" t="s">
        <v>219</v>
      </c>
      <c r="G41" s="153">
        <v>41455</v>
      </c>
      <c r="H41" s="156" t="s">
        <v>192</v>
      </c>
      <c r="I41" s="156" t="s">
        <v>193</v>
      </c>
      <c r="J41" s="156"/>
      <c r="K41" s="159" t="s">
        <v>205</v>
      </c>
      <c r="L41" s="159" t="s">
        <v>222</v>
      </c>
      <c r="M41" s="159">
        <v>95</v>
      </c>
      <c r="N41" s="159">
        <v>54.1</v>
      </c>
      <c r="O41" s="159"/>
      <c r="P41" s="159"/>
      <c r="Q41" s="159"/>
      <c r="R41" s="163"/>
      <c r="S41" s="159"/>
      <c r="T41" s="159"/>
      <c r="U41" s="159"/>
      <c r="V41" s="159"/>
      <c r="W41" s="159">
        <v>17.5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23.05</v>
      </c>
      <c r="AI41" s="159"/>
      <c r="AJ41" s="159"/>
      <c r="AK41" s="159"/>
      <c r="AL41" s="155" t="s">
        <v>231</v>
      </c>
      <c r="AM41" s="162" t="s">
        <v>197</v>
      </c>
      <c r="AN41" s="162"/>
      <c r="AO41" s="162"/>
    </row>
    <row r="42" spans="1:94" x14ac:dyDescent="0.3">
      <c r="A42" s="152">
        <v>1442</v>
      </c>
      <c r="B42" s="194">
        <v>41478</v>
      </c>
      <c r="C42" s="154" t="s">
        <v>189</v>
      </c>
      <c r="D42" s="155" t="s">
        <v>221</v>
      </c>
      <c r="E42" s="155"/>
      <c r="F42" s="155" t="s">
        <v>219</v>
      </c>
      <c r="G42" s="164">
        <v>41455</v>
      </c>
      <c r="H42" s="156" t="s">
        <v>192</v>
      </c>
      <c r="I42" s="156" t="s">
        <v>193</v>
      </c>
      <c r="J42" s="156"/>
      <c r="K42" s="155" t="s">
        <v>206</v>
      </c>
      <c r="L42" s="159" t="s">
        <v>222</v>
      </c>
      <c r="M42" s="159">
        <v>99.5</v>
      </c>
      <c r="N42" s="159">
        <v>49.5</v>
      </c>
      <c r="O42" s="155" t="s">
        <v>201</v>
      </c>
      <c r="P42" s="159">
        <v>1020</v>
      </c>
      <c r="Q42" s="159">
        <v>54.9</v>
      </c>
      <c r="R42" s="163"/>
      <c r="S42" s="159"/>
      <c r="T42" s="159"/>
      <c r="U42" s="159"/>
      <c r="V42" s="159"/>
      <c r="W42" s="159">
        <v>17.95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23.48</v>
      </c>
      <c r="AI42" s="159"/>
      <c r="AJ42" s="159"/>
      <c r="AK42" s="159"/>
      <c r="AL42" s="155" t="s">
        <v>231</v>
      </c>
      <c r="AM42" s="156" t="s">
        <v>197</v>
      </c>
      <c r="AN42" s="162"/>
      <c r="AO42" s="162"/>
    </row>
    <row r="43" spans="1:94" x14ac:dyDescent="0.3">
      <c r="A43" s="152">
        <v>1484</v>
      </c>
      <c r="B43" s="194">
        <v>41478</v>
      </c>
      <c r="C43" s="154" t="s">
        <v>189</v>
      </c>
      <c r="D43" s="155" t="s">
        <v>221</v>
      </c>
      <c r="E43" s="155"/>
      <c r="F43" s="155" t="s">
        <v>219</v>
      </c>
      <c r="G43" s="153">
        <v>41419</v>
      </c>
      <c r="H43" s="156" t="s">
        <v>192</v>
      </c>
      <c r="I43" s="156" t="s">
        <v>193</v>
      </c>
      <c r="J43" s="156"/>
      <c r="K43" s="159" t="s">
        <v>207</v>
      </c>
      <c r="L43" s="159" t="s">
        <v>222</v>
      </c>
      <c r="M43" s="159">
        <v>101.13</v>
      </c>
      <c r="N43" s="159">
        <v>57.52</v>
      </c>
      <c r="O43" s="155"/>
      <c r="P43" s="159"/>
      <c r="Q43" s="159"/>
      <c r="R43" s="163"/>
      <c r="S43" s="159"/>
      <c r="T43" s="159"/>
      <c r="U43" s="159"/>
      <c r="V43" s="159"/>
      <c r="W43" s="159">
        <v>15.02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24.34</v>
      </c>
      <c r="AI43" s="159"/>
      <c r="AJ43" s="159"/>
      <c r="AK43" s="159"/>
      <c r="AL43" s="155" t="s">
        <v>231</v>
      </c>
      <c r="AM43" s="156" t="s">
        <v>197</v>
      </c>
      <c r="AN43" s="162"/>
      <c r="AO43" s="162"/>
    </row>
    <row r="44" spans="1:94" x14ac:dyDescent="0.3">
      <c r="A44" s="152">
        <v>1242</v>
      </c>
      <c r="B44" s="194">
        <v>41478</v>
      </c>
      <c r="C44" s="154" t="s">
        <v>189</v>
      </c>
      <c r="D44" s="155" t="s">
        <v>221</v>
      </c>
      <c r="E44" s="155"/>
      <c r="F44" s="155" t="s">
        <v>219</v>
      </c>
      <c r="G44" s="153">
        <v>41467</v>
      </c>
      <c r="H44" s="156" t="s">
        <v>192</v>
      </c>
      <c r="I44" s="156" t="s">
        <v>193</v>
      </c>
      <c r="J44" s="156"/>
      <c r="K44" s="155" t="s">
        <v>208</v>
      </c>
      <c r="L44" s="159" t="s">
        <v>222</v>
      </c>
      <c r="M44" s="159">
        <v>96.4</v>
      </c>
      <c r="N44" s="159">
        <v>54.9</v>
      </c>
      <c r="O44" s="159"/>
      <c r="P44" s="159"/>
      <c r="Q44" s="155"/>
      <c r="R44" s="163"/>
      <c r="S44" s="159"/>
      <c r="T44" s="159"/>
      <c r="U44" s="159"/>
      <c r="V44" s="159"/>
      <c r="W44" s="155">
        <v>15.24</v>
      </c>
      <c r="X44" s="159"/>
      <c r="Y44" s="159"/>
      <c r="Z44" s="159"/>
      <c r="AA44" s="159"/>
      <c r="AB44" s="159"/>
      <c r="AC44" s="159"/>
      <c r="AD44" s="159"/>
      <c r="AE44" s="155"/>
      <c r="AF44" s="159"/>
      <c r="AG44" s="159"/>
      <c r="AH44" s="155">
        <v>24.96</v>
      </c>
      <c r="AI44" s="155"/>
      <c r="AJ44" s="155"/>
      <c r="AK44" s="159"/>
      <c r="AL44" s="155" t="s">
        <v>231</v>
      </c>
      <c r="AM44" s="156" t="s">
        <v>197</v>
      </c>
      <c r="AN44" s="156"/>
      <c r="AO44" s="156"/>
    </row>
    <row r="45" spans="1:94" x14ac:dyDescent="0.3">
      <c r="A45" s="152">
        <v>2518</v>
      </c>
      <c r="B45" s="194">
        <v>41478</v>
      </c>
      <c r="C45" s="154" t="s">
        <v>189</v>
      </c>
      <c r="D45" s="155" t="s">
        <v>221</v>
      </c>
      <c r="E45" s="155"/>
      <c r="F45" s="155" t="s">
        <v>219</v>
      </c>
      <c r="G45" s="153">
        <v>41468</v>
      </c>
      <c r="H45" s="156" t="s">
        <v>192</v>
      </c>
      <c r="I45" s="156" t="s">
        <v>193</v>
      </c>
      <c r="J45" s="156"/>
      <c r="K45" s="159" t="s">
        <v>209</v>
      </c>
      <c r="L45" s="159" t="s">
        <v>222</v>
      </c>
      <c r="M45" s="159">
        <v>207.23</v>
      </c>
      <c r="N45" s="159">
        <v>44.84</v>
      </c>
      <c r="O45" s="155"/>
      <c r="P45" s="159"/>
      <c r="Q45" s="159"/>
      <c r="R45" s="163"/>
      <c r="S45" s="159"/>
      <c r="T45" s="159"/>
      <c r="U45" s="159"/>
      <c r="V45" s="159"/>
      <c r="W45" s="159">
        <v>13.77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>
        <v>20.61</v>
      </c>
      <c r="AI45" s="159"/>
      <c r="AJ45" s="159"/>
      <c r="AK45" s="159"/>
      <c r="AL45" s="155" t="s">
        <v>231</v>
      </c>
      <c r="AM45" s="156" t="s">
        <v>197</v>
      </c>
      <c r="AN45" s="162"/>
      <c r="AO45" s="162"/>
    </row>
    <row r="46" spans="1:94" x14ac:dyDescent="0.3">
      <c r="A46" s="152">
        <v>1418</v>
      </c>
      <c r="B46" s="194">
        <v>41478</v>
      </c>
      <c r="C46" s="154" t="s">
        <v>189</v>
      </c>
      <c r="D46" s="155" t="s">
        <v>221</v>
      </c>
      <c r="E46" s="155"/>
      <c r="F46" s="155" t="s">
        <v>219</v>
      </c>
      <c r="G46" s="153">
        <v>41469</v>
      </c>
      <c r="H46" s="156" t="s">
        <v>192</v>
      </c>
      <c r="I46" s="156" t="s">
        <v>193</v>
      </c>
      <c r="J46" s="156"/>
      <c r="K46" s="159" t="s">
        <v>210</v>
      </c>
      <c r="L46" s="159" t="s">
        <v>222</v>
      </c>
      <c r="M46" s="159">
        <v>96.37</v>
      </c>
      <c r="N46" s="159">
        <v>53.73</v>
      </c>
      <c r="O46" s="155" t="s">
        <v>201</v>
      </c>
      <c r="P46" s="159">
        <v>600</v>
      </c>
      <c r="Q46" s="159">
        <v>52.66</v>
      </c>
      <c r="R46" s="163"/>
      <c r="S46" s="159"/>
      <c r="T46" s="159"/>
      <c r="U46" s="159"/>
      <c r="V46" s="159"/>
      <c r="W46" s="159">
        <v>14.93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23.67</v>
      </c>
      <c r="AI46" s="159"/>
      <c r="AJ46" s="159"/>
      <c r="AK46" s="159"/>
      <c r="AL46" s="155" t="s">
        <v>231</v>
      </c>
      <c r="AM46" s="156" t="s">
        <v>197</v>
      </c>
      <c r="AN46" s="162"/>
      <c r="AO46" s="162"/>
    </row>
    <row r="47" spans="1:94" x14ac:dyDescent="0.3">
      <c r="A47" s="152">
        <v>2262</v>
      </c>
      <c r="B47" s="194">
        <v>41478</v>
      </c>
      <c r="C47" s="154" t="s">
        <v>223</v>
      </c>
      <c r="D47" s="155" t="s">
        <v>224</v>
      </c>
      <c r="E47" s="155"/>
      <c r="F47" s="155" t="s">
        <v>232</v>
      </c>
      <c r="G47" s="153">
        <v>41455</v>
      </c>
      <c r="H47" s="156" t="s">
        <v>226</v>
      </c>
      <c r="I47" s="156" t="s">
        <v>227</v>
      </c>
      <c r="J47" s="156"/>
      <c r="K47" s="155" t="s">
        <v>228</v>
      </c>
      <c r="L47" s="159" t="s">
        <v>222</v>
      </c>
      <c r="M47" s="155">
        <v>96.85</v>
      </c>
      <c r="N47" s="155">
        <v>53.01</v>
      </c>
      <c r="O47" s="155"/>
      <c r="P47" s="155"/>
      <c r="Q47" s="155"/>
      <c r="R47" s="157"/>
      <c r="S47" s="155"/>
      <c r="T47" s="155"/>
      <c r="U47" s="155"/>
      <c r="V47" s="155"/>
      <c r="W47" s="155">
        <v>14.42</v>
      </c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>
        <v>23.79</v>
      </c>
      <c r="AI47" s="155"/>
      <c r="AJ47" s="155"/>
      <c r="AK47" s="155"/>
      <c r="AL47" s="155" t="s">
        <v>231</v>
      </c>
      <c r="AM47" s="156" t="s">
        <v>197</v>
      </c>
      <c r="AN47" s="156"/>
      <c r="AO47" s="156"/>
    </row>
    <row r="48" spans="1:94" x14ac:dyDescent="0.3">
      <c r="A48" s="152">
        <v>3747</v>
      </c>
      <c r="B48" s="194">
        <v>41478</v>
      </c>
      <c r="C48" s="154" t="s">
        <v>189</v>
      </c>
      <c r="D48" s="155" t="s">
        <v>221</v>
      </c>
      <c r="E48" s="155"/>
      <c r="F48" s="155" t="s">
        <v>219</v>
      </c>
      <c r="G48" s="153">
        <v>41455</v>
      </c>
      <c r="H48" s="156" t="s">
        <v>192</v>
      </c>
      <c r="I48" s="156" t="s">
        <v>193</v>
      </c>
      <c r="J48" s="156"/>
      <c r="K48" s="155" t="s">
        <v>212</v>
      </c>
      <c r="L48" s="159" t="s">
        <v>222</v>
      </c>
      <c r="M48" s="159">
        <v>96</v>
      </c>
      <c r="N48" s="159">
        <v>54</v>
      </c>
      <c r="O48" s="159"/>
      <c r="P48" s="159"/>
      <c r="Q48" s="155"/>
      <c r="R48" s="163"/>
      <c r="S48" s="159"/>
      <c r="T48" s="159"/>
      <c r="U48" s="159"/>
      <c r="V48" s="159"/>
      <c r="W48" s="155">
        <v>15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23</v>
      </c>
      <c r="AI48" s="155"/>
      <c r="AJ48" s="155"/>
      <c r="AK48" s="159"/>
      <c r="AL48" s="155" t="s">
        <v>231</v>
      </c>
      <c r="AM48" s="156" t="s">
        <v>197</v>
      </c>
      <c r="AN48" s="156"/>
      <c r="AO48" s="156"/>
    </row>
    <row r="49" spans="1:94" x14ac:dyDescent="0.3">
      <c r="A49" s="152">
        <v>1460</v>
      </c>
      <c r="B49" s="194">
        <v>41478</v>
      </c>
      <c r="C49" s="154" t="s">
        <v>189</v>
      </c>
      <c r="D49" s="155" t="s">
        <v>221</v>
      </c>
      <c r="E49" s="155"/>
      <c r="F49" s="155" t="s">
        <v>219</v>
      </c>
      <c r="G49" s="153">
        <v>41455</v>
      </c>
      <c r="H49" s="156" t="s">
        <v>192</v>
      </c>
      <c r="I49" s="156" t="s">
        <v>193</v>
      </c>
      <c r="J49" s="156"/>
      <c r="K49" s="159" t="s">
        <v>213</v>
      </c>
      <c r="L49" s="159" t="s">
        <v>222</v>
      </c>
      <c r="M49" s="159">
        <v>108.5</v>
      </c>
      <c r="N49" s="159">
        <v>46.45</v>
      </c>
      <c r="O49" s="159"/>
      <c r="P49" s="159"/>
      <c r="Q49" s="159"/>
      <c r="R49" s="163"/>
      <c r="S49" s="159"/>
      <c r="T49" s="159"/>
      <c r="U49" s="159"/>
      <c r="V49" s="159"/>
      <c r="W49" s="159">
        <v>20.62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22.6</v>
      </c>
      <c r="AI49" s="159"/>
      <c r="AJ49" s="159"/>
      <c r="AK49" s="159"/>
      <c r="AL49" s="155" t="s">
        <v>231</v>
      </c>
      <c r="AM49" s="156" t="s">
        <v>197</v>
      </c>
      <c r="AN49" s="162"/>
      <c r="AO49" s="162"/>
    </row>
    <row r="50" spans="1:94" x14ac:dyDescent="0.3">
      <c r="A50" s="152">
        <v>1389</v>
      </c>
      <c r="B50" s="194">
        <v>41478</v>
      </c>
      <c r="C50" s="154" t="s">
        <v>189</v>
      </c>
      <c r="D50" s="155" t="s">
        <v>221</v>
      </c>
      <c r="E50" s="155"/>
      <c r="F50" s="155" t="s">
        <v>219</v>
      </c>
      <c r="G50" s="164">
        <v>41479</v>
      </c>
      <c r="H50" s="156" t="s">
        <v>192</v>
      </c>
      <c r="I50" s="156" t="s">
        <v>193</v>
      </c>
      <c r="J50" s="156"/>
      <c r="K50" s="155" t="s">
        <v>214</v>
      </c>
      <c r="L50" s="159" t="s">
        <v>222</v>
      </c>
      <c r="M50" s="159">
        <v>91.8</v>
      </c>
      <c r="N50" s="159">
        <v>54.57</v>
      </c>
      <c r="O50" s="159"/>
      <c r="P50" s="159"/>
      <c r="Q50" s="159"/>
      <c r="R50" s="163"/>
      <c r="S50" s="159"/>
      <c r="T50" s="159"/>
      <c r="U50" s="159"/>
      <c r="V50" s="159"/>
      <c r="W50" s="159">
        <v>16.43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24.69</v>
      </c>
      <c r="AI50" s="159"/>
      <c r="AJ50" s="159"/>
      <c r="AK50" s="159"/>
      <c r="AL50" s="155" t="s">
        <v>231</v>
      </c>
      <c r="AM50" s="156" t="s">
        <v>197</v>
      </c>
      <c r="AN50" s="162"/>
      <c r="AO50" s="162"/>
    </row>
    <row r="51" spans="1:94" x14ac:dyDescent="0.3">
      <c r="A51" s="152">
        <v>3596</v>
      </c>
      <c r="B51" s="194">
        <v>41478</v>
      </c>
      <c r="C51" s="154" t="s">
        <v>189</v>
      </c>
      <c r="D51" s="155" t="s">
        <v>221</v>
      </c>
      <c r="E51" s="155"/>
      <c r="F51" s="155" t="s">
        <v>219</v>
      </c>
      <c r="G51" s="153">
        <v>41459</v>
      </c>
      <c r="H51" s="156" t="s">
        <v>192</v>
      </c>
      <c r="I51" s="156" t="s">
        <v>193</v>
      </c>
      <c r="J51" s="156"/>
      <c r="K51" s="155" t="s">
        <v>215</v>
      </c>
      <c r="L51" s="159" t="s">
        <v>222</v>
      </c>
      <c r="M51" s="155">
        <v>82.11</v>
      </c>
      <c r="N51" s="155">
        <v>46.98</v>
      </c>
      <c r="O51" s="155"/>
      <c r="P51" s="155"/>
      <c r="Q51" s="155"/>
      <c r="R51" s="157"/>
      <c r="S51" s="155"/>
      <c r="T51" s="155"/>
      <c r="U51" s="155"/>
      <c r="V51" s="155"/>
      <c r="W51" s="155">
        <v>12.06</v>
      </c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>
        <v>17.829999999999998</v>
      </c>
      <c r="AI51" s="155"/>
      <c r="AJ51" s="155"/>
      <c r="AK51" s="155"/>
      <c r="AL51" s="155" t="s">
        <v>231</v>
      </c>
      <c r="AM51" s="156" t="s">
        <v>197</v>
      </c>
      <c r="AN51" s="156"/>
      <c r="AO51" s="156"/>
    </row>
    <row r="52" spans="1:94" x14ac:dyDescent="0.3">
      <c r="A52" s="152">
        <v>1496</v>
      </c>
      <c r="B52" s="194">
        <v>41478</v>
      </c>
      <c r="C52" s="154" t="s">
        <v>189</v>
      </c>
      <c r="D52" s="155" t="s">
        <v>221</v>
      </c>
      <c r="E52" s="155"/>
      <c r="F52" s="155" t="s">
        <v>219</v>
      </c>
      <c r="G52" s="153">
        <v>41455</v>
      </c>
      <c r="H52" s="156" t="s">
        <v>192</v>
      </c>
      <c r="I52" s="156" t="s">
        <v>193</v>
      </c>
      <c r="J52" s="156"/>
      <c r="K52" s="159" t="s">
        <v>216</v>
      </c>
      <c r="L52" s="159" t="s">
        <v>222</v>
      </c>
      <c r="M52" s="159">
        <v>91.137500000000003</v>
      </c>
      <c r="N52" s="159">
        <v>54.935499999999998</v>
      </c>
      <c r="O52" s="159"/>
      <c r="P52" s="159"/>
      <c r="Q52" s="159"/>
      <c r="R52" s="163"/>
      <c r="S52" s="159"/>
      <c r="T52" s="159"/>
      <c r="U52" s="159"/>
      <c r="V52" s="159"/>
      <c r="W52" s="159">
        <v>13.765499999999999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22.838999999999999</v>
      </c>
      <c r="AI52" s="159"/>
      <c r="AJ52" s="159"/>
      <c r="AK52" s="159"/>
      <c r="AL52" s="155" t="s">
        <v>231</v>
      </c>
      <c r="AM52" s="156" t="s">
        <v>197</v>
      </c>
      <c r="AN52" s="162"/>
      <c r="AO52" s="16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  <row r="53" spans="1:94" x14ac:dyDescent="0.3">
      <c r="B53" s="1"/>
    </row>
  </sheetData>
  <sheetProtection algorithmName="SHA-512" hashValue="q9R4bomkBP0SHBrxdoObeNqAF491/A7vJ8RmbTFt3llWxEJSnRLsT3SbyEKC/UC1pHUMRqmTne+pVAjhkBnE+A==" saltValue="437fESta0ng+Aoim5xpuyQ==" spinCount="100000" sheet="1" objects="1" scenarios="1"/>
  <pageMargins left="0.75" right="0.75" top="1" bottom="1" header="0.5" footer="0.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/>
  <dimension ref="A1:CP55"/>
  <sheetViews>
    <sheetView zoomScale="110" zoomScaleNormal="110" workbookViewId="0">
      <selection activeCell="A15" sqref="A15:XFD15"/>
    </sheetView>
  </sheetViews>
  <sheetFormatPr defaultColWidth="11" defaultRowHeight="13.5" x14ac:dyDescent="0.3"/>
  <cols>
    <col min="12" max="12" width="14.4609375" customWidth="1"/>
    <col min="38" max="38" width="15.84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4136</v>
      </c>
      <c r="B2" s="194">
        <v>41478</v>
      </c>
      <c r="C2" s="154" t="s">
        <v>189</v>
      </c>
      <c r="D2" s="155" t="s">
        <v>233</v>
      </c>
      <c r="E2" s="155"/>
      <c r="F2" s="155" t="s">
        <v>191</v>
      </c>
      <c r="G2" s="164">
        <v>41374</v>
      </c>
      <c r="H2" s="156" t="s">
        <v>192</v>
      </c>
      <c r="I2" s="156" t="s">
        <v>193</v>
      </c>
      <c r="J2" s="156"/>
      <c r="K2" s="155" t="s">
        <v>194</v>
      </c>
      <c r="L2" s="159" t="s">
        <v>222</v>
      </c>
      <c r="M2" s="159">
        <v>85</v>
      </c>
      <c r="N2" s="159">
        <v>23</v>
      </c>
      <c r="O2" s="155"/>
      <c r="P2" s="159"/>
      <c r="Q2" s="159"/>
      <c r="R2" s="163"/>
      <c r="S2" s="159"/>
      <c r="T2" s="159"/>
      <c r="U2" s="159"/>
      <c r="V2" s="159"/>
      <c r="W2" s="159"/>
      <c r="X2" s="159"/>
      <c r="Y2" s="159"/>
      <c r="Z2" s="159"/>
      <c r="AA2" s="159"/>
      <c r="AB2" s="159"/>
      <c r="AC2" s="159"/>
      <c r="AD2" s="159"/>
      <c r="AE2" s="159"/>
      <c r="AF2" s="159"/>
      <c r="AG2" s="159"/>
      <c r="AH2" s="159"/>
      <c r="AI2" s="155"/>
      <c r="AJ2" s="155"/>
      <c r="AK2" s="155"/>
      <c r="AL2" s="155" t="s">
        <v>196</v>
      </c>
      <c r="AM2" s="156" t="s">
        <v>197</v>
      </c>
      <c r="AN2" s="156"/>
      <c r="AO2" s="156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2005</v>
      </c>
      <c r="B3" s="194">
        <v>41478</v>
      </c>
      <c r="C3" s="154" t="s">
        <v>189</v>
      </c>
      <c r="D3" s="155" t="s">
        <v>233</v>
      </c>
      <c r="E3" s="155"/>
      <c r="F3" s="155" t="s">
        <v>191</v>
      </c>
      <c r="G3" s="153">
        <v>41457</v>
      </c>
      <c r="H3" s="156" t="s">
        <v>192</v>
      </c>
      <c r="I3" s="156" t="s">
        <v>193</v>
      </c>
      <c r="J3" s="156"/>
      <c r="K3" s="155" t="s">
        <v>198</v>
      </c>
      <c r="L3" s="159" t="s">
        <v>222</v>
      </c>
      <c r="M3" s="155">
        <v>84</v>
      </c>
      <c r="N3" s="155">
        <v>29</v>
      </c>
      <c r="O3" s="155"/>
      <c r="P3" s="155"/>
      <c r="Q3" s="155"/>
      <c r="R3" s="157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2559</v>
      </c>
      <c r="B4" s="194">
        <v>41478</v>
      </c>
      <c r="C4" s="154" t="s">
        <v>189</v>
      </c>
      <c r="D4" s="155" t="s">
        <v>233</v>
      </c>
      <c r="E4" s="155"/>
      <c r="F4" s="155" t="s">
        <v>191</v>
      </c>
      <c r="G4" s="164">
        <v>41477</v>
      </c>
      <c r="H4" s="156" t="s">
        <v>193</v>
      </c>
      <c r="I4" s="156" t="s">
        <v>199</v>
      </c>
      <c r="J4" s="156"/>
      <c r="K4" s="155" t="s">
        <v>200</v>
      </c>
      <c r="L4" s="159" t="s">
        <v>222</v>
      </c>
      <c r="M4" s="155">
        <v>93.72</v>
      </c>
      <c r="N4" s="155">
        <v>27.5</v>
      </c>
      <c r="O4" s="155" t="s">
        <v>201</v>
      </c>
      <c r="P4" s="155">
        <v>1000</v>
      </c>
      <c r="Q4" s="155">
        <v>26.76</v>
      </c>
      <c r="R4" s="157">
        <v>1750</v>
      </c>
      <c r="S4" s="155">
        <v>25.79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3226</v>
      </c>
      <c r="B5" s="194">
        <v>41478</v>
      </c>
      <c r="C5" s="154" t="s">
        <v>189</v>
      </c>
      <c r="D5" s="155" t="s">
        <v>233</v>
      </c>
      <c r="E5" s="155"/>
      <c r="F5" s="155" t="s">
        <v>191</v>
      </c>
      <c r="G5" s="153">
        <v>41455</v>
      </c>
      <c r="H5" s="156" t="s">
        <v>193</v>
      </c>
      <c r="I5" s="156" t="s">
        <v>199</v>
      </c>
      <c r="J5" s="156"/>
      <c r="K5" s="155" t="s">
        <v>203</v>
      </c>
      <c r="L5" s="159" t="s">
        <v>222</v>
      </c>
      <c r="M5" s="159">
        <v>86</v>
      </c>
      <c r="N5" s="159">
        <v>37.700000000000003</v>
      </c>
      <c r="O5" s="155"/>
      <c r="P5" s="159"/>
      <c r="Q5" s="155"/>
      <c r="R5" s="163"/>
      <c r="S5" s="159"/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1473</v>
      </c>
      <c r="B6" s="194">
        <v>41478</v>
      </c>
      <c r="C6" s="154" t="s">
        <v>189</v>
      </c>
      <c r="D6" s="155" t="s">
        <v>233</v>
      </c>
      <c r="E6" s="155"/>
      <c r="F6" s="155" t="s">
        <v>191</v>
      </c>
      <c r="G6" s="153">
        <v>41419</v>
      </c>
      <c r="H6" s="156" t="s">
        <v>192</v>
      </c>
      <c r="I6" s="156" t="s">
        <v>193</v>
      </c>
      <c r="J6" s="156"/>
      <c r="K6" s="159" t="s">
        <v>204</v>
      </c>
      <c r="L6" s="159" t="s">
        <v>222</v>
      </c>
      <c r="M6" s="159">
        <v>91.01</v>
      </c>
      <c r="N6" s="159">
        <v>29.87</v>
      </c>
      <c r="O6" s="155" t="s">
        <v>201</v>
      </c>
      <c r="P6" s="159">
        <v>1750</v>
      </c>
      <c r="Q6" s="159">
        <v>29.21</v>
      </c>
      <c r="R6" s="193">
        <v>1750</v>
      </c>
      <c r="S6" s="193">
        <v>29.21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4654</v>
      </c>
      <c r="B7" s="194">
        <v>41478</v>
      </c>
      <c r="C7" s="154" t="s">
        <v>189</v>
      </c>
      <c r="D7" s="155" t="s">
        <v>233</v>
      </c>
      <c r="E7" s="155"/>
      <c r="F7" s="155" t="s">
        <v>191</v>
      </c>
      <c r="G7" s="153">
        <v>41455</v>
      </c>
      <c r="H7" s="156" t="s">
        <v>192</v>
      </c>
      <c r="I7" s="156" t="s">
        <v>193</v>
      </c>
      <c r="J7" s="156"/>
      <c r="K7" s="159" t="s">
        <v>205</v>
      </c>
      <c r="L7" s="159" t="s">
        <v>222</v>
      </c>
      <c r="M7" s="159">
        <v>83</v>
      </c>
      <c r="N7" s="159">
        <v>29.2</v>
      </c>
      <c r="O7" s="155"/>
      <c r="P7" s="159"/>
      <c r="Q7" s="159"/>
      <c r="R7" s="163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1445</v>
      </c>
      <c r="B8" s="194">
        <v>41478</v>
      </c>
      <c r="C8" s="154" t="s">
        <v>189</v>
      </c>
      <c r="D8" s="155" t="s">
        <v>233</v>
      </c>
      <c r="E8" s="155"/>
      <c r="F8" s="155" t="s">
        <v>191</v>
      </c>
      <c r="G8" s="164">
        <v>41455</v>
      </c>
      <c r="H8" s="156" t="s">
        <v>192</v>
      </c>
      <c r="I8" s="156" t="s">
        <v>193</v>
      </c>
      <c r="J8" s="156"/>
      <c r="K8" s="155" t="s">
        <v>206</v>
      </c>
      <c r="L8" s="159" t="s">
        <v>222</v>
      </c>
      <c r="M8" s="159">
        <v>89.5</v>
      </c>
      <c r="N8" s="159">
        <v>25.66</v>
      </c>
      <c r="O8" s="155" t="s">
        <v>201</v>
      </c>
      <c r="P8" s="159">
        <v>300</v>
      </c>
      <c r="Q8" s="159">
        <v>26.98</v>
      </c>
      <c r="R8" s="163">
        <v>1020</v>
      </c>
      <c r="S8" s="159">
        <v>28.49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1485</v>
      </c>
      <c r="B9" s="194">
        <v>41478</v>
      </c>
      <c r="C9" s="154" t="s">
        <v>189</v>
      </c>
      <c r="D9" s="155" t="s">
        <v>233</v>
      </c>
      <c r="E9" s="155"/>
      <c r="F9" s="155" t="s">
        <v>191</v>
      </c>
      <c r="G9" s="153">
        <v>41419</v>
      </c>
      <c r="H9" s="156" t="s">
        <v>192</v>
      </c>
      <c r="I9" s="156" t="s">
        <v>193</v>
      </c>
      <c r="J9" s="156"/>
      <c r="K9" s="159" t="s">
        <v>207</v>
      </c>
      <c r="L9" s="159" t="s">
        <v>222</v>
      </c>
      <c r="M9" s="159">
        <v>90.43</v>
      </c>
      <c r="N9" s="159">
        <v>28.78</v>
      </c>
      <c r="O9" s="155" t="s">
        <v>201</v>
      </c>
      <c r="P9" s="159">
        <v>1750</v>
      </c>
      <c r="Q9" s="159">
        <v>27.84</v>
      </c>
      <c r="R9" s="193">
        <v>1750</v>
      </c>
      <c r="S9" s="193">
        <v>27.84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1255</v>
      </c>
      <c r="B10" s="194">
        <v>41478</v>
      </c>
      <c r="C10" s="154" t="s">
        <v>189</v>
      </c>
      <c r="D10" s="155" t="s">
        <v>233</v>
      </c>
      <c r="E10" s="155"/>
      <c r="F10" s="155" t="s">
        <v>191</v>
      </c>
      <c r="G10" s="153">
        <v>41467</v>
      </c>
      <c r="H10" s="156" t="s">
        <v>192</v>
      </c>
      <c r="I10" s="156" t="s">
        <v>193</v>
      </c>
      <c r="J10" s="156"/>
      <c r="K10" s="155" t="s">
        <v>208</v>
      </c>
      <c r="L10" s="159" t="s">
        <v>222</v>
      </c>
      <c r="M10" s="159">
        <v>87.3</v>
      </c>
      <c r="N10" s="159">
        <v>29.78</v>
      </c>
      <c r="O10" s="155"/>
      <c r="P10" s="159"/>
      <c r="Q10" s="155"/>
      <c r="R10" s="163"/>
      <c r="S10" s="159"/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3103</v>
      </c>
      <c r="B11" s="194">
        <v>41478</v>
      </c>
      <c r="C11" s="154" t="s">
        <v>189</v>
      </c>
      <c r="D11" s="155" t="s">
        <v>233</v>
      </c>
      <c r="E11" s="155"/>
      <c r="F11" s="155" t="s">
        <v>191</v>
      </c>
      <c r="G11" s="153">
        <v>41468</v>
      </c>
      <c r="H11" s="156" t="s">
        <v>192</v>
      </c>
      <c r="I11" s="156" t="s">
        <v>193</v>
      </c>
      <c r="J11" s="156"/>
      <c r="K11" s="159" t="s">
        <v>209</v>
      </c>
      <c r="L11" s="159" t="s">
        <v>222</v>
      </c>
      <c r="M11" s="159">
        <v>187.96</v>
      </c>
      <c r="N11" s="159">
        <v>24.24</v>
      </c>
      <c r="O11" s="155"/>
      <c r="P11" s="159"/>
      <c r="Q11" s="159"/>
      <c r="R11" s="163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>
        <v>1423</v>
      </c>
      <c r="B12" s="194">
        <v>41478</v>
      </c>
      <c r="C12" s="154" t="s">
        <v>189</v>
      </c>
      <c r="D12" s="155" t="s">
        <v>233</v>
      </c>
      <c r="E12" s="155"/>
      <c r="F12" s="155" t="s">
        <v>191</v>
      </c>
      <c r="G12" s="153">
        <v>40738</v>
      </c>
      <c r="H12" s="156" t="s">
        <v>192</v>
      </c>
      <c r="I12" s="156" t="s">
        <v>193</v>
      </c>
      <c r="J12" s="156"/>
      <c r="K12" s="159" t="s">
        <v>210</v>
      </c>
      <c r="L12" s="159" t="s">
        <v>222</v>
      </c>
      <c r="M12" s="159">
        <v>83.59</v>
      </c>
      <c r="N12" s="159">
        <v>28.86</v>
      </c>
      <c r="O12" s="155" t="s">
        <v>201</v>
      </c>
      <c r="P12" s="159">
        <v>600</v>
      </c>
      <c r="Q12" s="159">
        <v>28.28</v>
      </c>
      <c r="R12" s="193">
        <v>600</v>
      </c>
      <c r="S12" s="193">
        <v>28.28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 t="s">
        <v>197</v>
      </c>
      <c r="AN12" s="162"/>
      <c r="AO12" s="162"/>
    </row>
    <row r="13" spans="1:94" x14ac:dyDescent="0.3">
      <c r="A13" s="152">
        <v>2267</v>
      </c>
      <c r="B13" s="194">
        <v>41478</v>
      </c>
      <c r="C13" s="154" t="s">
        <v>223</v>
      </c>
      <c r="D13" s="155" t="s">
        <v>234</v>
      </c>
      <c r="E13" s="155"/>
      <c r="F13" s="155" t="s">
        <v>225</v>
      </c>
      <c r="G13" s="153">
        <v>41455</v>
      </c>
      <c r="H13" s="156" t="s">
        <v>226</v>
      </c>
      <c r="I13" s="156" t="s">
        <v>227</v>
      </c>
      <c r="J13" s="156"/>
      <c r="K13" s="155" t="s">
        <v>228</v>
      </c>
      <c r="L13" s="159" t="s">
        <v>222</v>
      </c>
      <c r="M13" s="155">
        <v>82.89</v>
      </c>
      <c r="N13" s="155">
        <v>27.09</v>
      </c>
      <c r="O13" s="155"/>
      <c r="P13" s="155"/>
      <c r="Q13" s="155"/>
      <c r="R13" s="159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3750</v>
      </c>
      <c r="B14" s="194">
        <v>41478</v>
      </c>
      <c r="C14" s="154" t="s">
        <v>189</v>
      </c>
      <c r="D14" s="155" t="s">
        <v>233</v>
      </c>
      <c r="E14" s="155"/>
      <c r="F14" s="155" t="s">
        <v>191</v>
      </c>
      <c r="G14" s="153">
        <v>41455</v>
      </c>
      <c r="H14" s="156" t="s">
        <v>192</v>
      </c>
      <c r="I14" s="156" t="s">
        <v>193</v>
      </c>
      <c r="J14" s="156"/>
      <c r="K14" s="155" t="s">
        <v>212</v>
      </c>
      <c r="L14" s="159" t="s">
        <v>222</v>
      </c>
      <c r="M14" s="159">
        <v>84</v>
      </c>
      <c r="N14" s="159">
        <v>29</v>
      </c>
      <c r="O14" s="155"/>
      <c r="P14" s="159"/>
      <c r="Q14" s="155"/>
      <c r="R14" s="163"/>
      <c r="S14" s="159"/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1461</v>
      </c>
      <c r="B15" s="194">
        <v>41478</v>
      </c>
      <c r="C15" s="154" t="s">
        <v>189</v>
      </c>
      <c r="D15" s="155" t="s">
        <v>233</v>
      </c>
      <c r="E15" s="155"/>
      <c r="F15" s="155" t="s">
        <v>191</v>
      </c>
      <c r="G15" s="153">
        <v>41455</v>
      </c>
      <c r="H15" s="156" t="s">
        <v>192</v>
      </c>
      <c r="I15" s="156" t="s">
        <v>193</v>
      </c>
      <c r="J15" s="156"/>
      <c r="K15" s="159" t="s">
        <v>213</v>
      </c>
      <c r="L15" s="159" t="s">
        <v>222</v>
      </c>
      <c r="M15" s="159">
        <v>95.4</v>
      </c>
      <c r="N15" s="159">
        <v>28.26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1397</v>
      </c>
      <c r="B16" s="194">
        <v>41478</v>
      </c>
      <c r="C16" s="154" t="s">
        <v>189</v>
      </c>
      <c r="D16" s="155" t="s">
        <v>233</v>
      </c>
      <c r="E16" s="155"/>
      <c r="F16" s="155" t="s">
        <v>191</v>
      </c>
      <c r="G16" s="164">
        <v>41479</v>
      </c>
      <c r="H16" s="156" t="s">
        <v>192</v>
      </c>
      <c r="I16" s="156" t="s">
        <v>193</v>
      </c>
      <c r="J16" s="156"/>
      <c r="K16" s="155" t="s">
        <v>214</v>
      </c>
      <c r="L16" s="159" t="s">
        <v>222</v>
      </c>
      <c r="M16" s="159">
        <v>80.849999999999994</v>
      </c>
      <c r="N16" s="159">
        <v>28.05</v>
      </c>
      <c r="O16" s="155" t="s">
        <v>201</v>
      </c>
      <c r="P16" s="159">
        <v>1000</v>
      </c>
      <c r="Q16" s="159">
        <v>27.34</v>
      </c>
      <c r="R16" s="157">
        <v>1750</v>
      </c>
      <c r="S16" s="159">
        <v>27.24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3601</v>
      </c>
      <c r="B17" s="194">
        <v>41478</v>
      </c>
      <c r="C17" s="154" t="s">
        <v>189</v>
      </c>
      <c r="D17" s="155" t="s">
        <v>233</v>
      </c>
      <c r="E17" s="155"/>
      <c r="F17" s="155" t="s">
        <v>191</v>
      </c>
      <c r="G17" s="153">
        <v>41459</v>
      </c>
      <c r="H17" s="156" t="s">
        <v>192</v>
      </c>
      <c r="I17" s="156" t="s">
        <v>193</v>
      </c>
      <c r="J17" s="156"/>
      <c r="K17" s="155" t="s">
        <v>215</v>
      </c>
      <c r="L17" s="159" t="s">
        <v>222</v>
      </c>
      <c r="M17" s="159">
        <v>64.33</v>
      </c>
      <c r="N17" s="159">
        <v>24.46</v>
      </c>
      <c r="O17" s="155" t="s">
        <v>201</v>
      </c>
      <c r="P17" s="159">
        <v>1000</v>
      </c>
      <c r="Q17" s="159">
        <v>23.66</v>
      </c>
      <c r="R17" s="163">
        <v>1700</v>
      </c>
      <c r="S17" s="159">
        <v>22.18</v>
      </c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>
        <v>1499</v>
      </c>
      <c r="B18" s="194">
        <v>41478</v>
      </c>
      <c r="C18" s="154" t="s">
        <v>189</v>
      </c>
      <c r="D18" s="155" t="s">
        <v>233</v>
      </c>
      <c r="E18" s="155"/>
      <c r="F18" s="155" t="s">
        <v>191</v>
      </c>
      <c r="G18" s="153">
        <v>41455</v>
      </c>
      <c r="H18" s="156" t="s">
        <v>192</v>
      </c>
      <c r="I18" s="156" t="s">
        <v>193</v>
      </c>
      <c r="J18" s="156"/>
      <c r="K18" s="159" t="s">
        <v>216</v>
      </c>
      <c r="L18" s="159" t="s">
        <v>222</v>
      </c>
      <c r="M18" s="159">
        <v>80.361999999999995</v>
      </c>
      <c r="N18" s="159">
        <v>28.359000000000002</v>
      </c>
      <c r="O18" s="155" t="s">
        <v>201</v>
      </c>
      <c r="P18" s="159">
        <v>1750</v>
      </c>
      <c r="Q18" s="159">
        <v>31.5215</v>
      </c>
      <c r="R18" s="193">
        <v>1750</v>
      </c>
      <c r="S18" s="193">
        <v>31.5215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>
        <v>4137</v>
      </c>
      <c r="B19" s="194">
        <v>41478</v>
      </c>
      <c r="C19" s="154" t="s">
        <v>189</v>
      </c>
      <c r="D19" s="155" t="s">
        <v>233</v>
      </c>
      <c r="E19" s="155"/>
      <c r="F19" s="155" t="s">
        <v>217</v>
      </c>
      <c r="G19" s="164">
        <v>41374</v>
      </c>
      <c r="H19" s="156" t="s">
        <v>192</v>
      </c>
      <c r="I19" s="156" t="s">
        <v>193</v>
      </c>
      <c r="J19" s="156"/>
      <c r="K19" s="155" t="s">
        <v>194</v>
      </c>
      <c r="L19" s="159" t="s">
        <v>222</v>
      </c>
      <c r="M19" s="155">
        <v>95</v>
      </c>
      <c r="N19" s="159">
        <v>23</v>
      </c>
      <c r="O19" s="155"/>
      <c r="P19" s="159"/>
      <c r="Q19" s="159"/>
      <c r="R19" s="163"/>
      <c r="S19" s="159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13</v>
      </c>
      <c r="AF19" s="159"/>
      <c r="AG19" s="159"/>
      <c r="AH19" s="159"/>
      <c r="AI19" s="155"/>
      <c r="AJ19" s="155"/>
      <c r="AK19" s="155"/>
      <c r="AL19" s="155" t="s">
        <v>218</v>
      </c>
      <c r="AM19" s="156" t="s">
        <v>197</v>
      </c>
      <c r="AN19" s="156"/>
      <c r="AO19" s="156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>
        <v>2006</v>
      </c>
      <c r="B20" s="194">
        <v>41478</v>
      </c>
      <c r="C20" s="154" t="s">
        <v>189</v>
      </c>
      <c r="D20" s="155" t="s">
        <v>233</v>
      </c>
      <c r="E20" s="155"/>
      <c r="F20" s="155" t="s">
        <v>217</v>
      </c>
      <c r="G20" s="153">
        <v>41457</v>
      </c>
      <c r="H20" s="156" t="s">
        <v>192</v>
      </c>
      <c r="I20" s="156" t="s">
        <v>193</v>
      </c>
      <c r="J20" s="156"/>
      <c r="K20" s="155" t="s">
        <v>198</v>
      </c>
      <c r="L20" s="159" t="s">
        <v>222</v>
      </c>
      <c r="M20" s="155">
        <v>90</v>
      </c>
      <c r="N20" s="155">
        <v>29</v>
      </c>
      <c r="O20" s="155"/>
      <c r="P20" s="155"/>
      <c r="Q20" s="155"/>
      <c r="R20" s="157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12</v>
      </c>
      <c r="AF20" s="155"/>
      <c r="AG20" s="155"/>
      <c r="AH20" s="155"/>
      <c r="AI20" s="155"/>
      <c r="AJ20" s="155"/>
      <c r="AK20" s="155"/>
      <c r="AL20" s="155" t="s">
        <v>218</v>
      </c>
      <c r="AM20" s="156" t="s">
        <v>197</v>
      </c>
      <c r="AN20" s="156"/>
      <c r="AO20" s="156"/>
    </row>
    <row r="21" spans="1:94" x14ac:dyDescent="0.3">
      <c r="A21" s="152">
        <v>2560</v>
      </c>
      <c r="B21" s="194">
        <v>41478</v>
      </c>
      <c r="C21" s="154" t="s">
        <v>189</v>
      </c>
      <c r="D21" s="155" t="s">
        <v>233</v>
      </c>
      <c r="E21" s="155"/>
      <c r="F21" s="155" t="s">
        <v>217</v>
      </c>
      <c r="G21" s="164">
        <v>41477</v>
      </c>
      <c r="H21" s="156" t="s">
        <v>193</v>
      </c>
      <c r="I21" s="156" t="s">
        <v>199</v>
      </c>
      <c r="J21" s="156"/>
      <c r="K21" s="155" t="s">
        <v>200</v>
      </c>
      <c r="L21" s="159" t="s">
        <v>222</v>
      </c>
      <c r="M21" s="155">
        <v>99.86</v>
      </c>
      <c r="N21" s="155">
        <v>27.5</v>
      </c>
      <c r="O21" s="155" t="s">
        <v>201</v>
      </c>
      <c r="P21" s="155">
        <v>1000</v>
      </c>
      <c r="Q21" s="155">
        <v>26.76</v>
      </c>
      <c r="R21" s="157">
        <v>1750</v>
      </c>
      <c r="S21" s="155">
        <v>25.79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9.61</v>
      </c>
      <c r="AF21" s="155"/>
      <c r="AG21" s="155"/>
      <c r="AH21" s="155"/>
      <c r="AI21" s="155"/>
      <c r="AJ21" s="155"/>
      <c r="AK21" s="155"/>
      <c r="AL21" s="155" t="s">
        <v>218</v>
      </c>
      <c r="AM21" s="156" t="s">
        <v>197</v>
      </c>
      <c r="AN21" s="156"/>
      <c r="AO21" s="156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3227</v>
      </c>
      <c r="B22" s="194">
        <v>41478</v>
      </c>
      <c r="C22" s="154" t="s">
        <v>189</v>
      </c>
      <c r="D22" s="155" t="s">
        <v>233</v>
      </c>
      <c r="E22" s="155"/>
      <c r="F22" s="155" t="s">
        <v>217</v>
      </c>
      <c r="G22" s="153">
        <v>41455</v>
      </c>
      <c r="H22" s="156" t="s">
        <v>193</v>
      </c>
      <c r="I22" s="156" t="s">
        <v>199</v>
      </c>
      <c r="J22" s="156"/>
      <c r="K22" s="155" t="s">
        <v>203</v>
      </c>
      <c r="L22" s="159" t="s">
        <v>222</v>
      </c>
      <c r="M22" s="159">
        <v>92</v>
      </c>
      <c r="N22" s="159">
        <v>37.700000000000003</v>
      </c>
      <c r="O22" s="155"/>
      <c r="P22" s="159"/>
      <c r="Q22" s="155"/>
      <c r="R22" s="163"/>
      <c r="S22" s="159"/>
      <c r="T22" s="159"/>
      <c r="U22" s="159"/>
      <c r="V22" s="159"/>
      <c r="W22" s="155"/>
      <c r="X22" s="159"/>
      <c r="Y22" s="159"/>
      <c r="Z22" s="159"/>
      <c r="AA22" s="159"/>
      <c r="AB22" s="159"/>
      <c r="AC22" s="159"/>
      <c r="AD22" s="159"/>
      <c r="AE22" s="155">
        <v>23.6</v>
      </c>
      <c r="AF22" s="159"/>
      <c r="AG22" s="159"/>
      <c r="AH22" s="155"/>
      <c r="AI22" s="155"/>
      <c r="AJ22" s="155"/>
      <c r="AK22" s="159"/>
      <c r="AL22" s="155" t="s">
        <v>218</v>
      </c>
      <c r="AM22" s="156" t="s">
        <v>197</v>
      </c>
      <c r="AN22" s="156"/>
      <c r="AO22" s="156"/>
    </row>
    <row r="23" spans="1:94" x14ac:dyDescent="0.3">
      <c r="A23" s="152">
        <v>1474</v>
      </c>
      <c r="B23" s="194">
        <v>41478</v>
      </c>
      <c r="C23" s="154" t="s">
        <v>189</v>
      </c>
      <c r="D23" s="155" t="s">
        <v>233</v>
      </c>
      <c r="E23" s="155"/>
      <c r="F23" s="155" t="s">
        <v>217</v>
      </c>
      <c r="G23" s="153">
        <v>41419</v>
      </c>
      <c r="H23" s="156" t="s">
        <v>192</v>
      </c>
      <c r="I23" s="156" t="s">
        <v>193</v>
      </c>
      <c r="J23" s="156"/>
      <c r="K23" s="159" t="s">
        <v>204</v>
      </c>
      <c r="L23" s="159" t="s">
        <v>222</v>
      </c>
      <c r="M23" s="159">
        <v>96.51</v>
      </c>
      <c r="N23" s="159">
        <v>29.87</v>
      </c>
      <c r="O23" s="155" t="s">
        <v>201</v>
      </c>
      <c r="P23" s="159">
        <v>1750</v>
      </c>
      <c r="Q23" s="159">
        <v>29.21</v>
      </c>
      <c r="R23" s="193">
        <v>1750</v>
      </c>
      <c r="S23" s="193">
        <v>29.21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12.87</v>
      </c>
      <c r="AF23" s="159"/>
      <c r="AG23" s="159"/>
      <c r="AH23" s="159"/>
      <c r="AI23" s="159"/>
      <c r="AJ23" s="159"/>
      <c r="AK23" s="159"/>
      <c r="AL23" s="155" t="s">
        <v>218</v>
      </c>
      <c r="AM23" s="156" t="s">
        <v>197</v>
      </c>
      <c r="AN23" s="162"/>
      <c r="AO23" s="162"/>
    </row>
    <row r="24" spans="1:94" x14ac:dyDescent="0.3">
      <c r="A24" s="152">
        <v>4655</v>
      </c>
      <c r="B24" s="194">
        <v>41478</v>
      </c>
      <c r="C24" s="154" t="s">
        <v>189</v>
      </c>
      <c r="D24" s="155" t="s">
        <v>233</v>
      </c>
      <c r="E24" s="155"/>
      <c r="F24" s="155" t="s">
        <v>217</v>
      </c>
      <c r="G24" s="153">
        <v>41455</v>
      </c>
      <c r="H24" s="156" t="s">
        <v>192</v>
      </c>
      <c r="I24" s="156" t="s">
        <v>193</v>
      </c>
      <c r="J24" s="156"/>
      <c r="K24" s="159" t="s">
        <v>205</v>
      </c>
      <c r="L24" s="159" t="s">
        <v>222</v>
      </c>
      <c r="M24" s="159">
        <v>90</v>
      </c>
      <c r="N24" s="159">
        <v>29.2</v>
      </c>
      <c r="O24" s="155"/>
      <c r="P24" s="159"/>
      <c r="Q24" s="159"/>
      <c r="R24" s="163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17.399999999999999</v>
      </c>
      <c r="AF24" s="159"/>
      <c r="AG24" s="159"/>
      <c r="AH24" s="159"/>
      <c r="AI24" s="159"/>
      <c r="AJ24" s="159"/>
      <c r="AK24" s="159"/>
      <c r="AL24" s="155" t="s">
        <v>218</v>
      </c>
      <c r="AM24" s="162" t="s">
        <v>197</v>
      </c>
      <c r="AN24" s="162"/>
      <c r="AO24" s="162"/>
    </row>
    <row r="25" spans="1:94" x14ac:dyDescent="0.3">
      <c r="A25" s="152">
        <v>1446</v>
      </c>
      <c r="B25" s="194">
        <v>41478</v>
      </c>
      <c r="C25" s="154" t="s">
        <v>189</v>
      </c>
      <c r="D25" s="155" t="s">
        <v>233</v>
      </c>
      <c r="E25" s="155"/>
      <c r="F25" s="155" t="s">
        <v>217</v>
      </c>
      <c r="G25" s="164">
        <v>41455</v>
      </c>
      <c r="H25" s="156" t="s">
        <v>192</v>
      </c>
      <c r="I25" s="156" t="s">
        <v>193</v>
      </c>
      <c r="J25" s="156"/>
      <c r="K25" s="155" t="s">
        <v>206</v>
      </c>
      <c r="L25" s="159" t="s">
        <v>222</v>
      </c>
      <c r="M25" s="159">
        <v>98.5</v>
      </c>
      <c r="N25" s="159">
        <v>25.66</v>
      </c>
      <c r="O25" s="155" t="s">
        <v>201</v>
      </c>
      <c r="P25" s="159">
        <v>300</v>
      </c>
      <c r="Q25" s="159">
        <v>26.98</v>
      </c>
      <c r="R25" s="163">
        <v>1020</v>
      </c>
      <c r="S25" s="159">
        <v>28.49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12.75</v>
      </c>
      <c r="AF25" s="159"/>
      <c r="AG25" s="159"/>
      <c r="AH25" s="159"/>
      <c r="AI25" s="159"/>
      <c r="AJ25" s="159"/>
      <c r="AK25" s="159"/>
      <c r="AL25" s="155" t="s">
        <v>218</v>
      </c>
      <c r="AM25" s="156" t="s">
        <v>197</v>
      </c>
      <c r="AN25" s="162"/>
      <c r="AO25" s="162"/>
    </row>
    <row r="26" spans="1:94" x14ac:dyDescent="0.3">
      <c r="A26" s="152">
        <v>1486</v>
      </c>
      <c r="B26" s="194">
        <v>41478</v>
      </c>
      <c r="C26" s="154" t="s">
        <v>189</v>
      </c>
      <c r="D26" s="155" t="s">
        <v>233</v>
      </c>
      <c r="E26" s="155"/>
      <c r="F26" s="155" t="s">
        <v>217</v>
      </c>
      <c r="G26" s="153">
        <v>41419</v>
      </c>
      <c r="H26" s="156" t="s">
        <v>192</v>
      </c>
      <c r="I26" s="156" t="s">
        <v>193</v>
      </c>
      <c r="J26" s="156"/>
      <c r="K26" s="159" t="s">
        <v>207</v>
      </c>
      <c r="L26" s="159" t="s">
        <v>222</v>
      </c>
      <c r="M26" s="159">
        <v>95.93</v>
      </c>
      <c r="N26" s="159">
        <v>28.78</v>
      </c>
      <c r="O26" s="155" t="s">
        <v>201</v>
      </c>
      <c r="P26" s="159">
        <v>1750</v>
      </c>
      <c r="Q26" s="159">
        <v>27.84</v>
      </c>
      <c r="R26" s="193">
        <v>1750</v>
      </c>
      <c r="S26" s="193">
        <v>27.84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12.65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1256</v>
      </c>
      <c r="B27" s="194">
        <v>41478</v>
      </c>
      <c r="C27" s="154" t="s">
        <v>189</v>
      </c>
      <c r="D27" s="155" t="s">
        <v>233</v>
      </c>
      <c r="E27" s="155"/>
      <c r="F27" s="155" t="s">
        <v>217</v>
      </c>
      <c r="G27" s="153">
        <v>41467</v>
      </c>
      <c r="H27" s="156" t="s">
        <v>192</v>
      </c>
      <c r="I27" s="156" t="s">
        <v>193</v>
      </c>
      <c r="J27" s="156"/>
      <c r="K27" s="155" t="s">
        <v>208</v>
      </c>
      <c r="L27" s="159" t="s">
        <v>222</v>
      </c>
      <c r="M27" s="159">
        <v>91.8</v>
      </c>
      <c r="N27" s="159">
        <v>29.78</v>
      </c>
      <c r="O27" s="155"/>
      <c r="P27" s="159"/>
      <c r="Q27" s="155"/>
      <c r="R27" s="159"/>
      <c r="S27" s="155"/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11.98</v>
      </c>
      <c r="AF27" s="159"/>
      <c r="AG27" s="159"/>
      <c r="AH27" s="155"/>
      <c r="AI27" s="155"/>
      <c r="AJ27" s="155"/>
      <c r="AK27" s="159"/>
      <c r="AL27" s="155" t="s">
        <v>218</v>
      </c>
      <c r="AM27" s="156" t="s">
        <v>197</v>
      </c>
      <c r="AN27" s="156"/>
      <c r="AO27" s="156"/>
    </row>
    <row r="28" spans="1:94" x14ac:dyDescent="0.3">
      <c r="A28" s="152">
        <v>3104</v>
      </c>
      <c r="B28" s="194">
        <v>41478</v>
      </c>
      <c r="C28" s="154" t="s">
        <v>189</v>
      </c>
      <c r="D28" s="155" t="s">
        <v>233</v>
      </c>
      <c r="E28" s="155"/>
      <c r="F28" s="155" t="s">
        <v>217</v>
      </c>
      <c r="G28" s="153">
        <v>41468</v>
      </c>
      <c r="H28" s="156" t="s">
        <v>192</v>
      </c>
      <c r="I28" s="156" t="s">
        <v>193</v>
      </c>
      <c r="J28" s="156"/>
      <c r="K28" s="159" t="s">
        <v>209</v>
      </c>
      <c r="L28" s="159" t="s">
        <v>222</v>
      </c>
      <c r="M28" s="159">
        <v>192.17</v>
      </c>
      <c r="N28" s="159">
        <v>24.24</v>
      </c>
      <c r="O28" s="155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11.6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1424</v>
      </c>
      <c r="B29" s="194">
        <v>41478</v>
      </c>
      <c r="C29" s="154" t="s">
        <v>189</v>
      </c>
      <c r="D29" s="155" t="s">
        <v>233</v>
      </c>
      <c r="E29" s="155"/>
      <c r="F29" s="155" t="s">
        <v>217</v>
      </c>
      <c r="G29" s="153">
        <v>40738</v>
      </c>
      <c r="H29" s="156" t="s">
        <v>192</v>
      </c>
      <c r="I29" s="156" t="s">
        <v>193</v>
      </c>
      <c r="J29" s="156"/>
      <c r="K29" s="159" t="s">
        <v>210</v>
      </c>
      <c r="L29" s="159" t="s">
        <v>222</v>
      </c>
      <c r="M29" s="159">
        <v>89.56</v>
      </c>
      <c r="N29" s="159">
        <v>28.86</v>
      </c>
      <c r="O29" s="155" t="s">
        <v>201</v>
      </c>
      <c r="P29" s="159">
        <v>600</v>
      </c>
      <c r="Q29" s="159">
        <v>28.28</v>
      </c>
      <c r="R29" s="193">
        <v>600</v>
      </c>
      <c r="S29" s="193">
        <v>28.28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11.94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2268</v>
      </c>
      <c r="B30" s="194">
        <v>41478</v>
      </c>
      <c r="C30" s="154" t="s">
        <v>223</v>
      </c>
      <c r="D30" s="155" t="s">
        <v>234</v>
      </c>
      <c r="E30" s="155"/>
      <c r="F30" s="155" t="s">
        <v>229</v>
      </c>
      <c r="G30" s="153">
        <v>41455</v>
      </c>
      <c r="H30" s="156" t="s">
        <v>226</v>
      </c>
      <c r="I30" s="156" t="s">
        <v>227</v>
      </c>
      <c r="J30" s="156"/>
      <c r="K30" s="155" t="s">
        <v>228</v>
      </c>
      <c r="L30" s="159" t="s">
        <v>222</v>
      </c>
      <c r="M30" s="155">
        <v>89.12</v>
      </c>
      <c r="N30" s="155">
        <v>27.09</v>
      </c>
      <c r="O30" s="155"/>
      <c r="P30" s="155"/>
      <c r="Q30" s="155"/>
      <c r="R30" s="163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10.45</v>
      </c>
      <c r="AF30" s="155"/>
      <c r="AG30" s="155"/>
      <c r="AH30" s="155"/>
      <c r="AI30" s="155"/>
      <c r="AJ30" s="155"/>
      <c r="AK30" s="155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3751</v>
      </c>
      <c r="B31" s="194">
        <v>41478</v>
      </c>
      <c r="C31" s="154" t="s">
        <v>189</v>
      </c>
      <c r="D31" s="155" t="s">
        <v>233</v>
      </c>
      <c r="E31" s="155"/>
      <c r="F31" s="155" t="s">
        <v>217</v>
      </c>
      <c r="G31" s="153">
        <v>41455</v>
      </c>
      <c r="H31" s="156" t="s">
        <v>192</v>
      </c>
      <c r="I31" s="156" t="s">
        <v>193</v>
      </c>
      <c r="J31" s="156"/>
      <c r="K31" s="155" t="s">
        <v>212</v>
      </c>
      <c r="L31" s="159" t="s">
        <v>222</v>
      </c>
      <c r="M31" s="159">
        <v>90</v>
      </c>
      <c r="N31" s="159">
        <v>29</v>
      </c>
      <c r="O31" s="155"/>
      <c r="P31" s="159"/>
      <c r="Q31" s="155"/>
      <c r="R31" s="163"/>
      <c r="S31" s="159"/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12</v>
      </c>
      <c r="AF31" s="159"/>
      <c r="AG31" s="159"/>
      <c r="AH31" s="155"/>
      <c r="AI31" s="155"/>
      <c r="AJ31" s="155"/>
      <c r="AK31" s="159"/>
      <c r="AL31" s="155" t="s">
        <v>218</v>
      </c>
      <c r="AM31" s="156" t="s">
        <v>197</v>
      </c>
      <c r="AN31" s="156"/>
      <c r="AO31" s="156"/>
    </row>
    <row r="32" spans="1:94" x14ac:dyDescent="0.3">
      <c r="A32" s="152">
        <v>1462</v>
      </c>
      <c r="B32" s="194">
        <v>41478</v>
      </c>
      <c r="C32" s="154" t="s">
        <v>189</v>
      </c>
      <c r="D32" s="155" t="s">
        <v>233</v>
      </c>
      <c r="E32" s="155"/>
      <c r="F32" s="155" t="s">
        <v>217</v>
      </c>
      <c r="G32" s="153">
        <v>41455</v>
      </c>
      <c r="H32" s="156" t="s">
        <v>192</v>
      </c>
      <c r="I32" s="156" t="s">
        <v>193</v>
      </c>
      <c r="J32" s="156"/>
      <c r="K32" s="159" t="s">
        <v>213</v>
      </c>
      <c r="L32" s="159" t="s">
        <v>222</v>
      </c>
      <c r="M32" s="159">
        <v>100.42</v>
      </c>
      <c r="N32" s="159">
        <v>28.26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17.62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1398</v>
      </c>
      <c r="B33" s="194">
        <v>41478</v>
      </c>
      <c r="C33" s="154" t="s">
        <v>189</v>
      </c>
      <c r="D33" s="155" t="s">
        <v>233</v>
      </c>
      <c r="E33" s="155"/>
      <c r="F33" s="155" t="s">
        <v>217</v>
      </c>
      <c r="G33" s="164">
        <v>41479</v>
      </c>
      <c r="H33" s="156" t="s">
        <v>192</v>
      </c>
      <c r="I33" s="156" t="s">
        <v>193</v>
      </c>
      <c r="J33" s="156"/>
      <c r="K33" s="155" t="s">
        <v>214</v>
      </c>
      <c r="L33" s="159" t="s">
        <v>222</v>
      </c>
      <c r="M33" s="159">
        <v>85.95</v>
      </c>
      <c r="N33" s="159">
        <v>28.05</v>
      </c>
      <c r="O33" s="155" t="s">
        <v>201</v>
      </c>
      <c r="P33" s="159">
        <v>1000</v>
      </c>
      <c r="Q33" s="159">
        <v>27.34</v>
      </c>
      <c r="R33" s="157">
        <v>1750</v>
      </c>
      <c r="S33" s="159">
        <v>27.24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13.98</v>
      </c>
      <c r="AF33" s="159"/>
      <c r="AG33" s="159"/>
      <c r="AH33" s="159"/>
      <c r="AI33" s="159"/>
      <c r="AJ33" s="159"/>
      <c r="AK33" s="159"/>
      <c r="AL33" s="155" t="s">
        <v>218</v>
      </c>
      <c r="AM33" s="156" t="s">
        <v>197</v>
      </c>
      <c r="AN33" s="162"/>
      <c r="AO33" s="162"/>
    </row>
    <row r="34" spans="1:94" x14ac:dyDescent="0.3">
      <c r="A34" s="152">
        <v>3602</v>
      </c>
      <c r="B34" s="194">
        <v>41478</v>
      </c>
      <c r="C34" s="154" t="s">
        <v>189</v>
      </c>
      <c r="D34" s="155" t="s">
        <v>233</v>
      </c>
      <c r="E34" s="155"/>
      <c r="F34" s="155" t="s">
        <v>217</v>
      </c>
      <c r="G34" s="153">
        <v>41459</v>
      </c>
      <c r="H34" s="156" t="s">
        <v>192</v>
      </c>
      <c r="I34" s="156" t="s">
        <v>193</v>
      </c>
      <c r="J34" s="156"/>
      <c r="K34" s="155" t="s">
        <v>215</v>
      </c>
      <c r="L34" s="159" t="s">
        <v>222</v>
      </c>
      <c r="M34" s="155">
        <v>68.81</v>
      </c>
      <c r="N34" s="159">
        <v>24.46</v>
      </c>
      <c r="O34" s="155" t="s">
        <v>201</v>
      </c>
      <c r="P34" s="159">
        <v>1000</v>
      </c>
      <c r="Q34" s="159">
        <v>23.66</v>
      </c>
      <c r="R34" s="163">
        <v>1700</v>
      </c>
      <c r="S34" s="159">
        <v>22.18</v>
      </c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8.36</v>
      </c>
      <c r="AF34" s="159"/>
      <c r="AG34" s="159"/>
      <c r="AH34" s="159"/>
      <c r="AI34" s="155"/>
      <c r="AJ34" s="155"/>
      <c r="AK34" s="155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1500</v>
      </c>
      <c r="B35" s="194">
        <v>41478</v>
      </c>
      <c r="C35" s="154" t="s">
        <v>189</v>
      </c>
      <c r="D35" s="155" t="s">
        <v>233</v>
      </c>
      <c r="E35" s="155"/>
      <c r="F35" s="155" t="s">
        <v>217</v>
      </c>
      <c r="G35" s="153">
        <v>41455</v>
      </c>
      <c r="H35" s="156" t="s">
        <v>192</v>
      </c>
      <c r="I35" s="156" t="s">
        <v>193</v>
      </c>
      <c r="J35" s="156"/>
      <c r="K35" s="159" t="s">
        <v>216</v>
      </c>
      <c r="L35" s="159" t="s">
        <v>222</v>
      </c>
      <c r="M35" s="159">
        <v>85.813000000000002</v>
      </c>
      <c r="N35" s="159">
        <v>28.359000000000002</v>
      </c>
      <c r="O35" s="155" t="s">
        <v>201</v>
      </c>
      <c r="P35" s="159">
        <v>1750</v>
      </c>
      <c r="Q35" s="159">
        <v>31.5215</v>
      </c>
      <c r="R35" s="193">
        <v>1750</v>
      </c>
      <c r="S35" s="193">
        <v>31.5215</v>
      </c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9.89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1:94" x14ac:dyDescent="0.3">
      <c r="A36" s="152">
        <v>4139</v>
      </c>
      <c r="B36" s="194">
        <v>41478</v>
      </c>
      <c r="C36" s="154" t="s">
        <v>189</v>
      </c>
      <c r="D36" s="155" t="s">
        <v>233</v>
      </c>
      <c r="E36" s="155"/>
      <c r="F36" s="155" t="s">
        <v>219</v>
      </c>
      <c r="G36" s="164">
        <v>41374</v>
      </c>
      <c r="H36" s="156" t="s">
        <v>192</v>
      </c>
      <c r="I36" s="156" t="s">
        <v>193</v>
      </c>
      <c r="J36" s="156"/>
      <c r="K36" s="155" t="s">
        <v>194</v>
      </c>
      <c r="L36" s="159" t="s">
        <v>222</v>
      </c>
      <c r="M36" s="159">
        <v>104</v>
      </c>
      <c r="N36" s="159">
        <v>29</v>
      </c>
      <c r="O36" s="155"/>
      <c r="P36" s="159"/>
      <c r="Q36" s="159"/>
      <c r="R36" s="163"/>
      <c r="S36" s="159"/>
      <c r="T36" s="159"/>
      <c r="U36" s="159"/>
      <c r="V36" s="159"/>
      <c r="W36" s="159">
        <v>20</v>
      </c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>
        <v>24</v>
      </c>
      <c r="AI36" s="155"/>
      <c r="AJ36" s="155"/>
      <c r="AK36" s="155"/>
      <c r="AL36" s="155" t="s">
        <v>235</v>
      </c>
      <c r="AM36" s="156" t="s">
        <v>197</v>
      </c>
      <c r="AN36" s="156"/>
      <c r="AO36" s="156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1:94" x14ac:dyDescent="0.3">
      <c r="A37" s="152">
        <v>2008</v>
      </c>
      <c r="B37" s="194">
        <v>41478</v>
      </c>
      <c r="C37" s="154" t="s">
        <v>189</v>
      </c>
      <c r="D37" s="155" t="s">
        <v>233</v>
      </c>
      <c r="E37" s="155"/>
      <c r="F37" s="155" t="s">
        <v>219</v>
      </c>
      <c r="G37" s="153">
        <v>41457</v>
      </c>
      <c r="H37" s="156" t="s">
        <v>192</v>
      </c>
      <c r="I37" s="156" t="s">
        <v>193</v>
      </c>
      <c r="J37" s="156"/>
      <c r="K37" s="155" t="s">
        <v>198</v>
      </c>
      <c r="L37" s="159" t="s">
        <v>222</v>
      </c>
      <c r="M37" s="155">
        <v>89</v>
      </c>
      <c r="N37" s="155">
        <v>38</v>
      </c>
      <c r="O37" s="155"/>
      <c r="P37" s="155"/>
      <c r="Q37" s="155"/>
      <c r="R37" s="157"/>
      <c r="S37" s="155"/>
      <c r="T37" s="155"/>
      <c r="U37" s="155"/>
      <c r="V37" s="155"/>
      <c r="W37" s="155">
        <v>16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32</v>
      </c>
      <c r="AI37" s="155"/>
      <c r="AJ37" s="155"/>
      <c r="AK37" s="155"/>
      <c r="AL37" s="155" t="s">
        <v>235</v>
      </c>
      <c r="AM37" s="156" t="s">
        <v>197</v>
      </c>
      <c r="AN37" s="156"/>
      <c r="AO37" s="156"/>
    </row>
    <row r="38" spans="1:94" x14ac:dyDescent="0.3">
      <c r="A38" s="152">
        <v>2562</v>
      </c>
      <c r="B38" s="194">
        <v>41478</v>
      </c>
      <c r="C38" s="154" t="s">
        <v>189</v>
      </c>
      <c r="D38" s="155" t="s">
        <v>233</v>
      </c>
      <c r="E38" s="155"/>
      <c r="F38" s="155" t="s">
        <v>219</v>
      </c>
      <c r="G38" s="164">
        <v>41477</v>
      </c>
      <c r="H38" s="156" t="s">
        <v>193</v>
      </c>
      <c r="I38" s="156" t="s">
        <v>199</v>
      </c>
      <c r="J38" s="156"/>
      <c r="K38" s="155" t="s">
        <v>200</v>
      </c>
      <c r="L38" s="159" t="s">
        <v>222</v>
      </c>
      <c r="M38" s="155">
        <v>123.14</v>
      </c>
      <c r="N38" s="155">
        <v>37.700000000000003</v>
      </c>
      <c r="O38" s="155"/>
      <c r="P38" s="155"/>
      <c r="Q38" s="155"/>
      <c r="R38" s="157"/>
      <c r="S38" s="155"/>
      <c r="T38" s="155"/>
      <c r="U38" s="155"/>
      <c r="V38" s="155"/>
      <c r="W38" s="155">
        <v>15.7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30.82</v>
      </c>
      <c r="AI38" s="155"/>
      <c r="AJ38" s="155"/>
      <c r="AK38" s="155"/>
      <c r="AL38" s="155" t="s">
        <v>235</v>
      </c>
      <c r="AM38" s="156" t="s">
        <v>197</v>
      </c>
      <c r="AN38" s="156"/>
      <c r="AO38" s="156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>
        <v>3229</v>
      </c>
      <c r="B39" s="194">
        <v>41478</v>
      </c>
      <c r="C39" s="154" t="s">
        <v>189</v>
      </c>
      <c r="D39" s="155" t="s">
        <v>233</v>
      </c>
      <c r="E39" s="155"/>
      <c r="F39" s="155" t="s">
        <v>219</v>
      </c>
      <c r="G39" s="153">
        <v>41455</v>
      </c>
      <c r="H39" s="156" t="s">
        <v>193</v>
      </c>
      <c r="I39" s="156" t="s">
        <v>199</v>
      </c>
      <c r="J39" s="156"/>
      <c r="K39" s="155" t="s">
        <v>203</v>
      </c>
      <c r="L39" s="159" t="s">
        <v>222</v>
      </c>
      <c r="M39" s="159">
        <v>94</v>
      </c>
      <c r="N39" s="159">
        <v>46.5</v>
      </c>
      <c r="O39" s="155"/>
      <c r="P39" s="159"/>
      <c r="Q39" s="155"/>
      <c r="R39" s="163"/>
      <c r="S39" s="159"/>
      <c r="T39" s="159"/>
      <c r="U39" s="159"/>
      <c r="V39" s="159"/>
      <c r="W39" s="155">
        <v>32</v>
      </c>
      <c r="X39" s="159"/>
      <c r="Y39" s="159"/>
      <c r="Z39" s="159"/>
      <c r="AA39" s="159"/>
      <c r="AB39" s="159"/>
      <c r="AC39" s="159"/>
      <c r="AD39" s="159"/>
      <c r="AE39" s="155"/>
      <c r="AF39" s="159"/>
      <c r="AG39" s="159"/>
      <c r="AH39" s="155">
        <v>40.1</v>
      </c>
      <c r="AI39" s="155"/>
      <c r="AJ39" s="155"/>
      <c r="AK39" s="159"/>
      <c r="AL39" s="155" t="s">
        <v>235</v>
      </c>
      <c r="AM39" s="156" t="s">
        <v>197</v>
      </c>
      <c r="AN39" s="156"/>
      <c r="AO39" s="156"/>
    </row>
    <row r="40" spans="1:94" x14ac:dyDescent="0.3">
      <c r="A40" s="152">
        <v>1476</v>
      </c>
      <c r="B40" s="194">
        <v>41478</v>
      </c>
      <c r="C40" s="154" t="s">
        <v>189</v>
      </c>
      <c r="D40" s="155" t="s">
        <v>233</v>
      </c>
      <c r="E40" s="155"/>
      <c r="F40" s="155" t="s">
        <v>219</v>
      </c>
      <c r="G40" s="153">
        <v>41419</v>
      </c>
      <c r="H40" s="156" t="s">
        <v>192</v>
      </c>
      <c r="I40" s="156" t="s">
        <v>193</v>
      </c>
      <c r="J40" s="156"/>
      <c r="K40" s="159" t="s">
        <v>204</v>
      </c>
      <c r="L40" s="159" t="s">
        <v>222</v>
      </c>
      <c r="M40" s="159">
        <v>112.97</v>
      </c>
      <c r="N40" s="159">
        <v>42.38</v>
      </c>
      <c r="O40" s="159"/>
      <c r="P40" s="159"/>
      <c r="Q40" s="159"/>
      <c r="R40" s="163"/>
      <c r="S40" s="159"/>
      <c r="T40" s="159"/>
      <c r="U40" s="159"/>
      <c r="V40" s="159"/>
      <c r="W40" s="159">
        <v>16.07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32.36</v>
      </c>
      <c r="AI40" s="159"/>
      <c r="AJ40" s="159"/>
      <c r="AK40" s="159"/>
      <c r="AL40" s="155" t="s">
        <v>235</v>
      </c>
      <c r="AM40" s="156" t="s">
        <v>197</v>
      </c>
      <c r="AN40" s="162"/>
      <c r="AO40" s="162"/>
    </row>
    <row r="41" spans="1:94" x14ac:dyDescent="0.3">
      <c r="A41" s="152">
        <v>4657</v>
      </c>
      <c r="B41" s="194">
        <v>41478</v>
      </c>
      <c r="C41" s="154" t="s">
        <v>189</v>
      </c>
      <c r="D41" s="155" t="s">
        <v>233</v>
      </c>
      <c r="E41" s="155"/>
      <c r="F41" s="155" t="s">
        <v>219</v>
      </c>
      <c r="G41" s="153">
        <v>41455</v>
      </c>
      <c r="H41" s="156" t="s">
        <v>192</v>
      </c>
      <c r="I41" s="156" t="s">
        <v>193</v>
      </c>
      <c r="J41" s="156"/>
      <c r="K41" s="159" t="s">
        <v>205</v>
      </c>
      <c r="L41" s="159" t="s">
        <v>222</v>
      </c>
      <c r="M41" s="159">
        <v>90</v>
      </c>
      <c r="N41" s="159">
        <v>38</v>
      </c>
      <c r="O41" s="155"/>
      <c r="P41" s="159"/>
      <c r="Q41" s="159"/>
      <c r="R41" s="163"/>
      <c r="S41" s="159"/>
      <c r="T41" s="159"/>
      <c r="U41" s="159"/>
      <c r="V41" s="159"/>
      <c r="W41" s="159">
        <v>21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31</v>
      </c>
      <c r="AI41" s="159"/>
      <c r="AJ41" s="159"/>
      <c r="AK41" s="159"/>
      <c r="AL41" s="155" t="s">
        <v>235</v>
      </c>
      <c r="AM41" s="162" t="s">
        <v>197</v>
      </c>
      <c r="AN41" s="162"/>
      <c r="AO41" s="162"/>
    </row>
    <row r="42" spans="1:94" x14ac:dyDescent="0.3">
      <c r="A42" s="152">
        <v>1448</v>
      </c>
      <c r="B42" s="194">
        <v>41478</v>
      </c>
      <c r="C42" s="154" t="s">
        <v>189</v>
      </c>
      <c r="D42" s="155" t="s">
        <v>233</v>
      </c>
      <c r="E42" s="155"/>
      <c r="F42" s="155" t="s">
        <v>219</v>
      </c>
      <c r="G42" s="164">
        <v>41455</v>
      </c>
      <c r="H42" s="156" t="s">
        <v>192</v>
      </c>
      <c r="I42" s="156" t="s">
        <v>193</v>
      </c>
      <c r="J42" s="156"/>
      <c r="K42" s="155" t="s">
        <v>206</v>
      </c>
      <c r="L42" s="159" t="s">
        <v>222</v>
      </c>
      <c r="M42" s="159">
        <v>104.95</v>
      </c>
      <c r="N42" s="159">
        <v>34.9</v>
      </c>
      <c r="O42" s="159" t="s">
        <v>201</v>
      </c>
      <c r="P42" s="159">
        <v>1020</v>
      </c>
      <c r="Q42" s="159">
        <v>37.869999999999997</v>
      </c>
      <c r="R42" s="163"/>
      <c r="S42" s="159"/>
      <c r="T42" s="159"/>
      <c r="U42" s="159"/>
      <c r="V42" s="159"/>
      <c r="W42" s="159">
        <v>17.899999999999999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27.97</v>
      </c>
      <c r="AI42" s="159"/>
      <c r="AJ42" s="159"/>
      <c r="AK42" s="159"/>
      <c r="AL42" s="155" t="s">
        <v>235</v>
      </c>
      <c r="AM42" s="156" t="s">
        <v>197</v>
      </c>
      <c r="AN42" s="162"/>
      <c r="AO42" s="162"/>
    </row>
    <row r="43" spans="1:94" x14ac:dyDescent="0.3">
      <c r="A43" s="152">
        <v>1488</v>
      </c>
      <c r="B43" s="194">
        <v>41478</v>
      </c>
      <c r="C43" s="154" t="s">
        <v>189</v>
      </c>
      <c r="D43" s="155" t="s">
        <v>233</v>
      </c>
      <c r="E43" s="155"/>
      <c r="F43" s="155" t="s">
        <v>219</v>
      </c>
      <c r="G43" s="153">
        <v>41419</v>
      </c>
      <c r="H43" s="156" t="s">
        <v>192</v>
      </c>
      <c r="I43" s="156" t="s">
        <v>193</v>
      </c>
      <c r="J43" s="156"/>
      <c r="K43" s="159" t="s">
        <v>207</v>
      </c>
      <c r="L43" s="159" t="s">
        <v>222</v>
      </c>
      <c r="M43" s="159">
        <v>111.87</v>
      </c>
      <c r="N43" s="159">
        <v>40.880000000000003</v>
      </c>
      <c r="O43" s="159"/>
      <c r="P43" s="159"/>
      <c r="Q43" s="159"/>
      <c r="R43" s="163"/>
      <c r="S43" s="159"/>
      <c r="T43" s="159"/>
      <c r="U43" s="159"/>
      <c r="V43" s="159"/>
      <c r="W43" s="159">
        <v>15.68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29.47</v>
      </c>
      <c r="AI43" s="159"/>
      <c r="AJ43" s="159"/>
      <c r="AK43" s="159"/>
      <c r="AL43" s="155" t="s">
        <v>235</v>
      </c>
      <c r="AM43" s="156" t="s">
        <v>197</v>
      </c>
      <c r="AN43" s="162"/>
      <c r="AO43" s="162"/>
    </row>
    <row r="44" spans="1:94" x14ac:dyDescent="0.3">
      <c r="A44" s="152">
        <v>1258</v>
      </c>
      <c r="B44" s="194">
        <v>41478</v>
      </c>
      <c r="C44" s="154" t="s">
        <v>189</v>
      </c>
      <c r="D44" s="155" t="s">
        <v>233</v>
      </c>
      <c r="E44" s="155"/>
      <c r="F44" s="155" t="s">
        <v>219</v>
      </c>
      <c r="G44" s="153">
        <v>41467</v>
      </c>
      <c r="H44" s="156" t="s">
        <v>192</v>
      </c>
      <c r="I44" s="156" t="s">
        <v>193</v>
      </c>
      <c r="J44" s="156"/>
      <c r="K44" s="155" t="s">
        <v>208</v>
      </c>
      <c r="L44" s="159" t="s">
        <v>222</v>
      </c>
      <c r="M44" s="159">
        <v>97.2</v>
      </c>
      <c r="N44" s="159">
        <v>42.05</v>
      </c>
      <c r="O44" s="159"/>
      <c r="P44" s="159"/>
      <c r="Q44" s="155"/>
      <c r="R44" s="163"/>
      <c r="S44" s="159"/>
      <c r="T44" s="159"/>
      <c r="U44" s="159"/>
      <c r="V44" s="159"/>
      <c r="W44" s="155">
        <v>17.75</v>
      </c>
      <c r="X44" s="159"/>
      <c r="Y44" s="159"/>
      <c r="Z44" s="159"/>
      <c r="AA44" s="159"/>
      <c r="AB44" s="159"/>
      <c r="AC44" s="159"/>
      <c r="AD44" s="159"/>
      <c r="AE44" s="155"/>
      <c r="AF44" s="159"/>
      <c r="AG44" s="159"/>
      <c r="AH44" s="155">
        <v>32.28</v>
      </c>
      <c r="AI44" s="155"/>
      <c r="AJ44" s="155"/>
      <c r="AK44" s="159"/>
      <c r="AL44" s="155" t="s">
        <v>235</v>
      </c>
      <c r="AM44" s="156" t="s">
        <v>197</v>
      </c>
      <c r="AN44" s="156"/>
      <c r="AO44" s="156"/>
    </row>
    <row r="45" spans="1:94" x14ac:dyDescent="0.3">
      <c r="A45" s="152">
        <v>3106</v>
      </c>
      <c r="B45" s="194">
        <v>41478</v>
      </c>
      <c r="C45" s="154" t="s">
        <v>189</v>
      </c>
      <c r="D45" s="155" t="s">
        <v>233</v>
      </c>
      <c r="E45" s="155"/>
      <c r="F45" s="155" t="s">
        <v>219</v>
      </c>
      <c r="G45" s="153">
        <v>41468</v>
      </c>
      <c r="H45" s="156" t="s">
        <v>192</v>
      </c>
      <c r="I45" s="156" t="s">
        <v>193</v>
      </c>
      <c r="J45" s="156"/>
      <c r="K45" s="159" t="s">
        <v>209</v>
      </c>
      <c r="L45" s="159" t="s">
        <v>222</v>
      </c>
      <c r="M45" s="159">
        <v>197.64</v>
      </c>
      <c r="N45" s="159">
        <v>34.08</v>
      </c>
      <c r="O45" s="155"/>
      <c r="P45" s="159"/>
      <c r="Q45" s="159"/>
      <c r="R45" s="163"/>
      <c r="S45" s="159"/>
      <c r="T45" s="159"/>
      <c r="U45" s="159"/>
      <c r="V45" s="159"/>
      <c r="W45" s="159">
        <v>16.63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>
        <v>25.5</v>
      </c>
      <c r="AI45" s="159"/>
      <c r="AJ45" s="159"/>
      <c r="AK45" s="159"/>
      <c r="AL45" s="155" t="s">
        <v>235</v>
      </c>
      <c r="AM45" s="156" t="s">
        <v>197</v>
      </c>
      <c r="AN45" s="162"/>
      <c r="AO45" s="162"/>
    </row>
    <row r="46" spans="1:94" x14ac:dyDescent="0.3">
      <c r="A46" s="152">
        <v>1426</v>
      </c>
      <c r="B46" s="194">
        <v>41478</v>
      </c>
      <c r="C46" s="154" t="s">
        <v>189</v>
      </c>
      <c r="D46" s="155" t="s">
        <v>233</v>
      </c>
      <c r="E46" s="155"/>
      <c r="F46" s="155" t="s">
        <v>219</v>
      </c>
      <c r="G46" s="153">
        <v>40738</v>
      </c>
      <c r="H46" s="156" t="s">
        <v>192</v>
      </c>
      <c r="I46" s="156" t="s">
        <v>193</v>
      </c>
      <c r="J46" s="156"/>
      <c r="K46" s="159" t="s">
        <v>210</v>
      </c>
      <c r="L46" s="159" t="s">
        <v>222</v>
      </c>
      <c r="M46" s="159">
        <v>99.26</v>
      </c>
      <c r="N46" s="159">
        <v>41.97</v>
      </c>
      <c r="O46" s="155" t="s">
        <v>201</v>
      </c>
      <c r="P46" s="159">
        <v>600</v>
      </c>
      <c r="Q46" s="159">
        <v>41.13</v>
      </c>
      <c r="R46" s="163"/>
      <c r="S46" s="159"/>
      <c r="T46" s="159"/>
      <c r="U46" s="159"/>
      <c r="V46" s="159"/>
      <c r="W46" s="159">
        <v>17.79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33.32</v>
      </c>
      <c r="AI46" s="159"/>
      <c r="AJ46" s="159"/>
      <c r="AK46" s="159"/>
      <c r="AL46" s="155" t="s">
        <v>235</v>
      </c>
      <c r="AM46" s="156" t="s">
        <v>197</v>
      </c>
      <c r="AN46" s="162"/>
      <c r="AO46" s="162"/>
    </row>
    <row r="47" spans="1:94" x14ac:dyDescent="0.3">
      <c r="A47" s="152">
        <v>2270</v>
      </c>
      <c r="B47" s="194">
        <v>41478</v>
      </c>
      <c r="C47" s="154" t="s">
        <v>223</v>
      </c>
      <c r="D47" s="155" t="s">
        <v>234</v>
      </c>
      <c r="E47" s="155"/>
      <c r="F47" s="155" t="s">
        <v>232</v>
      </c>
      <c r="G47" s="153">
        <v>41455</v>
      </c>
      <c r="H47" s="156" t="s">
        <v>226</v>
      </c>
      <c r="I47" s="156" t="s">
        <v>227</v>
      </c>
      <c r="J47" s="156"/>
      <c r="K47" s="155" t="s">
        <v>228</v>
      </c>
      <c r="L47" s="159" t="s">
        <v>222</v>
      </c>
      <c r="M47" s="155">
        <v>99.75</v>
      </c>
      <c r="N47" s="155">
        <v>40.98</v>
      </c>
      <c r="O47" s="155"/>
      <c r="P47" s="155"/>
      <c r="Q47" s="155"/>
      <c r="R47" s="157"/>
      <c r="S47" s="155"/>
      <c r="T47" s="155"/>
      <c r="U47" s="155"/>
      <c r="V47" s="155"/>
      <c r="W47" s="155">
        <v>17.88</v>
      </c>
      <c r="X47" s="155"/>
      <c r="Y47" s="155"/>
      <c r="Z47" s="155"/>
      <c r="AA47" s="155"/>
      <c r="AB47" s="155"/>
      <c r="AC47" s="155"/>
      <c r="AD47" s="155"/>
      <c r="AE47" s="1"/>
      <c r="AF47" s="155"/>
      <c r="AG47" s="155"/>
      <c r="AH47" s="155">
        <v>33.49</v>
      </c>
      <c r="AI47" s="155"/>
      <c r="AJ47" s="155"/>
      <c r="AK47" s="155"/>
      <c r="AL47" s="155" t="s">
        <v>235</v>
      </c>
      <c r="AM47" s="156" t="s">
        <v>197</v>
      </c>
      <c r="AN47" s="156"/>
      <c r="AO47" s="156"/>
    </row>
    <row r="48" spans="1:94" x14ac:dyDescent="0.3">
      <c r="A48" s="152">
        <v>3753</v>
      </c>
      <c r="B48" s="194">
        <v>41478</v>
      </c>
      <c r="C48" s="154" t="s">
        <v>189</v>
      </c>
      <c r="D48" s="155" t="s">
        <v>233</v>
      </c>
      <c r="E48" s="155"/>
      <c r="F48" s="155" t="s">
        <v>219</v>
      </c>
      <c r="G48" s="153">
        <v>41455</v>
      </c>
      <c r="H48" s="156" t="s">
        <v>192</v>
      </c>
      <c r="I48" s="156" t="s">
        <v>193</v>
      </c>
      <c r="J48" s="156"/>
      <c r="K48" s="155" t="s">
        <v>212</v>
      </c>
      <c r="L48" s="159" t="s">
        <v>222</v>
      </c>
      <c r="M48" s="159">
        <v>89</v>
      </c>
      <c r="N48" s="159">
        <v>38</v>
      </c>
      <c r="O48" s="159"/>
      <c r="P48" s="159"/>
      <c r="Q48" s="155"/>
      <c r="R48" s="163"/>
      <c r="S48" s="159"/>
      <c r="T48" s="159"/>
      <c r="U48" s="159"/>
      <c r="V48" s="159"/>
      <c r="W48" s="155">
        <v>16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32</v>
      </c>
      <c r="AI48" s="155"/>
      <c r="AJ48" s="155"/>
      <c r="AK48" s="159"/>
      <c r="AL48" s="155" t="s">
        <v>235</v>
      </c>
      <c r="AM48" s="156" t="s">
        <v>197</v>
      </c>
      <c r="AN48" s="156"/>
      <c r="AO48" s="156"/>
    </row>
    <row r="49" spans="1:94" x14ac:dyDescent="0.3">
      <c r="A49" s="152">
        <v>1464</v>
      </c>
      <c r="B49" s="194">
        <v>41478</v>
      </c>
      <c r="C49" s="154" t="s">
        <v>189</v>
      </c>
      <c r="D49" s="155" t="s">
        <v>233</v>
      </c>
      <c r="E49" s="155"/>
      <c r="F49" s="155" t="s">
        <v>219</v>
      </c>
      <c r="G49" s="153">
        <v>41455</v>
      </c>
      <c r="H49" s="156" t="s">
        <v>192</v>
      </c>
      <c r="I49" s="156" t="s">
        <v>193</v>
      </c>
      <c r="J49" s="156"/>
      <c r="K49" s="159" t="s">
        <v>213</v>
      </c>
      <c r="L49" s="159" t="s">
        <v>222</v>
      </c>
      <c r="M49" s="159">
        <v>108.25</v>
      </c>
      <c r="N49" s="159">
        <v>34.770000000000003</v>
      </c>
      <c r="O49" s="159"/>
      <c r="P49" s="159"/>
      <c r="Q49" s="159"/>
      <c r="R49" s="163"/>
      <c r="S49" s="159"/>
      <c r="T49" s="159"/>
      <c r="U49" s="159"/>
      <c r="V49" s="159"/>
      <c r="W49" s="159">
        <v>24.35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29.55</v>
      </c>
      <c r="AI49" s="159"/>
      <c r="AJ49" s="159"/>
      <c r="AK49" s="159"/>
      <c r="AL49" s="155" t="s">
        <v>235</v>
      </c>
      <c r="AM49" s="156" t="s">
        <v>197</v>
      </c>
      <c r="AN49" s="162"/>
      <c r="AO49" s="162"/>
    </row>
    <row r="50" spans="1:94" x14ac:dyDescent="0.3">
      <c r="A50" s="152">
        <v>1400</v>
      </c>
      <c r="B50" s="194">
        <v>41478</v>
      </c>
      <c r="C50" s="154" t="s">
        <v>189</v>
      </c>
      <c r="D50" s="155" t="s">
        <v>233</v>
      </c>
      <c r="E50" s="155"/>
      <c r="F50" s="155" t="s">
        <v>219</v>
      </c>
      <c r="G50" s="164">
        <v>41479</v>
      </c>
      <c r="H50" s="156" t="s">
        <v>192</v>
      </c>
      <c r="I50" s="156" t="s">
        <v>193</v>
      </c>
      <c r="J50" s="156"/>
      <c r="K50" s="155" t="s">
        <v>214</v>
      </c>
      <c r="L50" s="159" t="s">
        <v>222</v>
      </c>
      <c r="M50" s="159">
        <v>93.84</v>
      </c>
      <c r="N50" s="159">
        <v>36.72</v>
      </c>
      <c r="O50" s="159"/>
      <c r="P50" s="159"/>
      <c r="Q50" s="159"/>
      <c r="R50" s="163"/>
      <c r="S50" s="159"/>
      <c r="T50" s="159"/>
      <c r="U50" s="159"/>
      <c r="V50" s="159"/>
      <c r="W50" s="159">
        <v>17.649999999999999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30.71</v>
      </c>
      <c r="AI50" s="159"/>
      <c r="AJ50" s="159"/>
      <c r="AK50" s="159"/>
      <c r="AL50" s="155" t="s">
        <v>235</v>
      </c>
      <c r="AM50" s="156" t="s">
        <v>197</v>
      </c>
      <c r="AN50" s="162"/>
      <c r="AO50" s="162"/>
    </row>
    <row r="51" spans="1:94" x14ac:dyDescent="0.3">
      <c r="A51" s="152">
        <v>3604</v>
      </c>
      <c r="B51" s="194">
        <v>41478</v>
      </c>
      <c r="C51" s="154" t="s">
        <v>189</v>
      </c>
      <c r="D51" s="155" t="s">
        <v>233</v>
      </c>
      <c r="E51" s="155"/>
      <c r="F51" s="155" t="s">
        <v>219</v>
      </c>
      <c r="G51" s="153">
        <v>41459</v>
      </c>
      <c r="H51" s="156" t="s">
        <v>192</v>
      </c>
      <c r="I51" s="156" t="s">
        <v>193</v>
      </c>
      <c r="J51" s="156"/>
      <c r="K51" s="155" t="s">
        <v>215</v>
      </c>
      <c r="L51" s="159" t="s">
        <v>222</v>
      </c>
      <c r="M51" s="159">
        <v>87.08</v>
      </c>
      <c r="N51" s="159">
        <v>32.159999999999997</v>
      </c>
      <c r="O51" s="155"/>
      <c r="P51" s="159"/>
      <c r="Q51" s="159"/>
      <c r="R51" s="163"/>
      <c r="S51" s="159"/>
      <c r="T51" s="159"/>
      <c r="U51" s="159"/>
      <c r="V51" s="159"/>
      <c r="W51" s="159">
        <v>15.16</v>
      </c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>
        <v>23.49</v>
      </c>
      <c r="AI51" s="155"/>
      <c r="AJ51" s="155"/>
      <c r="AK51" s="155"/>
      <c r="AL51" s="155" t="s">
        <v>235</v>
      </c>
      <c r="AM51" s="156" t="s">
        <v>197</v>
      </c>
      <c r="AN51" s="156"/>
      <c r="AO51" s="156"/>
    </row>
    <row r="52" spans="1:94" x14ac:dyDescent="0.3">
      <c r="A52" s="152">
        <v>1502</v>
      </c>
      <c r="B52" s="194">
        <v>41478</v>
      </c>
      <c r="C52" s="154" t="s">
        <v>189</v>
      </c>
      <c r="D52" s="155" t="s">
        <v>233</v>
      </c>
      <c r="E52" s="155"/>
      <c r="F52" s="155" t="s">
        <v>219</v>
      </c>
      <c r="G52" s="153">
        <v>41455</v>
      </c>
      <c r="H52" s="156" t="s">
        <v>192</v>
      </c>
      <c r="I52" s="156" t="s">
        <v>193</v>
      </c>
      <c r="J52" s="156"/>
      <c r="K52" s="159" t="s">
        <v>216</v>
      </c>
      <c r="L52" s="159" t="s">
        <v>222</v>
      </c>
      <c r="M52" s="159">
        <v>80.361999999999995</v>
      </c>
      <c r="N52" s="159">
        <v>41.1355</v>
      </c>
      <c r="O52" s="159"/>
      <c r="P52" s="159"/>
      <c r="Q52" s="159"/>
      <c r="R52" s="163"/>
      <c r="S52" s="159"/>
      <c r="T52" s="159"/>
      <c r="U52" s="159"/>
      <c r="V52" s="159"/>
      <c r="W52" s="159">
        <v>15.962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31.636500000000002</v>
      </c>
      <c r="AI52" s="159"/>
      <c r="AJ52" s="159"/>
      <c r="AK52" s="159"/>
      <c r="AL52" s="155" t="s">
        <v>235</v>
      </c>
      <c r="AM52" s="156" t="s">
        <v>197</v>
      </c>
      <c r="AN52" s="162"/>
      <c r="AO52" s="16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  <row r="53" spans="1:94" x14ac:dyDescent="0.3">
      <c r="B53" s="1"/>
    </row>
    <row r="54" spans="1:94" x14ac:dyDescent="0.3">
      <c r="B54" s="1"/>
    </row>
    <row r="55" spans="1:94" x14ac:dyDescent="0.3">
      <c r="B55" s="1"/>
    </row>
  </sheetData>
  <sheetProtection algorithmName="SHA-512" hashValue="PkYGvurIbPJiLi96i0vmdR1o6Tg0ACFXsQ+ymiBXOwAV313PljBdaOeoQ2MwYydD6SqtjPmlUAkD/tmmge4uNA==" saltValue="c99Iyre9EjHZ673H08YmIA==" spinCount="100000" sheet="1" objects="1" scenarios="1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7"/>
  <dimension ref="A1:CP52"/>
  <sheetViews>
    <sheetView topLeftCell="C1" workbookViewId="0">
      <selection activeCell="C19" sqref="A19:XFD21"/>
    </sheetView>
  </sheetViews>
  <sheetFormatPr defaultColWidth="11" defaultRowHeight="13.5" x14ac:dyDescent="0.3"/>
  <cols>
    <col min="38" max="38" width="13.6914062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2317</v>
      </c>
      <c r="B2" s="158">
        <v>41136</v>
      </c>
      <c r="C2" s="154" t="s">
        <v>236</v>
      </c>
      <c r="D2" s="155" t="s">
        <v>190</v>
      </c>
      <c r="E2" s="155"/>
      <c r="F2" s="155" t="s">
        <v>237</v>
      </c>
      <c r="G2" s="153">
        <v>41114</v>
      </c>
      <c r="H2" s="156" t="s">
        <v>197</v>
      </c>
      <c r="I2" s="156" t="s">
        <v>238</v>
      </c>
      <c r="J2" s="156"/>
      <c r="K2" s="155" t="s">
        <v>239</v>
      </c>
      <c r="L2" s="155" t="s">
        <v>195</v>
      </c>
      <c r="M2" s="155">
        <v>135.38</v>
      </c>
      <c r="N2" s="155">
        <v>27.19</v>
      </c>
      <c r="O2" s="155" t="s">
        <v>240</v>
      </c>
      <c r="P2" s="155">
        <v>1000</v>
      </c>
      <c r="Q2" s="155">
        <v>26.78</v>
      </c>
      <c r="R2" s="157">
        <v>1750</v>
      </c>
      <c r="S2" s="155">
        <v>26.38</v>
      </c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 t="s">
        <v>196</v>
      </c>
      <c r="AM2" s="156" t="s">
        <v>197</v>
      </c>
      <c r="AN2" s="156"/>
      <c r="AO2" s="156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2017</v>
      </c>
      <c r="B3" s="158">
        <v>41095</v>
      </c>
      <c r="C3" s="154" t="s">
        <v>236</v>
      </c>
      <c r="D3" s="155" t="s">
        <v>190</v>
      </c>
      <c r="E3" s="155"/>
      <c r="F3" s="155" t="s">
        <v>237</v>
      </c>
      <c r="G3" s="153">
        <v>41090</v>
      </c>
      <c r="H3" s="156" t="s">
        <v>241</v>
      </c>
      <c r="I3" s="156" t="s">
        <v>197</v>
      </c>
      <c r="J3" s="156"/>
      <c r="K3" s="155" t="s">
        <v>106</v>
      </c>
      <c r="L3" s="155" t="s">
        <v>195</v>
      </c>
      <c r="M3" s="155">
        <v>135.38</v>
      </c>
      <c r="N3" s="155">
        <v>27.19</v>
      </c>
      <c r="O3" s="155" t="s">
        <v>240</v>
      </c>
      <c r="P3" s="155">
        <v>1000</v>
      </c>
      <c r="Q3" s="155">
        <v>26.78</v>
      </c>
      <c r="R3" s="157">
        <v>1750</v>
      </c>
      <c r="S3" s="155">
        <v>26.38</v>
      </c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2563</v>
      </c>
      <c r="B4" s="158">
        <v>41137</v>
      </c>
      <c r="C4" s="154" t="s">
        <v>236</v>
      </c>
      <c r="D4" s="155" t="s">
        <v>190</v>
      </c>
      <c r="E4" s="155"/>
      <c r="F4" s="155" t="s">
        <v>237</v>
      </c>
      <c r="G4" s="153">
        <v>41121</v>
      </c>
      <c r="H4" s="156" t="s">
        <v>197</v>
      </c>
      <c r="I4" s="156" t="s">
        <v>238</v>
      </c>
      <c r="J4" s="156"/>
      <c r="K4" s="155" t="s">
        <v>242</v>
      </c>
      <c r="L4" s="155" t="s">
        <v>195</v>
      </c>
      <c r="M4" s="155">
        <v>139.31</v>
      </c>
      <c r="N4" s="155">
        <v>23.53</v>
      </c>
      <c r="O4" s="155" t="s">
        <v>240</v>
      </c>
      <c r="P4" s="155">
        <v>1000</v>
      </c>
      <c r="Q4" s="155">
        <v>23.19</v>
      </c>
      <c r="R4" s="157">
        <v>1750</v>
      </c>
      <c r="S4" s="155">
        <v>22.85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1133</v>
      </c>
      <c r="B5" s="158">
        <v>41095</v>
      </c>
      <c r="C5" s="154" t="s">
        <v>236</v>
      </c>
      <c r="D5" s="155" t="s">
        <v>190</v>
      </c>
      <c r="E5" s="155"/>
      <c r="F5" s="155" t="s">
        <v>237</v>
      </c>
      <c r="G5" s="153">
        <v>41090</v>
      </c>
      <c r="H5" s="156" t="s">
        <v>197</v>
      </c>
      <c r="I5" s="156" t="s">
        <v>238</v>
      </c>
      <c r="J5" s="156"/>
      <c r="K5" s="155" t="s">
        <v>243</v>
      </c>
      <c r="L5" s="155" t="s">
        <v>195</v>
      </c>
      <c r="M5" s="159">
        <v>146</v>
      </c>
      <c r="N5" s="159">
        <v>28.3</v>
      </c>
      <c r="O5" s="159" t="s">
        <v>240</v>
      </c>
      <c r="P5" s="159">
        <v>1000</v>
      </c>
      <c r="Q5" s="155">
        <v>27.8</v>
      </c>
      <c r="R5" s="157">
        <v>1750</v>
      </c>
      <c r="S5" s="159">
        <v>26.8</v>
      </c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1477</v>
      </c>
      <c r="B6" s="158">
        <v>41149</v>
      </c>
      <c r="C6" s="154" t="s">
        <v>236</v>
      </c>
      <c r="D6" s="155" t="s">
        <v>190</v>
      </c>
      <c r="E6" s="155"/>
      <c r="F6" s="155" t="s">
        <v>237</v>
      </c>
      <c r="G6" s="153">
        <v>41121</v>
      </c>
      <c r="H6" s="156" t="s">
        <v>241</v>
      </c>
      <c r="I6" s="156" t="s">
        <v>197</v>
      </c>
      <c r="J6" s="156"/>
      <c r="K6" s="159" t="s">
        <v>117</v>
      </c>
      <c r="L6" s="155" t="s">
        <v>195</v>
      </c>
      <c r="M6" s="159">
        <v>138.5</v>
      </c>
      <c r="N6" s="159">
        <v>27.6</v>
      </c>
      <c r="O6" s="159" t="s">
        <v>240</v>
      </c>
      <c r="P6" s="159">
        <v>1750</v>
      </c>
      <c r="Q6" s="159">
        <v>27</v>
      </c>
      <c r="R6" s="160">
        <v>1750</v>
      </c>
      <c r="S6" s="161">
        <v>27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1535</v>
      </c>
      <c r="B7" s="158">
        <v>41095</v>
      </c>
      <c r="C7" s="154" t="s">
        <v>236</v>
      </c>
      <c r="D7" s="155" t="s">
        <v>190</v>
      </c>
      <c r="E7" s="155"/>
      <c r="F7" s="155" t="s">
        <v>237</v>
      </c>
      <c r="G7" s="153">
        <v>41097</v>
      </c>
      <c r="H7" s="156" t="s">
        <v>241</v>
      </c>
      <c r="I7" s="156" t="s">
        <v>197</v>
      </c>
      <c r="J7" s="156"/>
      <c r="K7" s="159" t="s">
        <v>244</v>
      </c>
      <c r="L7" s="155" t="s">
        <v>195</v>
      </c>
      <c r="M7" s="159">
        <v>167.33</v>
      </c>
      <c r="N7" s="159">
        <v>28.53</v>
      </c>
      <c r="O7" s="159" t="s">
        <v>240</v>
      </c>
      <c r="P7" s="159">
        <v>1000</v>
      </c>
      <c r="Q7" s="159">
        <v>27.94</v>
      </c>
      <c r="R7" s="157">
        <v>1750</v>
      </c>
      <c r="S7" s="159">
        <v>27.35</v>
      </c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1451</v>
      </c>
      <c r="B8" s="158">
        <v>41136</v>
      </c>
      <c r="C8" s="154" t="s">
        <v>236</v>
      </c>
      <c r="D8" s="155" t="s">
        <v>190</v>
      </c>
      <c r="E8" s="155"/>
      <c r="F8" s="155" t="s">
        <v>237</v>
      </c>
      <c r="G8" s="153">
        <v>41121</v>
      </c>
      <c r="H8" s="156" t="s">
        <v>241</v>
      </c>
      <c r="I8" s="156" t="s">
        <v>197</v>
      </c>
      <c r="J8" s="156"/>
      <c r="K8" s="155" t="s">
        <v>245</v>
      </c>
      <c r="L8" s="155" t="s">
        <v>195</v>
      </c>
      <c r="M8" s="159">
        <v>145</v>
      </c>
      <c r="N8" s="159">
        <v>23.56</v>
      </c>
      <c r="O8" s="159" t="s">
        <v>240</v>
      </c>
      <c r="P8" s="159">
        <v>300</v>
      </c>
      <c r="Q8" s="159">
        <v>24.98</v>
      </c>
      <c r="R8" s="163">
        <v>1020</v>
      </c>
      <c r="S8" s="159">
        <v>26.26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1489</v>
      </c>
      <c r="B9" s="158">
        <v>41149</v>
      </c>
      <c r="C9" s="154" t="s">
        <v>236</v>
      </c>
      <c r="D9" s="155" t="s">
        <v>190</v>
      </c>
      <c r="E9" s="155"/>
      <c r="F9" s="155" t="s">
        <v>237</v>
      </c>
      <c r="G9" s="153">
        <v>41121</v>
      </c>
      <c r="H9" s="156" t="s">
        <v>241</v>
      </c>
      <c r="I9" s="156" t="s">
        <v>197</v>
      </c>
      <c r="J9" s="156"/>
      <c r="K9" s="159" t="s">
        <v>246</v>
      </c>
      <c r="L9" s="155" t="s">
        <v>195</v>
      </c>
      <c r="M9" s="159">
        <v>136.35</v>
      </c>
      <c r="N9" s="159">
        <v>25.9</v>
      </c>
      <c r="O9" s="159" t="s">
        <v>240</v>
      </c>
      <c r="P9" s="159">
        <v>1750</v>
      </c>
      <c r="Q9" s="159">
        <v>25.35</v>
      </c>
      <c r="R9" s="160">
        <v>1750</v>
      </c>
      <c r="S9" s="161">
        <v>25.35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1267</v>
      </c>
      <c r="B10" s="158">
        <v>41149</v>
      </c>
      <c r="C10" s="154" t="s">
        <v>236</v>
      </c>
      <c r="D10" s="155" t="s">
        <v>190</v>
      </c>
      <c r="E10" s="155"/>
      <c r="F10" s="155" t="s">
        <v>237</v>
      </c>
      <c r="G10" s="153">
        <v>41090</v>
      </c>
      <c r="H10" s="156" t="s">
        <v>241</v>
      </c>
      <c r="I10" s="156" t="s">
        <v>197</v>
      </c>
      <c r="J10" s="156"/>
      <c r="K10" s="155" t="s">
        <v>247</v>
      </c>
      <c r="L10" s="155" t="s">
        <v>195</v>
      </c>
      <c r="M10" s="159">
        <v>138.797</v>
      </c>
      <c r="N10" s="159">
        <v>27.556699999999999</v>
      </c>
      <c r="O10" s="155" t="s">
        <v>240</v>
      </c>
      <c r="P10" s="159">
        <v>1000</v>
      </c>
      <c r="Q10" s="155">
        <v>27.044599999999999</v>
      </c>
      <c r="R10" s="163">
        <v>1750</v>
      </c>
      <c r="S10" s="159">
        <v>26.5639</v>
      </c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3120</v>
      </c>
      <c r="B11" s="158">
        <v>41149</v>
      </c>
      <c r="C11" s="154" t="s">
        <v>236</v>
      </c>
      <c r="D11" s="155" t="s">
        <v>248</v>
      </c>
      <c r="E11" s="155"/>
      <c r="F11" s="155" t="s">
        <v>237</v>
      </c>
      <c r="G11" s="153">
        <v>40991</v>
      </c>
      <c r="H11" s="156" t="s">
        <v>241</v>
      </c>
      <c r="I11" s="156" t="s">
        <v>197</v>
      </c>
      <c r="J11" s="156"/>
      <c r="K11" s="159" t="s">
        <v>249</v>
      </c>
      <c r="L11" s="155" t="s">
        <v>195</v>
      </c>
      <c r="M11" s="159">
        <v>137.18</v>
      </c>
      <c r="N11" s="159">
        <v>25.91</v>
      </c>
      <c r="O11" s="155" t="s">
        <v>240</v>
      </c>
      <c r="P11" s="159">
        <v>1000</v>
      </c>
      <c r="Q11" s="159">
        <v>25.36</v>
      </c>
      <c r="R11" s="163">
        <v>1750</v>
      </c>
      <c r="S11" s="159">
        <v>24.91</v>
      </c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>
        <v>1431</v>
      </c>
      <c r="B12" s="158">
        <v>41149</v>
      </c>
      <c r="C12" s="154" t="s">
        <v>236</v>
      </c>
      <c r="D12" s="155" t="s">
        <v>190</v>
      </c>
      <c r="E12" s="155"/>
      <c r="F12" s="155" t="s">
        <v>237</v>
      </c>
      <c r="G12" s="153">
        <v>41097</v>
      </c>
      <c r="H12" s="156" t="s">
        <v>241</v>
      </c>
      <c r="I12" s="156" t="s">
        <v>197</v>
      </c>
      <c r="J12" s="156"/>
      <c r="K12" s="159" t="s">
        <v>250</v>
      </c>
      <c r="L12" s="155" t="s">
        <v>195</v>
      </c>
      <c r="M12" s="159">
        <v>128.24</v>
      </c>
      <c r="N12" s="159">
        <v>24.1</v>
      </c>
      <c r="O12" s="155" t="s">
        <v>240</v>
      </c>
      <c r="P12" s="159">
        <v>600</v>
      </c>
      <c r="Q12" s="159">
        <v>21.37</v>
      </c>
      <c r="R12" s="160">
        <v>600</v>
      </c>
      <c r="S12" s="161">
        <v>21.37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 t="s">
        <v>197</v>
      </c>
      <c r="AN12" s="162"/>
      <c r="AO12" s="162"/>
    </row>
    <row r="13" spans="1:94" x14ac:dyDescent="0.3">
      <c r="A13" s="152">
        <v>2275</v>
      </c>
      <c r="B13" s="158">
        <v>41095</v>
      </c>
      <c r="C13" s="154" t="s">
        <v>236</v>
      </c>
      <c r="D13" s="155" t="s">
        <v>248</v>
      </c>
      <c r="E13" s="155"/>
      <c r="F13" s="155" t="s">
        <v>237</v>
      </c>
      <c r="G13" s="153">
        <v>41090</v>
      </c>
      <c r="H13" s="156" t="s">
        <v>241</v>
      </c>
      <c r="I13" s="156" t="s">
        <v>197</v>
      </c>
      <c r="J13" s="156"/>
      <c r="K13" s="155" t="s">
        <v>251</v>
      </c>
      <c r="L13" s="155" t="s">
        <v>195</v>
      </c>
      <c r="M13" s="155">
        <v>136</v>
      </c>
      <c r="N13" s="155">
        <v>24.2</v>
      </c>
      <c r="O13" s="155" t="s">
        <v>240</v>
      </c>
      <c r="P13" s="155">
        <v>1000</v>
      </c>
      <c r="Q13" s="155">
        <v>23.81</v>
      </c>
      <c r="R13" s="157">
        <v>1750</v>
      </c>
      <c r="S13" s="155">
        <v>23.43</v>
      </c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1301</v>
      </c>
      <c r="B14" s="158">
        <v>41136</v>
      </c>
      <c r="C14" s="154" t="s">
        <v>236</v>
      </c>
      <c r="D14" s="155" t="s">
        <v>190</v>
      </c>
      <c r="E14" s="155"/>
      <c r="F14" s="155" t="s">
        <v>237</v>
      </c>
      <c r="G14" s="153">
        <v>41121</v>
      </c>
      <c r="H14" s="156" t="s">
        <v>197</v>
      </c>
      <c r="I14" s="156" t="s">
        <v>238</v>
      </c>
      <c r="J14" s="156"/>
      <c r="K14" s="155" t="s">
        <v>108</v>
      </c>
      <c r="L14" s="155" t="s">
        <v>195</v>
      </c>
      <c r="M14" s="159">
        <v>135.38</v>
      </c>
      <c r="N14" s="159">
        <v>27.06</v>
      </c>
      <c r="O14" s="159" t="s">
        <v>240</v>
      </c>
      <c r="P14" s="159">
        <v>1000</v>
      </c>
      <c r="Q14" s="155">
        <v>26.4</v>
      </c>
      <c r="R14" s="165">
        <v>1000</v>
      </c>
      <c r="S14" s="165">
        <v>26.4</v>
      </c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1465</v>
      </c>
      <c r="B15" s="158">
        <v>41135</v>
      </c>
      <c r="C15" s="154" t="s">
        <v>236</v>
      </c>
      <c r="D15" s="155" t="s">
        <v>190</v>
      </c>
      <c r="E15" s="155"/>
      <c r="F15" s="155" t="s">
        <v>237</v>
      </c>
      <c r="G15" s="153">
        <v>41090</v>
      </c>
      <c r="H15" s="156" t="s">
        <v>241</v>
      </c>
      <c r="I15" s="156" t="s">
        <v>197</v>
      </c>
      <c r="J15" s="156"/>
      <c r="K15" s="159" t="s">
        <v>252</v>
      </c>
      <c r="L15" s="155" t="s">
        <v>195</v>
      </c>
      <c r="M15" s="159">
        <v>156</v>
      </c>
      <c r="N15" s="159">
        <v>24.65</v>
      </c>
      <c r="O15" s="159"/>
      <c r="P15" s="159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1403</v>
      </c>
      <c r="B16" s="158">
        <v>41095</v>
      </c>
      <c r="C16" s="154" t="s">
        <v>236</v>
      </c>
      <c r="D16" s="155" t="s">
        <v>190</v>
      </c>
      <c r="E16" s="155"/>
      <c r="F16" s="155" t="s">
        <v>237</v>
      </c>
      <c r="G16" s="164">
        <v>41090</v>
      </c>
      <c r="H16" s="156" t="s">
        <v>241</v>
      </c>
      <c r="I16" s="156" t="s">
        <v>197</v>
      </c>
      <c r="J16" s="156"/>
      <c r="K16" s="155" t="s">
        <v>253</v>
      </c>
      <c r="L16" s="155" t="s">
        <v>195</v>
      </c>
      <c r="M16" s="159">
        <v>128.74</v>
      </c>
      <c r="N16" s="159">
        <v>26.14</v>
      </c>
      <c r="O16" s="159" t="s">
        <v>240</v>
      </c>
      <c r="P16" s="159">
        <v>1000</v>
      </c>
      <c r="Q16" s="159">
        <v>25.25</v>
      </c>
      <c r="R16" s="163">
        <v>1750</v>
      </c>
      <c r="S16" s="159">
        <v>22.61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1371</v>
      </c>
      <c r="B17" s="158">
        <v>41149</v>
      </c>
      <c r="C17" s="154" t="s">
        <v>236</v>
      </c>
      <c r="D17" s="155" t="s">
        <v>190</v>
      </c>
      <c r="E17" s="155"/>
      <c r="F17" s="155" t="s">
        <v>237</v>
      </c>
      <c r="G17" s="164">
        <v>41093</v>
      </c>
      <c r="H17" s="156" t="s">
        <v>197</v>
      </c>
      <c r="I17" s="156" t="s">
        <v>238</v>
      </c>
      <c r="J17" s="156"/>
      <c r="K17" s="155" t="s">
        <v>254</v>
      </c>
      <c r="L17" s="155" t="s">
        <v>195</v>
      </c>
      <c r="M17" s="155">
        <v>126.88</v>
      </c>
      <c r="N17" s="155">
        <v>20.95</v>
      </c>
      <c r="O17" s="155"/>
      <c r="P17" s="155"/>
      <c r="Q17" s="155"/>
      <c r="R17" s="163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>
        <v>2535</v>
      </c>
      <c r="B18" s="158">
        <v>41135</v>
      </c>
      <c r="C18" s="154" t="s">
        <v>236</v>
      </c>
      <c r="D18" s="155" t="s">
        <v>248</v>
      </c>
      <c r="E18" s="155"/>
      <c r="F18" s="155" t="s">
        <v>237</v>
      </c>
      <c r="G18" s="153">
        <v>41090</v>
      </c>
      <c r="H18" s="156" t="s">
        <v>241</v>
      </c>
      <c r="I18" s="156" t="s">
        <v>197</v>
      </c>
      <c r="J18" s="156"/>
      <c r="K18" s="159" t="s">
        <v>255</v>
      </c>
      <c r="L18" s="155" t="s">
        <v>195</v>
      </c>
      <c r="M18" s="159">
        <v>136</v>
      </c>
      <c r="N18" s="159">
        <v>24.4</v>
      </c>
      <c r="O18" s="155" t="s">
        <v>240</v>
      </c>
      <c r="P18" s="159">
        <v>1000</v>
      </c>
      <c r="Q18" s="159">
        <v>23.9</v>
      </c>
      <c r="R18" s="163">
        <v>1700</v>
      </c>
      <c r="S18" s="159">
        <v>23.4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>
        <v>2318</v>
      </c>
      <c r="B19" s="158">
        <v>41136</v>
      </c>
      <c r="C19" s="154" t="s">
        <v>236</v>
      </c>
      <c r="D19" s="155" t="s">
        <v>190</v>
      </c>
      <c r="E19" s="155"/>
      <c r="F19" s="155" t="s">
        <v>256</v>
      </c>
      <c r="G19" s="153">
        <v>41114</v>
      </c>
      <c r="H19" s="156" t="s">
        <v>197</v>
      </c>
      <c r="I19" s="156" t="s">
        <v>238</v>
      </c>
      <c r="J19" s="156"/>
      <c r="K19" s="155" t="s">
        <v>239</v>
      </c>
      <c r="L19" s="155" t="s">
        <v>195</v>
      </c>
      <c r="M19" s="155">
        <v>148.53</v>
      </c>
      <c r="N19" s="155">
        <v>27.19</v>
      </c>
      <c r="O19" s="155" t="s">
        <v>240</v>
      </c>
      <c r="P19" s="155">
        <v>1000</v>
      </c>
      <c r="Q19" s="155">
        <v>26.78</v>
      </c>
      <c r="R19" s="157">
        <v>1750</v>
      </c>
      <c r="S19" s="155">
        <v>26.38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11.64</v>
      </c>
      <c r="AF19" s="155"/>
      <c r="AG19" s="155"/>
      <c r="AH19" s="155"/>
      <c r="AI19" s="155"/>
      <c r="AJ19" s="155"/>
      <c r="AK19" s="155"/>
      <c r="AL19" s="155" t="s">
        <v>218</v>
      </c>
      <c r="AM19" s="156" t="s">
        <v>197</v>
      </c>
      <c r="AN19" s="156"/>
      <c r="AO19" s="156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>
        <v>2018</v>
      </c>
      <c r="B20" s="158">
        <v>41095</v>
      </c>
      <c r="C20" s="154" t="s">
        <v>236</v>
      </c>
      <c r="D20" s="155" t="s">
        <v>190</v>
      </c>
      <c r="E20" s="155"/>
      <c r="F20" s="155" t="s">
        <v>256</v>
      </c>
      <c r="G20" s="153">
        <v>41090</v>
      </c>
      <c r="H20" s="156" t="s">
        <v>241</v>
      </c>
      <c r="I20" s="156" t="s">
        <v>197</v>
      </c>
      <c r="J20" s="156"/>
      <c r="K20" s="155" t="s">
        <v>106</v>
      </c>
      <c r="L20" s="155" t="s">
        <v>195</v>
      </c>
      <c r="M20" s="155">
        <v>148.53</v>
      </c>
      <c r="N20" s="155">
        <v>27.19</v>
      </c>
      <c r="O20" s="155" t="s">
        <v>240</v>
      </c>
      <c r="P20" s="155">
        <v>1000</v>
      </c>
      <c r="Q20" s="155">
        <v>26.78</v>
      </c>
      <c r="R20" s="157">
        <v>1750</v>
      </c>
      <c r="S20" s="155">
        <v>26.38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11.34</v>
      </c>
      <c r="AF20" s="155"/>
      <c r="AG20" s="155"/>
      <c r="AH20" s="155"/>
      <c r="AI20" s="155"/>
      <c r="AJ20" s="155"/>
      <c r="AK20" s="155"/>
      <c r="AL20" s="155" t="s">
        <v>218</v>
      </c>
      <c r="AM20" s="156" t="s">
        <v>197</v>
      </c>
      <c r="AN20" s="156"/>
      <c r="AO20" s="156"/>
    </row>
    <row r="21" spans="1:94" x14ac:dyDescent="0.3">
      <c r="A21" s="152">
        <v>2564</v>
      </c>
      <c r="B21" s="158">
        <v>41137</v>
      </c>
      <c r="C21" s="154" t="s">
        <v>236</v>
      </c>
      <c r="D21" s="155" t="s">
        <v>190</v>
      </c>
      <c r="E21" s="155"/>
      <c r="F21" s="155" t="s">
        <v>256</v>
      </c>
      <c r="G21" s="153">
        <v>41121</v>
      </c>
      <c r="H21" s="156" t="s">
        <v>197</v>
      </c>
      <c r="I21" s="156" t="s">
        <v>238</v>
      </c>
      <c r="J21" s="156"/>
      <c r="K21" s="155" t="s">
        <v>242</v>
      </c>
      <c r="L21" s="155" t="s">
        <v>195</v>
      </c>
      <c r="M21" s="155">
        <v>152.76</v>
      </c>
      <c r="N21" s="155">
        <v>23.53</v>
      </c>
      <c r="O21" s="155" t="s">
        <v>240</v>
      </c>
      <c r="P21" s="155">
        <v>1000</v>
      </c>
      <c r="Q21" s="155">
        <v>23.19</v>
      </c>
      <c r="R21" s="157">
        <v>1750</v>
      </c>
      <c r="S21" s="155">
        <v>22.85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11.36</v>
      </c>
      <c r="AF21" s="155"/>
      <c r="AG21" s="155"/>
      <c r="AH21" s="155"/>
      <c r="AI21" s="155"/>
      <c r="AJ21" s="155"/>
      <c r="AK21" s="155"/>
      <c r="AL21" s="155" t="s">
        <v>218</v>
      </c>
      <c r="AM21" s="156" t="s">
        <v>197</v>
      </c>
      <c r="AN21" s="156"/>
      <c r="AO21" s="156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1134</v>
      </c>
      <c r="B22" s="158">
        <v>41095</v>
      </c>
      <c r="C22" s="154" t="s">
        <v>236</v>
      </c>
      <c r="D22" s="155" t="s">
        <v>190</v>
      </c>
      <c r="E22" s="155"/>
      <c r="F22" s="155" t="s">
        <v>256</v>
      </c>
      <c r="G22" s="153">
        <v>41090</v>
      </c>
      <c r="H22" s="156" t="s">
        <v>197</v>
      </c>
      <c r="I22" s="156" t="s">
        <v>238</v>
      </c>
      <c r="J22" s="156"/>
      <c r="K22" s="155" t="s">
        <v>243</v>
      </c>
      <c r="L22" s="155" t="s">
        <v>195</v>
      </c>
      <c r="M22" s="159">
        <v>161</v>
      </c>
      <c r="N22" s="159">
        <v>28.3</v>
      </c>
      <c r="O22" s="159" t="s">
        <v>240</v>
      </c>
      <c r="P22" s="159">
        <v>1000</v>
      </c>
      <c r="Q22" s="155">
        <v>27.8</v>
      </c>
      <c r="R22" s="157">
        <v>1750</v>
      </c>
      <c r="S22" s="159">
        <v>26.8</v>
      </c>
      <c r="T22" s="159"/>
      <c r="U22" s="159"/>
      <c r="V22" s="159"/>
      <c r="W22" s="155"/>
      <c r="X22" s="159"/>
      <c r="Y22" s="159"/>
      <c r="Z22" s="159"/>
      <c r="AA22" s="159"/>
      <c r="AB22" s="159"/>
      <c r="AC22" s="159"/>
      <c r="AD22" s="159"/>
      <c r="AE22" s="155">
        <v>14.8</v>
      </c>
      <c r="AF22" s="159"/>
      <c r="AG22" s="159"/>
      <c r="AH22" s="155"/>
      <c r="AI22" s="155"/>
      <c r="AJ22" s="155"/>
      <c r="AK22" s="159"/>
      <c r="AL22" s="155" t="s">
        <v>218</v>
      </c>
      <c r="AM22" s="156" t="s">
        <v>197</v>
      </c>
      <c r="AN22" s="156"/>
      <c r="AO22" s="156"/>
    </row>
    <row r="23" spans="1:94" x14ac:dyDescent="0.3">
      <c r="A23" s="152">
        <v>1478</v>
      </c>
      <c r="B23" s="158">
        <v>41149</v>
      </c>
      <c r="C23" s="154" t="s">
        <v>236</v>
      </c>
      <c r="D23" s="155" t="s">
        <v>190</v>
      </c>
      <c r="E23" s="155"/>
      <c r="F23" s="155" t="s">
        <v>256</v>
      </c>
      <c r="G23" s="153">
        <v>41121</v>
      </c>
      <c r="H23" s="156" t="s">
        <v>241</v>
      </c>
      <c r="I23" s="156" t="s">
        <v>197</v>
      </c>
      <c r="J23" s="156"/>
      <c r="K23" s="159" t="s">
        <v>117</v>
      </c>
      <c r="L23" s="155" t="s">
        <v>195</v>
      </c>
      <c r="M23" s="159">
        <v>151.69999999999999</v>
      </c>
      <c r="N23" s="159">
        <v>27.6</v>
      </c>
      <c r="O23" s="159" t="s">
        <v>240</v>
      </c>
      <c r="P23" s="159">
        <v>1750</v>
      </c>
      <c r="Q23" s="159">
        <v>27</v>
      </c>
      <c r="R23" s="160">
        <v>1750</v>
      </c>
      <c r="S23" s="161">
        <v>27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11.5</v>
      </c>
      <c r="AF23" s="159"/>
      <c r="AG23" s="159"/>
      <c r="AH23" s="159"/>
      <c r="AI23" s="159"/>
      <c r="AJ23" s="159"/>
      <c r="AK23" s="159"/>
      <c r="AL23" s="155" t="s">
        <v>218</v>
      </c>
      <c r="AM23" s="156" t="s">
        <v>197</v>
      </c>
      <c r="AN23" s="162"/>
      <c r="AO23" s="162"/>
    </row>
    <row r="24" spans="1:94" x14ac:dyDescent="0.3">
      <c r="A24" s="152">
        <v>1536</v>
      </c>
      <c r="B24" s="158">
        <v>41095</v>
      </c>
      <c r="C24" s="154" t="s">
        <v>236</v>
      </c>
      <c r="D24" s="155" t="s">
        <v>190</v>
      </c>
      <c r="E24" s="155"/>
      <c r="F24" s="155" t="s">
        <v>256</v>
      </c>
      <c r="G24" s="153">
        <v>41097</v>
      </c>
      <c r="H24" s="156" t="s">
        <v>241</v>
      </c>
      <c r="I24" s="156" t="s">
        <v>197</v>
      </c>
      <c r="J24" s="156"/>
      <c r="K24" s="159" t="s">
        <v>244</v>
      </c>
      <c r="L24" s="155" t="s">
        <v>195</v>
      </c>
      <c r="M24" s="159">
        <v>178.55</v>
      </c>
      <c r="N24" s="159">
        <v>28.53</v>
      </c>
      <c r="O24" s="159" t="s">
        <v>240</v>
      </c>
      <c r="P24" s="159">
        <v>1000</v>
      </c>
      <c r="Q24" s="159">
        <v>27.94</v>
      </c>
      <c r="R24" s="157">
        <v>1750</v>
      </c>
      <c r="S24" s="159">
        <v>27.35</v>
      </c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15.45</v>
      </c>
      <c r="AF24" s="159"/>
      <c r="AG24" s="159"/>
      <c r="AH24" s="159"/>
      <c r="AI24" s="159"/>
      <c r="AJ24" s="159"/>
      <c r="AK24" s="159"/>
      <c r="AL24" s="155" t="s">
        <v>218</v>
      </c>
      <c r="AM24" s="162" t="s">
        <v>197</v>
      </c>
      <c r="AN24" s="162"/>
      <c r="AO24" s="162"/>
    </row>
    <row r="25" spans="1:94" x14ac:dyDescent="0.3">
      <c r="A25" s="152">
        <v>1452</v>
      </c>
      <c r="B25" s="158">
        <v>41136</v>
      </c>
      <c r="C25" s="154" t="s">
        <v>236</v>
      </c>
      <c r="D25" s="155" t="s">
        <v>190</v>
      </c>
      <c r="E25" s="155"/>
      <c r="F25" s="155" t="s">
        <v>256</v>
      </c>
      <c r="G25" s="153">
        <v>41121</v>
      </c>
      <c r="H25" s="156" t="s">
        <v>241</v>
      </c>
      <c r="I25" s="156" t="s">
        <v>197</v>
      </c>
      <c r="J25" s="156"/>
      <c r="K25" s="155" t="s">
        <v>245</v>
      </c>
      <c r="L25" s="155" t="s">
        <v>195</v>
      </c>
      <c r="M25" s="159">
        <v>158.9</v>
      </c>
      <c r="N25" s="159">
        <v>24.56</v>
      </c>
      <c r="O25" s="159" t="s">
        <v>240</v>
      </c>
      <c r="P25" s="159">
        <v>300</v>
      </c>
      <c r="Q25" s="159">
        <v>24.98</v>
      </c>
      <c r="R25" s="163">
        <v>1020</v>
      </c>
      <c r="S25" s="159">
        <v>26.26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11.47</v>
      </c>
      <c r="AF25" s="159"/>
      <c r="AG25" s="159"/>
      <c r="AH25" s="159"/>
      <c r="AI25" s="159"/>
      <c r="AJ25" s="159"/>
      <c r="AK25" s="159"/>
      <c r="AL25" s="155" t="s">
        <v>218</v>
      </c>
      <c r="AM25" s="156" t="s">
        <v>197</v>
      </c>
      <c r="AN25" s="162"/>
      <c r="AO25" s="162"/>
    </row>
    <row r="26" spans="1:94" x14ac:dyDescent="0.3">
      <c r="A26" s="152">
        <v>1490</v>
      </c>
      <c r="B26" s="158">
        <v>41149</v>
      </c>
      <c r="C26" s="154" t="s">
        <v>236</v>
      </c>
      <c r="D26" s="155" t="s">
        <v>190</v>
      </c>
      <c r="E26" s="155"/>
      <c r="F26" s="155" t="s">
        <v>256</v>
      </c>
      <c r="G26" s="153">
        <v>41121</v>
      </c>
      <c r="H26" s="156" t="s">
        <v>241</v>
      </c>
      <c r="I26" s="156" t="s">
        <v>197</v>
      </c>
      <c r="J26" s="156"/>
      <c r="K26" s="159" t="s">
        <v>246</v>
      </c>
      <c r="L26" s="155" t="s">
        <v>195</v>
      </c>
      <c r="M26" s="159">
        <v>149.55000000000001</v>
      </c>
      <c r="N26" s="159">
        <v>25.9</v>
      </c>
      <c r="O26" s="159" t="s">
        <v>240</v>
      </c>
      <c r="P26" s="159">
        <v>1750</v>
      </c>
      <c r="Q26" s="159">
        <v>25.35</v>
      </c>
      <c r="R26" s="160">
        <v>1750</v>
      </c>
      <c r="S26" s="161">
        <v>25.35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11.25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1268</v>
      </c>
      <c r="B27" s="158">
        <v>41149</v>
      </c>
      <c r="C27" s="154" t="s">
        <v>236</v>
      </c>
      <c r="D27" s="155" t="s">
        <v>190</v>
      </c>
      <c r="E27" s="155"/>
      <c r="F27" s="155" t="s">
        <v>256</v>
      </c>
      <c r="G27" s="153">
        <v>41090</v>
      </c>
      <c r="H27" s="156" t="s">
        <v>241</v>
      </c>
      <c r="I27" s="156" t="s">
        <v>197</v>
      </c>
      <c r="J27" s="156"/>
      <c r="K27" s="155" t="s">
        <v>247</v>
      </c>
      <c r="L27" s="155" t="s">
        <v>195</v>
      </c>
      <c r="M27" s="159">
        <v>151.50399999999999</v>
      </c>
      <c r="N27" s="159">
        <v>27.556699999999999</v>
      </c>
      <c r="O27" s="155" t="s">
        <v>240</v>
      </c>
      <c r="P27" s="159">
        <v>1000</v>
      </c>
      <c r="Q27" s="155">
        <v>27.044599999999999</v>
      </c>
      <c r="R27" s="163">
        <v>1750</v>
      </c>
      <c r="S27" s="159">
        <v>26.5639</v>
      </c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10.3978</v>
      </c>
      <c r="AF27" s="159"/>
      <c r="AG27" s="159"/>
      <c r="AH27" s="155"/>
      <c r="AI27" s="155"/>
      <c r="AJ27" s="155"/>
      <c r="AK27" s="159"/>
      <c r="AL27" s="155" t="s">
        <v>218</v>
      </c>
      <c r="AM27" s="156" t="s">
        <v>197</v>
      </c>
      <c r="AN27" s="156"/>
      <c r="AO27" s="156"/>
    </row>
    <row r="28" spans="1:94" x14ac:dyDescent="0.3">
      <c r="A28" s="152">
        <v>3121</v>
      </c>
      <c r="B28" s="158">
        <v>41149</v>
      </c>
      <c r="C28" s="154" t="s">
        <v>236</v>
      </c>
      <c r="D28" s="155" t="s">
        <v>248</v>
      </c>
      <c r="E28" s="155"/>
      <c r="F28" s="155" t="s">
        <v>256</v>
      </c>
      <c r="G28" s="153">
        <v>40991</v>
      </c>
      <c r="H28" s="156" t="s">
        <v>241</v>
      </c>
      <c r="I28" s="156" t="s">
        <v>197</v>
      </c>
      <c r="J28" s="156"/>
      <c r="K28" s="159" t="s">
        <v>249</v>
      </c>
      <c r="L28" s="155" t="s">
        <v>195</v>
      </c>
      <c r="M28" s="159">
        <v>155.54</v>
      </c>
      <c r="N28" s="159">
        <v>25.91</v>
      </c>
      <c r="O28" s="155" t="s">
        <v>240</v>
      </c>
      <c r="P28" s="159">
        <v>1000</v>
      </c>
      <c r="Q28" s="159">
        <v>25.36</v>
      </c>
      <c r="R28" s="163">
        <v>1750</v>
      </c>
      <c r="S28" s="159">
        <v>24.91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14.73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1432</v>
      </c>
      <c r="B29" s="158">
        <v>41149</v>
      </c>
      <c r="C29" s="154" t="s">
        <v>236</v>
      </c>
      <c r="D29" s="155" t="s">
        <v>190</v>
      </c>
      <c r="E29" s="155"/>
      <c r="F29" s="155" t="s">
        <v>256</v>
      </c>
      <c r="G29" s="153">
        <v>41097</v>
      </c>
      <c r="H29" s="156" t="s">
        <v>241</v>
      </c>
      <c r="I29" s="156" t="s">
        <v>197</v>
      </c>
      <c r="J29" s="156"/>
      <c r="K29" s="159" t="s">
        <v>250</v>
      </c>
      <c r="L29" s="155" t="s">
        <v>195</v>
      </c>
      <c r="M29" s="159">
        <v>128.24</v>
      </c>
      <c r="N29" s="159">
        <v>24.1</v>
      </c>
      <c r="O29" s="155" t="s">
        <v>240</v>
      </c>
      <c r="P29" s="159">
        <v>600</v>
      </c>
      <c r="Q29" s="159">
        <v>21.37</v>
      </c>
      <c r="R29" s="160">
        <v>600</v>
      </c>
      <c r="S29" s="161">
        <v>21.37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15.6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2276</v>
      </c>
      <c r="B30" s="158">
        <v>41095</v>
      </c>
      <c r="C30" s="154" t="s">
        <v>236</v>
      </c>
      <c r="D30" s="155" t="s">
        <v>248</v>
      </c>
      <c r="E30" s="155"/>
      <c r="F30" s="155" t="s">
        <v>256</v>
      </c>
      <c r="G30" s="153">
        <v>41090</v>
      </c>
      <c r="H30" s="156" t="s">
        <v>241</v>
      </c>
      <c r="I30" s="156" t="s">
        <v>197</v>
      </c>
      <c r="J30" s="156"/>
      <c r="K30" s="155" t="s">
        <v>251</v>
      </c>
      <c r="L30" s="155" t="s">
        <v>195</v>
      </c>
      <c r="M30" s="155">
        <v>148.5</v>
      </c>
      <c r="N30" s="155">
        <v>24.2</v>
      </c>
      <c r="O30" s="155" t="s">
        <v>240</v>
      </c>
      <c r="P30" s="155">
        <v>1000</v>
      </c>
      <c r="Q30" s="155">
        <v>23.81</v>
      </c>
      <c r="R30" s="157">
        <v>1750</v>
      </c>
      <c r="S30" s="155">
        <v>23.43</v>
      </c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11.7</v>
      </c>
      <c r="AF30" s="155"/>
      <c r="AG30" s="155"/>
      <c r="AH30" s="155"/>
      <c r="AI30" s="155"/>
      <c r="AJ30" s="155"/>
      <c r="AK30" s="155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1302</v>
      </c>
      <c r="B31" s="158">
        <v>41136</v>
      </c>
      <c r="C31" s="154" t="s">
        <v>236</v>
      </c>
      <c r="D31" s="155" t="s">
        <v>190</v>
      </c>
      <c r="E31" s="155"/>
      <c r="F31" s="155" t="s">
        <v>256</v>
      </c>
      <c r="G31" s="153">
        <v>41121</v>
      </c>
      <c r="H31" s="156" t="s">
        <v>197</v>
      </c>
      <c r="I31" s="156" t="s">
        <v>238</v>
      </c>
      <c r="J31" s="156"/>
      <c r="K31" s="155" t="s">
        <v>108</v>
      </c>
      <c r="L31" s="155" t="s">
        <v>195</v>
      </c>
      <c r="M31" s="159">
        <v>135.38</v>
      </c>
      <c r="N31" s="159">
        <v>27.06</v>
      </c>
      <c r="O31" s="159" t="s">
        <v>240</v>
      </c>
      <c r="P31" s="159">
        <v>1000</v>
      </c>
      <c r="Q31" s="155">
        <v>26.4</v>
      </c>
      <c r="R31" s="165">
        <v>1000</v>
      </c>
      <c r="S31" s="165">
        <v>26.4</v>
      </c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17.82</v>
      </c>
      <c r="AF31" s="159"/>
      <c r="AG31" s="159"/>
      <c r="AH31" s="155"/>
      <c r="AI31" s="155"/>
      <c r="AJ31" s="155"/>
      <c r="AK31" s="159"/>
      <c r="AL31" s="155" t="s">
        <v>218</v>
      </c>
      <c r="AM31" s="156" t="s">
        <v>197</v>
      </c>
      <c r="AN31" s="156"/>
      <c r="AO31" s="156"/>
    </row>
    <row r="32" spans="1:94" x14ac:dyDescent="0.3">
      <c r="A32" s="152">
        <v>1466</v>
      </c>
      <c r="B32" s="158">
        <v>41135</v>
      </c>
      <c r="C32" s="154" t="s">
        <v>236</v>
      </c>
      <c r="D32" s="155" t="s">
        <v>190</v>
      </c>
      <c r="E32" s="155"/>
      <c r="F32" s="155" t="s">
        <v>256</v>
      </c>
      <c r="G32" s="153">
        <v>41090</v>
      </c>
      <c r="H32" s="156" t="s">
        <v>241</v>
      </c>
      <c r="I32" s="156" t="s">
        <v>197</v>
      </c>
      <c r="J32" s="156"/>
      <c r="K32" s="159" t="s">
        <v>252</v>
      </c>
      <c r="L32" s="155" t="s">
        <v>195</v>
      </c>
      <c r="M32" s="159">
        <v>170</v>
      </c>
      <c r="N32" s="159">
        <v>24.65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14.77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1404</v>
      </c>
      <c r="B33" s="158">
        <v>41095</v>
      </c>
      <c r="C33" s="154" t="s">
        <v>236</v>
      </c>
      <c r="D33" s="155" t="s">
        <v>190</v>
      </c>
      <c r="E33" s="155"/>
      <c r="F33" s="155" t="s">
        <v>256</v>
      </c>
      <c r="G33" s="164">
        <v>41090</v>
      </c>
      <c r="H33" s="156" t="s">
        <v>241</v>
      </c>
      <c r="I33" s="156" t="s">
        <v>197</v>
      </c>
      <c r="J33" s="156"/>
      <c r="K33" s="155" t="s">
        <v>253</v>
      </c>
      <c r="L33" s="155" t="s">
        <v>195</v>
      </c>
      <c r="M33" s="159">
        <v>140.32</v>
      </c>
      <c r="N33" s="159">
        <v>26.14</v>
      </c>
      <c r="O33" s="159" t="s">
        <v>240</v>
      </c>
      <c r="P33" s="159">
        <v>1000</v>
      </c>
      <c r="Q33" s="159">
        <v>25.25</v>
      </c>
      <c r="R33" s="163">
        <v>1750</v>
      </c>
      <c r="S33" s="159">
        <v>22.61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11.01</v>
      </c>
      <c r="AF33" s="159"/>
      <c r="AG33" s="159"/>
      <c r="AH33" s="159"/>
      <c r="AI33" s="159"/>
      <c r="AJ33" s="159"/>
      <c r="AK33" s="159"/>
      <c r="AL33" s="155" t="s">
        <v>218</v>
      </c>
      <c r="AM33" s="156" t="s">
        <v>197</v>
      </c>
      <c r="AN33" s="162"/>
      <c r="AO33" s="162"/>
    </row>
    <row r="34" spans="1:94" x14ac:dyDescent="0.3">
      <c r="A34" s="152">
        <v>1372</v>
      </c>
      <c r="B34" s="158">
        <v>41149</v>
      </c>
      <c r="C34" s="154" t="s">
        <v>236</v>
      </c>
      <c r="D34" s="155" t="s">
        <v>190</v>
      </c>
      <c r="E34" s="155"/>
      <c r="F34" s="155" t="s">
        <v>256</v>
      </c>
      <c r="G34" s="164">
        <v>41093</v>
      </c>
      <c r="H34" s="156" t="s">
        <v>197</v>
      </c>
      <c r="I34" s="156" t="s">
        <v>238</v>
      </c>
      <c r="J34" s="156"/>
      <c r="K34" s="155" t="s">
        <v>254</v>
      </c>
      <c r="L34" s="155" t="s">
        <v>195</v>
      </c>
      <c r="M34" s="155">
        <v>138.51</v>
      </c>
      <c r="N34" s="155">
        <v>20.95</v>
      </c>
      <c r="O34" s="155"/>
      <c r="P34" s="155"/>
      <c r="Q34" s="155"/>
      <c r="R34" s="163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9.6</v>
      </c>
      <c r="AF34" s="155"/>
      <c r="AG34" s="155"/>
      <c r="AH34" s="155"/>
      <c r="AI34" s="155"/>
      <c r="AJ34" s="155"/>
      <c r="AK34" s="155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2536</v>
      </c>
      <c r="B35" s="158">
        <v>41135</v>
      </c>
      <c r="C35" s="154" t="s">
        <v>236</v>
      </c>
      <c r="D35" s="155" t="s">
        <v>248</v>
      </c>
      <c r="E35" s="155"/>
      <c r="F35" s="155" t="s">
        <v>256</v>
      </c>
      <c r="G35" s="153">
        <v>41090</v>
      </c>
      <c r="H35" s="156" t="s">
        <v>241</v>
      </c>
      <c r="I35" s="156" t="s">
        <v>197</v>
      </c>
      <c r="J35" s="156"/>
      <c r="K35" s="159" t="s">
        <v>255</v>
      </c>
      <c r="L35" s="155" t="s">
        <v>195</v>
      </c>
      <c r="M35" s="159">
        <v>148.5</v>
      </c>
      <c r="N35" s="159">
        <v>24.4</v>
      </c>
      <c r="O35" s="155" t="s">
        <v>240</v>
      </c>
      <c r="P35" s="159">
        <v>1000</v>
      </c>
      <c r="Q35" s="159">
        <v>23.9</v>
      </c>
      <c r="R35" s="163">
        <v>1700</v>
      </c>
      <c r="S35" s="159">
        <v>23.4</v>
      </c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11.7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1:94" x14ac:dyDescent="0.3">
      <c r="A36" s="152">
        <v>2320</v>
      </c>
      <c r="B36" s="158">
        <v>41136</v>
      </c>
      <c r="C36" s="154" t="s">
        <v>236</v>
      </c>
      <c r="D36" s="155" t="s">
        <v>190</v>
      </c>
      <c r="E36" s="155"/>
      <c r="F36" s="155" t="s">
        <v>257</v>
      </c>
      <c r="G36" s="153">
        <v>41114</v>
      </c>
      <c r="H36" s="156" t="s">
        <v>197</v>
      </c>
      <c r="I36" s="156" t="s">
        <v>238</v>
      </c>
      <c r="J36" s="156"/>
      <c r="K36" s="155" t="s">
        <v>239</v>
      </c>
      <c r="L36" s="155" t="s">
        <v>195</v>
      </c>
      <c r="M36" s="155">
        <v>135.35</v>
      </c>
      <c r="N36" s="155">
        <v>31.72</v>
      </c>
      <c r="O36" s="155"/>
      <c r="P36" s="155"/>
      <c r="Q36" s="155"/>
      <c r="R36" s="157"/>
      <c r="S36" s="155"/>
      <c r="T36" s="155"/>
      <c r="U36" s="155"/>
      <c r="V36" s="155"/>
      <c r="W36" s="155">
        <v>16.96</v>
      </c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>
        <v>31.72</v>
      </c>
      <c r="AI36" s="155"/>
      <c r="AJ36" s="155"/>
      <c r="AK36" s="155"/>
      <c r="AL36" s="155" t="s">
        <v>220</v>
      </c>
      <c r="AM36" s="156" t="s">
        <v>197</v>
      </c>
      <c r="AN36" s="156"/>
      <c r="AO36" s="156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1:94" x14ac:dyDescent="0.3">
      <c r="A37" s="152">
        <v>2020</v>
      </c>
      <c r="B37" s="158">
        <v>41095</v>
      </c>
      <c r="C37" s="154" t="s">
        <v>236</v>
      </c>
      <c r="D37" s="155" t="s">
        <v>190</v>
      </c>
      <c r="E37" s="155"/>
      <c r="F37" s="155" t="s">
        <v>257</v>
      </c>
      <c r="G37" s="153">
        <v>41090</v>
      </c>
      <c r="H37" s="156" t="s">
        <v>241</v>
      </c>
      <c r="I37" s="156" t="s">
        <v>197</v>
      </c>
      <c r="J37" s="156"/>
      <c r="K37" s="155" t="s">
        <v>106</v>
      </c>
      <c r="L37" s="155" t="s">
        <v>195</v>
      </c>
      <c r="M37" s="155">
        <v>135.35</v>
      </c>
      <c r="N37" s="155">
        <v>31.72</v>
      </c>
      <c r="O37" s="155"/>
      <c r="P37" s="155"/>
      <c r="Q37" s="155"/>
      <c r="R37" s="157"/>
      <c r="S37" s="155"/>
      <c r="T37" s="155"/>
      <c r="U37" s="155"/>
      <c r="V37" s="155"/>
      <c r="W37" s="155">
        <v>16.96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31.72</v>
      </c>
      <c r="AI37" s="155"/>
      <c r="AJ37" s="155"/>
      <c r="AK37" s="155"/>
      <c r="AL37" s="155" t="s">
        <v>220</v>
      </c>
      <c r="AM37" s="156" t="s">
        <v>197</v>
      </c>
      <c r="AN37" s="156"/>
      <c r="AO37" s="156"/>
    </row>
    <row r="38" spans="1:94" x14ac:dyDescent="0.3">
      <c r="A38" s="152">
        <v>2566</v>
      </c>
      <c r="B38" s="158">
        <v>41137</v>
      </c>
      <c r="C38" s="154" t="s">
        <v>236</v>
      </c>
      <c r="D38" s="155" t="s">
        <v>190</v>
      </c>
      <c r="E38" s="155"/>
      <c r="F38" s="155" t="s">
        <v>257</v>
      </c>
      <c r="G38" s="153">
        <v>41121</v>
      </c>
      <c r="H38" s="156" t="s">
        <v>197</v>
      </c>
      <c r="I38" s="156" t="s">
        <v>238</v>
      </c>
      <c r="J38" s="156"/>
      <c r="K38" s="155" t="s">
        <v>242</v>
      </c>
      <c r="L38" s="155" t="s">
        <v>195</v>
      </c>
      <c r="M38" s="155">
        <v>137.44</v>
      </c>
      <c r="N38" s="155">
        <v>28.2</v>
      </c>
      <c r="O38" s="155"/>
      <c r="P38" s="155"/>
      <c r="Q38" s="155"/>
      <c r="R38" s="157"/>
      <c r="S38" s="155"/>
      <c r="T38" s="155"/>
      <c r="U38" s="155"/>
      <c r="V38" s="155"/>
      <c r="W38" s="155">
        <v>15.24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28.2</v>
      </c>
      <c r="AI38" s="155"/>
      <c r="AJ38" s="155"/>
      <c r="AK38" s="155"/>
      <c r="AL38" s="155" t="s">
        <v>220</v>
      </c>
      <c r="AM38" s="156" t="s">
        <v>197</v>
      </c>
      <c r="AN38" s="156"/>
      <c r="AO38" s="156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>
        <v>1136</v>
      </c>
      <c r="B39" s="158">
        <v>41095</v>
      </c>
      <c r="C39" s="154" t="s">
        <v>236</v>
      </c>
      <c r="D39" s="155" t="s">
        <v>190</v>
      </c>
      <c r="E39" s="155"/>
      <c r="F39" s="155" t="s">
        <v>257</v>
      </c>
      <c r="G39" s="153">
        <v>41090</v>
      </c>
      <c r="H39" s="156" t="s">
        <v>197</v>
      </c>
      <c r="I39" s="156" t="s">
        <v>238</v>
      </c>
      <c r="J39" s="156"/>
      <c r="K39" s="155" t="s">
        <v>243</v>
      </c>
      <c r="L39" s="155" t="s">
        <v>195</v>
      </c>
      <c r="M39" s="159">
        <v>146</v>
      </c>
      <c r="N39" s="159">
        <v>31</v>
      </c>
      <c r="O39" s="159"/>
      <c r="P39" s="159"/>
      <c r="Q39" s="155"/>
      <c r="R39" s="163"/>
      <c r="S39" s="159"/>
      <c r="T39" s="159"/>
      <c r="U39" s="159"/>
      <c r="V39" s="159"/>
      <c r="W39" s="155">
        <v>18</v>
      </c>
      <c r="X39" s="159"/>
      <c r="Y39" s="159"/>
      <c r="Z39" s="159"/>
      <c r="AA39" s="159"/>
      <c r="AB39" s="159"/>
      <c r="AC39" s="159"/>
      <c r="AD39" s="159"/>
      <c r="AE39" s="155"/>
      <c r="AF39" s="159"/>
      <c r="AG39" s="159"/>
      <c r="AH39" s="155">
        <v>31</v>
      </c>
      <c r="AI39" s="155"/>
      <c r="AJ39" s="155"/>
      <c r="AK39" s="159"/>
      <c r="AL39" s="155" t="s">
        <v>220</v>
      </c>
      <c r="AM39" s="156" t="s">
        <v>197</v>
      </c>
      <c r="AN39" s="156"/>
      <c r="AO39" s="156"/>
    </row>
    <row r="40" spans="1:94" x14ac:dyDescent="0.3">
      <c r="A40" s="152">
        <v>1480</v>
      </c>
      <c r="B40" s="158">
        <v>41149</v>
      </c>
      <c r="C40" s="154" t="s">
        <v>236</v>
      </c>
      <c r="D40" s="155" t="s">
        <v>190</v>
      </c>
      <c r="E40" s="155"/>
      <c r="F40" s="155" t="s">
        <v>257</v>
      </c>
      <c r="G40" s="153">
        <v>41121</v>
      </c>
      <c r="H40" s="156" t="s">
        <v>241</v>
      </c>
      <c r="I40" s="156" t="s">
        <v>197</v>
      </c>
      <c r="J40" s="156"/>
      <c r="K40" s="159" t="s">
        <v>117</v>
      </c>
      <c r="L40" s="155" t="s">
        <v>195</v>
      </c>
      <c r="M40" s="159">
        <v>137.4</v>
      </c>
      <c r="N40" s="159">
        <v>33.549999999999997</v>
      </c>
      <c r="O40" s="159"/>
      <c r="P40" s="159"/>
      <c r="Q40" s="159"/>
      <c r="R40" s="163"/>
      <c r="S40" s="159"/>
      <c r="T40" s="159"/>
      <c r="U40" s="159"/>
      <c r="V40" s="159"/>
      <c r="W40" s="159">
        <v>17.600000000000001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33.549999999999997</v>
      </c>
      <c r="AI40" s="159"/>
      <c r="AJ40" s="159"/>
      <c r="AK40" s="159"/>
      <c r="AL40" s="155" t="s">
        <v>220</v>
      </c>
      <c r="AM40" s="156" t="s">
        <v>197</v>
      </c>
      <c r="AN40" s="162"/>
      <c r="AO40" s="162"/>
    </row>
    <row r="41" spans="1:94" x14ac:dyDescent="0.3">
      <c r="A41" s="152">
        <v>1538</v>
      </c>
      <c r="B41" s="158">
        <v>41095</v>
      </c>
      <c r="C41" s="154" t="s">
        <v>236</v>
      </c>
      <c r="D41" s="155" t="s">
        <v>190</v>
      </c>
      <c r="E41" s="155"/>
      <c r="F41" s="155" t="s">
        <v>257</v>
      </c>
      <c r="G41" s="153">
        <v>41097</v>
      </c>
      <c r="H41" s="156" t="s">
        <v>241</v>
      </c>
      <c r="I41" s="156" t="s">
        <v>197</v>
      </c>
      <c r="J41" s="156"/>
      <c r="K41" s="159" t="s">
        <v>244</v>
      </c>
      <c r="L41" s="155" t="s">
        <v>195</v>
      </c>
      <c r="M41" s="159">
        <v>170.01</v>
      </c>
      <c r="N41" s="159">
        <v>32.979999999999997</v>
      </c>
      <c r="O41" s="159"/>
      <c r="P41" s="159"/>
      <c r="Q41" s="159"/>
      <c r="R41" s="163"/>
      <c r="S41" s="159"/>
      <c r="T41" s="159"/>
      <c r="U41" s="159"/>
      <c r="V41" s="159"/>
      <c r="W41" s="159">
        <v>18.670000000000002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32.979999999999997</v>
      </c>
      <c r="AI41" s="159"/>
      <c r="AJ41" s="159"/>
      <c r="AK41" s="159"/>
      <c r="AL41" s="155" t="s">
        <v>220</v>
      </c>
      <c r="AM41" s="162" t="s">
        <v>197</v>
      </c>
      <c r="AN41" s="162"/>
      <c r="AO41" s="162"/>
    </row>
    <row r="42" spans="1:94" x14ac:dyDescent="0.3">
      <c r="A42" s="152">
        <v>1454</v>
      </c>
      <c r="B42" s="158">
        <v>41136</v>
      </c>
      <c r="C42" s="154" t="s">
        <v>236</v>
      </c>
      <c r="D42" s="155" t="s">
        <v>190</v>
      </c>
      <c r="E42" s="155"/>
      <c r="F42" s="155" t="s">
        <v>257</v>
      </c>
      <c r="G42" s="153">
        <v>41121</v>
      </c>
      <c r="H42" s="156" t="s">
        <v>241</v>
      </c>
      <c r="I42" s="156" t="s">
        <v>197</v>
      </c>
      <c r="J42" s="156"/>
      <c r="K42" s="155" t="s">
        <v>245</v>
      </c>
      <c r="L42" s="155" t="s">
        <v>195</v>
      </c>
      <c r="M42" s="159">
        <v>146</v>
      </c>
      <c r="N42" s="159">
        <v>29.16</v>
      </c>
      <c r="O42" s="159" t="s">
        <v>240</v>
      </c>
      <c r="P42" s="159">
        <v>1020</v>
      </c>
      <c r="Q42" s="159">
        <v>29.88</v>
      </c>
      <c r="R42" s="163"/>
      <c r="S42" s="159"/>
      <c r="T42" s="159"/>
      <c r="U42" s="159"/>
      <c r="V42" s="159"/>
      <c r="W42" s="159">
        <v>16.809999999999999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28.58</v>
      </c>
      <c r="AI42" s="159"/>
      <c r="AJ42" s="159"/>
      <c r="AK42" s="159"/>
      <c r="AL42" s="155" t="s">
        <v>220</v>
      </c>
      <c r="AM42" s="156" t="s">
        <v>197</v>
      </c>
      <c r="AN42" s="162"/>
      <c r="AO42" s="162"/>
    </row>
    <row r="43" spans="1:94" x14ac:dyDescent="0.3">
      <c r="A43" s="152">
        <v>1492</v>
      </c>
      <c r="B43" s="158">
        <v>41149</v>
      </c>
      <c r="C43" s="154" t="s">
        <v>236</v>
      </c>
      <c r="D43" s="155" t="s">
        <v>190</v>
      </c>
      <c r="E43" s="155"/>
      <c r="F43" s="155" t="s">
        <v>257</v>
      </c>
      <c r="G43" s="153">
        <v>41121</v>
      </c>
      <c r="H43" s="156" t="s">
        <v>241</v>
      </c>
      <c r="I43" s="156" t="s">
        <v>197</v>
      </c>
      <c r="J43" s="156"/>
      <c r="K43" s="159" t="s">
        <v>246</v>
      </c>
      <c r="L43" s="155" t="s">
        <v>195</v>
      </c>
      <c r="M43" s="159">
        <v>136.35</v>
      </c>
      <c r="N43" s="159">
        <v>31.55</v>
      </c>
      <c r="O43" s="159"/>
      <c r="P43" s="159"/>
      <c r="Q43" s="159"/>
      <c r="R43" s="163"/>
      <c r="S43" s="159"/>
      <c r="T43" s="159"/>
      <c r="U43" s="159"/>
      <c r="V43" s="159"/>
      <c r="W43" s="159">
        <v>16.45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31.55</v>
      </c>
      <c r="AI43" s="159"/>
      <c r="AJ43" s="159"/>
      <c r="AK43" s="159"/>
      <c r="AL43" s="155" t="s">
        <v>220</v>
      </c>
      <c r="AM43" s="156" t="s">
        <v>197</v>
      </c>
      <c r="AN43" s="162"/>
      <c r="AO43" s="162"/>
    </row>
    <row r="44" spans="1:94" x14ac:dyDescent="0.3">
      <c r="A44" s="152">
        <v>1270</v>
      </c>
      <c r="B44" s="158">
        <v>41149</v>
      </c>
      <c r="C44" s="154" t="s">
        <v>236</v>
      </c>
      <c r="D44" s="155" t="s">
        <v>190</v>
      </c>
      <c r="E44" s="155"/>
      <c r="F44" s="155" t="s">
        <v>257</v>
      </c>
      <c r="G44" s="153">
        <v>41090</v>
      </c>
      <c r="H44" s="156" t="s">
        <v>241</v>
      </c>
      <c r="I44" s="156" t="s">
        <v>197</v>
      </c>
      <c r="J44" s="156"/>
      <c r="K44" s="155" t="s">
        <v>247</v>
      </c>
      <c r="L44" s="155" t="s">
        <v>195</v>
      </c>
      <c r="M44" s="159">
        <v>139.215</v>
      </c>
      <c r="N44" s="159">
        <v>30.566299999999998</v>
      </c>
      <c r="O44" s="159"/>
      <c r="P44" s="159"/>
      <c r="Q44" s="155"/>
      <c r="R44" s="163"/>
      <c r="S44" s="159"/>
      <c r="T44" s="159"/>
      <c r="U44" s="159"/>
      <c r="V44" s="159"/>
      <c r="W44" s="155">
        <v>15.4556</v>
      </c>
      <c r="X44" s="159"/>
      <c r="Y44" s="159"/>
      <c r="Z44" s="159"/>
      <c r="AA44" s="159"/>
      <c r="AB44" s="159"/>
      <c r="AC44" s="159"/>
      <c r="AD44" s="159"/>
      <c r="AE44" s="155"/>
      <c r="AF44" s="159"/>
      <c r="AG44" s="159"/>
      <c r="AH44" s="155">
        <v>30.566299999999998</v>
      </c>
      <c r="AI44" s="155"/>
      <c r="AJ44" s="155"/>
      <c r="AK44" s="159"/>
      <c r="AL44" s="155" t="s">
        <v>220</v>
      </c>
      <c r="AM44" s="156" t="s">
        <v>197</v>
      </c>
      <c r="AN44" s="156"/>
      <c r="AO44" s="156"/>
    </row>
    <row r="45" spans="1:94" x14ac:dyDescent="0.3">
      <c r="A45" s="152">
        <v>3123</v>
      </c>
      <c r="B45" s="158">
        <v>41149</v>
      </c>
      <c r="C45" s="154" t="s">
        <v>236</v>
      </c>
      <c r="D45" s="155" t="s">
        <v>248</v>
      </c>
      <c r="E45" s="155"/>
      <c r="F45" s="155" t="s">
        <v>257</v>
      </c>
      <c r="G45" s="153">
        <v>40991</v>
      </c>
      <c r="H45" s="156" t="s">
        <v>241</v>
      </c>
      <c r="I45" s="156" t="s">
        <v>197</v>
      </c>
      <c r="J45" s="156"/>
      <c r="K45" s="159" t="s">
        <v>249</v>
      </c>
      <c r="L45" s="155" t="s">
        <v>195</v>
      </c>
      <c r="M45" s="159">
        <v>137.18</v>
      </c>
      <c r="N45" s="159">
        <v>29.64</v>
      </c>
      <c r="O45" s="155"/>
      <c r="P45" s="159"/>
      <c r="Q45" s="159"/>
      <c r="R45" s="163"/>
      <c r="S45" s="159"/>
      <c r="T45" s="159"/>
      <c r="U45" s="159"/>
      <c r="V45" s="159"/>
      <c r="W45" s="159">
        <v>17.91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>
        <v>29.64</v>
      </c>
      <c r="AI45" s="159"/>
      <c r="AJ45" s="159"/>
      <c r="AK45" s="159"/>
      <c r="AL45" s="155" t="s">
        <v>220</v>
      </c>
      <c r="AM45" s="156" t="s">
        <v>197</v>
      </c>
      <c r="AN45" s="162"/>
      <c r="AO45" s="162"/>
    </row>
    <row r="46" spans="1:94" x14ac:dyDescent="0.3">
      <c r="A46" s="152">
        <v>1434</v>
      </c>
      <c r="B46" s="158">
        <v>41149</v>
      </c>
      <c r="C46" s="154" t="s">
        <v>236</v>
      </c>
      <c r="D46" s="155" t="s">
        <v>190</v>
      </c>
      <c r="E46" s="155"/>
      <c r="F46" s="155" t="s">
        <v>257</v>
      </c>
      <c r="G46" s="153">
        <v>41097</v>
      </c>
      <c r="H46" s="156" t="s">
        <v>241</v>
      </c>
      <c r="I46" s="156" t="s">
        <v>197</v>
      </c>
      <c r="J46" s="156"/>
      <c r="K46" s="159" t="s">
        <v>250</v>
      </c>
      <c r="L46" s="155" t="s">
        <v>195</v>
      </c>
      <c r="M46" s="159">
        <v>128.24</v>
      </c>
      <c r="N46" s="159">
        <v>27.28</v>
      </c>
      <c r="O46" s="155" t="s">
        <v>240</v>
      </c>
      <c r="P46" s="159">
        <v>600</v>
      </c>
      <c r="Q46" s="159">
        <v>25.08</v>
      </c>
      <c r="R46" s="163"/>
      <c r="S46" s="159"/>
      <c r="T46" s="159"/>
      <c r="U46" s="159"/>
      <c r="V46" s="159"/>
      <c r="W46" s="159">
        <v>14.5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24.08</v>
      </c>
      <c r="AI46" s="159"/>
      <c r="AJ46" s="159"/>
      <c r="AK46" s="159"/>
      <c r="AL46" s="155" t="s">
        <v>220</v>
      </c>
      <c r="AM46" s="156" t="s">
        <v>197</v>
      </c>
      <c r="AN46" s="162"/>
      <c r="AO46" s="162"/>
    </row>
    <row r="47" spans="1:94" x14ac:dyDescent="0.3">
      <c r="A47" s="152">
        <v>2278</v>
      </c>
      <c r="B47" s="158">
        <v>41095</v>
      </c>
      <c r="C47" s="154" t="s">
        <v>236</v>
      </c>
      <c r="D47" s="155" t="s">
        <v>248</v>
      </c>
      <c r="E47" s="155"/>
      <c r="F47" s="155" t="s">
        <v>257</v>
      </c>
      <c r="G47" s="153">
        <v>41090</v>
      </c>
      <c r="H47" s="156" t="s">
        <v>241</v>
      </c>
      <c r="I47" s="156" t="s">
        <v>197</v>
      </c>
      <c r="J47" s="156"/>
      <c r="K47" s="155" t="s">
        <v>251</v>
      </c>
      <c r="L47" s="155" t="s">
        <v>195</v>
      </c>
      <c r="M47" s="155">
        <v>136</v>
      </c>
      <c r="N47" s="155">
        <v>28.5</v>
      </c>
      <c r="O47" s="155"/>
      <c r="P47" s="155"/>
      <c r="Q47" s="155"/>
      <c r="R47" s="157"/>
      <c r="S47" s="155"/>
      <c r="T47" s="155"/>
      <c r="U47" s="155"/>
      <c r="V47" s="155"/>
      <c r="W47" s="155">
        <v>16.5</v>
      </c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>
        <v>28.5</v>
      </c>
      <c r="AI47" s="155"/>
      <c r="AJ47" s="155"/>
      <c r="AK47" s="155"/>
      <c r="AL47" s="155" t="s">
        <v>220</v>
      </c>
      <c r="AM47" s="156" t="s">
        <v>197</v>
      </c>
      <c r="AN47" s="156"/>
      <c r="AO47" s="156"/>
    </row>
    <row r="48" spans="1:94" x14ac:dyDescent="0.3">
      <c r="A48" s="152">
        <v>1304</v>
      </c>
      <c r="B48" s="158">
        <v>41136</v>
      </c>
      <c r="C48" s="154" t="s">
        <v>236</v>
      </c>
      <c r="D48" s="155" t="s">
        <v>190</v>
      </c>
      <c r="E48" s="155"/>
      <c r="F48" s="155" t="s">
        <v>257</v>
      </c>
      <c r="G48" s="153">
        <v>41121</v>
      </c>
      <c r="H48" s="156" t="s">
        <v>197</v>
      </c>
      <c r="I48" s="156" t="s">
        <v>238</v>
      </c>
      <c r="J48" s="156"/>
      <c r="K48" s="155" t="s">
        <v>108</v>
      </c>
      <c r="L48" s="155" t="s">
        <v>195</v>
      </c>
      <c r="M48" s="159">
        <v>135.35</v>
      </c>
      <c r="N48" s="159">
        <v>31.72</v>
      </c>
      <c r="O48" s="159"/>
      <c r="P48" s="159"/>
      <c r="Q48" s="155"/>
      <c r="R48" s="163"/>
      <c r="S48" s="159"/>
      <c r="T48" s="159"/>
      <c r="U48" s="159"/>
      <c r="V48" s="159"/>
      <c r="W48" s="155">
        <v>16.93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31.72</v>
      </c>
      <c r="AI48" s="155"/>
      <c r="AJ48" s="155"/>
      <c r="AK48" s="159"/>
      <c r="AL48" s="155" t="s">
        <v>220</v>
      </c>
      <c r="AM48" s="156" t="s">
        <v>197</v>
      </c>
      <c r="AN48" s="156"/>
      <c r="AO48" s="156"/>
    </row>
    <row r="49" spans="1:94" x14ac:dyDescent="0.3">
      <c r="A49" s="152">
        <v>1468</v>
      </c>
      <c r="B49" s="158">
        <v>41135</v>
      </c>
      <c r="C49" s="154" t="s">
        <v>236</v>
      </c>
      <c r="D49" s="155" t="s">
        <v>190</v>
      </c>
      <c r="E49" s="155"/>
      <c r="F49" s="155" t="s">
        <v>257</v>
      </c>
      <c r="G49" s="153">
        <v>41090</v>
      </c>
      <c r="H49" s="156" t="s">
        <v>241</v>
      </c>
      <c r="I49" s="156" t="s">
        <v>197</v>
      </c>
      <c r="J49" s="156"/>
      <c r="K49" s="159" t="s">
        <v>252</v>
      </c>
      <c r="L49" s="155" t="s">
        <v>195</v>
      </c>
      <c r="M49" s="159">
        <v>156</v>
      </c>
      <c r="N49" s="159">
        <v>27.52</v>
      </c>
      <c r="O49" s="159"/>
      <c r="P49" s="159"/>
      <c r="Q49" s="159"/>
      <c r="R49" s="163"/>
      <c r="S49" s="159"/>
      <c r="T49" s="159"/>
      <c r="U49" s="159"/>
      <c r="V49" s="159"/>
      <c r="W49" s="159">
        <v>17.7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27.52</v>
      </c>
      <c r="AI49" s="159"/>
      <c r="AJ49" s="159"/>
      <c r="AK49" s="159"/>
      <c r="AL49" s="155" t="s">
        <v>220</v>
      </c>
      <c r="AM49" s="156" t="s">
        <v>197</v>
      </c>
      <c r="AN49" s="162"/>
      <c r="AO49" s="162"/>
    </row>
    <row r="50" spans="1:94" x14ac:dyDescent="0.3">
      <c r="A50" s="152">
        <v>1406</v>
      </c>
      <c r="B50" s="158">
        <v>41095</v>
      </c>
      <c r="C50" s="154" t="s">
        <v>236</v>
      </c>
      <c r="D50" s="155" t="s">
        <v>190</v>
      </c>
      <c r="E50" s="155"/>
      <c r="F50" s="155" t="s">
        <v>257</v>
      </c>
      <c r="G50" s="164">
        <v>41090</v>
      </c>
      <c r="H50" s="156" t="s">
        <v>241</v>
      </c>
      <c r="I50" s="156" t="s">
        <v>197</v>
      </c>
      <c r="J50" s="156"/>
      <c r="K50" s="155" t="s">
        <v>253</v>
      </c>
      <c r="L50" s="155" t="s">
        <v>195</v>
      </c>
      <c r="M50" s="159">
        <v>124.75</v>
      </c>
      <c r="N50" s="159">
        <v>29.17</v>
      </c>
      <c r="O50" s="159"/>
      <c r="P50" s="159"/>
      <c r="Q50" s="159"/>
      <c r="R50" s="163"/>
      <c r="S50" s="159"/>
      <c r="T50" s="159"/>
      <c r="U50" s="159"/>
      <c r="V50" s="159"/>
      <c r="W50" s="159">
        <v>16.809999999999999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29.17</v>
      </c>
      <c r="AI50" s="159"/>
      <c r="AJ50" s="159"/>
      <c r="AK50" s="159"/>
      <c r="AL50" s="155" t="s">
        <v>220</v>
      </c>
      <c r="AM50" s="156" t="s">
        <v>197</v>
      </c>
      <c r="AN50" s="162"/>
      <c r="AO50" s="162"/>
    </row>
    <row r="51" spans="1:94" x14ac:dyDescent="0.3">
      <c r="A51" s="152">
        <v>1374</v>
      </c>
      <c r="B51" s="158">
        <v>41149</v>
      </c>
      <c r="C51" s="154" t="s">
        <v>236</v>
      </c>
      <c r="D51" s="155" t="s">
        <v>190</v>
      </c>
      <c r="E51" s="155"/>
      <c r="F51" s="155" t="s">
        <v>257</v>
      </c>
      <c r="G51" s="164">
        <v>41093</v>
      </c>
      <c r="H51" s="156" t="s">
        <v>197</v>
      </c>
      <c r="I51" s="156" t="s">
        <v>238</v>
      </c>
      <c r="J51" s="156"/>
      <c r="K51" s="155" t="s">
        <v>254</v>
      </c>
      <c r="L51" s="155" t="s">
        <v>195</v>
      </c>
      <c r="M51" s="155">
        <v>126.88</v>
      </c>
      <c r="N51" s="155">
        <v>25.36</v>
      </c>
      <c r="O51" s="155"/>
      <c r="P51" s="155"/>
      <c r="Q51" s="155"/>
      <c r="R51" s="157"/>
      <c r="S51" s="155"/>
      <c r="T51" s="155"/>
      <c r="U51" s="155"/>
      <c r="V51" s="155"/>
      <c r="W51" s="155">
        <v>12.63</v>
      </c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>
        <v>25.36</v>
      </c>
      <c r="AI51" s="155"/>
      <c r="AJ51" s="155"/>
      <c r="AK51" s="155"/>
      <c r="AL51" s="155" t="s">
        <v>220</v>
      </c>
      <c r="AM51" s="156" t="s">
        <v>197</v>
      </c>
      <c r="AN51" s="156"/>
      <c r="AO51" s="156"/>
    </row>
    <row r="52" spans="1:94" x14ac:dyDescent="0.3">
      <c r="A52" s="152">
        <v>2538</v>
      </c>
      <c r="B52" s="158">
        <v>41135</v>
      </c>
      <c r="C52" s="154" t="s">
        <v>236</v>
      </c>
      <c r="D52" s="155" t="s">
        <v>248</v>
      </c>
      <c r="E52" s="155"/>
      <c r="F52" s="155" t="s">
        <v>257</v>
      </c>
      <c r="G52" s="153">
        <v>41090</v>
      </c>
      <c r="H52" s="156" t="s">
        <v>241</v>
      </c>
      <c r="I52" s="156" t="s">
        <v>197</v>
      </c>
      <c r="J52" s="156"/>
      <c r="K52" s="159" t="s">
        <v>255</v>
      </c>
      <c r="L52" s="155" t="s">
        <v>195</v>
      </c>
      <c r="M52" s="159">
        <v>136</v>
      </c>
      <c r="N52" s="159">
        <v>29.9</v>
      </c>
      <c r="O52" s="155"/>
      <c r="P52" s="159"/>
      <c r="Q52" s="159"/>
      <c r="R52" s="163"/>
      <c r="S52" s="159"/>
      <c r="T52" s="159"/>
      <c r="U52" s="159"/>
      <c r="V52" s="159"/>
      <c r="W52" s="159">
        <v>15.9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29.9</v>
      </c>
      <c r="AI52" s="159"/>
      <c r="AJ52" s="159"/>
      <c r="AK52" s="159"/>
      <c r="AL52" s="155" t="s">
        <v>220</v>
      </c>
      <c r="AM52" s="156" t="s">
        <v>197</v>
      </c>
      <c r="AN52" s="162"/>
      <c r="AO52" s="16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</sheetData>
  <sheetProtection algorithmName="SHA-512" hashValue="Ph8S4NtAQqglsgnmoBEOxOE7n0Ni8f+ZDld9anWPFYoogK0o+XQiVeNmzmPlYgigwMa24K159kycDmpAunBRvw==" saltValue="FZEnSD54OMFmTMUpq1T0Ow==" spinCount="100000" sheet="1" objects="1" scenarios="1"/>
  <phoneticPr fontId="5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91A35-8D24-A34F-B971-BAF4E9970CF7}">
  <sheetPr codeName="Sheet52"/>
  <dimension ref="A1:ANJ7913"/>
  <sheetViews>
    <sheetView zoomScaleNormal="100" workbookViewId="0">
      <selection activeCell="A8" sqref="A8:A31"/>
    </sheetView>
  </sheetViews>
  <sheetFormatPr defaultColWidth="10.84375" defaultRowHeight="13.5" x14ac:dyDescent="0.3"/>
  <cols>
    <col min="1" max="1" width="17.4609375" style="263" customWidth="1"/>
    <col min="2" max="2" width="12.4609375" style="263" customWidth="1"/>
    <col min="3" max="9" width="12.15234375" style="263" customWidth="1"/>
    <col min="1051" max="16384" width="10.84375" style="263"/>
  </cols>
  <sheetData>
    <row r="1" spans="1:33" customFormat="1" x14ac:dyDescent="0.3">
      <c r="A1" s="325" t="s">
        <v>76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</row>
    <row r="2" spans="1:33" customFormat="1" x14ac:dyDescent="0.3">
      <c r="A2" s="326" t="s">
        <v>77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</row>
    <row r="3" spans="1:33" customFormat="1" ht="14" thickBot="1" x14ac:dyDescent="0.35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</row>
    <row r="4" spans="1:33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</row>
    <row r="5" spans="1:33" ht="14" x14ac:dyDescent="0.3">
      <c r="A5" s="92" t="s">
        <v>79</v>
      </c>
      <c r="B5" s="93"/>
      <c r="C5" s="168">
        <v>1500</v>
      </c>
      <c r="D5" s="93"/>
      <c r="E5" s="93"/>
      <c r="F5" s="93"/>
      <c r="G5" s="93"/>
      <c r="H5" s="93"/>
      <c r="I5" s="178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</row>
    <row r="6" spans="1:33" ht="14" x14ac:dyDescent="0.3">
      <c r="A6" s="92"/>
      <c r="B6" s="93"/>
      <c r="C6" s="93"/>
      <c r="D6" s="93"/>
      <c r="E6" s="93"/>
      <c r="F6" s="93"/>
      <c r="G6" s="93"/>
      <c r="H6" s="93"/>
      <c r="I6" s="178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</row>
    <row r="7" spans="1:33" ht="28" x14ac:dyDescent="0.3">
      <c r="A7" s="301" t="s">
        <v>80</v>
      </c>
      <c r="B7" s="297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9" t="s">
        <v>86</v>
      </c>
      <c r="H7" s="298" t="s">
        <v>87</v>
      </c>
      <c r="I7" s="300" t="s">
        <v>88</v>
      </c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</row>
    <row r="8" spans="1:33" x14ac:dyDescent="0.3">
      <c r="A8" s="179" t="str">
        <f>'ESS Jul 2021'!K2</f>
        <v>AGL</v>
      </c>
      <c r="B8" s="180">
        <f>'ESS Jul 2021'!G2</f>
        <v>42928</v>
      </c>
      <c r="C8" s="181">
        <f>91*'ESS Jul 2021'!M2/100</f>
        <v>141.88554545454545</v>
      </c>
      <c r="D8" s="181">
        <f>$C$5*'ESS Jul 2021'!N2/100</f>
        <v>379.63636363636363</v>
      </c>
      <c r="E8" s="182">
        <v>0</v>
      </c>
      <c r="F8" s="181">
        <v>0</v>
      </c>
      <c r="G8" s="181">
        <v>0</v>
      </c>
      <c r="H8" s="183">
        <f t="shared" ref="H8:H18" si="0">SUM(C8:G8)</f>
        <v>521.52190909090905</v>
      </c>
      <c r="I8" s="202">
        <f t="shared" ref="I8:I27" si="1">(H8*4)*1.1</f>
        <v>2294.6963999999998</v>
      </c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</row>
    <row r="9" spans="1:33" x14ac:dyDescent="0.3">
      <c r="A9" s="179" t="str">
        <f>'ESS Jul 2021'!K3</f>
        <v>Alinta Energy</v>
      </c>
      <c r="B9" s="180">
        <f>'ESS Jul 2021'!G3</f>
        <v>42916</v>
      </c>
      <c r="C9" s="181">
        <f>91*'ESS Jul 2021'!M3/100</f>
        <v>133.51354545454544</v>
      </c>
      <c r="D9" s="181">
        <f>$C$5*'ESS Jul 2021'!N3/100</f>
        <v>390.2727272727272</v>
      </c>
      <c r="E9" s="182">
        <v>0</v>
      </c>
      <c r="F9" s="181">
        <v>0</v>
      </c>
      <c r="G9" s="181">
        <v>0</v>
      </c>
      <c r="H9" s="183">
        <f t="shared" si="0"/>
        <v>523.7862727272726</v>
      </c>
      <c r="I9" s="202">
        <f t="shared" si="1"/>
        <v>2304.6595999999995</v>
      </c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</row>
    <row r="10" spans="1:33" x14ac:dyDescent="0.3">
      <c r="A10" s="179" t="str">
        <f>'ESS Jul 2021'!K4</f>
        <v>CovaU</v>
      </c>
      <c r="B10" s="180">
        <f>'ESS Jul 2021'!G4</f>
        <v>42916</v>
      </c>
      <c r="C10" s="181">
        <f>91*'ESS Jul 2021'!M4/100</f>
        <v>109.19999999999999</v>
      </c>
      <c r="D10" s="181">
        <f>$C$5*'ESS Jul 2021'!N4/100</f>
        <v>420</v>
      </c>
      <c r="E10" s="182">
        <v>0</v>
      </c>
      <c r="F10" s="181">
        <v>0</v>
      </c>
      <c r="G10" s="181">
        <v>0</v>
      </c>
      <c r="H10" s="183">
        <f t="shared" si="0"/>
        <v>529.20000000000005</v>
      </c>
      <c r="I10" s="202">
        <f t="shared" si="1"/>
        <v>2328.4800000000005</v>
      </c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</row>
    <row r="11" spans="1:33" x14ac:dyDescent="0.3">
      <c r="A11" s="179" t="str">
        <f>'ESS Jul 2021'!K5</f>
        <v>Dodo Power &amp; Gas</v>
      </c>
      <c r="B11" s="180">
        <f>'ESS Jul 2021'!G5</f>
        <v>42916</v>
      </c>
      <c r="C11" s="181">
        <f>91*'ESS Jul 2021'!M5/100</f>
        <v>154.69999999999999</v>
      </c>
      <c r="D11" s="181">
        <f>$C$5*'ESS Jul 2021'!N5/100</f>
        <v>352.5</v>
      </c>
      <c r="E11" s="182">
        <v>0</v>
      </c>
      <c r="F11" s="181">
        <v>0</v>
      </c>
      <c r="G11" s="181">
        <v>0</v>
      </c>
      <c r="H11" s="183">
        <f t="shared" si="0"/>
        <v>507.2</v>
      </c>
      <c r="I11" s="202">
        <f t="shared" si="1"/>
        <v>2231.6800000000003</v>
      </c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</row>
    <row r="12" spans="1:33" x14ac:dyDescent="0.3">
      <c r="A12" s="179" t="str">
        <f>'ESS Jul 2021'!K6</f>
        <v>EnergyAustralia</v>
      </c>
      <c r="B12" s="180">
        <f>'ESS Jul 2021'!G6</f>
        <v>42916</v>
      </c>
      <c r="C12" s="181">
        <f>91*'ESS Jul 2021'!M6/100</f>
        <v>120.11999999999998</v>
      </c>
      <c r="D12" s="181">
        <f>$C$5*'ESS Jul 2021'!N6/100</f>
        <v>408.13636363636363</v>
      </c>
      <c r="E12" s="182">
        <v>0</v>
      </c>
      <c r="F12" s="181">
        <v>0</v>
      </c>
      <c r="G12" s="181">
        <v>0</v>
      </c>
      <c r="H12" s="183">
        <f t="shared" si="0"/>
        <v>528.25636363636363</v>
      </c>
      <c r="I12" s="202">
        <f t="shared" si="1"/>
        <v>2324.328</v>
      </c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</row>
    <row r="13" spans="1:33" x14ac:dyDescent="0.3">
      <c r="A13" s="179" t="str">
        <f>'ESS Jul 2021'!K7</f>
        <v>Mojo Power</v>
      </c>
      <c r="B13" s="180">
        <f>'ESS Jul 2021'!G7</f>
        <v>42916</v>
      </c>
      <c r="C13" s="181">
        <f>91*'ESS Jul 2021'!M7/100</f>
        <v>130.25409090909091</v>
      </c>
      <c r="D13" s="181">
        <f>$C$5*'ESS Jul 2021'!N7/100</f>
        <v>394.77272727272725</v>
      </c>
      <c r="E13" s="182">
        <v>0</v>
      </c>
      <c r="F13" s="181">
        <v>0</v>
      </c>
      <c r="G13" s="181">
        <v>0</v>
      </c>
      <c r="H13" s="183">
        <f t="shared" si="0"/>
        <v>525.02681818181816</v>
      </c>
      <c r="I13" s="202">
        <f t="shared" si="1"/>
        <v>2310.1179999999999</v>
      </c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</row>
    <row r="14" spans="1:33" x14ac:dyDescent="0.3">
      <c r="A14" s="179" t="str">
        <f>'ESS Jul 2021'!K8</f>
        <v>Momentum Energy</v>
      </c>
      <c r="B14" s="180">
        <f>'ESS Jul 2021'!G8</f>
        <v>42916</v>
      </c>
      <c r="C14" s="181">
        <f>91*'ESS Jul 2021'!M8/100</f>
        <v>97.940818181818173</v>
      </c>
      <c r="D14" s="181">
        <f>$C$5*'ESS Jul 2021'!N8/100</f>
        <v>437.0454545454545</v>
      </c>
      <c r="E14" s="182">
        <v>0</v>
      </c>
      <c r="F14" s="181">
        <v>0</v>
      </c>
      <c r="G14" s="181">
        <v>0</v>
      </c>
      <c r="H14" s="183">
        <f t="shared" si="0"/>
        <v>534.98627272727265</v>
      </c>
      <c r="I14" s="202">
        <f t="shared" si="1"/>
        <v>2353.9395999999997</v>
      </c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</row>
    <row r="15" spans="1:33" x14ac:dyDescent="0.3">
      <c r="A15" s="179" t="str">
        <f>'ESS Jul 2021'!K9</f>
        <v>Origin Energy</v>
      </c>
      <c r="B15" s="180">
        <f>'ESS Jul 2021'!G9</f>
        <v>42916</v>
      </c>
      <c r="C15" s="181">
        <f>91*'ESS Jul 2021'!M9/100</f>
        <v>131.14920000000001</v>
      </c>
      <c r="D15" s="181">
        <f>$C$5*'ESS Jul 2021'!N9/100</f>
        <v>393.74999999999994</v>
      </c>
      <c r="E15" s="182">
        <v>0</v>
      </c>
      <c r="F15" s="181">
        <v>0</v>
      </c>
      <c r="G15" s="181">
        <v>0</v>
      </c>
      <c r="H15" s="183">
        <f t="shared" si="0"/>
        <v>524.89919999999995</v>
      </c>
      <c r="I15" s="202">
        <f t="shared" si="1"/>
        <v>2309.5564800000002</v>
      </c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</row>
    <row r="16" spans="1:33" x14ac:dyDescent="0.3">
      <c r="A16" s="179" t="str">
        <f>'ESS Jul 2021'!K10</f>
        <v>Powerdirect</v>
      </c>
      <c r="B16" s="180">
        <f>'ESS Jul 2021'!G10</f>
        <v>42916</v>
      </c>
      <c r="C16" s="181">
        <f>91*'ESS Jul 2021'!M10/100</f>
        <v>141.88554545454545</v>
      </c>
      <c r="D16" s="181">
        <f>$C$5*'ESS Jul 2021'!N10/100</f>
        <v>379.63636363636363</v>
      </c>
      <c r="E16" s="182">
        <v>0</v>
      </c>
      <c r="F16" s="181">
        <v>0</v>
      </c>
      <c r="G16" s="181">
        <v>0</v>
      </c>
      <c r="H16" s="183">
        <f t="shared" si="0"/>
        <v>521.52190909090905</v>
      </c>
      <c r="I16" s="202">
        <f t="shared" si="1"/>
        <v>2294.6963999999998</v>
      </c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</row>
    <row r="17" spans="1:33" x14ac:dyDescent="0.3">
      <c r="A17" s="179" t="str">
        <f>'ESS Jul 2021'!K11</f>
        <v>Powershop</v>
      </c>
      <c r="B17" s="180">
        <f>'ESS Jul 2021'!G11</f>
        <v>42916</v>
      </c>
      <c r="C17" s="181">
        <f>91*'ESS Jul 2021'!M11/100</f>
        <v>136.5</v>
      </c>
      <c r="D17" s="181">
        <f>$C$5*'ESS Jul 2021'!N11/100</f>
        <v>382.5</v>
      </c>
      <c r="E17" s="182">
        <v>0</v>
      </c>
      <c r="F17" s="181">
        <v>0</v>
      </c>
      <c r="G17" s="181">
        <v>0</v>
      </c>
      <c r="H17" s="183">
        <f t="shared" si="0"/>
        <v>519</v>
      </c>
      <c r="I17" s="202">
        <f t="shared" si="1"/>
        <v>2283.6000000000004</v>
      </c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</row>
    <row r="18" spans="1:33" x14ac:dyDescent="0.3">
      <c r="A18" s="179" t="str">
        <f>'ESS Jul 2021'!K12</f>
        <v>Red Energy</v>
      </c>
      <c r="B18" s="180">
        <f>'ESS Jul 2021'!G12</f>
        <v>42916</v>
      </c>
      <c r="C18" s="181">
        <f>91*'ESS Jul 2021'!M12/100</f>
        <v>129.60054545454545</v>
      </c>
      <c r="D18" s="181">
        <f>$C$5*'ESS Jul 2021'!N12/100</f>
        <v>382.7727272727272</v>
      </c>
      <c r="E18" s="182">
        <v>0</v>
      </c>
      <c r="F18" s="181">
        <v>0</v>
      </c>
      <c r="G18" s="181">
        <v>0</v>
      </c>
      <c r="H18" s="183">
        <f t="shared" si="0"/>
        <v>512.37327272727271</v>
      </c>
      <c r="I18" s="202">
        <f t="shared" si="1"/>
        <v>2254.4423999999999</v>
      </c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</row>
    <row r="19" spans="1:33" x14ac:dyDescent="0.3">
      <c r="A19" s="179" t="str">
        <f>'ESS Jul 2021'!K13</f>
        <v>Simply Energy</v>
      </c>
      <c r="B19" s="180">
        <f>'ESS Jul 2021'!G13</f>
        <v>42916</v>
      </c>
      <c r="C19" s="181">
        <f>91*'ESS Jul 2021'!M13/100</f>
        <v>124.74445454545453</v>
      </c>
      <c r="D19" s="181">
        <f>IF($C$5&gt;='ESS Jul 2021'!P13,('ESS Jul 2021'!P13*'ESS Jul 2021'!N13/100),($C$5*'ESS Jul 2021'!N13/100))</f>
        <v>317.15154545454538</v>
      </c>
      <c r="E19" s="182">
        <v>0</v>
      </c>
      <c r="F19" s="181">
        <v>0</v>
      </c>
      <c r="G19" s="181">
        <f>IF(($C$5&lt;'ESS Jul 2021'!R13),(0),($C$5-'ESS Jul 2021'!R13)*'ESS Jul 2021'!S13/100)</f>
        <v>88.154818181818172</v>
      </c>
      <c r="H19" s="183">
        <f>SUM(C19:G19)</f>
        <v>530.05081818181804</v>
      </c>
      <c r="I19" s="202">
        <f t="shared" si="1"/>
        <v>2332.2235999999998</v>
      </c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</row>
    <row r="20" spans="1:33" x14ac:dyDescent="0.3">
      <c r="A20" s="179" t="str">
        <f>'ESS Jul 2021'!K14</f>
        <v>1st Energy</v>
      </c>
      <c r="B20" s="180">
        <f>'ESS Jul 2021'!G14</f>
        <v>42916</v>
      </c>
      <c r="C20" s="181">
        <f>91*'ESS Jul 2021'!M14/100</f>
        <v>151.96999999999997</v>
      </c>
      <c r="D20" s="181">
        <f>IF($C$5&gt;='ESS Jul 2021'!P14,('ESS Jul 2021'!P14*'ESS Jul 2021'!N14/100),($C$5*'ESS Jul 2021'!N14/100))</f>
        <v>329.4</v>
      </c>
      <c r="E20" s="182">
        <v>0</v>
      </c>
      <c r="F20" s="181">
        <v>0</v>
      </c>
      <c r="G20" s="181">
        <f>IF(($C$5&lt;'ESS Jul 2021'!R14),(0),($C$5-'ESS Jul 2021'!R14)*'ESS Jul 2021'!S14/100)</f>
        <v>42.45</v>
      </c>
      <c r="H20" s="183">
        <f t="shared" ref="H20" si="2">SUM(C20:G20)</f>
        <v>523.81999999999994</v>
      </c>
      <c r="I20" s="202">
        <f t="shared" si="1"/>
        <v>2304.808</v>
      </c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</row>
    <row r="21" spans="1:33" x14ac:dyDescent="0.3">
      <c r="A21" s="179" t="str">
        <f>'ESS Jul 2021'!K15</f>
        <v>ReAmped Energy</v>
      </c>
      <c r="B21" s="180">
        <f>'ESS Jul 2021'!G15</f>
        <v>42916</v>
      </c>
      <c r="C21" s="181">
        <f>91*'ESS Jul 2021'!M15/100</f>
        <v>177.44999999999996</v>
      </c>
      <c r="D21" s="181">
        <f>$C$5*'ESS Jul 2021'!N15/100</f>
        <v>330.2727272727272</v>
      </c>
      <c r="E21" s="182">
        <v>0</v>
      </c>
      <c r="F21" s="181">
        <v>0</v>
      </c>
      <c r="G21" s="181">
        <v>0</v>
      </c>
      <c r="H21" s="183">
        <f t="shared" ref="H21:H27" si="3">SUM(C21:G21)</f>
        <v>507.72272727272718</v>
      </c>
      <c r="I21" s="202">
        <f t="shared" si="1"/>
        <v>2233.9799999999996</v>
      </c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</row>
    <row r="22" spans="1:33" x14ac:dyDescent="0.3">
      <c r="A22" s="179" t="str">
        <f>'ESS Jul 2021'!K16</f>
        <v>Powerclub</v>
      </c>
      <c r="B22" s="180">
        <f>'ESS Jul 2021'!G16</f>
        <v>42916</v>
      </c>
      <c r="C22" s="181">
        <f>91*'ESS Jul 2021'!M16/100</f>
        <v>136.71509090909089</v>
      </c>
      <c r="D22" s="181">
        <f>$C$5*'ESS Jul 2021'!N16/100</f>
        <v>386.45454545454544</v>
      </c>
      <c r="E22" s="182">
        <v>0</v>
      </c>
      <c r="F22" s="181">
        <v>0</v>
      </c>
      <c r="G22" s="181">
        <v>0</v>
      </c>
      <c r="H22" s="183">
        <f t="shared" si="3"/>
        <v>523.1696363636363</v>
      </c>
      <c r="I22" s="202">
        <f t="shared" si="1"/>
        <v>2301.9463999999998</v>
      </c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</row>
    <row r="23" spans="1:33" x14ac:dyDescent="0.3">
      <c r="A23" s="179" t="str">
        <f>'ESS Jul 2021'!K17</f>
        <v>Enova Energy</v>
      </c>
      <c r="B23" s="180">
        <f>'ESS Jul 2021'!G17</f>
        <v>42928</v>
      </c>
      <c r="C23" s="181">
        <f>91*'ESS Jul 2021'!M17/100</f>
        <v>142.29090909090908</v>
      </c>
      <c r="D23" s="181">
        <f>$C$5*'ESS Jul 2021'!N17/100</f>
        <v>353.31818181818176</v>
      </c>
      <c r="E23" s="182">
        <v>0</v>
      </c>
      <c r="F23" s="181">
        <v>0</v>
      </c>
      <c r="G23" s="181">
        <v>0</v>
      </c>
      <c r="H23" s="183">
        <f t="shared" si="3"/>
        <v>495.60909090909081</v>
      </c>
      <c r="I23" s="202">
        <f t="shared" si="1"/>
        <v>2180.6799999999998</v>
      </c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</row>
    <row r="24" spans="1:33" x14ac:dyDescent="0.3">
      <c r="A24" s="179" t="str">
        <f>'ESS Jul 2021'!K18</f>
        <v>Discover Energy</v>
      </c>
      <c r="B24" s="180">
        <f>'ESS Jul 2021'!G18</f>
        <v>42916</v>
      </c>
      <c r="C24" s="181">
        <f>91*'ESS Jul 2021'!M18/100</f>
        <v>110.74699999999999</v>
      </c>
      <c r="D24" s="181">
        <f>$C$5*'ESS Jul 2021'!N18/100</f>
        <v>419.45454545454544</v>
      </c>
      <c r="E24" s="182">
        <v>0</v>
      </c>
      <c r="F24" s="181">
        <v>0</v>
      </c>
      <c r="G24" s="181">
        <v>0</v>
      </c>
      <c r="H24" s="183">
        <f t="shared" si="3"/>
        <v>530.20154545454545</v>
      </c>
      <c r="I24" s="202">
        <f t="shared" si="1"/>
        <v>2332.8868000000002</v>
      </c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</row>
    <row r="25" spans="1:33" x14ac:dyDescent="0.3">
      <c r="A25" s="179" t="str">
        <f>'ESS Jul 2021'!K19</f>
        <v>Future X Power</v>
      </c>
      <c r="B25" s="180">
        <f>'ESS Jul 2021'!G19</f>
        <v>42916</v>
      </c>
      <c r="C25" s="181">
        <f>91*'ESS Jul 2021'!M19/100</f>
        <v>124.46318181818179</v>
      </c>
      <c r="D25" s="181">
        <f>$C$5*'ESS Jul 2021'!N19/100</f>
        <v>400.09090909090907</v>
      </c>
      <c r="E25" s="182">
        <v>0</v>
      </c>
      <c r="F25" s="181">
        <v>0</v>
      </c>
      <c r="G25" s="181">
        <v>0</v>
      </c>
      <c r="H25" s="183">
        <f t="shared" si="3"/>
        <v>524.55409090909086</v>
      </c>
      <c r="I25" s="202">
        <f t="shared" si="1"/>
        <v>2308.038</v>
      </c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</row>
    <row r="26" spans="1:33" x14ac:dyDescent="0.3">
      <c r="A26" s="179" t="str">
        <f>'ESS Jul 2021'!K20</f>
        <v>Nectr</v>
      </c>
      <c r="B26" s="180">
        <f>'ESS Jul 2021'!G20</f>
        <v>42936</v>
      </c>
      <c r="C26" s="181">
        <f>91*'ESS Jul 2021'!M20/100</f>
        <v>133.952</v>
      </c>
      <c r="D26" s="181">
        <f>$C$5*'ESS Jul 2021'!N20/100</f>
        <v>390</v>
      </c>
      <c r="E26" s="182">
        <v>0</v>
      </c>
      <c r="F26" s="181">
        <v>0</v>
      </c>
      <c r="G26" s="181">
        <v>0</v>
      </c>
      <c r="H26" s="183">
        <f t="shared" si="3"/>
        <v>523.952</v>
      </c>
      <c r="I26" s="202">
        <f t="shared" si="1"/>
        <v>2305.3888000000002</v>
      </c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</row>
    <row r="27" spans="1:33" x14ac:dyDescent="0.3">
      <c r="A27" s="179" t="str">
        <f>'ESS Jul 2021'!K21</f>
        <v>OVO Energy</v>
      </c>
      <c r="B27" s="180">
        <f>'ESS Jul 2021'!G21</f>
        <v>42916</v>
      </c>
      <c r="C27" s="181">
        <f>91*'ESS Jul 2021'!M21/100</f>
        <v>127.4</v>
      </c>
      <c r="D27" s="181">
        <f>$C$5*'ESS Jul 2021'!N21/100</f>
        <v>367.49999999999994</v>
      </c>
      <c r="E27" s="182">
        <v>0</v>
      </c>
      <c r="F27" s="181">
        <v>0</v>
      </c>
      <c r="G27" s="181">
        <v>0</v>
      </c>
      <c r="H27" s="183">
        <f t="shared" si="3"/>
        <v>494.9</v>
      </c>
      <c r="I27" s="202">
        <f t="shared" si="1"/>
        <v>2177.56</v>
      </c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</row>
    <row r="28" spans="1:33" x14ac:dyDescent="0.3">
      <c r="A28" s="179" t="str">
        <f>'ESS Jul 2021'!K22</f>
        <v>GloBird</v>
      </c>
      <c r="B28" s="180">
        <f>'ESS Jul 2021'!G22</f>
        <v>42915</v>
      </c>
      <c r="C28" s="181">
        <f>91*'ESS Jul 2021'!M22/100</f>
        <v>147.41999999999999</v>
      </c>
      <c r="D28" s="181">
        <f>$C$5*'ESS Jul 2021'!N22/100</f>
        <v>372</v>
      </c>
      <c r="E28" s="182">
        <v>0</v>
      </c>
      <c r="F28" s="181">
        <v>0</v>
      </c>
      <c r="G28" s="181">
        <f>IF(($C$5&lt;'ESS Jul 2021'!R22),(0),($C$5-'ESS Jul 2021'!R22)*'ESS Jul 2021'!S22/100)</f>
        <v>0</v>
      </c>
      <c r="H28" s="183">
        <f t="shared" ref="H28:H31" si="4">SUM(C28:G28)</f>
        <v>519.41999999999996</v>
      </c>
      <c r="I28" s="202">
        <f t="shared" ref="I28:I31" si="5">(H28*4)*1.1</f>
        <v>2285.4479999999999</v>
      </c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</row>
    <row r="29" spans="1:33" x14ac:dyDescent="0.3">
      <c r="A29" s="179" t="str">
        <f>'ESS Jul 2021'!K23</f>
        <v>Social Energy</v>
      </c>
      <c r="B29" s="180">
        <f>'ESS Jul 2021'!G23</f>
        <v>43085</v>
      </c>
      <c r="C29" s="181">
        <f>91*'ESS Jul 2021'!M23/100</f>
        <v>127.4</v>
      </c>
      <c r="D29" s="181">
        <f>$C$5*'ESS Jul 2021'!N23/100</f>
        <v>316.77272727272725</v>
      </c>
      <c r="E29" s="182">
        <v>0</v>
      </c>
      <c r="F29" s="181">
        <v>0</v>
      </c>
      <c r="G29" s="181">
        <v>0</v>
      </c>
      <c r="H29" s="183">
        <f t="shared" si="4"/>
        <v>444.17272727272723</v>
      </c>
      <c r="I29" s="202">
        <f t="shared" si="5"/>
        <v>1954.36</v>
      </c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</row>
    <row r="30" spans="1:33" x14ac:dyDescent="0.3">
      <c r="A30" s="179" t="str">
        <f>'ESS Jul 2021'!K24</f>
        <v>Tango Energy</v>
      </c>
      <c r="B30" s="180">
        <f>'ESS Jul 2021'!G24</f>
        <v>42916</v>
      </c>
      <c r="C30" s="181">
        <f>91*'ESS Jul 2021'!M24/100</f>
        <v>122.39499999999998</v>
      </c>
      <c r="D30" s="181">
        <f>$C$5*'ESS Jul 2021'!N24/100</f>
        <v>404.99999999999994</v>
      </c>
      <c r="E30" s="182">
        <v>0</v>
      </c>
      <c r="F30" s="181">
        <v>0</v>
      </c>
      <c r="G30" s="181">
        <v>0</v>
      </c>
      <c r="H30" s="183">
        <f t="shared" si="4"/>
        <v>527.39499999999998</v>
      </c>
      <c r="I30" s="202">
        <f t="shared" si="5"/>
        <v>2320.538</v>
      </c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</row>
    <row r="31" spans="1:33" ht="14" thickBot="1" x14ac:dyDescent="0.35">
      <c r="A31" s="184" t="str">
        <f>'ESS Jul 2021'!K25</f>
        <v>Diamond Energy</v>
      </c>
      <c r="B31" s="185">
        <f>'ESS Jul 2021'!G25</f>
        <v>42916</v>
      </c>
      <c r="C31" s="186">
        <f>91*'ESS Jul 2021'!M25/100</f>
        <v>130.94899999999998</v>
      </c>
      <c r="D31" s="186">
        <f>$C$5*'ESS Jul 2021'!N25/100</f>
        <v>389.31818181818176</v>
      </c>
      <c r="E31" s="187">
        <v>0</v>
      </c>
      <c r="F31" s="186">
        <v>0</v>
      </c>
      <c r="G31" s="186">
        <v>0</v>
      </c>
      <c r="H31" s="188">
        <f t="shared" si="4"/>
        <v>520.26718181818171</v>
      </c>
      <c r="I31" s="203">
        <f t="shared" si="5"/>
        <v>2289.1755999999996</v>
      </c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</row>
    <row r="32" spans="1:33" customFormat="1" x14ac:dyDescent="0.3">
      <c r="A32" s="325"/>
      <c r="B32" s="325"/>
      <c r="C32" s="325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</row>
    <row r="33" spans="1:33" customFormat="1" ht="14" thickBot="1" x14ac:dyDescent="0.35">
      <c r="A33" s="325"/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</row>
    <row r="34" spans="1:33" ht="14" x14ac:dyDescent="0.3">
      <c r="A34" s="176" t="s">
        <v>89</v>
      </c>
      <c r="B34" s="91"/>
      <c r="C34" s="91"/>
      <c r="D34" s="91"/>
      <c r="E34" s="91"/>
      <c r="F34" s="91"/>
      <c r="G34" s="91"/>
      <c r="H34" s="91"/>
      <c r="I34" s="177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</row>
    <row r="35" spans="1:33" ht="14" x14ac:dyDescent="0.3">
      <c r="A35" s="92" t="s">
        <v>79</v>
      </c>
      <c r="B35" s="93"/>
      <c r="C35" s="168">
        <v>2000</v>
      </c>
      <c r="D35" s="93"/>
      <c r="E35" s="93"/>
      <c r="F35" s="93"/>
      <c r="G35" s="93"/>
      <c r="H35" s="93"/>
      <c r="I35" s="178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</row>
    <row r="36" spans="1:33" ht="14" x14ac:dyDescent="0.3">
      <c r="A36" s="92" t="s">
        <v>91</v>
      </c>
      <c r="B36" s="93"/>
      <c r="C36" s="257">
        <v>0.7</v>
      </c>
      <c r="D36" s="93"/>
      <c r="E36" s="93"/>
      <c r="F36" s="93"/>
      <c r="G36" s="93"/>
      <c r="H36" s="93"/>
      <c r="I36" s="178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  <c r="AA36" s="325"/>
      <c r="AB36" s="325"/>
      <c r="AC36" s="325"/>
      <c r="AD36" s="325"/>
      <c r="AE36" s="325"/>
      <c r="AF36" s="325"/>
      <c r="AG36" s="325"/>
    </row>
    <row r="37" spans="1:33" ht="14" x14ac:dyDescent="0.3">
      <c r="A37" s="92" t="s">
        <v>92</v>
      </c>
      <c r="B37" s="93"/>
      <c r="C37" s="257">
        <v>0.3</v>
      </c>
      <c r="D37" s="93"/>
      <c r="E37" s="93"/>
      <c r="F37" s="93"/>
      <c r="G37" s="93"/>
      <c r="H37" s="93"/>
      <c r="I37" s="178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A37" s="325"/>
      <c r="AB37" s="325"/>
      <c r="AC37" s="325"/>
      <c r="AD37" s="325"/>
      <c r="AE37" s="325"/>
      <c r="AF37" s="325"/>
      <c r="AG37" s="325"/>
    </row>
    <row r="38" spans="1:33" ht="14" x14ac:dyDescent="0.3">
      <c r="A38" s="92"/>
      <c r="B38" s="93"/>
      <c r="C38" s="93"/>
      <c r="D38" s="93"/>
      <c r="E38" s="93"/>
      <c r="F38" s="93"/>
      <c r="G38" s="93"/>
      <c r="H38" s="93"/>
      <c r="I38" s="178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5"/>
      <c r="AC38" s="325"/>
      <c r="AD38" s="325"/>
      <c r="AE38" s="325"/>
      <c r="AF38" s="325"/>
      <c r="AG38" s="325"/>
    </row>
    <row r="39" spans="1:33" ht="28" x14ac:dyDescent="0.3">
      <c r="A39" s="301" t="s">
        <v>80</v>
      </c>
      <c r="B39" s="297" t="s">
        <v>81</v>
      </c>
      <c r="C39" s="298" t="s">
        <v>82</v>
      </c>
      <c r="D39" s="298" t="s">
        <v>83</v>
      </c>
      <c r="E39" s="298" t="s">
        <v>84</v>
      </c>
      <c r="F39" s="299" t="s">
        <v>86</v>
      </c>
      <c r="G39" s="299" t="s">
        <v>93</v>
      </c>
      <c r="H39" s="298" t="s">
        <v>87</v>
      </c>
      <c r="I39" s="300" t="s">
        <v>88</v>
      </c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325"/>
      <c r="AE39" s="325"/>
      <c r="AF39" s="325"/>
      <c r="AG39" s="325"/>
    </row>
    <row r="40" spans="1:33" x14ac:dyDescent="0.3">
      <c r="A40" s="179" t="str">
        <f>'ESS Jul 2021'!K26</f>
        <v>AGL</v>
      </c>
      <c r="B40" s="180">
        <f>'ESS Jul 2021'!G26</f>
        <v>42928</v>
      </c>
      <c r="C40" s="181">
        <f>91*'ESS Jul 2021'!M26/100</f>
        <v>153.04545454545453</v>
      </c>
      <c r="D40" s="181">
        <f>($C$35*$C$36)*'ESS Jul 2021'!N26/100</f>
        <v>354.32727272727271</v>
      </c>
      <c r="E40" s="182">
        <v>0</v>
      </c>
      <c r="F40" s="181">
        <v>0</v>
      </c>
      <c r="G40" s="181">
        <f>($C$35*$C$37)*'ESS Jul 2021'!AE26/100</f>
        <v>85.8</v>
      </c>
      <c r="H40" s="183">
        <f t="shared" ref="H40:H57" si="6">SUM(C40:G40)</f>
        <v>593.17272727272723</v>
      </c>
      <c r="I40" s="202">
        <f t="shared" ref="I40:I57" si="7">(H40*4)*1.1</f>
        <v>2609.96</v>
      </c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  <c r="AA40" s="325"/>
      <c r="AB40" s="325"/>
      <c r="AC40" s="325"/>
      <c r="AD40" s="325"/>
      <c r="AE40" s="325"/>
      <c r="AF40" s="325"/>
      <c r="AG40" s="325"/>
    </row>
    <row r="41" spans="1:33" x14ac:dyDescent="0.3">
      <c r="A41" s="179" t="str">
        <f>'ESS Jul 2021'!K27</f>
        <v>Alinta Energy</v>
      </c>
      <c r="B41" s="180">
        <f>'ESS Jul 2021'!G27</f>
        <v>42916</v>
      </c>
      <c r="C41" s="181">
        <f>91*'ESS Jul 2021'!M27/100</f>
        <v>144.43354545454545</v>
      </c>
      <c r="D41" s="181">
        <f>($C$35*$C$36)*'ESS Jul 2021'!N27/100</f>
        <v>364.25454545454545</v>
      </c>
      <c r="E41" s="182">
        <v>0</v>
      </c>
      <c r="F41" s="181">
        <v>0</v>
      </c>
      <c r="G41" s="181">
        <f>($C$35*$C$37)*'ESS Jul 2021'!AE27/100</f>
        <v>94.799999999999983</v>
      </c>
      <c r="H41" s="183">
        <f t="shared" si="6"/>
        <v>603.48809090909083</v>
      </c>
      <c r="I41" s="202">
        <f t="shared" si="7"/>
        <v>2655.3476000000001</v>
      </c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</row>
    <row r="42" spans="1:33" x14ac:dyDescent="0.3">
      <c r="A42" s="179" t="str">
        <f>'ESS Jul 2021'!K28</f>
        <v>CovaU</v>
      </c>
      <c r="B42" s="180">
        <f>'ESS Jul 2021'!G28</f>
        <v>42916</v>
      </c>
      <c r="C42" s="181">
        <f>91*'ESS Jul 2021'!M28/100</f>
        <v>118.3</v>
      </c>
      <c r="D42" s="181">
        <f>($C$35*$C$36)*'ESS Jul 2021'!N28/100</f>
        <v>392</v>
      </c>
      <c r="E42" s="182">
        <v>0</v>
      </c>
      <c r="F42" s="181">
        <v>0</v>
      </c>
      <c r="G42" s="181">
        <f>($C$35*$C$37)*'ESS Jul 2021'!AE28/100</f>
        <v>87.327272727272714</v>
      </c>
      <c r="H42" s="183">
        <f t="shared" si="6"/>
        <v>597.62727272727273</v>
      </c>
      <c r="I42" s="202">
        <f t="shared" si="7"/>
        <v>2629.5600000000004</v>
      </c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</row>
    <row r="43" spans="1:33" x14ac:dyDescent="0.3">
      <c r="A43" s="179" t="str">
        <f>'ESS Jul 2021'!K29</f>
        <v>Dodo Power &amp; Gas</v>
      </c>
      <c r="B43" s="180">
        <f>'ESS Jul 2021'!G29</f>
        <v>42916</v>
      </c>
      <c r="C43" s="181">
        <f>91*'ESS Jul 2021'!M29/100</f>
        <v>159.25</v>
      </c>
      <c r="D43" s="181">
        <f>($C$35*$C$36)*'ESS Jul 2021'!N29/100</f>
        <v>329</v>
      </c>
      <c r="E43" s="182">
        <v>0</v>
      </c>
      <c r="F43" s="181">
        <v>0</v>
      </c>
      <c r="G43" s="181">
        <f>($C$35*$C$37)*'ESS Jul 2021'!AE29/100</f>
        <v>86.999999999999986</v>
      </c>
      <c r="H43" s="183">
        <f t="shared" si="6"/>
        <v>575.25</v>
      </c>
      <c r="I43" s="202">
        <f t="shared" si="7"/>
        <v>2531.1000000000004</v>
      </c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</row>
    <row r="44" spans="1:33" x14ac:dyDescent="0.3">
      <c r="A44" s="179" t="str">
        <f>'ESS Jul 2021'!K30</f>
        <v>EnergyAustralia</v>
      </c>
      <c r="B44" s="180">
        <f>'ESS Jul 2021'!G30</f>
        <v>42916</v>
      </c>
      <c r="C44" s="181">
        <f>91*'ESS Jul 2021'!M30/100</f>
        <v>126.49</v>
      </c>
      <c r="D44" s="181">
        <f>($C$35*$C$36)*'ESS Jul 2021'!N30/100</f>
        <v>380.92727272727274</v>
      </c>
      <c r="E44" s="182">
        <v>0</v>
      </c>
      <c r="F44" s="181">
        <v>0</v>
      </c>
      <c r="G44" s="181">
        <f>($C$35*$C$37)*'ESS Jul 2021'!AE30/100</f>
        <v>83.23636363636362</v>
      </c>
      <c r="H44" s="183">
        <f t="shared" si="6"/>
        <v>590.65363636363634</v>
      </c>
      <c r="I44" s="202">
        <f t="shared" si="7"/>
        <v>2598.8760000000002</v>
      </c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</row>
    <row r="45" spans="1:33" x14ac:dyDescent="0.3">
      <c r="A45" s="179" t="str">
        <f>'ESS Jul 2021'!K31</f>
        <v>Mojo Power</v>
      </c>
      <c r="B45" s="180">
        <f>'ESS Jul 2021'!G31</f>
        <v>42916</v>
      </c>
      <c r="C45" s="181">
        <f>91*'ESS Jul 2021'!M31/100</f>
        <v>138.76672727272728</v>
      </c>
      <c r="D45" s="181">
        <f>($C$35*$C$36)*'ESS Jul 2021'!N31/100</f>
        <v>356.36363636363632</v>
      </c>
      <c r="E45" s="182">
        <v>0</v>
      </c>
      <c r="F45" s="181">
        <v>0</v>
      </c>
      <c r="G45" s="181">
        <f>($C$35*$C$37)*'ESS Jul 2021'!AE31/100</f>
        <v>101.01818181818182</v>
      </c>
      <c r="H45" s="183">
        <f t="shared" si="6"/>
        <v>596.14854545454546</v>
      </c>
      <c r="I45" s="202">
        <f t="shared" si="7"/>
        <v>2623.0536000000002</v>
      </c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5"/>
      <c r="AC45" s="325"/>
      <c r="AD45" s="325"/>
      <c r="AE45" s="325"/>
      <c r="AF45" s="325"/>
      <c r="AG45" s="325"/>
    </row>
    <row r="46" spans="1:33" x14ac:dyDescent="0.3">
      <c r="A46" s="179" t="str">
        <f>'ESS Jul 2021'!K32</f>
        <v>Momentum Energy</v>
      </c>
      <c r="B46" s="180">
        <f>'ESS Jul 2021'!G32</f>
        <v>42916</v>
      </c>
      <c r="C46" s="181">
        <f>91*'ESS Jul 2021'!M32/100</f>
        <v>110.02727272727272</v>
      </c>
      <c r="D46" s="181">
        <f>($C$35*$C$36)*'ESS Jul 2021'!N32/100</f>
        <v>415.92727272727274</v>
      </c>
      <c r="E46" s="182">
        <v>0</v>
      </c>
      <c r="F46" s="181">
        <v>0</v>
      </c>
      <c r="G46" s="181">
        <f>($C$35*$C$37)*'ESS Jul 2021'!AE32/100</f>
        <v>76.8</v>
      </c>
      <c r="H46" s="183">
        <f t="shared" si="6"/>
        <v>602.75454545454545</v>
      </c>
      <c r="I46" s="202">
        <f t="shared" si="7"/>
        <v>2652.1200000000003</v>
      </c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</row>
    <row r="47" spans="1:33" x14ac:dyDescent="0.3">
      <c r="A47" s="179" t="str">
        <f>'ESS Jul 2021'!K33</f>
        <v>Origin Energy</v>
      </c>
      <c r="B47" s="180">
        <f>'ESS Jul 2021'!G33</f>
        <v>42916</v>
      </c>
      <c r="C47" s="181">
        <f>91*'ESS Jul 2021'!M33/100</f>
        <v>143.78</v>
      </c>
      <c r="D47" s="181">
        <f>($C$35*$C$36)*'ESS Jul 2021'!N33/100</f>
        <v>367.49999999999994</v>
      </c>
      <c r="E47" s="182">
        <v>0</v>
      </c>
      <c r="F47" s="181">
        <v>0</v>
      </c>
      <c r="G47" s="181">
        <f>($C$35*$C$37)*'ESS Jul 2021'!AE33/100</f>
        <v>83.939999999999984</v>
      </c>
      <c r="H47" s="183">
        <f t="shared" si="6"/>
        <v>595.21999999999991</v>
      </c>
      <c r="I47" s="202">
        <f t="shared" si="7"/>
        <v>2618.9679999999998</v>
      </c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</row>
    <row r="48" spans="1:33" x14ac:dyDescent="0.3">
      <c r="A48" s="179" t="str">
        <f>'ESS Jul 2021'!K34</f>
        <v>Powerdirect</v>
      </c>
      <c r="B48" s="180">
        <f>'ESS Jul 2021'!G34</f>
        <v>42916</v>
      </c>
      <c r="C48" s="181">
        <f>91*'ESS Jul 2021'!M34/100</f>
        <v>153.04545454545453</v>
      </c>
      <c r="D48" s="181">
        <f>($C$35*$C$36)*'ESS Jul 2021'!N34/100</f>
        <v>354.32727272727271</v>
      </c>
      <c r="E48" s="182">
        <v>0</v>
      </c>
      <c r="F48" s="181">
        <v>0</v>
      </c>
      <c r="G48" s="181">
        <f>($C$35*$C$37)*'ESS Jul 2021'!AE34/100</f>
        <v>85.8</v>
      </c>
      <c r="H48" s="183">
        <f t="shared" si="6"/>
        <v>593.17272727272723</v>
      </c>
      <c r="I48" s="202">
        <f t="shared" si="7"/>
        <v>2609.96</v>
      </c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</row>
    <row r="49" spans="1:33" x14ac:dyDescent="0.3">
      <c r="A49" s="179" t="str">
        <f>'ESS Jul 2021'!K35</f>
        <v>Powershop</v>
      </c>
      <c r="B49" s="180">
        <f>'ESS Jul 2021'!G35</f>
        <v>42916</v>
      </c>
      <c r="C49" s="181">
        <f>91*'ESS Jul 2021'!M35/100</f>
        <v>150.15</v>
      </c>
      <c r="D49" s="181">
        <f>($C$35*$C$36)*'ESS Jul 2021'!N35/100</f>
        <v>357</v>
      </c>
      <c r="E49" s="182">
        <v>0</v>
      </c>
      <c r="F49" s="181">
        <v>0</v>
      </c>
      <c r="G49" s="181">
        <f>($C$35*$C$37)*'ESS Jul 2021'!AE35/100</f>
        <v>65.999999999999986</v>
      </c>
      <c r="H49" s="183">
        <f t="shared" si="6"/>
        <v>573.15</v>
      </c>
      <c r="I49" s="202">
        <f t="shared" si="7"/>
        <v>2521.86</v>
      </c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325"/>
      <c r="AE49" s="325"/>
      <c r="AF49" s="325"/>
      <c r="AG49" s="325"/>
    </row>
    <row r="50" spans="1:33" x14ac:dyDescent="0.3">
      <c r="A50" s="179" t="str">
        <f>'ESS Jul 2021'!K36</f>
        <v>Red Energy</v>
      </c>
      <c r="B50" s="180">
        <f>'ESS Jul 2021'!G36</f>
        <v>42916</v>
      </c>
      <c r="C50" s="181">
        <f>91*'ESS Jul 2021'!M36/100</f>
        <v>129.60054545454545</v>
      </c>
      <c r="D50" s="181">
        <f>($C$35*$C$36)*'ESS Jul 2021'!N36/100</f>
        <v>357.25454545454545</v>
      </c>
      <c r="E50" s="182">
        <v>0</v>
      </c>
      <c r="F50" s="181">
        <v>0</v>
      </c>
      <c r="G50" s="181">
        <f>($C$35*$C$37)*'ESS Jul 2021'!AE36/100</f>
        <v>98.999999999999986</v>
      </c>
      <c r="H50" s="183">
        <f t="shared" si="6"/>
        <v>585.8550909090909</v>
      </c>
      <c r="I50" s="202">
        <f t="shared" si="7"/>
        <v>2577.7624000000001</v>
      </c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C50" s="325"/>
      <c r="AD50" s="325"/>
      <c r="AE50" s="325"/>
      <c r="AF50" s="325"/>
      <c r="AG50" s="325"/>
    </row>
    <row r="51" spans="1:33" x14ac:dyDescent="0.3">
      <c r="A51" s="179" t="str">
        <f>'ESS Jul 2021'!K37</f>
        <v>Simply Energy</v>
      </c>
      <c r="B51" s="180">
        <f>'ESS Jul 2021'!G37</f>
        <v>42916</v>
      </c>
      <c r="C51" s="181">
        <f>91*'ESS Jul 2021'!M37/100</f>
        <v>133.84445454545454</v>
      </c>
      <c r="D51" s="181">
        <f>IF($C$35*$C$36&gt;='ESS Jul 2021'!P37,('ESS Jul 2021'!P37*'ESS Jul 2021'!N37/100),(($C$35*$C$36)*'ESS Jul 2021'!N37/100))</f>
        <v>317.15154545454538</v>
      </c>
      <c r="E51" s="182">
        <v>0</v>
      </c>
      <c r="F51" s="181">
        <f>IF(($C$35*$C$36&lt;'ESS Jul 2021'!R37),(0),($C$35*$C$36-'ESS Jul 2021'!R37)*'ESS Jul 2021'!S37/100)</f>
        <v>60.34572727272726</v>
      </c>
      <c r="G51" s="181">
        <f>($C$35*$C$37)*'ESS Jul 2021'!AE37/100</f>
        <v>88.309090909090912</v>
      </c>
      <c r="H51" s="183">
        <f t="shared" si="6"/>
        <v>599.65081818181807</v>
      </c>
      <c r="I51" s="202">
        <f t="shared" si="7"/>
        <v>2638.4635999999996</v>
      </c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5"/>
      <c r="AG51" s="325"/>
    </row>
    <row r="52" spans="1:33" x14ac:dyDescent="0.3">
      <c r="A52" s="179" t="str">
        <f>'ESS Jul 2021'!K38</f>
        <v>1st Energy</v>
      </c>
      <c r="B52" s="180">
        <f>'ESS Jul 2021'!G38</f>
        <v>42916</v>
      </c>
      <c r="C52" s="181">
        <f>91*'ESS Jul 2021'!M38/100</f>
        <v>163.79999999999998</v>
      </c>
      <c r="D52" s="181">
        <f>IF($C$35*$C$36&gt;='ESS Jul 2021'!P38,('ESS Jul 2021'!P38*'ESS Jul 2021'!N38/100),(($C$35*$C$36)*'ESS Jul 2021'!N38/100))</f>
        <v>329.4</v>
      </c>
      <c r="E52" s="182">
        <v>0</v>
      </c>
      <c r="F52" s="181">
        <f>IF(($C$35*$C$36&lt;'ESS Jul 2021'!R38),(0),($C$35*$C$36-'ESS Jul 2021'!R38)*'ESS Jul 2021'!S38/100)</f>
        <v>14.149999999999999</v>
      </c>
      <c r="G52" s="181">
        <f>($C$35*$C$37)*'ESS Jul 2021'!AE38/100</f>
        <v>65.999999999999986</v>
      </c>
      <c r="H52" s="183">
        <f t="shared" si="6"/>
        <v>573.34999999999991</v>
      </c>
      <c r="I52" s="202">
        <f t="shared" si="7"/>
        <v>2522.7399999999998</v>
      </c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</row>
    <row r="53" spans="1:33" x14ac:dyDescent="0.3">
      <c r="A53" s="179" t="str">
        <f>'ESS Jul 2021'!K39</f>
        <v>ReAmped Energy</v>
      </c>
      <c r="B53" s="180">
        <f>'ESS Jul 2021'!G39</f>
        <v>42916</v>
      </c>
      <c r="C53" s="181">
        <f>91*'ESS Jul 2021'!M39/100</f>
        <v>175.15845454545456</v>
      </c>
      <c r="D53" s="181">
        <f>($C$35*$C$36)*'ESS Jul 2021'!N39/100</f>
        <v>308.25454545454539</v>
      </c>
      <c r="E53" s="182">
        <v>0</v>
      </c>
      <c r="F53" s="181">
        <v>0</v>
      </c>
      <c r="G53" s="181">
        <f>($C$35*$C$37)*'ESS Jul 2021'!AE39/100</f>
        <v>101.99999999999999</v>
      </c>
      <c r="H53" s="183">
        <f t="shared" si="6"/>
        <v>585.4129999999999</v>
      </c>
      <c r="I53" s="202">
        <f t="shared" si="7"/>
        <v>2575.8172</v>
      </c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</row>
    <row r="54" spans="1:33" x14ac:dyDescent="0.3">
      <c r="A54" s="179" t="str">
        <f>'ESS Jul 2021'!K40</f>
        <v>Enova Energy</v>
      </c>
      <c r="B54" s="180">
        <f>'ESS Jul 2021'!G40</f>
        <v>42928</v>
      </c>
      <c r="C54" s="181">
        <f>91*'ESS Jul 2021'!M40/100</f>
        <v>155.53554545454546</v>
      </c>
      <c r="D54" s="181">
        <f>($C$35*$C$36)*'ESS Jul 2021'!N40/100</f>
        <v>329.76363636363635</v>
      </c>
      <c r="E54" s="182">
        <v>0</v>
      </c>
      <c r="F54" s="181">
        <v>0</v>
      </c>
      <c r="G54" s="181">
        <f>($C$35*$C$37)*'ESS Jul 2021'!AE40/100</f>
        <v>87.327272727272714</v>
      </c>
      <c r="H54" s="183">
        <f t="shared" si="6"/>
        <v>572.62645454545452</v>
      </c>
      <c r="I54" s="202">
        <f t="shared" si="7"/>
        <v>2519.5563999999999</v>
      </c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</row>
    <row r="55" spans="1:33" x14ac:dyDescent="0.3">
      <c r="A55" s="179" t="str">
        <f>'ESS Jul 2021'!K41</f>
        <v>Discover Energy</v>
      </c>
      <c r="B55" s="180">
        <f>'ESS Jul 2021'!G41</f>
        <v>42916</v>
      </c>
      <c r="C55" s="181">
        <f>91*'ESS Jul 2021'!M41/100</f>
        <v>121.89036363636363</v>
      </c>
      <c r="D55" s="181">
        <f>($C$35*$C$36)*'ESS Jul 2021'!N41/100</f>
        <v>391.49090909090904</v>
      </c>
      <c r="E55" s="182">
        <v>0</v>
      </c>
      <c r="F55" s="181">
        <v>0</v>
      </c>
      <c r="G55" s="181">
        <f>($C$35*$C$37)*'ESS Jul 2021'!AE41/100</f>
        <v>85.8</v>
      </c>
      <c r="H55" s="183">
        <f t="shared" si="6"/>
        <v>599.18127272727259</v>
      </c>
      <c r="I55" s="202">
        <f t="shared" si="7"/>
        <v>2636.3975999999998</v>
      </c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</row>
    <row r="56" spans="1:33" x14ac:dyDescent="0.3">
      <c r="A56" s="179" t="str">
        <f>'ESS Jul 2021'!K42</f>
        <v>Future X Power</v>
      </c>
      <c r="B56" s="180">
        <f>'ESS Jul 2021'!G42</f>
        <v>42916</v>
      </c>
      <c r="C56" s="181">
        <f>91*'ESS Jul 2021'!M42/100</f>
        <v>134.72963636363636</v>
      </c>
      <c r="D56" s="181">
        <f>($C$35*$C$36)*'ESS Jul 2021'!N42/100</f>
        <v>373.41818181818184</v>
      </c>
      <c r="E56" s="182">
        <v>0</v>
      </c>
      <c r="F56" s="181">
        <v>0</v>
      </c>
      <c r="G56" s="181">
        <f>($C$35*$C$37)*'ESS Jul 2021'!AE42/100</f>
        <v>87.981818181818184</v>
      </c>
      <c r="H56" s="183">
        <f t="shared" si="6"/>
        <v>596.12963636363634</v>
      </c>
      <c r="I56" s="202">
        <f t="shared" si="7"/>
        <v>2622.9704000000002</v>
      </c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</row>
    <row r="57" spans="1:33" x14ac:dyDescent="0.3">
      <c r="A57" s="179" t="str">
        <f>'ESS Jul 2021'!K43</f>
        <v>Nectr</v>
      </c>
      <c r="B57" s="180">
        <f>'ESS Jul 2021'!G43</f>
        <v>42936</v>
      </c>
      <c r="C57" s="181">
        <f>91*'ESS Jul 2021'!M43/100</f>
        <v>133.952</v>
      </c>
      <c r="D57" s="181">
        <f>($C$35*$C$36)*'ESS Jul 2021'!N43/100</f>
        <v>364</v>
      </c>
      <c r="E57" s="182">
        <v>0</v>
      </c>
      <c r="F57" s="181">
        <v>0</v>
      </c>
      <c r="G57" s="181">
        <f>($C$35*$C$37)*'ESS Jul 2021'!AE43/100</f>
        <v>98.999999999999986</v>
      </c>
      <c r="H57" s="183">
        <f t="shared" si="6"/>
        <v>596.952</v>
      </c>
      <c r="I57" s="202">
        <f t="shared" si="7"/>
        <v>2626.5888</v>
      </c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</row>
    <row r="58" spans="1:33" x14ac:dyDescent="0.3">
      <c r="A58" s="179" t="str">
        <f>'ESS Jul 2021'!K44</f>
        <v>GloBird</v>
      </c>
      <c r="B58" s="180">
        <f>'ESS Jul 2021'!G44</f>
        <v>42915</v>
      </c>
      <c r="C58" s="181">
        <f>91*'ESS Jul 2021'!M44/100</f>
        <v>147.41999999999999</v>
      </c>
      <c r="D58" s="181">
        <f>IF($C$35*$C$36&gt;='ESS Jul 2021'!P44,('ESS Jul 2021'!P44*'ESS Jul 2021'!N44/100),(($C$35*$C$36)*'ESS Jul 2021'!N44/100))</f>
        <v>347.2</v>
      </c>
      <c r="E58" s="182">
        <v>0</v>
      </c>
      <c r="F58" s="181">
        <f>IF(($C$35*$C$36&lt;'ESS Jul 2021'!R44),(0),($C$35*$C$36-'ESS Jul 2021'!R44)*'ESS Jul 2021'!S44/100)</f>
        <v>0</v>
      </c>
      <c r="G58" s="181">
        <f>($C$35*$C$37)*'ESS Jul 2021'!AE44/100</f>
        <v>98.999999999999986</v>
      </c>
      <c r="H58" s="183">
        <f t="shared" ref="H58:H61" si="8">SUM(C58:G58)</f>
        <v>593.62</v>
      </c>
      <c r="I58" s="202">
        <f t="shared" ref="I58:I61" si="9">(H58*4)*1.1</f>
        <v>2611.9280000000003</v>
      </c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</row>
    <row r="59" spans="1:33" x14ac:dyDescent="0.3">
      <c r="A59" s="179" t="str">
        <f>'ESS Jul 2021'!K45</f>
        <v>Social Energy</v>
      </c>
      <c r="B59" s="180">
        <f>'ESS Jul 2021'!G45</f>
        <v>43085</v>
      </c>
      <c r="C59" s="181">
        <f>91*'ESS Jul 2021'!M45/100</f>
        <v>127.4</v>
      </c>
      <c r="D59" s="181">
        <f>($C$35*$C$36)*'ESS Jul 2021'!N45/100</f>
        <v>281.0181818181818</v>
      </c>
      <c r="E59" s="182">
        <v>0</v>
      </c>
      <c r="F59" s="181">
        <v>0</v>
      </c>
      <c r="G59" s="181">
        <f>($C$35*$C$37)*'ESS Jul 2021'!AE45/100</f>
        <v>71.181818181818187</v>
      </c>
      <c r="H59" s="183">
        <f t="shared" si="8"/>
        <v>479.59999999999997</v>
      </c>
      <c r="I59" s="202">
        <f t="shared" si="9"/>
        <v>2110.2400000000002</v>
      </c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</row>
    <row r="60" spans="1:33" x14ac:dyDescent="0.3">
      <c r="A60" s="179" t="str">
        <f>'ESS Jul 2021'!K46</f>
        <v>Tango Energy</v>
      </c>
      <c r="B60" s="180">
        <f>'ESS Jul 2021'!G46</f>
        <v>42916</v>
      </c>
      <c r="C60" s="181">
        <f>91*'ESS Jul 2021'!M46/100</f>
        <v>118.3</v>
      </c>
      <c r="D60" s="181">
        <f>($C$35*$C$36)*'ESS Jul 2021'!N46/100</f>
        <v>390.6</v>
      </c>
      <c r="E60" s="182">
        <v>0</v>
      </c>
      <c r="F60" s="181">
        <v>0</v>
      </c>
      <c r="G60" s="181">
        <f>($C$35*$C$37)*'ESS Jul 2021'!AE46/100</f>
        <v>91.199999999999989</v>
      </c>
      <c r="H60" s="183">
        <f t="shared" si="8"/>
        <v>600.1</v>
      </c>
      <c r="I60" s="202">
        <f t="shared" si="9"/>
        <v>2640.4400000000005</v>
      </c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</row>
    <row r="61" spans="1:33" ht="14" thickBot="1" x14ac:dyDescent="0.35">
      <c r="A61" s="184" t="str">
        <f>'ESS Jul 2021'!K47</f>
        <v>Diamond Energy</v>
      </c>
      <c r="B61" s="185">
        <f>'ESS Jul 2021'!G47</f>
        <v>42916</v>
      </c>
      <c r="C61" s="186">
        <f>91*'ESS Jul 2021'!M47/100</f>
        <v>142.32399999999998</v>
      </c>
      <c r="D61" s="186">
        <f>($C$35*$C$36)*'ESS Jul 2021'!N47/100</f>
        <v>363.36363636363632</v>
      </c>
      <c r="E61" s="187">
        <v>0</v>
      </c>
      <c r="F61" s="186">
        <v>0</v>
      </c>
      <c r="G61" s="186">
        <f>($C$35*$C$37)*'ESS Jul 2021'!AE47/100</f>
        <v>86.999999999999986</v>
      </c>
      <c r="H61" s="188">
        <f t="shared" si="8"/>
        <v>592.68763636363633</v>
      </c>
      <c r="I61" s="203">
        <f t="shared" si="9"/>
        <v>2607.8256000000001</v>
      </c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</row>
    <row r="62" spans="1:33" customFormat="1" x14ac:dyDescent="0.3">
      <c r="A62" s="325"/>
      <c r="B62" s="325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</row>
    <row r="63" spans="1:33" customFormat="1" ht="14" thickBot="1" x14ac:dyDescent="0.35">
      <c r="A63" s="325"/>
      <c r="B63" s="325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5"/>
      <c r="AD63" s="325"/>
      <c r="AE63" s="325"/>
      <c r="AF63" s="325"/>
      <c r="AG63" s="325"/>
    </row>
    <row r="64" spans="1:33" ht="14" x14ac:dyDescent="0.3">
      <c r="A64" s="176" t="s">
        <v>94</v>
      </c>
      <c r="B64" s="91"/>
      <c r="C64" s="91"/>
      <c r="D64" s="91"/>
      <c r="E64" s="91"/>
      <c r="F64" s="91"/>
      <c r="G64" s="91"/>
      <c r="H64" s="91"/>
      <c r="I64" s="177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5"/>
      <c r="AD64" s="325"/>
      <c r="AE64" s="325"/>
      <c r="AF64" s="325"/>
      <c r="AG64" s="325"/>
    </row>
    <row r="65" spans="1:33" ht="14" x14ac:dyDescent="0.3">
      <c r="A65" s="92" t="s">
        <v>79</v>
      </c>
      <c r="B65" s="93"/>
      <c r="C65" s="168">
        <v>1800</v>
      </c>
      <c r="D65" s="93"/>
      <c r="E65" s="93"/>
      <c r="F65" s="93"/>
      <c r="G65" s="93"/>
      <c r="H65" s="93"/>
      <c r="I65" s="178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325"/>
      <c r="AF65" s="325"/>
      <c r="AG65" s="325"/>
    </row>
    <row r="66" spans="1:33" ht="14" x14ac:dyDescent="0.3">
      <c r="A66" s="92" t="s">
        <v>91</v>
      </c>
      <c r="B66" s="93"/>
      <c r="C66" s="257">
        <v>0.2</v>
      </c>
      <c r="D66" s="93"/>
      <c r="E66" s="93"/>
      <c r="F66" s="93"/>
      <c r="G66" s="93"/>
      <c r="H66" s="93"/>
      <c r="I66" s="178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325"/>
      <c r="AF66" s="325"/>
      <c r="AG66" s="325"/>
    </row>
    <row r="67" spans="1:33" ht="14" x14ac:dyDescent="0.3">
      <c r="A67" s="92" t="s">
        <v>95</v>
      </c>
      <c r="B67" s="93"/>
      <c r="C67" s="257">
        <v>0.5</v>
      </c>
      <c r="D67" s="93"/>
      <c r="E67" s="93"/>
      <c r="F67" s="93"/>
      <c r="G67" s="93"/>
      <c r="H67" s="93"/>
      <c r="I67" s="178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  <c r="AG67" s="325"/>
    </row>
    <row r="68" spans="1:33" ht="14" x14ac:dyDescent="0.3">
      <c r="A68" s="92" t="s">
        <v>92</v>
      </c>
      <c r="B68" s="93"/>
      <c r="C68" s="257">
        <v>0.3</v>
      </c>
      <c r="D68" s="93"/>
      <c r="E68" s="93"/>
      <c r="F68" s="93"/>
      <c r="G68" s="93"/>
      <c r="H68" s="93"/>
      <c r="I68" s="178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  <c r="AG68" s="325"/>
    </row>
    <row r="69" spans="1:33" ht="14" x14ac:dyDescent="0.3">
      <c r="A69" s="166"/>
      <c r="B69" s="93"/>
      <c r="C69" s="167"/>
      <c r="D69" s="93"/>
      <c r="E69" s="93"/>
      <c r="F69" s="93"/>
      <c r="G69" s="93"/>
      <c r="H69" s="93"/>
      <c r="I69" s="178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</row>
    <row r="70" spans="1:33" ht="28" x14ac:dyDescent="0.3">
      <c r="A70" s="301" t="s">
        <v>80</v>
      </c>
      <c r="B70" s="297" t="s">
        <v>81</v>
      </c>
      <c r="C70" s="298" t="s">
        <v>82</v>
      </c>
      <c r="D70" s="298" t="s">
        <v>96</v>
      </c>
      <c r="E70" s="299" t="s">
        <v>86</v>
      </c>
      <c r="F70" s="299" t="s">
        <v>97</v>
      </c>
      <c r="G70" s="299" t="s">
        <v>98</v>
      </c>
      <c r="H70" s="298" t="s">
        <v>87</v>
      </c>
      <c r="I70" s="300" t="s">
        <v>88</v>
      </c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  <c r="AG70" s="325"/>
    </row>
    <row r="71" spans="1:33" x14ac:dyDescent="0.3">
      <c r="A71" s="179" t="str">
        <f>'ESS Jul 2021'!K48</f>
        <v>AGL</v>
      </c>
      <c r="B71" s="180">
        <f>'ESS Jul 2021'!G48</f>
        <v>42928</v>
      </c>
      <c r="C71" s="181">
        <f>91*'ESS Jul 2021'!M48/100</f>
        <v>141.88554545454545</v>
      </c>
      <c r="D71" s="181">
        <f>($C$65*$C$66)*'ESS Jul 2021'!N48/100</f>
        <v>122.53090909090908</v>
      </c>
      <c r="E71" s="181">
        <v>0</v>
      </c>
      <c r="F71" s="181">
        <f>($C$65*$C$67)*'ESS Jul 2021'!AH48/100</f>
        <v>297.81818181818176</v>
      </c>
      <c r="G71" s="181">
        <f>($C$65*$C$68)*'ESS Jul 2021'!W48/100</f>
        <v>96.46363636363634</v>
      </c>
      <c r="H71" s="183">
        <f t="shared" ref="H71:H86" si="10">SUM(C71:G71)</f>
        <v>658.69827272727275</v>
      </c>
      <c r="I71" s="202">
        <f t="shared" ref="I71:I86" si="11">(H71*4)*1.1</f>
        <v>2898.2724000000003</v>
      </c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  <c r="AG71" s="325"/>
    </row>
    <row r="72" spans="1:33" x14ac:dyDescent="0.3">
      <c r="A72" s="179" t="str">
        <f>'ESS Jul 2021'!K49</f>
        <v>Alinta Energy</v>
      </c>
      <c r="B72" s="180">
        <f>'ESS Jul 2021'!G49</f>
        <v>42916</v>
      </c>
      <c r="C72" s="181">
        <f>91*'ESS Jul 2021'!M49/100</f>
        <v>131.99963636363634</v>
      </c>
      <c r="D72" s="181">
        <f>($C$65*$C$66)*'ESS Jul 2021'!N49/100</f>
        <v>124.03636363636365</v>
      </c>
      <c r="E72" s="181">
        <v>0</v>
      </c>
      <c r="F72" s="181">
        <f>($C$65*$C$67)*'ESS Jul 2021'!AH49/100</f>
        <v>292.82727272727266</v>
      </c>
      <c r="G72" s="181">
        <f>($C$65*$C$68)*'ESS Jul 2021'!W49/100</f>
        <v>103.23818181818181</v>
      </c>
      <c r="H72" s="183">
        <f t="shared" si="10"/>
        <v>652.10145454545454</v>
      </c>
      <c r="I72" s="202">
        <f t="shared" si="11"/>
        <v>2869.2464000000004</v>
      </c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</row>
    <row r="73" spans="1:33" x14ac:dyDescent="0.3">
      <c r="A73" s="179" t="str">
        <f>'ESS Jul 2021'!K50</f>
        <v>CovaU</v>
      </c>
      <c r="B73" s="180">
        <f>'ESS Jul 2021'!G50</f>
        <v>42916</v>
      </c>
      <c r="C73" s="181">
        <f>91*'ESS Jul 2021'!M50/100</f>
        <v>113.74999999999999</v>
      </c>
      <c r="D73" s="181">
        <f>($C$65*$C$66)*'ESS Jul 2021'!N50/100</f>
        <v>136.07999999999998</v>
      </c>
      <c r="E73" s="181">
        <v>0</v>
      </c>
      <c r="F73" s="181">
        <f>($C$65*$C$67)*'ESS Jul 2021'!AH50/100</f>
        <v>293.72727272727269</v>
      </c>
      <c r="G73" s="181">
        <f>($C$65*$C$68)*'ESS Jul 2021'!W50/100</f>
        <v>98.28</v>
      </c>
      <c r="H73" s="183">
        <f t="shared" si="10"/>
        <v>641.83727272727265</v>
      </c>
      <c r="I73" s="202">
        <f t="shared" si="11"/>
        <v>2824.0839999999998</v>
      </c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</row>
    <row r="74" spans="1:33" x14ac:dyDescent="0.3">
      <c r="A74" s="179" t="str">
        <f>'ESS Jul 2021'!K51</f>
        <v>Dodo Power &amp; Gas</v>
      </c>
      <c r="B74" s="180">
        <f>'ESS Jul 2021'!G51</f>
        <v>42916</v>
      </c>
      <c r="C74" s="181">
        <f>91*'ESS Jul 2021'!M51/100</f>
        <v>171.99</v>
      </c>
      <c r="D74" s="181">
        <f>($C$65*$C$66)*'ESS Jul 2021'!N51/100</f>
        <v>100.8</v>
      </c>
      <c r="E74" s="181">
        <v>0</v>
      </c>
      <c r="F74" s="181">
        <f>($C$65*$C$67)*'ESS Jul 2021'!AH51/100</f>
        <v>242.99999999999997</v>
      </c>
      <c r="G74" s="181">
        <f>($C$65*$C$68)*'ESS Jul 2021'!W51/100</f>
        <v>97.2</v>
      </c>
      <c r="H74" s="183">
        <f t="shared" si="10"/>
        <v>612.99</v>
      </c>
      <c r="I74" s="202">
        <f t="shared" si="11"/>
        <v>2697.1560000000004</v>
      </c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</row>
    <row r="75" spans="1:33" x14ac:dyDescent="0.3">
      <c r="A75" s="179" t="str">
        <f>'ESS Jul 2021'!K52</f>
        <v>EnergyAustralia</v>
      </c>
      <c r="B75" s="180">
        <f>'ESS Jul 2021'!G52</f>
        <v>42916</v>
      </c>
      <c r="C75" s="181">
        <f>91*'ESS Jul 2021'!M52/100</f>
        <v>130.36163636363636</v>
      </c>
      <c r="D75" s="181">
        <f>($C$65*$C$66)*'ESS Jul 2021'!N52/100</f>
        <v>129.82909090909089</v>
      </c>
      <c r="E75" s="181">
        <v>0</v>
      </c>
      <c r="F75" s="181">
        <f>($C$65*$C$67)*'ESS Jul 2021'!AH52/100</f>
        <v>277.2</v>
      </c>
      <c r="G75" s="181">
        <f>($C$65*$C$68)*'ESS Jul 2021'!W52/100</f>
        <v>107.55818181818182</v>
      </c>
      <c r="H75" s="183">
        <f t="shared" si="10"/>
        <v>644.94890909090896</v>
      </c>
      <c r="I75" s="202">
        <f t="shared" si="11"/>
        <v>2837.7751999999996</v>
      </c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</row>
    <row r="76" spans="1:33" x14ac:dyDescent="0.3">
      <c r="A76" s="179" t="str">
        <f>'ESS Jul 2021'!K53</f>
        <v>Mojo Power</v>
      </c>
      <c r="B76" s="180">
        <f>'ESS Jul 2021'!G53</f>
        <v>42916</v>
      </c>
      <c r="C76" s="181">
        <f>91*'ESS Jul 2021'!M53/100</f>
        <v>130.25409090909091</v>
      </c>
      <c r="D76" s="181">
        <f>($C$65*$C$66)*'ESS Jul 2021'!N53/100</f>
        <v>118.21090909090907</v>
      </c>
      <c r="E76" s="181">
        <v>0</v>
      </c>
      <c r="F76" s="181">
        <f>($C$65*$C$67)*'ESS Jul 2021'!AH53/100</f>
        <v>264.35454545454542</v>
      </c>
      <c r="G76" s="181">
        <f>($C$65*$C$68)*'ESS Jul 2021'!W53/100</f>
        <v>119.63454545454545</v>
      </c>
      <c r="H76" s="183">
        <f t="shared" si="10"/>
        <v>632.45409090909084</v>
      </c>
      <c r="I76" s="202">
        <f t="shared" si="11"/>
        <v>2782.7979999999998</v>
      </c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</row>
    <row r="77" spans="1:33" x14ac:dyDescent="0.3">
      <c r="A77" s="179" t="str">
        <f>'ESS Jul 2021'!K54</f>
        <v>Momentum Energy</v>
      </c>
      <c r="B77" s="180">
        <f>'ESS Jul 2021'!G54</f>
        <v>42916</v>
      </c>
      <c r="C77" s="181">
        <f>91*'ESS Jul 2021'!M54/100</f>
        <v>97.940818181818173</v>
      </c>
      <c r="D77" s="181">
        <f>($C$65*$C$66)*'ESS Jul 2021'!N54/100</f>
        <v>141.61090909090908</v>
      </c>
      <c r="E77" s="181">
        <v>0</v>
      </c>
      <c r="F77" s="181">
        <f>($C$65*$C$67)*'ESS Jul 2021'!AH54/100</f>
        <v>306.81818181818176</v>
      </c>
      <c r="G77" s="181">
        <f>($C$65*$C$68)*'ESS Jul 2021'!W54/100</f>
        <v>124.00363636363637</v>
      </c>
      <c r="H77" s="183">
        <f t="shared" si="10"/>
        <v>670.37354545454536</v>
      </c>
      <c r="I77" s="202">
        <f t="shared" si="11"/>
        <v>2949.6435999999999</v>
      </c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</row>
    <row r="78" spans="1:33" x14ac:dyDescent="0.3">
      <c r="A78" s="179" t="str">
        <f>'ESS Jul 2021'!K55</f>
        <v>Origin Energy</v>
      </c>
      <c r="B78" s="180">
        <f>'ESS Jul 2021'!G55</f>
        <v>42916</v>
      </c>
      <c r="C78" s="181">
        <f>91*'ESS Jul 2021'!M55/100</f>
        <v>127.48189999999997</v>
      </c>
      <c r="D78" s="181">
        <f>($C$65*$C$66)*'ESS Jul 2021'!N55/100</f>
        <v>126.18327272727271</v>
      </c>
      <c r="E78" s="181">
        <v>0</v>
      </c>
      <c r="F78" s="181">
        <f>($C$65*$C$67)*'ESS Jul 2021'!AH55/100</f>
        <v>301.04999999999995</v>
      </c>
      <c r="G78" s="181">
        <f>($C$65*$C$68)*'ESS Jul 2021'!W55/100</f>
        <v>103.57199999999997</v>
      </c>
      <c r="H78" s="183">
        <f t="shared" si="10"/>
        <v>658.2871727272726</v>
      </c>
      <c r="I78" s="202">
        <f t="shared" si="11"/>
        <v>2896.4635599999997</v>
      </c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</row>
    <row r="79" spans="1:33" x14ac:dyDescent="0.3">
      <c r="A79" s="179" t="str">
        <f>'ESS Jul 2021'!K56</f>
        <v>Powerdirect</v>
      </c>
      <c r="B79" s="180">
        <f>'ESS Jul 2021'!G56</f>
        <v>42916</v>
      </c>
      <c r="C79" s="181">
        <f>91*'ESS Jul 2021'!M56/100</f>
        <v>141.88554545454545</v>
      </c>
      <c r="D79" s="181">
        <f>($C$65*$C$66)*'ESS Jul 2021'!N56/100</f>
        <v>122.53090909090908</v>
      </c>
      <c r="E79" s="181">
        <v>0</v>
      </c>
      <c r="F79" s="181">
        <f>($C$65*$C$67)*'ESS Jul 2021'!AH56/100</f>
        <v>297.81818181818176</v>
      </c>
      <c r="G79" s="181">
        <f>($C$65*$C$68)*'ESS Jul 2021'!W56/100</f>
        <v>96.46363636363634</v>
      </c>
      <c r="H79" s="183">
        <f t="shared" si="10"/>
        <v>658.69827272727275</v>
      </c>
      <c r="I79" s="202">
        <f t="shared" si="11"/>
        <v>2898.2724000000003</v>
      </c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  <c r="AG79" s="325"/>
    </row>
    <row r="80" spans="1:33" x14ac:dyDescent="0.3">
      <c r="A80" s="179" t="str">
        <f>'ESS Jul 2021'!K57</f>
        <v>Powershop</v>
      </c>
      <c r="B80" s="180">
        <f>'ESS Jul 2021'!G57</f>
        <v>42916</v>
      </c>
      <c r="C80" s="181">
        <f>91*'ESS Jul 2021'!M57/100</f>
        <v>136.5</v>
      </c>
      <c r="D80" s="181">
        <f>($C$65*$C$66)*'ESS Jul 2021'!N57/100</f>
        <v>107.99999999999999</v>
      </c>
      <c r="E80" s="181">
        <v>0</v>
      </c>
      <c r="F80" s="181">
        <f>($C$65*$C$67)*'ESS Jul 2021'!AH57/100</f>
        <v>252</v>
      </c>
      <c r="G80" s="181">
        <f>($C$65*$C$68)*'ESS Jul 2021'!W57/100</f>
        <v>102.59999999999998</v>
      </c>
      <c r="H80" s="183">
        <f t="shared" si="10"/>
        <v>599.1</v>
      </c>
      <c r="I80" s="202">
        <f t="shared" si="11"/>
        <v>2636.0400000000004</v>
      </c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</row>
    <row r="81" spans="1:1050" x14ac:dyDescent="0.3">
      <c r="A81" s="179" t="str">
        <f>'ESS Jul 2021'!K58</f>
        <v>Red Energy</v>
      </c>
      <c r="B81" s="180">
        <f>'ESS Jul 2021'!G58</f>
        <v>42916</v>
      </c>
      <c r="C81" s="181">
        <f>91*'ESS Jul 2021'!M58/100</f>
        <v>129.60054545454545</v>
      </c>
      <c r="D81" s="181">
        <f>($C$65*$C$66)*'ESS Jul 2021'!N58/100</f>
        <v>132.47999999999999</v>
      </c>
      <c r="E81" s="181">
        <v>0</v>
      </c>
      <c r="F81" s="181">
        <f>($C$65*$C$67)*'ESS Jul 2021'!AH58/100</f>
        <v>229.66363636363636</v>
      </c>
      <c r="G81" s="181">
        <f>($C$65*$C$68)*'ESS Jul 2021'!W58/100</f>
        <v>113.35090909090908</v>
      </c>
      <c r="H81" s="183">
        <f t="shared" si="10"/>
        <v>605.09509090909091</v>
      </c>
      <c r="I81" s="202">
        <f t="shared" si="11"/>
        <v>2662.4184</v>
      </c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  <c r="AG81" s="325"/>
    </row>
    <row r="82" spans="1:1050" x14ac:dyDescent="0.3">
      <c r="A82" s="179" t="str">
        <f>'ESS Jul 2021'!K59</f>
        <v>Simply Energy</v>
      </c>
      <c r="B82" s="180">
        <f>'ESS Jul 2021'!G59</f>
        <v>42916</v>
      </c>
      <c r="C82" s="181">
        <f>91*'ESS Jul 2021'!M59/100</f>
        <v>124.74445454545453</v>
      </c>
      <c r="D82" s="181">
        <f>($C$65*$C$66)*'ESS Jul 2021'!N59/100</f>
        <v>123.7090909090909</v>
      </c>
      <c r="E82" s="181">
        <v>0</v>
      </c>
      <c r="F82" s="181">
        <f>($C$65*$C$67)*'ESS Jul 2021'!AH59/100</f>
        <v>281.7</v>
      </c>
      <c r="G82" s="181">
        <f>($C$65*$C$68)*'ESS Jul 2021'!W59/100</f>
        <v>114.67636363636362</v>
      </c>
      <c r="H82" s="183">
        <f t="shared" si="10"/>
        <v>644.82990909090904</v>
      </c>
      <c r="I82" s="202">
        <f t="shared" si="11"/>
        <v>2837.2516000000001</v>
      </c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  <c r="AG82" s="325"/>
    </row>
    <row r="83" spans="1:1050" x14ac:dyDescent="0.3">
      <c r="A83" s="179" t="str">
        <f>'ESS Jul 2021'!K60</f>
        <v>1st Energy</v>
      </c>
      <c r="B83" s="180">
        <f>'ESS Jul 2021'!G60</f>
        <v>42916</v>
      </c>
      <c r="C83" s="181">
        <f>91*'ESS Jul 2021'!M60/100</f>
        <v>151.96999999999997</v>
      </c>
      <c r="D83" s="181">
        <f>($C$65*$C$66)*'ESS Jul 2021'!N60/100</f>
        <v>104.75999999999998</v>
      </c>
      <c r="E83" s="181">
        <v>0</v>
      </c>
      <c r="F83" s="181">
        <f>($C$65*$C$67)*'ESS Jul 2021'!AH60/100</f>
        <v>234</v>
      </c>
      <c r="G83" s="181">
        <f>($C$65*$C$68)*'ESS Jul 2021'!W60/100</f>
        <v>96.119999999999976</v>
      </c>
      <c r="H83" s="183">
        <f t="shared" si="10"/>
        <v>586.84999999999991</v>
      </c>
      <c r="I83" s="202">
        <f t="shared" si="11"/>
        <v>2582.14</v>
      </c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</row>
    <row r="84" spans="1:1050" s="266" customFormat="1" x14ac:dyDescent="0.3">
      <c r="A84" s="179" t="str">
        <f>'ESS Jul 2021'!K61</f>
        <v>Enova Energy</v>
      </c>
      <c r="B84" s="180">
        <f>'ESS Jul 2021'!G61</f>
        <v>42928</v>
      </c>
      <c r="C84" s="181">
        <f>91*'ESS Jul 2021'!M61/100</f>
        <v>142.29090909090908</v>
      </c>
      <c r="D84" s="181">
        <f>($C$65*$C$66)*'ESS Jul 2021'!N61/100</f>
        <v>84.796363636363623</v>
      </c>
      <c r="E84" s="181">
        <v>0</v>
      </c>
      <c r="F84" s="181">
        <f>($C$65*$C$67)*'ESS Jul 2021'!AH61/100</f>
        <v>211.99090909090904</v>
      </c>
      <c r="G84" s="181">
        <f>($C$65*$C$68)*'ESS Jul 2021'!W61/100</f>
        <v>127.19454545454545</v>
      </c>
      <c r="H84" s="183">
        <f t="shared" si="10"/>
        <v>566.27272727272725</v>
      </c>
      <c r="I84" s="202">
        <f t="shared" si="11"/>
        <v>2491.6</v>
      </c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5"/>
      <c r="AC84" s="325"/>
      <c r="AD84" s="325"/>
      <c r="AE84" s="325"/>
      <c r="AF84" s="325"/>
      <c r="AG84" s="325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</row>
    <row r="85" spans="1:1050" s="266" customFormat="1" x14ac:dyDescent="0.3">
      <c r="A85" s="179" t="str">
        <f>'ESS Jul 2021'!K62</f>
        <v>Discover Energy</v>
      </c>
      <c r="B85" s="180">
        <f>'ESS Jul 2021'!G62</f>
        <v>42916</v>
      </c>
      <c r="C85" s="181">
        <f>91*'ESS Jul 2021'!M62/100</f>
        <v>120.11999999999998</v>
      </c>
      <c r="D85" s="181">
        <f>($C$65*$C$66)*'ESS Jul 2021'!N62/100</f>
        <v>111.6</v>
      </c>
      <c r="E85" s="181">
        <v>0</v>
      </c>
      <c r="F85" s="181">
        <f>($C$65*$C$67)*'ESS Jul 2021'!AH62/100</f>
        <v>260.99999999999994</v>
      </c>
      <c r="G85" s="181">
        <f>($C$65*$C$68)*'ESS Jul 2021'!W62/100</f>
        <v>104.76</v>
      </c>
      <c r="H85" s="183">
        <f t="shared" si="10"/>
        <v>597.4799999999999</v>
      </c>
      <c r="I85" s="202">
        <f t="shared" si="11"/>
        <v>2628.9119999999998</v>
      </c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  <c r="AG85" s="32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</row>
    <row r="86" spans="1:1050" s="266" customFormat="1" x14ac:dyDescent="0.3">
      <c r="A86" s="179" t="str">
        <f>'ESS Jul 2021'!K63</f>
        <v>Nectr</v>
      </c>
      <c r="B86" s="180">
        <f>'ESS Jul 2021'!G63</f>
        <v>42936</v>
      </c>
      <c r="C86" s="181">
        <f>91*'ESS Jul 2021'!M63/100</f>
        <v>132.22300000000001</v>
      </c>
      <c r="D86" s="181">
        <f>($C$65*$C$66)*'ESS Jul 2021'!N63/100</f>
        <v>126.71999999999998</v>
      </c>
      <c r="E86" s="181">
        <v>0</v>
      </c>
      <c r="F86" s="181">
        <f>($C$65*$C$67)*'ESS Jul 2021'!AH63/100</f>
        <v>305.99999999999994</v>
      </c>
      <c r="G86" s="181">
        <f>($C$65*$C$68)*'ESS Jul 2021'!W63/100</f>
        <v>97.739999999999981</v>
      </c>
      <c r="H86" s="183">
        <f t="shared" si="10"/>
        <v>662.68299999999999</v>
      </c>
      <c r="I86" s="202">
        <f t="shared" si="11"/>
        <v>2915.8052000000002</v>
      </c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5"/>
      <c r="AC86" s="325"/>
      <c r="AD86" s="325"/>
      <c r="AE86" s="325"/>
      <c r="AF86" s="325"/>
      <c r="AG86" s="325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</row>
    <row r="87" spans="1:1050" ht="14" thickBot="1" x14ac:dyDescent="0.35">
      <c r="A87" s="184" t="str">
        <f>'ESS Jul 2021'!K64</f>
        <v>Tango Energy</v>
      </c>
      <c r="B87" s="185">
        <f>'ESS Jul 2021'!G64</f>
        <v>42916</v>
      </c>
      <c r="C87" s="186">
        <f>91*'ESS Jul 2021'!M64/100</f>
        <v>119.119</v>
      </c>
      <c r="D87" s="186">
        <f>($C$65*$C$66)*'ESS Jul 2021'!N64/100</f>
        <v>107.99999999999999</v>
      </c>
      <c r="E87" s="186">
        <v>1</v>
      </c>
      <c r="F87" s="186">
        <f>($C$65*$C$67)*'ESS Jul 2021'!AH64/100</f>
        <v>252</v>
      </c>
      <c r="G87" s="186">
        <f>($C$65*$C$68)*'ESS Jul 2021'!W64/100</f>
        <v>129.6</v>
      </c>
      <c r="H87" s="188">
        <f t="shared" ref="H87" si="12">SUM(C87:G87)</f>
        <v>609.71899999999994</v>
      </c>
      <c r="I87" s="203">
        <f t="shared" ref="I87" si="13">(H87*4)*1.1</f>
        <v>2682.7635999999998</v>
      </c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</row>
    <row r="88" spans="1:1050" customFormat="1" x14ac:dyDescent="0.3">
      <c r="A88" s="325"/>
      <c r="B88" s="325"/>
      <c r="C88" s="325"/>
      <c r="D88" s="325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5"/>
      <c r="AC88" s="325"/>
      <c r="AD88" s="325"/>
      <c r="AE88" s="325"/>
      <c r="AF88" s="325"/>
      <c r="AG88" s="325"/>
    </row>
    <row r="89" spans="1:1050" customFormat="1" x14ac:dyDescent="0.3">
      <c r="A89" s="325"/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</row>
    <row r="90" spans="1:1050" customFormat="1" x14ac:dyDescent="0.3">
      <c r="A90" s="325"/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1050" customFormat="1" x14ac:dyDescent="0.3">
      <c r="A91" s="325"/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5"/>
      <c r="AE91" s="325"/>
      <c r="AF91" s="325"/>
      <c r="AG91" s="325"/>
    </row>
    <row r="92" spans="1:1050" customFormat="1" x14ac:dyDescent="0.3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5"/>
      <c r="AC92" s="325"/>
      <c r="AD92" s="325"/>
      <c r="AE92" s="325"/>
      <c r="AF92" s="325"/>
      <c r="AG92" s="325"/>
    </row>
    <row r="93" spans="1:1050" customFormat="1" x14ac:dyDescent="0.3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5"/>
      <c r="AC93" s="325"/>
      <c r="AD93" s="325"/>
      <c r="AE93" s="325"/>
      <c r="AF93" s="325"/>
      <c r="AG93" s="325"/>
    </row>
    <row r="94" spans="1:1050" customFormat="1" x14ac:dyDescent="0.3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  <c r="AA94" s="325"/>
      <c r="AB94" s="325"/>
      <c r="AC94" s="325"/>
      <c r="AD94" s="325"/>
      <c r="AE94" s="325"/>
      <c r="AF94" s="325"/>
      <c r="AG94" s="325"/>
    </row>
    <row r="95" spans="1:1050" customFormat="1" x14ac:dyDescent="0.3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</row>
    <row r="96" spans="1:1050" customFormat="1" x14ac:dyDescent="0.3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  <c r="AA96" s="325"/>
      <c r="AB96" s="325"/>
      <c r="AC96" s="325"/>
      <c r="AD96" s="325"/>
      <c r="AE96" s="325"/>
      <c r="AF96" s="325"/>
      <c r="AG96" s="325"/>
    </row>
    <row r="97" spans="1:33" customFormat="1" x14ac:dyDescent="0.3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C97" s="325"/>
      <c r="AD97" s="325"/>
      <c r="AE97" s="325"/>
      <c r="AF97" s="325"/>
      <c r="AG97" s="325"/>
    </row>
    <row r="98" spans="1:33" customFormat="1" x14ac:dyDescent="0.3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</row>
    <row r="99" spans="1:33" customFormat="1" x14ac:dyDescent="0.3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5"/>
      <c r="AC99" s="325"/>
      <c r="AD99" s="325"/>
      <c r="AE99" s="325"/>
      <c r="AF99" s="325"/>
      <c r="AG99" s="325"/>
    </row>
    <row r="100" spans="1:33" customFormat="1" x14ac:dyDescent="0.3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  <c r="AA100" s="325"/>
      <c r="AB100" s="325"/>
      <c r="AC100" s="325"/>
      <c r="AD100" s="325"/>
      <c r="AE100" s="325"/>
      <c r="AF100" s="325"/>
      <c r="AG100" s="325"/>
    </row>
    <row r="101" spans="1:33" customFormat="1" x14ac:dyDescent="0.3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  <c r="AA101" s="325"/>
      <c r="AB101" s="325"/>
      <c r="AC101" s="325"/>
      <c r="AD101" s="325"/>
      <c r="AE101" s="325"/>
      <c r="AF101" s="325"/>
      <c r="AG101" s="325"/>
    </row>
    <row r="102" spans="1:33" customFormat="1" x14ac:dyDescent="0.3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  <c r="AA102" s="325"/>
      <c r="AB102" s="325"/>
      <c r="AC102" s="325"/>
      <c r="AD102" s="325"/>
      <c r="AE102" s="325"/>
      <c r="AF102" s="325"/>
      <c r="AG102" s="325"/>
    </row>
    <row r="103" spans="1:33" customFormat="1" x14ac:dyDescent="0.3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5"/>
      <c r="AC103" s="325"/>
      <c r="AD103" s="325"/>
      <c r="AE103" s="325"/>
      <c r="AF103" s="325"/>
      <c r="AG103" s="325"/>
    </row>
    <row r="104" spans="1:33" customFormat="1" x14ac:dyDescent="0.3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  <c r="AB104" s="325"/>
      <c r="AC104" s="325"/>
      <c r="AD104" s="325"/>
      <c r="AE104" s="325"/>
      <c r="AF104" s="325"/>
      <c r="AG104" s="325"/>
    </row>
    <row r="105" spans="1:33" customFormat="1" x14ac:dyDescent="0.3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5"/>
      <c r="AC105" s="325"/>
      <c r="AD105" s="325"/>
      <c r="AE105" s="325"/>
      <c r="AF105" s="325"/>
      <c r="AG105" s="325"/>
    </row>
    <row r="106" spans="1:33" customFormat="1" x14ac:dyDescent="0.3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</row>
    <row r="107" spans="1:33" customFormat="1" x14ac:dyDescent="0.3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5"/>
      <c r="AC107" s="325"/>
      <c r="AD107" s="325"/>
      <c r="AE107" s="325"/>
      <c r="AF107" s="325"/>
      <c r="AG107" s="325"/>
    </row>
    <row r="108" spans="1:33" customFormat="1" x14ac:dyDescent="0.3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325"/>
      <c r="AC108" s="325"/>
      <c r="AD108" s="325"/>
      <c r="AE108" s="325"/>
      <c r="AF108" s="325"/>
      <c r="AG108" s="325"/>
    </row>
    <row r="109" spans="1:33" customFormat="1" x14ac:dyDescent="0.3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  <c r="AB109" s="325"/>
      <c r="AC109" s="325"/>
      <c r="AD109" s="325"/>
      <c r="AE109" s="325"/>
      <c r="AF109" s="325"/>
      <c r="AG109" s="325"/>
    </row>
    <row r="110" spans="1:33" customFormat="1" x14ac:dyDescent="0.3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</row>
    <row r="111" spans="1:33" customFormat="1" x14ac:dyDescent="0.3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5"/>
      <c r="AC111" s="325"/>
      <c r="AD111" s="325"/>
      <c r="AE111" s="325"/>
      <c r="AF111" s="325"/>
      <c r="AG111" s="325"/>
    </row>
    <row r="112" spans="1:33" customFormat="1" x14ac:dyDescent="0.3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</row>
    <row r="113" spans="1:33" customFormat="1" x14ac:dyDescent="0.3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</row>
    <row r="114" spans="1:33" customFormat="1" x14ac:dyDescent="0.3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</row>
    <row r="115" spans="1:33" customFormat="1" x14ac:dyDescent="0.3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  <c r="AB115" s="325"/>
      <c r="AC115" s="325"/>
      <c r="AD115" s="325"/>
      <c r="AE115" s="325"/>
      <c r="AF115" s="325"/>
      <c r="AG115" s="325"/>
    </row>
    <row r="116" spans="1:33" customFormat="1" x14ac:dyDescent="0.3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</row>
    <row r="117" spans="1:33" customFormat="1" x14ac:dyDescent="0.3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  <c r="AB117" s="325"/>
      <c r="AC117" s="325"/>
      <c r="AD117" s="325"/>
      <c r="AE117" s="325"/>
      <c r="AF117" s="325"/>
      <c r="AG117" s="325"/>
    </row>
    <row r="118" spans="1:33" customFormat="1" x14ac:dyDescent="0.3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  <c r="AE118" s="325"/>
      <c r="AF118" s="325"/>
      <c r="AG118" s="325"/>
    </row>
    <row r="119" spans="1:33" customFormat="1" x14ac:dyDescent="0.3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/>
      <c r="AB119" s="325"/>
      <c r="AC119" s="325"/>
      <c r="AD119" s="325"/>
      <c r="AE119" s="325"/>
      <c r="AF119" s="325"/>
      <c r="AG119" s="325"/>
    </row>
    <row r="120" spans="1:33" customFormat="1" x14ac:dyDescent="0.3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  <c r="AE120" s="325"/>
      <c r="AF120" s="325"/>
      <c r="AG120" s="325"/>
    </row>
    <row r="121" spans="1:33" customFormat="1" x14ac:dyDescent="0.3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  <c r="AA121" s="325"/>
      <c r="AB121" s="325"/>
      <c r="AC121" s="325"/>
      <c r="AD121" s="325"/>
      <c r="AE121" s="325"/>
      <c r="AF121" s="325"/>
      <c r="AG121" s="325"/>
    </row>
    <row r="122" spans="1:33" customFormat="1" x14ac:dyDescent="0.3"/>
    <row r="123" spans="1:33" customFormat="1" x14ac:dyDescent="0.3"/>
    <row r="124" spans="1:33" customFormat="1" x14ac:dyDescent="0.3"/>
    <row r="125" spans="1:33" customFormat="1" x14ac:dyDescent="0.3"/>
    <row r="126" spans="1:33" customFormat="1" x14ac:dyDescent="0.3"/>
    <row r="127" spans="1:33" customFormat="1" x14ac:dyDescent="0.3"/>
    <row r="128" spans="1:33" customFormat="1" x14ac:dyDescent="0.3"/>
    <row r="129" customFormat="1" x14ac:dyDescent="0.3"/>
    <row r="130" customFormat="1" x14ac:dyDescent="0.3"/>
    <row r="131" customFormat="1" x14ac:dyDescent="0.3"/>
    <row r="132" customFormat="1" x14ac:dyDescent="0.3"/>
    <row r="133" customFormat="1" x14ac:dyDescent="0.3"/>
    <row r="134" customFormat="1" x14ac:dyDescent="0.3"/>
    <row r="135" customFormat="1" x14ac:dyDescent="0.3"/>
    <row r="136" customFormat="1" x14ac:dyDescent="0.3"/>
    <row r="137" customFormat="1" x14ac:dyDescent="0.3"/>
    <row r="138" customFormat="1" x14ac:dyDescent="0.3"/>
    <row r="139" customFormat="1" x14ac:dyDescent="0.3"/>
    <row r="140" customFormat="1" x14ac:dyDescent="0.3"/>
    <row r="141" customFormat="1" x14ac:dyDescent="0.3"/>
    <row r="142" customFormat="1" x14ac:dyDescent="0.3"/>
    <row r="143" customFormat="1" x14ac:dyDescent="0.3"/>
    <row r="144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</sheetData>
  <sheetProtection algorithmName="SHA-512" hashValue="uO0/SjTsEa6yGM8Z2IQE8B7DaHD1imJdqKPpWiBwxbJqVgsPRo2NRNdp2EOYmE1xoFKMIPX47CdgmpP9IrWDcQ==" saltValue="LPVjzRLOA9WIv7eYn9Nvhg==" spinCount="100000" sheet="1" objects="1" scenarios="1"/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8"/>
  <dimension ref="A1:CP53"/>
  <sheetViews>
    <sheetView workbookViewId="0">
      <selection activeCell="F9" sqref="A9:XFD9"/>
    </sheetView>
  </sheetViews>
  <sheetFormatPr defaultColWidth="11" defaultRowHeight="13.5" x14ac:dyDescent="0.3"/>
  <cols>
    <col min="12" max="12" width="15.15234375" customWidth="1"/>
    <col min="38" max="38" width="14.6914062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2305</v>
      </c>
      <c r="B2" s="158">
        <v>41136</v>
      </c>
      <c r="C2" s="154" t="s">
        <v>236</v>
      </c>
      <c r="D2" s="155" t="s">
        <v>125</v>
      </c>
      <c r="E2" s="155"/>
      <c r="F2" s="155" t="s">
        <v>237</v>
      </c>
      <c r="G2" s="153">
        <v>41114</v>
      </c>
      <c r="H2" s="156" t="s">
        <v>197</v>
      </c>
      <c r="I2" s="156" t="s">
        <v>238</v>
      </c>
      <c r="J2" s="156"/>
      <c r="K2" s="155" t="s">
        <v>258</v>
      </c>
      <c r="L2" s="159" t="s">
        <v>222</v>
      </c>
      <c r="M2" s="155">
        <v>81.61</v>
      </c>
      <c r="N2" s="155">
        <v>25.11</v>
      </c>
      <c r="O2" s="155" t="s">
        <v>240</v>
      </c>
      <c r="P2" s="155">
        <v>1000</v>
      </c>
      <c r="Q2" s="155">
        <v>24.38</v>
      </c>
      <c r="R2" s="157">
        <v>2000</v>
      </c>
      <c r="S2" s="155">
        <v>22.92</v>
      </c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 t="s">
        <v>196</v>
      </c>
      <c r="AM2" s="156" t="s">
        <v>197</v>
      </c>
      <c r="AN2" s="156"/>
      <c r="AO2" s="156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1993</v>
      </c>
      <c r="B3" s="158">
        <v>41095</v>
      </c>
      <c r="C3" s="154" t="s">
        <v>236</v>
      </c>
      <c r="D3" s="155" t="s">
        <v>125</v>
      </c>
      <c r="E3" s="155"/>
      <c r="F3" s="155" t="s">
        <v>237</v>
      </c>
      <c r="G3" s="153">
        <v>41090</v>
      </c>
      <c r="H3" s="156" t="s">
        <v>241</v>
      </c>
      <c r="I3" s="156" t="s">
        <v>197</v>
      </c>
      <c r="J3" s="156"/>
      <c r="K3" s="155" t="s">
        <v>106</v>
      </c>
      <c r="L3" s="159" t="s">
        <v>222</v>
      </c>
      <c r="M3" s="155">
        <v>78.569999999999993</v>
      </c>
      <c r="N3" s="155">
        <v>25.11</v>
      </c>
      <c r="O3" s="155" t="s">
        <v>240</v>
      </c>
      <c r="P3" s="155">
        <v>1000</v>
      </c>
      <c r="Q3" s="155">
        <v>24.38</v>
      </c>
      <c r="R3" s="157">
        <v>2000</v>
      </c>
      <c r="S3" s="155">
        <v>19.010000000000002</v>
      </c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2555</v>
      </c>
      <c r="B4" s="158">
        <v>41137</v>
      </c>
      <c r="C4" s="154" t="s">
        <v>236</v>
      </c>
      <c r="D4" s="155" t="s">
        <v>125</v>
      </c>
      <c r="E4" s="155"/>
      <c r="F4" s="155" t="s">
        <v>237</v>
      </c>
      <c r="G4" s="153">
        <v>41121</v>
      </c>
      <c r="H4" s="156" t="s">
        <v>197</v>
      </c>
      <c r="I4" s="156" t="s">
        <v>238</v>
      </c>
      <c r="J4" s="156"/>
      <c r="K4" s="155" t="s">
        <v>242</v>
      </c>
      <c r="L4" s="159" t="s">
        <v>222</v>
      </c>
      <c r="M4" s="155">
        <v>73.849999999999994</v>
      </c>
      <c r="N4" s="155">
        <v>24.59</v>
      </c>
      <c r="O4" s="155" t="s">
        <v>240</v>
      </c>
      <c r="P4" s="155">
        <v>1000</v>
      </c>
      <c r="Q4" s="155">
        <v>24.26</v>
      </c>
      <c r="R4" s="157">
        <v>2000</v>
      </c>
      <c r="S4" s="155">
        <v>23.94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1093</v>
      </c>
      <c r="B5" s="158">
        <v>41095</v>
      </c>
      <c r="C5" s="154" t="s">
        <v>236</v>
      </c>
      <c r="D5" s="155" t="s">
        <v>125</v>
      </c>
      <c r="E5" s="155"/>
      <c r="F5" s="155" t="s">
        <v>237</v>
      </c>
      <c r="G5" s="153">
        <v>41090</v>
      </c>
      <c r="H5" s="156" t="s">
        <v>197</v>
      </c>
      <c r="I5" s="156" t="s">
        <v>238</v>
      </c>
      <c r="J5" s="156"/>
      <c r="K5" s="155" t="s">
        <v>243</v>
      </c>
      <c r="L5" s="159" t="s">
        <v>222</v>
      </c>
      <c r="M5" s="155">
        <v>87</v>
      </c>
      <c r="N5" s="155">
        <v>27.6</v>
      </c>
      <c r="O5" s="155" t="s">
        <v>240</v>
      </c>
      <c r="P5" s="155">
        <v>1000</v>
      </c>
      <c r="Q5" s="155">
        <v>26.3</v>
      </c>
      <c r="R5" s="157">
        <v>2000</v>
      </c>
      <c r="S5" s="155">
        <v>25.8</v>
      </c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1469</v>
      </c>
      <c r="B6" s="158">
        <v>41149</v>
      </c>
      <c r="C6" s="154" t="s">
        <v>236</v>
      </c>
      <c r="D6" s="155" t="s">
        <v>125</v>
      </c>
      <c r="E6" s="155"/>
      <c r="F6" s="155" t="s">
        <v>237</v>
      </c>
      <c r="G6" s="153">
        <v>41121</v>
      </c>
      <c r="H6" s="156" t="s">
        <v>241</v>
      </c>
      <c r="I6" s="156" t="s">
        <v>197</v>
      </c>
      <c r="J6" s="156"/>
      <c r="K6" s="159" t="s">
        <v>117</v>
      </c>
      <c r="L6" s="159" t="s">
        <v>222</v>
      </c>
      <c r="M6" s="159">
        <v>79.75</v>
      </c>
      <c r="N6" s="159">
        <v>24.65</v>
      </c>
      <c r="O6" s="155" t="s">
        <v>240</v>
      </c>
      <c r="P6" s="159">
        <v>1000</v>
      </c>
      <c r="Q6" s="159">
        <v>24.65</v>
      </c>
      <c r="R6" s="157">
        <v>2000</v>
      </c>
      <c r="S6" s="159">
        <v>24.65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1511</v>
      </c>
      <c r="B7" s="158">
        <v>41095</v>
      </c>
      <c r="C7" s="154" t="s">
        <v>236</v>
      </c>
      <c r="D7" s="155" t="s">
        <v>125</v>
      </c>
      <c r="E7" s="155"/>
      <c r="F7" s="155" t="s">
        <v>237</v>
      </c>
      <c r="G7" s="153">
        <v>41097</v>
      </c>
      <c r="H7" s="156" t="s">
        <v>241</v>
      </c>
      <c r="I7" s="156" t="s">
        <v>197</v>
      </c>
      <c r="J7" s="156"/>
      <c r="K7" s="159" t="s">
        <v>244</v>
      </c>
      <c r="L7" s="159" t="s">
        <v>222</v>
      </c>
      <c r="M7" s="159">
        <v>95.8</v>
      </c>
      <c r="N7" s="159">
        <v>26.9</v>
      </c>
      <c r="O7" s="155" t="s">
        <v>240</v>
      </c>
      <c r="P7" s="159">
        <v>1000</v>
      </c>
      <c r="Q7" s="159">
        <v>26.01</v>
      </c>
      <c r="R7" s="157">
        <v>2000</v>
      </c>
      <c r="S7" s="159">
        <v>24.93</v>
      </c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1439</v>
      </c>
      <c r="B8" s="158">
        <v>41136</v>
      </c>
      <c r="C8" s="154" t="s">
        <v>236</v>
      </c>
      <c r="D8" s="155" t="s">
        <v>125</v>
      </c>
      <c r="E8" s="155"/>
      <c r="F8" s="155" t="s">
        <v>237</v>
      </c>
      <c r="G8" s="153">
        <v>41121</v>
      </c>
      <c r="H8" s="156" t="s">
        <v>241</v>
      </c>
      <c r="I8" s="156" t="s">
        <v>197</v>
      </c>
      <c r="J8" s="156"/>
      <c r="K8" s="155" t="s">
        <v>245</v>
      </c>
      <c r="L8" s="159" t="s">
        <v>222</v>
      </c>
      <c r="M8" s="159">
        <v>84.98</v>
      </c>
      <c r="N8" s="159">
        <v>22.21</v>
      </c>
      <c r="O8" s="155" t="s">
        <v>240</v>
      </c>
      <c r="P8" s="159">
        <v>300</v>
      </c>
      <c r="Q8" s="159">
        <v>23.98</v>
      </c>
      <c r="R8" s="163">
        <v>1020</v>
      </c>
      <c r="S8" s="159">
        <v>26.97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1481</v>
      </c>
      <c r="B9" s="158">
        <v>41149</v>
      </c>
      <c r="C9" s="154" t="s">
        <v>236</v>
      </c>
      <c r="D9" s="155" t="s">
        <v>125</v>
      </c>
      <c r="E9" s="155"/>
      <c r="F9" s="155" t="s">
        <v>237</v>
      </c>
      <c r="G9" s="153">
        <v>41121</v>
      </c>
      <c r="H9" s="156" t="s">
        <v>241</v>
      </c>
      <c r="I9" s="156" t="s">
        <v>197</v>
      </c>
      <c r="J9" s="156"/>
      <c r="K9" s="159" t="s">
        <v>246</v>
      </c>
      <c r="L9" s="159" t="s">
        <v>222</v>
      </c>
      <c r="M9" s="159">
        <v>78.650000000000006</v>
      </c>
      <c r="N9" s="159">
        <v>23.9</v>
      </c>
      <c r="O9" s="155" t="s">
        <v>240</v>
      </c>
      <c r="P9" s="159">
        <v>1000</v>
      </c>
      <c r="Q9" s="159">
        <v>23.9</v>
      </c>
      <c r="R9" s="163">
        <v>2000</v>
      </c>
      <c r="S9" s="159">
        <v>23.9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1239</v>
      </c>
      <c r="B10" s="158">
        <v>41149</v>
      </c>
      <c r="C10" s="154" t="s">
        <v>236</v>
      </c>
      <c r="D10" s="155" t="s">
        <v>125</v>
      </c>
      <c r="E10" s="155"/>
      <c r="F10" s="155" t="s">
        <v>237</v>
      </c>
      <c r="G10" s="153">
        <v>41090</v>
      </c>
      <c r="H10" s="156" t="s">
        <v>241</v>
      </c>
      <c r="I10" s="156" t="s">
        <v>197</v>
      </c>
      <c r="J10" s="156"/>
      <c r="K10" s="155" t="s">
        <v>247</v>
      </c>
      <c r="L10" s="159" t="s">
        <v>222</v>
      </c>
      <c r="M10" s="159">
        <v>76.275000000000006</v>
      </c>
      <c r="N10" s="159">
        <v>24.296099999999999</v>
      </c>
      <c r="O10" s="155" t="s">
        <v>240</v>
      </c>
      <c r="P10" s="159">
        <v>1000</v>
      </c>
      <c r="Q10" s="155">
        <v>23.747</v>
      </c>
      <c r="R10" s="163">
        <v>2000</v>
      </c>
      <c r="S10" s="159">
        <v>23.207899999999999</v>
      </c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2515</v>
      </c>
      <c r="B11" s="158">
        <v>41149</v>
      </c>
      <c r="C11" s="154" t="s">
        <v>236</v>
      </c>
      <c r="D11" s="155" t="s">
        <v>125</v>
      </c>
      <c r="E11" s="155"/>
      <c r="F11" s="155" t="s">
        <v>237</v>
      </c>
      <c r="G11" s="153">
        <v>41090</v>
      </c>
      <c r="H11" s="156" t="s">
        <v>241</v>
      </c>
      <c r="I11" s="156" t="s">
        <v>197</v>
      </c>
      <c r="J11" s="156"/>
      <c r="K11" s="159" t="s">
        <v>249</v>
      </c>
      <c r="L11" s="159" t="s">
        <v>222</v>
      </c>
      <c r="M11" s="159">
        <v>57.92</v>
      </c>
      <c r="N11" s="159">
        <v>27.12</v>
      </c>
      <c r="O11" s="155" t="s">
        <v>240</v>
      </c>
      <c r="P11" s="159">
        <v>1000</v>
      </c>
      <c r="Q11" s="159">
        <v>26.72</v>
      </c>
      <c r="R11" s="163">
        <v>2000</v>
      </c>
      <c r="S11" s="159">
        <v>26.35</v>
      </c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/>
      <c r="B12" s="158">
        <v>41149</v>
      </c>
      <c r="C12" s="154" t="s">
        <v>236</v>
      </c>
      <c r="D12" s="155" t="s">
        <v>125</v>
      </c>
      <c r="E12" s="155"/>
      <c r="F12" s="155" t="s">
        <v>237</v>
      </c>
      <c r="G12" s="153">
        <v>41097</v>
      </c>
      <c r="H12" s="156" t="s">
        <v>241</v>
      </c>
      <c r="I12" s="156" t="s">
        <v>197</v>
      </c>
      <c r="J12" s="156"/>
      <c r="K12" s="159" t="s">
        <v>250</v>
      </c>
      <c r="L12" s="159" t="s">
        <v>222</v>
      </c>
      <c r="M12" s="159">
        <v>73.739999999999995</v>
      </c>
      <c r="N12" s="159">
        <v>26.77</v>
      </c>
      <c r="O12" s="155" t="s">
        <v>240</v>
      </c>
      <c r="P12" s="159">
        <v>600</v>
      </c>
      <c r="Q12" s="159">
        <v>22.73</v>
      </c>
      <c r="R12" s="157">
        <v>2000</v>
      </c>
      <c r="S12" s="155">
        <v>22.48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/>
      <c r="AM12" s="156"/>
      <c r="AN12" s="162"/>
      <c r="AO12" s="162"/>
    </row>
    <row r="13" spans="1:94" x14ac:dyDescent="0.3">
      <c r="A13" s="152">
        <v>2259</v>
      </c>
      <c r="B13" s="158">
        <v>41095</v>
      </c>
      <c r="C13" s="154" t="s">
        <v>236</v>
      </c>
      <c r="D13" s="155" t="s">
        <v>125</v>
      </c>
      <c r="E13" s="155"/>
      <c r="F13" s="155" t="s">
        <v>237</v>
      </c>
      <c r="G13" s="153">
        <v>41090</v>
      </c>
      <c r="H13" s="156" t="s">
        <v>241</v>
      </c>
      <c r="I13" s="156" t="s">
        <v>197</v>
      </c>
      <c r="J13" s="156"/>
      <c r="K13" s="155" t="s">
        <v>251</v>
      </c>
      <c r="L13" s="159" t="s">
        <v>222</v>
      </c>
      <c r="M13" s="155">
        <v>80.599999999999994</v>
      </c>
      <c r="N13" s="155">
        <v>24.55</v>
      </c>
      <c r="O13" s="155" t="s">
        <v>240</v>
      </c>
      <c r="P13" s="155">
        <v>1000</v>
      </c>
      <c r="Q13" s="155">
        <v>24.1</v>
      </c>
      <c r="R13" s="157">
        <v>2000</v>
      </c>
      <c r="S13" s="155">
        <v>22</v>
      </c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1277</v>
      </c>
      <c r="B14" s="158">
        <v>41136</v>
      </c>
      <c r="C14" s="154" t="s">
        <v>236</v>
      </c>
      <c r="D14" s="155" t="s">
        <v>125</v>
      </c>
      <c r="E14" s="155"/>
      <c r="F14" s="155" t="s">
        <v>237</v>
      </c>
      <c r="G14" s="153">
        <v>41121</v>
      </c>
      <c r="H14" s="156" t="s">
        <v>197</v>
      </c>
      <c r="I14" s="156" t="s">
        <v>238</v>
      </c>
      <c r="J14" s="156"/>
      <c r="K14" s="155" t="s">
        <v>108</v>
      </c>
      <c r="L14" s="159" t="s">
        <v>222</v>
      </c>
      <c r="M14" s="159">
        <v>78.569999999999993</v>
      </c>
      <c r="N14" s="159">
        <v>25.75</v>
      </c>
      <c r="O14" s="155" t="s">
        <v>240</v>
      </c>
      <c r="P14" s="159">
        <v>1750</v>
      </c>
      <c r="Q14" s="155">
        <v>20.87</v>
      </c>
      <c r="R14" s="165">
        <v>1750</v>
      </c>
      <c r="S14" s="165">
        <v>20.87</v>
      </c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1457</v>
      </c>
      <c r="B15" s="158">
        <v>41135</v>
      </c>
      <c r="C15" s="154" t="s">
        <v>236</v>
      </c>
      <c r="D15" s="155" t="s">
        <v>125</v>
      </c>
      <c r="E15" s="155"/>
      <c r="F15" s="155" t="s">
        <v>237</v>
      </c>
      <c r="G15" s="153">
        <v>41090</v>
      </c>
      <c r="H15" s="156" t="s">
        <v>241</v>
      </c>
      <c r="I15" s="156" t="s">
        <v>197</v>
      </c>
      <c r="J15" s="156"/>
      <c r="K15" s="159" t="s">
        <v>252</v>
      </c>
      <c r="L15" s="159" t="s">
        <v>222</v>
      </c>
      <c r="M15" s="159">
        <v>89.25</v>
      </c>
      <c r="N15" s="159">
        <v>24.46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1383</v>
      </c>
      <c r="B16" s="158">
        <v>41095</v>
      </c>
      <c r="C16" s="154" t="s">
        <v>236</v>
      </c>
      <c r="D16" s="155" t="s">
        <v>125</v>
      </c>
      <c r="E16" s="155"/>
      <c r="F16" s="155" t="s">
        <v>237</v>
      </c>
      <c r="G16" s="164">
        <v>41090</v>
      </c>
      <c r="H16" s="156" t="s">
        <v>241</v>
      </c>
      <c r="I16" s="156" t="s">
        <v>197</v>
      </c>
      <c r="J16" s="156"/>
      <c r="K16" s="155" t="s">
        <v>253</v>
      </c>
      <c r="L16" s="159" t="s">
        <v>222</v>
      </c>
      <c r="M16" s="159">
        <v>75.41</v>
      </c>
      <c r="N16" s="159">
        <v>24.34</v>
      </c>
      <c r="O16" s="155" t="s">
        <v>240</v>
      </c>
      <c r="P16" s="159">
        <v>1000</v>
      </c>
      <c r="Q16" s="159">
        <v>24.12</v>
      </c>
      <c r="R16" s="157">
        <v>2000</v>
      </c>
      <c r="S16" s="155">
        <v>22.96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1363</v>
      </c>
      <c r="B17" s="158">
        <v>41149</v>
      </c>
      <c r="C17" s="154" t="s">
        <v>236</v>
      </c>
      <c r="D17" s="155" t="s">
        <v>125</v>
      </c>
      <c r="E17" s="155"/>
      <c r="F17" s="155" t="s">
        <v>237</v>
      </c>
      <c r="G17" s="164">
        <v>41094</v>
      </c>
      <c r="H17" s="156" t="s">
        <v>197</v>
      </c>
      <c r="I17" s="156" t="s">
        <v>238</v>
      </c>
      <c r="J17" s="156"/>
      <c r="K17" s="155" t="s">
        <v>254</v>
      </c>
      <c r="L17" s="159" t="s">
        <v>222</v>
      </c>
      <c r="M17" s="155">
        <v>73.069999999999993</v>
      </c>
      <c r="N17" s="155">
        <v>19.72</v>
      </c>
      <c r="O17" s="155" t="s">
        <v>240</v>
      </c>
      <c r="P17" s="155">
        <v>1000</v>
      </c>
      <c r="Q17" s="155">
        <v>20.89</v>
      </c>
      <c r="R17" s="163">
        <v>2000</v>
      </c>
      <c r="S17" s="155">
        <v>22.56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>
        <v>2527</v>
      </c>
      <c r="B18" s="158">
        <v>41135</v>
      </c>
      <c r="C18" s="154" t="s">
        <v>236</v>
      </c>
      <c r="D18" s="155" t="s">
        <v>125</v>
      </c>
      <c r="E18" s="155"/>
      <c r="F18" s="155" t="s">
        <v>237</v>
      </c>
      <c r="G18" s="153">
        <v>41090</v>
      </c>
      <c r="H18" s="156" t="s">
        <v>241</v>
      </c>
      <c r="I18" s="156" t="s">
        <v>197</v>
      </c>
      <c r="J18" s="156"/>
      <c r="K18" s="159" t="s">
        <v>255</v>
      </c>
      <c r="L18" s="159" t="s">
        <v>222</v>
      </c>
      <c r="M18" s="159">
        <v>80.599999999999994</v>
      </c>
      <c r="N18" s="159">
        <v>25.2</v>
      </c>
      <c r="O18" s="155" t="s">
        <v>240</v>
      </c>
      <c r="P18" s="159">
        <v>1000</v>
      </c>
      <c r="Q18" s="159">
        <v>24.8</v>
      </c>
      <c r="R18" s="163">
        <v>2000</v>
      </c>
      <c r="S18" s="159">
        <v>24.4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>
        <v>2306</v>
      </c>
      <c r="B19" s="158">
        <v>41136</v>
      </c>
      <c r="C19" s="154" t="s">
        <v>236</v>
      </c>
      <c r="D19" s="155" t="s">
        <v>125</v>
      </c>
      <c r="E19" s="155"/>
      <c r="F19" s="155" t="s">
        <v>256</v>
      </c>
      <c r="G19" s="153">
        <v>41114</v>
      </c>
      <c r="H19" s="156" t="s">
        <v>197</v>
      </c>
      <c r="I19" s="156" t="s">
        <v>238</v>
      </c>
      <c r="J19" s="156"/>
      <c r="K19" s="155" t="s">
        <v>258</v>
      </c>
      <c r="L19" s="159" t="s">
        <v>222</v>
      </c>
      <c r="M19" s="155">
        <v>81.61</v>
      </c>
      <c r="N19" s="155">
        <v>25.11</v>
      </c>
      <c r="O19" s="155" t="s">
        <v>240</v>
      </c>
      <c r="P19" s="155">
        <v>1000</v>
      </c>
      <c r="Q19" s="155">
        <v>24.38</v>
      </c>
      <c r="R19" s="163">
        <v>2000</v>
      </c>
      <c r="S19" s="155">
        <v>22.92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10.18</v>
      </c>
      <c r="AF19" s="155"/>
      <c r="AG19" s="155"/>
      <c r="AH19" s="155"/>
      <c r="AI19" s="155"/>
      <c r="AJ19" s="155"/>
      <c r="AK19" s="155"/>
      <c r="AL19" s="155" t="s">
        <v>218</v>
      </c>
      <c r="AM19" s="156" t="s">
        <v>197</v>
      </c>
      <c r="AN19" s="156"/>
      <c r="AO19" s="156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>
        <v>1994</v>
      </c>
      <c r="B20" s="158">
        <v>41095</v>
      </c>
      <c r="C20" s="154" t="s">
        <v>236</v>
      </c>
      <c r="D20" s="155" t="s">
        <v>125</v>
      </c>
      <c r="E20" s="155"/>
      <c r="F20" s="155" t="s">
        <v>256</v>
      </c>
      <c r="G20" s="153">
        <v>41090</v>
      </c>
      <c r="H20" s="156" t="s">
        <v>241</v>
      </c>
      <c r="I20" s="156" t="s">
        <v>197</v>
      </c>
      <c r="J20" s="156"/>
      <c r="K20" s="155" t="s">
        <v>106</v>
      </c>
      <c r="L20" s="159" t="s">
        <v>222</v>
      </c>
      <c r="M20" s="155">
        <v>78.569999999999993</v>
      </c>
      <c r="N20" s="155">
        <v>25.11</v>
      </c>
      <c r="O20" s="155" t="s">
        <v>240</v>
      </c>
      <c r="P20" s="155">
        <v>1000</v>
      </c>
      <c r="Q20" s="155">
        <v>24.38</v>
      </c>
      <c r="R20" s="157">
        <v>2000</v>
      </c>
      <c r="S20" s="155">
        <v>19.010000000000002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9.19</v>
      </c>
      <c r="AF20" s="155"/>
      <c r="AG20" s="155"/>
      <c r="AH20" s="155"/>
      <c r="AI20" s="155"/>
      <c r="AJ20" s="155"/>
      <c r="AK20" s="155"/>
      <c r="AL20" s="155" t="s">
        <v>218</v>
      </c>
      <c r="AM20" s="156" t="s">
        <v>197</v>
      </c>
      <c r="AN20" s="156"/>
      <c r="AO20" s="156"/>
    </row>
    <row r="21" spans="1:94" x14ac:dyDescent="0.3">
      <c r="A21" s="152">
        <v>2556</v>
      </c>
      <c r="B21" s="158">
        <v>41137</v>
      </c>
      <c r="C21" s="154" t="s">
        <v>236</v>
      </c>
      <c r="D21" s="155" t="s">
        <v>125</v>
      </c>
      <c r="E21" s="155"/>
      <c r="F21" s="155" t="s">
        <v>256</v>
      </c>
      <c r="G21" s="153">
        <v>41121</v>
      </c>
      <c r="H21" s="156" t="s">
        <v>197</v>
      </c>
      <c r="I21" s="156" t="s">
        <v>238</v>
      </c>
      <c r="J21" s="156"/>
      <c r="K21" s="155" t="s">
        <v>242</v>
      </c>
      <c r="L21" s="159" t="s">
        <v>222</v>
      </c>
      <c r="M21" s="155">
        <v>78.45</v>
      </c>
      <c r="N21" s="155">
        <v>24.59</v>
      </c>
      <c r="O21" s="155" t="s">
        <v>240</v>
      </c>
      <c r="P21" s="155">
        <v>1000</v>
      </c>
      <c r="Q21" s="155">
        <v>24.26</v>
      </c>
      <c r="R21" s="163">
        <v>2000</v>
      </c>
      <c r="S21" s="155">
        <v>23.94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9.15</v>
      </c>
      <c r="AF21" s="155"/>
      <c r="AG21" s="155"/>
      <c r="AH21" s="155"/>
      <c r="AI21" s="155"/>
      <c r="AJ21" s="155"/>
      <c r="AK21" s="155"/>
      <c r="AL21" s="155" t="s">
        <v>218</v>
      </c>
      <c r="AM21" s="156" t="s">
        <v>197</v>
      </c>
      <c r="AN21" s="156"/>
      <c r="AO21" s="156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1094</v>
      </c>
      <c r="B22" s="158">
        <v>41095</v>
      </c>
      <c r="C22" s="154" t="s">
        <v>236</v>
      </c>
      <c r="D22" s="155" t="s">
        <v>125</v>
      </c>
      <c r="E22" s="155"/>
      <c r="F22" s="155" t="s">
        <v>256</v>
      </c>
      <c r="G22" s="153">
        <v>41090</v>
      </c>
      <c r="H22" s="156" t="s">
        <v>197</v>
      </c>
      <c r="I22" s="156" t="s">
        <v>238</v>
      </c>
      <c r="J22" s="156"/>
      <c r="K22" s="155" t="s">
        <v>243</v>
      </c>
      <c r="L22" s="159" t="s">
        <v>222</v>
      </c>
      <c r="M22" s="155">
        <v>91</v>
      </c>
      <c r="N22" s="155">
        <v>27.6</v>
      </c>
      <c r="O22" s="155" t="s">
        <v>240</v>
      </c>
      <c r="P22" s="155">
        <v>1000</v>
      </c>
      <c r="Q22" s="155">
        <v>26.3</v>
      </c>
      <c r="R22" s="157">
        <v>2000</v>
      </c>
      <c r="S22" s="155">
        <v>25.8</v>
      </c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>
        <v>13.5</v>
      </c>
      <c r="AF22" s="155"/>
      <c r="AG22" s="155"/>
      <c r="AH22" s="155"/>
      <c r="AI22" s="155"/>
      <c r="AJ22" s="155"/>
      <c r="AK22" s="155"/>
      <c r="AL22" s="155" t="s">
        <v>218</v>
      </c>
      <c r="AM22" s="156" t="s">
        <v>197</v>
      </c>
      <c r="AN22" s="156"/>
      <c r="AO22" s="156"/>
    </row>
    <row r="23" spans="1:94" x14ac:dyDescent="0.3">
      <c r="A23" s="152">
        <v>1470</v>
      </c>
      <c r="B23" s="158">
        <v>41149</v>
      </c>
      <c r="C23" s="154" t="s">
        <v>236</v>
      </c>
      <c r="D23" s="155" t="s">
        <v>125</v>
      </c>
      <c r="E23" s="155"/>
      <c r="F23" s="155" t="s">
        <v>256</v>
      </c>
      <c r="G23" s="153">
        <v>41121</v>
      </c>
      <c r="H23" s="156" t="s">
        <v>241</v>
      </c>
      <c r="I23" s="156" t="s">
        <v>197</v>
      </c>
      <c r="J23" s="156"/>
      <c r="K23" s="159" t="s">
        <v>117</v>
      </c>
      <c r="L23" s="159" t="s">
        <v>222</v>
      </c>
      <c r="M23" s="159">
        <v>82.5</v>
      </c>
      <c r="N23" s="159">
        <v>24.65</v>
      </c>
      <c r="O23" s="155" t="s">
        <v>240</v>
      </c>
      <c r="P23" s="159">
        <v>1000</v>
      </c>
      <c r="Q23" s="159">
        <v>24.65</v>
      </c>
      <c r="R23" s="157">
        <v>2000</v>
      </c>
      <c r="S23" s="159">
        <v>24.65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9.5500000000000007</v>
      </c>
      <c r="AF23" s="159"/>
      <c r="AG23" s="159"/>
      <c r="AH23" s="159"/>
      <c r="AI23" s="159"/>
      <c r="AJ23" s="159"/>
      <c r="AK23" s="159"/>
      <c r="AL23" s="155" t="s">
        <v>218</v>
      </c>
      <c r="AM23" s="156" t="s">
        <v>197</v>
      </c>
      <c r="AN23" s="162"/>
      <c r="AO23" s="162"/>
    </row>
    <row r="24" spans="1:94" x14ac:dyDescent="0.3">
      <c r="A24" s="152">
        <v>1512</v>
      </c>
      <c r="B24" s="158">
        <v>41149</v>
      </c>
      <c r="C24" s="154" t="s">
        <v>236</v>
      </c>
      <c r="D24" s="155" t="s">
        <v>125</v>
      </c>
      <c r="E24" s="155"/>
      <c r="F24" s="155" t="s">
        <v>256</v>
      </c>
      <c r="G24" s="153">
        <v>41097</v>
      </c>
      <c r="H24" s="156" t="s">
        <v>241</v>
      </c>
      <c r="I24" s="156" t="s">
        <v>197</v>
      </c>
      <c r="J24" s="156"/>
      <c r="K24" s="159" t="s">
        <v>244</v>
      </c>
      <c r="L24" s="159" t="s">
        <v>222</v>
      </c>
      <c r="M24" s="159">
        <v>95.8</v>
      </c>
      <c r="N24" s="159">
        <v>26.9</v>
      </c>
      <c r="O24" s="155" t="s">
        <v>240</v>
      </c>
      <c r="P24" s="159">
        <v>1000</v>
      </c>
      <c r="Q24" s="159">
        <v>26.01</v>
      </c>
      <c r="R24" s="163">
        <v>2000</v>
      </c>
      <c r="S24" s="159">
        <v>24.93</v>
      </c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13.42</v>
      </c>
      <c r="AF24" s="159"/>
      <c r="AG24" s="159"/>
      <c r="AH24" s="159"/>
      <c r="AI24" s="159"/>
      <c r="AJ24" s="159"/>
      <c r="AK24" s="159"/>
      <c r="AL24" s="155" t="s">
        <v>218</v>
      </c>
      <c r="AM24" s="162" t="s">
        <v>197</v>
      </c>
      <c r="AN24" s="162"/>
      <c r="AO24" s="162"/>
    </row>
    <row r="25" spans="1:94" x14ac:dyDescent="0.3">
      <c r="A25" s="152">
        <v>1440</v>
      </c>
      <c r="B25" s="158">
        <v>41136</v>
      </c>
      <c r="C25" s="154" t="s">
        <v>236</v>
      </c>
      <c r="D25" s="155" t="s">
        <v>125</v>
      </c>
      <c r="E25" s="155"/>
      <c r="F25" s="155" t="s">
        <v>256</v>
      </c>
      <c r="G25" s="153">
        <v>41121</v>
      </c>
      <c r="H25" s="156" t="s">
        <v>241</v>
      </c>
      <c r="I25" s="156" t="s">
        <v>197</v>
      </c>
      <c r="J25" s="156"/>
      <c r="K25" s="155" t="s">
        <v>245</v>
      </c>
      <c r="L25" s="159" t="s">
        <v>222</v>
      </c>
      <c r="M25" s="159">
        <v>88.88</v>
      </c>
      <c r="N25" s="159">
        <v>22.21</v>
      </c>
      <c r="O25" s="155" t="s">
        <v>240</v>
      </c>
      <c r="P25" s="159">
        <v>300</v>
      </c>
      <c r="Q25" s="159">
        <v>23.98</v>
      </c>
      <c r="R25" s="163">
        <v>1020</v>
      </c>
      <c r="S25" s="159">
        <v>26.97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11.59</v>
      </c>
      <c r="AF25" s="159"/>
      <c r="AG25" s="159"/>
      <c r="AH25" s="159"/>
      <c r="AI25" s="159"/>
      <c r="AJ25" s="159"/>
      <c r="AK25" s="159"/>
      <c r="AL25" s="155" t="s">
        <v>218</v>
      </c>
      <c r="AM25" s="156" t="s">
        <v>197</v>
      </c>
      <c r="AN25" s="162"/>
      <c r="AO25" s="162"/>
    </row>
    <row r="26" spans="1:94" x14ac:dyDescent="0.3">
      <c r="A26" s="152">
        <v>1482</v>
      </c>
      <c r="B26" s="158">
        <v>41149</v>
      </c>
      <c r="C26" s="154" t="s">
        <v>236</v>
      </c>
      <c r="D26" s="155" t="s">
        <v>125</v>
      </c>
      <c r="E26" s="155"/>
      <c r="F26" s="155" t="s">
        <v>256</v>
      </c>
      <c r="G26" s="153">
        <v>41121</v>
      </c>
      <c r="H26" s="156" t="s">
        <v>241</v>
      </c>
      <c r="I26" s="156" t="s">
        <v>197</v>
      </c>
      <c r="J26" s="156"/>
      <c r="K26" s="159" t="s">
        <v>246</v>
      </c>
      <c r="L26" s="159" t="s">
        <v>222</v>
      </c>
      <c r="M26" s="159">
        <v>81.400000000000006</v>
      </c>
      <c r="N26" s="159">
        <v>23.9</v>
      </c>
      <c r="O26" s="155" t="s">
        <v>240</v>
      </c>
      <c r="P26" s="159">
        <v>1000</v>
      </c>
      <c r="Q26" s="159">
        <v>23.9</v>
      </c>
      <c r="R26" s="163">
        <v>2000</v>
      </c>
      <c r="S26" s="159">
        <v>23.9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8.8000000000000007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1240</v>
      </c>
      <c r="B27" s="158">
        <v>41149</v>
      </c>
      <c r="C27" s="154" t="s">
        <v>236</v>
      </c>
      <c r="D27" s="155" t="s">
        <v>125</v>
      </c>
      <c r="E27" s="155"/>
      <c r="F27" s="155" t="s">
        <v>256</v>
      </c>
      <c r="G27" s="153">
        <v>41090</v>
      </c>
      <c r="H27" s="156" t="s">
        <v>241</v>
      </c>
      <c r="I27" s="156" t="s">
        <v>197</v>
      </c>
      <c r="J27" s="156"/>
      <c r="K27" s="155" t="s">
        <v>247</v>
      </c>
      <c r="L27" s="159" t="s">
        <v>222</v>
      </c>
      <c r="M27" s="159">
        <v>79.906000000000006</v>
      </c>
      <c r="N27" s="159">
        <v>24.296099999999999</v>
      </c>
      <c r="O27" s="155" t="s">
        <v>240</v>
      </c>
      <c r="P27" s="159">
        <v>1000</v>
      </c>
      <c r="Q27" s="155">
        <v>23.747</v>
      </c>
      <c r="R27" s="163">
        <v>2000</v>
      </c>
      <c r="S27" s="159">
        <v>23.207899999999999</v>
      </c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8.6647999999999996</v>
      </c>
      <c r="AF27" s="159"/>
      <c r="AG27" s="159"/>
      <c r="AH27" s="155"/>
      <c r="AI27" s="155"/>
      <c r="AJ27" s="155"/>
      <c r="AK27" s="159"/>
      <c r="AL27" s="155" t="s">
        <v>218</v>
      </c>
      <c r="AM27" s="156" t="s">
        <v>197</v>
      </c>
      <c r="AN27" s="156"/>
      <c r="AO27" s="156"/>
    </row>
    <row r="28" spans="1:94" x14ac:dyDescent="0.3">
      <c r="A28" s="152">
        <v>2516</v>
      </c>
      <c r="B28" s="158">
        <v>41149</v>
      </c>
      <c r="C28" s="154" t="s">
        <v>236</v>
      </c>
      <c r="D28" s="155" t="s">
        <v>125</v>
      </c>
      <c r="E28" s="155"/>
      <c r="F28" s="155" t="s">
        <v>256</v>
      </c>
      <c r="G28" s="153">
        <v>41090</v>
      </c>
      <c r="H28" s="156" t="s">
        <v>241</v>
      </c>
      <c r="I28" s="156" t="s">
        <v>197</v>
      </c>
      <c r="J28" s="156"/>
      <c r="K28" s="159" t="s">
        <v>249</v>
      </c>
      <c r="L28" s="159" t="s">
        <v>222</v>
      </c>
      <c r="M28" s="159">
        <v>62.68</v>
      </c>
      <c r="N28" s="159">
        <v>27.12</v>
      </c>
      <c r="O28" s="155" t="s">
        <v>240</v>
      </c>
      <c r="P28" s="159">
        <v>1000</v>
      </c>
      <c r="Q28" s="159">
        <v>26.72</v>
      </c>
      <c r="R28" s="163">
        <v>2000</v>
      </c>
      <c r="S28" s="159">
        <v>26.35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12.41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1416</v>
      </c>
      <c r="B29" s="158">
        <v>41149</v>
      </c>
      <c r="C29" s="154" t="s">
        <v>236</v>
      </c>
      <c r="D29" s="155" t="s">
        <v>125</v>
      </c>
      <c r="E29" s="155"/>
      <c r="F29" s="155" t="s">
        <v>256</v>
      </c>
      <c r="G29" s="153">
        <v>41097</v>
      </c>
      <c r="H29" s="156" t="s">
        <v>241</v>
      </c>
      <c r="I29" s="156" t="s">
        <v>197</v>
      </c>
      <c r="J29" s="156"/>
      <c r="K29" s="159" t="s">
        <v>250</v>
      </c>
      <c r="L29" s="159" t="s">
        <v>222</v>
      </c>
      <c r="M29" s="159">
        <v>73.84</v>
      </c>
      <c r="N29" s="159">
        <v>26.77</v>
      </c>
      <c r="O29" s="155" t="s">
        <v>240</v>
      </c>
      <c r="P29" s="159">
        <v>600</v>
      </c>
      <c r="Q29" s="159">
        <v>22.73</v>
      </c>
      <c r="R29" s="157">
        <v>2000</v>
      </c>
      <c r="S29" s="155">
        <v>22.48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13.49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2260</v>
      </c>
      <c r="B30" s="158">
        <v>41095</v>
      </c>
      <c r="C30" s="154" t="s">
        <v>236</v>
      </c>
      <c r="D30" s="155" t="s">
        <v>125</v>
      </c>
      <c r="E30" s="155"/>
      <c r="F30" s="155" t="s">
        <v>256</v>
      </c>
      <c r="G30" s="153">
        <v>41090</v>
      </c>
      <c r="H30" s="156" t="s">
        <v>241</v>
      </c>
      <c r="I30" s="156" t="s">
        <v>197</v>
      </c>
      <c r="J30" s="156"/>
      <c r="K30" s="155" t="s">
        <v>251</v>
      </c>
      <c r="L30" s="159" t="s">
        <v>222</v>
      </c>
      <c r="M30" s="155">
        <v>80.599999999999994</v>
      </c>
      <c r="N30" s="155">
        <v>24.55</v>
      </c>
      <c r="O30" s="155" t="s">
        <v>240</v>
      </c>
      <c r="P30" s="155">
        <v>1000</v>
      </c>
      <c r="Q30" s="155">
        <v>24.1</v>
      </c>
      <c r="R30" s="157">
        <v>2000</v>
      </c>
      <c r="S30" s="155">
        <v>22</v>
      </c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9.5</v>
      </c>
      <c r="AF30" s="155"/>
      <c r="AG30" s="155"/>
      <c r="AH30" s="155"/>
      <c r="AI30" s="155"/>
      <c r="AJ30" s="155"/>
      <c r="AK30" s="155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1278</v>
      </c>
      <c r="B31" s="158">
        <v>41136</v>
      </c>
      <c r="C31" s="154" t="s">
        <v>236</v>
      </c>
      <c r="D31" s="155" t="s">
        <v>125</v>
      </c>
      <c r="E31" s="155"/>
      <c r="F31" s="155" t="s">
        <v>256</v>
      </c>
      <c r="G31" s="153">
        <v>41121</v>
      </c>
      <c r="H31" s="156" t="s">
        <v>197</v>
      </c>
      <c r="I31" s="156" t="s">
        <v>238</v>
      </c>
      <c r="J31" s="156"/>
      <c r="K31" s="155" t="s">
        <v>108</v>
      </c>
      <c r="L31" s="159" t="s">
        <v>222</v>
      </c>
      <c r="M31" s="159">
        <v>78.569999999999993</v>
      </c>
      <c r="N31" s="159">
        <v>25.75</v>
      </c>
      <c r="O31" s="155" t="s">
        <v>240</v>
      </c>
      <c r="P31" s="159">
        <v>1750</v>
      </c>
      <c r="Q31" s="155">
        <v>20.87</v>
      </c>
      <c r="R31" s="165">
        <v>1750</v>
      </c>
      <c r="S31" s="165">
        <v>20.87</v>
      </c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12.72</v>
      </c>
      <c r="AF31" s="159"/>
      <c r="AG31" s="159"/>
      <c r="AH31" s="155"/>
      <c r="AI31" s="155"/>
      <c r="AJ31" s="155"/>
      <c r="AK31" s="159"/>
      <c r="AL31" s="155" t="s">
        <v>218</v>
      </c>
      <c r="AM31" s="156" t="s">
        <v>197</v>
      </c>
      <c r="AN31" s="156"/>
      <c r="AO31" s="156"/>
    </row>
    <row r="32" spans="1:94" x14ac:dyDescent="0.3">
      <c r="A32" s="152">
        <v>1458</v>
      </c>
      <c r="B32" s="158">
        <v>41135</v>
      </c>
      <c r="C32" s="154" t="s">
        <v>236</v>
      </c>
      <c r="D32" s="155" t="s">
        <v>125</v>
      </c>
      <c r="E32" s="155"/>
      <c r="F32" s="155" t="s">
        <v>256</v>
      </c>
      <c r="G32" s="153">
        <v>41090</v>
      </c>
      <c r="H32" s="156" t="s">
        <v>241</v>
      </c>
      <c r="I32" s="156" t="s">
        <v>197</v>
      </c>
      <c r="J32" s="156"/>
      <c r="K32" s="159" t="s">
        <v>252</v>
      </c>
      <c r="L32" s="159" t="s">
        <v>222</v>
      </c>
      <c r="M32" s="159">
        <v>93.65</v>
      </c>
      <c r="N32" s="159">
        <v>24.46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>
        <v>13.23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1384</v>
      </c>
      <c r="B33" s="158">
        <v>41095</v>
      </c>
      <c r="C33" s="154" t="s">
        <v>236</v>
      </c>
      <c r="D33" s="155" t="s">
        <v>125</v>
      </c>
      <c r="E33" s="155"/>
      <c r="F33" s="155" t="s">
        <v>256</v>
      </c>
      <c r="G33" s="164">
        <v>41090</v>
      </c>
      <c r="H33" s="156" t="s">
        <v>241</v>
      </c>
      <c r="I33" s="156" t="s">
        <v>197</v>
      </c>
      <c r="J33" s="156"/>
      <c r="K33" s="155" t="s">
        <v>253</v>
      </c>
      <c r="L33" s="159" t="s">
        <v>222</v>
      </c>
      <c r="M33" s="159">
        <v>78.81</v>
      </c>
      <c r="N33" s="159">
        <v>24.34</v>
      </c>
      <c r="O33" s="155" t="s">
        <v>240</v>
      </c>
      <c r="P33" s="159">
        <v>1000</v>
      </c>
      <c r="Q33" s="159">
        <v>24.12</v>
      </c>
      <c r="R33" s="157">
        <v>2000</v>
      </c>
      <c r="S33" s="155">
        <v>22.96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9.01</v>
      </c>
      <c r="AF33" s="159"/>
      <c r="AG33" s="159"/>
      <c r="AH33" s="159"/>
      <c r="AI33" s="159"/>
      <c r="AJ33" s="159"/>
      <c r="AK33" s="159"/>
      <c r="AL33" s="155" t="s">
        <v>218</v>
      </c>
      <c r="AM33" s="156" t="s">
        <v>197</v>
      </c>
      <c r="AN33" s="162"/>
      <c r="AO33" s="162"/>
    </row>
    <row r="34" spans="1:94" x14ac:dyDescent="0.3">
      <c r="A34" s="152">
        <v>1364</v>
      </c>
      <c r="B34" s="158">
        <v>41149</v>
      </c>
      <c r="C34" s="154" t="s">
        <v>236</v>
      </c>
      <c r="D34" s="155" t="s">
        <v>125</v>
      </c>
      <c r="E34" s="155"/>
      <c r="F34" s="155" t="s">
        <v>256</v>
      </c>
      <c r="G34" s="164">
        <v>41459</v>
      </c>
      <c r="H34" s="156" t="s">
        <v>197</v>
      </c>
      <c r="I34" s="156" t="s">
        <v>238</v>
      </c>
      <c r="J34" s="156"/>
      <c r="K34" s="155" t="s">
        <v>254</v>
      </c>
      <c r="L34" s="159" t="s">
        <v>222</v>
      </c>
      <c r="M34" s="155">
        <v>73.069999999999993</v>
      </c>
      <c r="N34" s="155">
        <v>19.72</v>
      </c>
      <c r="O34" s="155" t="s">
        <v>240</v>
      </c>
      <c r="P34" s="155">
        <v>1000</v>
      </c>
      <c r="Q34" s="155">
        <v>20.89</v>
      </c>
      <c r="R34" s="163">
        <v>2000</v>
      </c>
      <c r="S34" s="155">
        <v>22.56</v>
      </c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7.54</v>
      </c>
      <c r="AF34" s="155"/>
      <c r="AG34" s="155"/>
      <c r="AH34" s="155"/>
      <c r="AI34" s="155"/>
      <c r="AJ34" s="155"/>
      <c r="AK34" s="155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2528</v>
      </c>
      <c r="B35" s="158">
        <v>41135</v>
      </c>
      <c r="C35" s="154" t="s">
        <v>236</v>
      </c>
      <c r="D35" s="155" t="s">
        <v>125</v>
      </c>
      <c r="E35" s="155"/>
      <c r="F35" s="155" t="s">
        <v>256</v>
      </c>
      <c r="G35" s="153">
        <v>41090</v>
      </c>
      <c r="H35" s="156" t="s">
        <v>241</v>
      </c>
      <c r="I35" s="156" t="s">
        <v>197</v>
      </c>
      <c r="J35" s="156"/>
      <c r="K35" s="159" t="s">
        <v>255</v>
      </c>
      <c r="L35" s="159" t="s">
        <v>222</v>
      </c>
      <c r="M35" s="159">
        <v>80.599999999999994</v>
      </c>
      <c r="N35" s="159">
        <v>25.2</v>
      </c>
      <c r="O35" s="155" t="s">
        <v>240</v>
      </c>
      <c r="P35" s="159">
        <v>1000</v>
      </c>
      <c r="Q35" s="159">
        <v>24.8</v>
      </c>
      <c r="R35" s="163">
        <v>2000</v>
      </c>
      <c r="S35" s="159">
        <v>24.4</v>
      </c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9.5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1:94" x14ac:dyDescent="0.3">
      <c r="A36" s="152">
        <v>2308</v>
      </c>
      <c r="B36" s="158">
        <v>41136</v>
      </c>
      <c r="C36" s="154" t="s">
        <v>236</v>
      </c>
      <c r="D36" s="155" t="s">
        <v>125</v>
      </c>
      <c r="E36" s="155"/>
      <c r="F36" s="155" t="s">
        <v>257</v>
      </c>
      <c r="G36" s="153">
        <v>41114</v>
      </c>
      <c r="H36" s="156" t="s">
        <v>197</v>
      </c>
      <c r="I36" s="156" t="s">
        <v>238</v>
      </c>
      <c r="J36" s="156"/>
      <c r="K36" s="155" t="s">
        <v>258</v>
      </c>
      <c r="L36" s="159" t="s">
        <v>222</v>
      </c>
      <c r="M36" s="155">
        <v>92.58</v>
      </c>
      <c r="N36" s="155">
        <v>51.33</v>
      </c>
      <c r="O36" s="155"/>
      <c r="P36" s="155"/>
      <c r="Q36" s="155"/>
      <c r="R36" s="157"/>
      <c r="S36" s="155"/>
      <c r="T36" s="155"/>
      <c r="U36" s="155"/>
      <c r="V36" s="155"/>
      <c r="W36" s="155">
        <v>11.94</v>
      </c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>
        <v>19.89</v>
      </c>
      <c r="AI36" s="155"/>
      <c r="AJ36" s="155"/>
      <c r="AK36" s="155"/>
      <c r="AL36" s="155" t="s">
        <v>231</v>
      </c>
      <c r="AM36" s="156" t="s">
        <v>197</v>
      </c>
      <c r="AN36" s="156"/>
      <c r="AO36" s="156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1:94" x14ac:dyDescent="0.3">
      <c r="A37" s="152">
        <v>1996</v>
      </c>
      <c r="B37" s="158">
        <v>41095</v>
      </c>
      <c r="C37" s="154" t="s">
        <v>236</v>
      </c>
      <c r="D37" s="155" t="s">
        <v>125</v>
      </c>
      <c r="E37" s="155"/>
      <c r="F37" s="155" t="s">
        <v>257</v>
      </c>
      <c r="G37" s="153">
        <v>41090</v>
      </c>
      <c r="H37" s="156" t="s">
        <v>241</v>
      </c>
      <c r="I37" s="156" t="s">
        <v>197</v>
      </c>
      <c r="J37" s="156"/>
      <c r="K37" s="155" t="s">
        <v>106</v>
      </c>
      <c r="L37" s="159" t="s">
        <v>222</v>
      </c>
      <c r="M37" s="155">
        <v>87.66</v>
      </c>
      <c r="N37" s="155">
        <v>50.33</v>
      </c>
      <c r="O37" s="155"/>
      <c r="P37" s="155"/>
      <c r="Q37" s="155"/>
      <c r="R37" s="157"/>
      <c r="S37" s="155"/>
      <c r="T37" s="155"/>
      <c r="U37" s="155"/>
      <c r="V37" s="155"/>
      <c r="W37" s="155">
        <v>11.07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19.690000000000001</v>
      </c>
      <c r="AI37" s="155"/>
      <c r="AJ37" s="155"/>
      <c r="AK37" s="155"/>
      <c r="AL37" s="155" t="s">
        <v>231</v>
      </c>
      <c r="AM37" s="156" t="s">
        <v>197</v>
      </c>
      <c r="AN37" s="156"/>
      <c r="AO37" s="156"/>
    </row>
    <row r="38" spans="1:94" x14ac:dyDescent="0.3">
      <c r="A38" s="152">
        <v>2558</v>
      </c>
      <c r="B38" s="158">
        <v>41137</v>
      </c>
      <c r="C38" s="154" t="s">
        <v>236</v>
      </c>
      <c r="D38" s="155" t="s">
        <v>125</v>
      </c>
      <c r="E38" s="155"/>
      <c r="F38" s="155" t="s">
        <v>257</v>
      </c>
      <c r="G38" s="153">
        <v>41121</v>
      </c>
      <c r="H38" s="156" t="s">
        <v>197</v>
      </c>
      <c r="I38" s="156" t="s">
        <v>238</v>
      </c>
      <c r="J38" s="156"/>
      <c r="K38" s="155" t="s">
        <v>242</v>
      </c>
      <c r="L38" s="159" t="s">
        <v>222</v>
      </c>
      <c r="M38" s="155">
        <v>86.39</v>
      </c>
      <c r="N38" s="155">
        <v>46.69</v>
      </c>
      <c r="O38" s="155"/>
      <c r="P38" s="155"/>
      <c r="Q38" s="155"/>
      <c r="R38" s="157"/>
      <c r="S38" s="155"/>
      <c r="T38" s="155"/>
      <c r="U38" s="155"/>
      <c r="V38" s="155"/>
      <c r="W38" s="155">
        <v>11.02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19.55</v>
      </c>
      <c r="AI38" s="155"/>
      <c r="AJ38" s="155"/>
      <c r="AK38" s="155"/>
      <c r="AL38" s="155" t="s">
        <v>231</v>
      </c>
      <c r="AM38" s="156" t="s">
        <v>197</v>
      </c>
      <c r="AN38" s="156"/>
      <c r="AO38" s="156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>
        <v>1096</v>
      </c>
      <c r="B39" s="158">
        <v>41095</v>
      </c>
      <c r="C39" s="154" t="s">
        <v>236</v>
      </c>
      <c r="D39" s="155" t="s">
        <v>125</v>
      </c>
      <c r="E39" s="155"/>
      <c r="F39" s="155" t="s">
        <v>257</v>
      </c>
      <c r="G39" s="153">
        <v>41090</v>
      </c>
      <c r="H39" s="156" t="s">
        <v>197</v>
      </c>
      <c r="I39" s="156" t="s">
        <v>238</v>
      </c>
      <c r="J39" s="156"/>
      <c r="K39" s="155" t="s">
        <v>243</v>
      </c>
      <c r="L39" s="159" t="s">
        <v>222</v>
      </c>
      <c r="M39" s="155">
        <v>98</v>
      </c>
      <c r="N39" s="155">
        <v>48.1</v>
      </c>
      <c r="O39" s="155"/>
      <c r="P39" s="155"/>
      <c r="Q39" s="155"/>
      <c r="R39" s="157"/>
      <c r="S39" s="155"/>
      <c r="T39" s="155"/>
      <c r="U39" s="155"/>
      <c r="V39" s="155"/>
      <c r="W39" s="155">
        <v>16.5</v>
      </c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>
        <v>20.8</v>
      </c>
      <c r="AI39" s="155"/>
      <c r="AJ39" s="155"/>
      <c r="AK39" s="155"/>
      <c r="AL39" s="155" t="s">
        <v>231</v>
      </c>
      <c r="AM39" s="156" t="s">
        <v>197</v>
      </c>
      <c r="AN39" s="156"/>
      <c r="AO39" s="156"/>
    </row>
    <row r="40" spans="1:94" x14ac:dyDescent="0.3">
      <c r="A40" s="152">
        <v>1472</v>
      </c>
      <c r="B40" s="158">
        <v>41149</v>
      </c>
      <c r="C40" s="154" t="s">
        <v>236</v>
      </c>
      <c r="D40" s="155" t="s">
        <v>125</v>
      </c>
      <c r="E40" s="155"/>
      <c r="F40" s="155" t="s">
        <v>257</v>
      </c>
      <c r="G40" s="153">
        <v>41121</v>
      </c>
      <c r="H40" s="156" t="s">
        <v>241</v>
      </c>
      <c r="I40" s="156" t="s">
        <v>197</v>
      </c>
      <c r="J40" s="156"/>
      <c r="K40" s="159" t="s">
        <v>117</v>
      </c>
      <c r="L40" s="159" t="s">
        <v>222</v>
      </c>
      <c r="M40" s="159">
        <v>89.1</v>
      </c>
      <c r="N40" s="159">
        <v>49.45</v>
      </c>
      <c r="O40" s="155"/>
      <c r="P40" s="159"/>
      <c r="Q40" s="159"/>
      <c r="R40" s="163"/>
      <c r="S40" s="159"/>
      <c r="T40" s="159"/>
      <c r="U40" s="159"/>
      <c r="V40" s="159"/>
      <c r="W40" s="159">
        <v>12.1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20.9</v>
      </c>
      <c r="AI40" s="159"/>
      <c r="AJ40" s="159"/>
      <c r="AK40" s="159"/>
      <c r="AL40" s="155" t="s">
        <v>231</v>
      </c>
      <c r="AM40" s="156" t="s">
        <v>197</v>
      </c>
      <c r="AN40" s="162"/>
      <c r="AO40" s="162"/>
    </row>
    <row r="41" spans="1:94" x14ac:dyDescent="0.3">
      <c r="A41" s="152">
        <v>1514</v>
      </c>
      <c r="B41" s="158">
        <v>41149</v>
      </c>
      <c r="C41" s="154" t="s">
        <v>236</v>
      </c>
      <c r="D41" s="155" t="s">
        <v>125</v>
      </c>
      <c r="E41" s="155"/>
      <c r="F41" s="155" t="s">
        <v>257</v>
      </c>
      <c r="G41" s="153">
        <v>41097</v>
      </c>
      <c r="H41" s="156" t="s">
        <v>241</v>
      </c>
      <c r="I41" s="156" t="s">
        <v>197</v>
      </c>
      <c r="J41" s="156"/>
      <c r="K41" s="159" t="s">
        <v>244</v>
      </c>
      <c r="L41" s="159" t="s">
        <v>222</v>
      </c>
      <c r="M41" s="159">
        <v>105.63</v>
      </c>
      <c r="N41" s="159">
        <v>51.11</v>
      </c>
      <c r="O41" s="159"/>
      <c r="P41" s="159"/>
      <c r="Q41" s="159"/>
      <c r="R41" s="163"/>
      <c r="S41" s="159"/>
      <c r="T41" s="159"/>
      <c r="U41" s="159"/>
      <c r="V41" s="159"/>
      <c r="W41" s="159">
        <v>14.06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21.15</v>
      </c>
      <c r="AI41" s="159"/>
      <c r="AJ41" s="159"/>
      <c r="AK41" s="159"/>
      <c r="AL41" s="155" t="s">
        <v>231</v>
      </c>
      <c r="AM41" s="162" t="s">
        <v>197</v>
      </c>
      <c r="AN41" s="162"/>
      <c r="AO41" s="162"/>
    </row>
    <row r="42" spans="1:94" x14ac:dyDescent="0.3">
      <c r="A42" s="152">
        <v>1442</v>
      </c>
      <c r="B42" s="158">
        <v>41136</v>
      </c>
      <c r="C42" s="154" t="s">
        <v>236</v>
      </c>
      <c r="D42" s="155" t="s">
        <v>125</v>
      </c>
      <c r="E42" s="155"/>
      <c r="F42" s="155" t="s">
        <v>257</v>
      </c>
      <c r="G42" s="153">
        <v>41121</v>
      </c>
      <c r="H42" s="156" t="s">
        <v>241</v>
      </c>
      <c r="I42" s="156" t="s">
        <v>197</v>
      </c>
      <c r="J42" s="156"/>
      <c r="K42" s="155" t="s">
        <v>245</v>
      </c>
      <c r="L42" s="159" t="s">
        <v>222</v>
      </c>
      <c r="M42" s="159">
        <v>94.98</v>
      </c>
      <c r="N42" s="159">
        <v>44.99</v>
      </c>
      <c r="O42" s="155" t="s">
        <v>240</v>
      </c>
      <c r="P42" s="159">
        <v>1020</v>
      </c>
      <c r="Q42" s="159">
        <v>48.97</v>
      </c>
      <c r="R42" s="163"/>
      <c r="S42" s="159"/>
      <c r="T42" s="159"/>
      <c r="U42" s="159"/>
      <c r="V42" s="159"/>
      <c r="W42" s="159">
        <v>13.79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18.989999999999998</v>
      </c>
      <c r="AI42" s="159"/>
      <c r="AJ42" s="159"/>
      <c r="AK42" s="159"/>
      <c r="AL42" s="155" t="s">
        <v>231</v>
      </c>
      <c r="AM42" s="156" t="s">
        <v>197</v>
      </c>
      <c r="AN42" s="162"/>
      <c r="AO42" s="162"/>
    </row>
    <row r="43" spans="1:94" x14ac:dyDescent="0.3">
      <c r="A43" s="152">
        <v>1484</v>
      </c>
      <c r="B43" s="158">
        <v>41149</v>
      </c>
      <c r="C43" s="154" t="s">
        <v>236</v>
      </c>
      <c r="D43" s="155" t="s">
        <v>125</v>
      </c>
      <c r="E43" s="155"/>
      <c r="F43" s="155" t="s">
        <v>257</v>
      </c>
      <c r="G43" s="153">
        <v>41121</v>
      </c>
      <c r="H43" s="156" t="s">
        <v>241</v>
      </c>
      <c r="I43" s="156" t="s">
        <v>197</v>
      </c>
      <c r="J43" s="156"/>
      <c r="K43" s="159" t="s">
        <v>246</v>
      </c>
      <c r="L43" s="159" t="s">
        <v>222</v>
      </c>
      <c r="M43" s="159">
        <v>87.95</v>
      </c>
      <c r="N43" s="159">
        <v>46.75</v>
      </c>
      <c r="O43" s="155"/>
      <c r="P43" s="159"/>
      <c r="Q43" s="159"/>
      <c r="R43" s="163"/>
      <c r="S43" s="159"/>
      <c r="T43" s="159"/>
      <c r="U43" s="159"/>
      <c r="V43" s="159"/>
      <c r="W43" s="159">
        <v>10.95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19.649999999999999</v>
      </c>
      <c r="AI43" s="159"/>
      <c r="AJ43" s="159"/>
      <c r="AK43" s="159"/>
      <c r="AL43" s="155" t="s">
        <v>231</v>
      </c>
      <c r="AM43" s="156" t="s">
        <v>197</v>
      </c>
      <c r="AN43" s="162"/>
      <c r="AO43" s="162"/>
    </row>
    <row r="44" spans="1:94" x14ac:dyDescent="0.3">
      <c r="A44" s="152">
        <v>1242</v>
      </c>
      <c r="B44" s="158">
        <v>41149</v>
      </c>
      <c r="C44" s="154" t="s">
        <v>236</v>
      </c>
      <c r="D44" s="155" t="s">
        <v>125</v>
      </c>
      <c r="E44" s="155"/>
      <c r="F44" s="155" t="s">
        <v>257</v>
      </c>
      <c r="G44" s="153">
        <v>41090</v>
      </c>
      <c r="H44" s="156" t="s">
        <v>241</v>
      </c>
      <c r="I44" s="156" t="s">
        <v>197</v>
      </c>
      <c r="J44" s="156"/>
      <c r="K44" s="155" t="s">
        <v>247</v>
      </c>
      <c r="L44" s="159" t="s">
        <v>222</v>
      </c>
      <c r="M44" s="159">
        <v>86.953999999999994</v>
      </c>
      <c r="N44" s="159">
        <v>49.080399999999997</v>
      </c>
      <c r="O44" s="159"/>
      <c r="P44" s="159"/>
      <c r="Q44" s="155"/>
      <c r="R44" s="163"/>
      <c r="S44" s="159"/>
      <c r="T44" s="159"/>
      <c r="U44" s="159"/>
      <c r="V44" s="159"/>
      <c r="W44" s="155">
        <v>10.9429</v>
      </c>
      <c r="X44" s="159"/>
      <c r="Y44" s="159"/>
      <c r="Z44" s="159"/>
      <c r="AA44" s="159"/>
      <c r="AB44" s="159"/>
      <c r="AC44" s="159"/>
      <c r="AD44" s="159"/>
      <c r="AE44" s="155"/>
      <c r="AF44" s="159"/>
      <c r="AG44" s="159"/>
      <c r="AH44" s="155">
        <v>19.6586</v>
      </c>
      <c r="AI44" s="155"/>
      <c r="AJ44" s="155"/>
      <c r="AK44" s="159"/>
      <c r="AL44" s="155" t="s">
        <v>231</v>
      </c>
      <c r="AM44" s="156" t="s">
        <v>197</v>
      </c>
      <c r="AN44" s="156"/>
      <c r="AO44" s="156"/>
    </row>
    <row r="45" spans="1:94" x14ac:dyDescent="0.3">
      <c r="A45" s="152">
        <v>2518</v>
      </c>
      <c r="B45" s="158">
        <v>41149</v>
      </c>
      <c r="C45" s="154" t="s">
        <v>236</v>
      </c>
      <c r="D45" s="155" t="s">
        <v>125</v>
      </c>
      <c r="E45" s="155"/>
      <c r="F45" s="155" t="s">
        <v>257</v>
      </c>
      <c r="G45" s="153">
        <v>41090</v>
      </c>
      <c r="H45" s="156" t="s">
        <v>241</v>
      </c>
      <c r="I45" s="156" t="s">
        <v>197</v>
      </c>
      <c r="J45" s="156"/>
      <c r="K45" s="159" t="s">
        <v>249</v>
      </c>
      <c r="L45" s="159" t="s">
        <v>222</v>
      </c>
      <c r="M45" s="159">
        <v>76.180000000000007</v>
      </c>
      <c r="N45" s="159">
        <v>51.99</v>
      </c>
      <c r="O45" s="155"/>
      <c r="P45" s="159"/>
      <c r="Q45" s="159"/>
      <c r="R45" s="163"/>
      <c r="S45" s="159"/>
      <c r="T45" s="159"/>
      <c r="U45" s="159"/>
      <c r="V45" s="159"/>
      <c r="W45" s="159">
        <v>13.78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>
        <v>19.670000000000002</v>
      </c>
      <c r="AI45" s="159"/>
      <c r="AJ45" s="159"/>
      <c r="AK45" s="159"/>
      <c r="AL45" s="155" t="s">
        <v>231</v>
      </c>
      <c r="AM45" s="156" t="s">
        <v>197</v>
      </c>
      <c r="AN45" s="162"/>
      <c r="AO45" s="162"/>
    </row>
    <row r="46" spans="1:94" x14ac:dyDescent="0.3">
      <c r="A46" s="152">
        <v>1418</v>
      </c>
      <c r="B46" s="158">
        <v>41149</v>
      </c>
      <c r="C46" s="154" t="s">
        <v>236</v>
      </c>
      <c r="D46" s="155" t="s">
        <v>125</v>
      </c>
      <c r="E46" s="155"/>
      <c r="F46" s="155" t="s">
        <v>257</v>
      </c>
      <c r="G46" s="153">
        <v>41097</v>
      </c>
      <c r="H46" s="156" t="s">
        <v>241</v>
      </c>
      <c r="I46" s="156" t="s">
        <v>197</v>
      </c>
      <c r="J46" s="156"/>
      <c r="K46" s="159" t="s">
        <v>250</v>
      </c>
      <c r="L46" s="159" t="s">
        <v>222</v>
      </c>
      <c r="M46" s="159">
        <v>82.58</v>
      </c>
      <c r="N46" s="159">
        <v>43.41</v>
      </c>
      <c r="O46" s="155" t="s">
        <v>240</v>
      </c>
      <c r="P46" s="159">
        <v>600</v>
      </c>
      <c r="Q46" s="159">
        <v>39.22</v>
      </c>
      <c r="R46" s="163"/>
      <c r="S46" s="159"/>
      <c r="T46" s="159"/>
      <c r="U46" s="159"/>
      <c r="V46" s="159"/>
      <c r="W46" s="159">
        <v>12.94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17.55</v>
      </c>
      <c r="AI46" s="159"/>
      <c r="AJ46" s="159"/>
      <c r="AK46" s="159"/>
      <c r="AL46" s="155" t="s">
        <v>231</v>
      </c>
      <c r="AM46" s="156" t="s">
        <v>197</v>
      </c>
      <c r="AN46" s="162"/>
      <c r="AO46" s="162"/>
    </row>
    <row r="47" spans="1:94" x14ac:dyDescent="0.3">
      <c r="A47" s="152">
        <v>2262</v>
      </c>
      <c r="B47" s="158">
        <v>41095</v>
      </c>
      <c r="C47" s="154" t="s">
        <v>236</v>
      </c>
      <c r="D47" s="155" t="s">
        <v>125</v>
      </c>
      <c r="E47" s="155"/>
      <c r="F47" s="155" t="s">
        <v>257</v>
      </c>
      <c r="G47" s="153">
        <v>41090</v>
      </c>
      <c r="H47" s="156" t="s">
        <v>241</v>
      </c>
      <c r="I47" s="156" t="s">
        <v>197</v>
      </c>
      <c r="J47" s="156"/>
      <c r="K47" s="155" t="s">
        <v>251</v>
      </c>
      <c r="L47" s="159" t="s">
        <v>222</v>
      </c>
      <c r="M47" s="155">
        <v>90</v>
      </c>
      <c r="N47" s="155">
        <v>48</v>
      </c>
      <c r="O47" s="155"/>
      <c r="P47" s="155"/>
      <c r="Q47" s="155"/>
      <c r="R47" s="157"/>
      <c r="S47" s="155"/>
      <c r="T47" s="155"/>
      <c r="U47" s="155"/>
      <c r="V47" s="155"/>
      <c r="W47" s="155">
        <v>12</v>
      </c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>
        <v>19.5</v>
      </c>
      <c r="AI47" s="155"/>
      <c r="AJ47" s="155"/>
      <c r="AK47" s="155"/>
      <c r="AL47" s="155" t="s">
        <v>231</v>
      </c>
      <c r="AM47" s="156" t="s">
        <v>197</v>
      </c>
      <c r="AN47" s="156"/>
      <c r="AO47" s="156"/>
    </row>
    <row r="48" spans="1:94" x14ac:dyDescent="0.3">
      <c r="A48" s="152">
        <v>1280</v>
      </c>
      <c r="B48" s="158">
        <v>41136</v>
      </c>
      <c r="C48" s="154" t="s">
        <v>236</v>
      </c>
      <c r="D48" s="155" t="s">
        <v>125</v>
      </c>
      <c r="E48" s="155"/>
      <c r="F48" s="155" t="s">
        <v>257</v>
      </c>
      <c r="G48" s="153">
        <v>41121</v>
      </c>
      <c r="H48" s="156" t="s">
        <v>197</v>
      </c>
      <c r="I48" s="156" t="s">
        <v>238</v>
      </c>
      <c r="J48" s="156"/>
      <c r="K48" s="155" t="s">
        <v>108</v>
      </c>
      <c r="L48" s="159" t="s">
        <v>222</v>
      </c>
      <c r="M48" s="159">
        <v>87.66</v>
      </c>
      <c r="N48" s="159">
        <v>50.3</v>
      </c>
      <c r="O48" s="159"/>
      <c r="P48" s="159"/>
      <c r="Q48" s="155"/>
      <c r="R48" s="163"/>
      <c r="S48" s="159"/>
      <c r="T48" s="159"/>
      <c r="U48" s="159"/>
      <c r="V48" s="159"/>
      <c r="W48" s="155">
        <v>11.04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19.66</v>
      </c>
      <c r="AI48" s="155"/>
      <c r="AJ48" s="155"/>
      <c r="AK48" s="159"/>
      <c r="AL48" s="155" t="s">
        <v>231</v>
      </c>
      <c r="AM48" s="156" t="s">
        <v>197</v>
      </c>
      <c r="AN48" s="156"/>
      <c r="AO48" s="156"/>
    </row>
    <row r="49" spans="1:94" x14ac:dyDescent="0.3">
      <c r="A49" s="152">
        <v>1460</v>
      </c>
      <c r="B49" s="158">
        <v>41135</v>
      </c>
      <c r="C49" s="154" t="s">
        <v>236</v>
      </c>
      <c r="D49" s="155" t="s">
        <v>125</v>
      </c>
      <c r="E49" s="155"/>
      <c r="F49" s="155" t="s">
        <v>257</v>
      </c>
      <c r="G49" s="153">
        <v>41090</v>
      </c>
      <c r="H49" s="156" t="s">
        <v>241</v>
      </c>
      <c r="I49" s="156" t="s">
        <v>197</v>
      </c>
      <c r="J49" s="156"/>
      <c r="K49" s="159" t="s">
        <v>252</v>
      </c>
      <c r="L49" s="159" t="s">
        <v>222</v>
      </c>
      <c r="M49" s="159">
        <v>104.9</v>
      </c>
      <c r="N49" s="159">
        <v>44.24</v>
      </c>
      <c r="O49" s="159"/>
      <c r="P49" s="159"/>
      <c r="Q49" s="159"/>
      <c r="R49" s="163"/>
      <c r="S49" s="159"/>
      <c r="T49" s="159"/>
      <c r="U49" s="159"/>
      <c r="V49" s="159"/>
      <c r="W49" s="159">
        <v>14.44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17.329999999999998</v>
      </c>
      <c r="AI49" s="159"/>
      <c r="AJ49" s="159"/>
      <c r="AK49" s="159"/>
      <c r="AL49" s="155" t="s">
        <v>231</v>
      </c>
      <c r="AM49" s="156" t="s">
        <v>197</v>
      </c>
      <c r="AN49" s="162"/>
      <c r="AO49" s="162"/>
    </row>
    <row r="50" spans="1:94" x14ac:dyDescent="0.3">
      <c r="A50" s="152">
        <v>1385</v>
      </c>
      <c r="B50" s="158">
        <v>41095</v>
      </c>
      <c r="C50" s="154" t="s">
        <v>236</v>
      </c>
      <c r="D50" s="155" t="s">
        <v>125</v>
      </c>
      <c r="E50" s="155"/>
      <c r="F50" s="155" t="s">
        <v>257</v>
      </c>
      <c r="G50" s="164">
        <v>41090</v>
      </c>
      <c r="H50" s="156" t="s">
        <v>241</v>
      </c>
      <c r="I50" s="156" t="s">
        <v>197</v>
      </c>
      <c r="J50" s="156"/>
      <c r="K50" s="155" t="s">
        <v>253</v>
      </c>
      <c r="L50" s="159" t="s">
        <v>222</v>
      </c>
      <c r="M50" s="159">
        <v>85.64</v>
      </c>
      <c r="N50" s="159">
        <v>49.01</v>
      </c>
      <c r="O50" s="159"/>
      <c r="P50" s="159"/>
      <c r="Q50" s="159"/>
      <c r="R50" s="163"/>
      <c r="S50" s="159"/>
      <c r="T50" s="159"/>
      <c r="U50" s="159"/>
      <c r="V50" s="159"/>
      <c r="W50" s="159">
        <v>13.81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20.54</v>
      </c>
      <c r="AI50" s="159"/>
      <c r="AJ50" s="159"/>
      <c r="AK50" s="159"/>
      <c r="AL50" s="155" t="s">
        <v>231</v>
      </c>
      <c r="AM50" s="156" t="s">
        <v>197</v>
      </c>
      <c r="AN50" s="162"/>
      <c r="AO50" s="162"/>
    </row>
    <row r="51" spans="1:94" x14ac:dyDescent="0.3">
      <c r="A51" s="152">
        <v>1366</v>
      </c>
      <c r="B51" s="158">
        <v>41149</v>
      </c>
      <c r="C51" s="154" t="s">
        <v>236</v>
      </c>
      <c r="D51" s="155" t="s">
        <v>125</v>
      </c>
      <c r="E51" s="155"/>
      <c r="F51" s="155" t="s">
        <v>257</v>
      </c>
      <c r="G51" s="164">
        <v>41094</v>
      </c>
      <c r="H51" s="156" t="s">
        <v>197</v>
      </c>
      <c r="I51" s="156" t="s">
        <v>238</v>
      </c>
      <c r="J51" s="156"/>
      <c r="K51" s="155" t="s">
        <v>254</v>
      </c>
      <c r="L51" s="159" t="s">
        <v>222</v>
      </c>
      <c r="M51" s="155">
        <v>89.67</v>
      </c>
      <c r="N51" s="155">
        <v>41.97</v>
      </c>
      <c r="O51" s="155"/>
      <c r="P51" s="155"/>
      <c r="Q51" s="155"/>
      <c r="R51" s="157"/>
      <c r="S51" s="155"/>
      <c r="T51" s="155"/>
      <c r="U51" s="155"/>
      <c r="V51" s="155"/>
      <c r="W51" s="155">
        <v>10.52</v>
      </c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>
        <v>17.45</v>
      </c>
      <c r="AI51" s="155"/>
      <c r="AJ51" s="155"/>
      <c r="AK51" s="155"/>
      <c r="AL51" s="155" t="s">
        <v>231</v>
      </c>
      <c r="AM51" s="156" t="s">
        <v>197</v>
      </c>
      <c r="AN51" s="156"/>
      <c r="AO51" s="156"/>
    </row>
    <row r="52" spans="1:94" x14ac:dyDescent="0.3">
      <c r="A52" s="152">
        <v>2530</v>
      </c>
      <c r="B52" s="158">
        <v>41135</v>
      </c>
      <c r="C52" s="154" t="s">
        <v>236</v>
      </c>
      <c r="D52" s="155" t="s">
        <v>125</v>
      </c>
      <c r="E52" s="155"/>
      <c r="F52" s="155" t="s">
        <v>257</v>
      </c>
      <c r="G52" s="153">
        <v>41090</v>
      </c>
      <c r="H52" s="156" t="s">
        <v>241</v>
      </c>
      <c r="I52" s="156" t="s">
        <v>197</v>
      </c>
      <c r="J52" s="156"/>
      <c r="K52" s="159" t="s">
        <v>255</v>
      </c>
      <c r="L52" s="159" t="s">
        <v>222</v>
      </c>
      <c r="M52" s="159">
        <v>90</v>
      </c>
      <c r="N52" s="159">
        <v>49.1</v>
      </c>
      <c r="O52" s="155"/>
      <c r="P52" s="159"/>
      <c r="Q52" s="159"/>
      <c r="R52" s="163"/>
      <c r="S52" s="159"/>
      <c r="T52" s="159"/>
      <c r="U52" s="159"/>
      <c r="V52" s="159"/>
      <c r="W52" s="159">
        <v>13.5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19</v>
      </c>
      <c r="AI52" s="159"/>
      <c r="AJ52" s="159"/>
      <c r="AK52" s="159"/>
      <c r="AL52" s="155" t="s">
        <v>231</v>
      </c>
      <c r="AM52" s="156" t="s">
        <v>197</v>
      </c>
      <c r="AN52" s="162"/>
      <c r="AO52" s="16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  <row r="53" spans="1:94" x14ac:dyDescent="0.3">
      <c r="B53" s="1"/>
    </row>
  </sheetData>
  <sheetProtection algorithmName="SHA-512" hashValue="Zc4tK3ove9aZFkDC17720OtJrGvDZLos4UrIsByaqmlxj3ILRV0sy3BvXb+1bx8aqcQ/GN4xS4pt0LMkzHnHWw==" saltValue="z7kXUzxuiedn2T6amuq25g==" spinCount="100000" sheet="1" objects="1" scenarios="1"/>
  <phoneticPr fontId="5" type="noConversion"/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9"/>
  <dimension ref="A1:CP55"/>
  <sheetViews>
    <sheetView workbookViewId="0">
      <selection activeCell="D61" sqref="D61"/>
    </sheetView>
  </sheetViews>
  <sheetFormatPr defaultColWidth="11" defaultRowHeight="13.5" x14ac:dyDescent="0.3"/>
  <cols>
    <col min="12" max="12" width="14.4609375" customWidth="1"/>
    <col min="38" max="38" width="15.84375" customWidth="1"/>
  </cols>
  <sheetData>
    <row r="1" spans="1:94" ht="67.5" x14ac:dyDescent="0.3">
      <c r="A1" s="136" t="s">
        <v>150</v>
      </c>
      <c r="B1" s="136" t="s">
        <v>151</v>
      </c>
      <c r="C1" s="137" t="s">
        <v>152</v>
      </c>
      <c r="D1" s="138" t="s">
        <v>153</v>
      </c>
      <c r="E1" s="138" t="s">
        <v>154</v>
      </c>
      <c r="F1" s="138" t="s">
        <v>155</v>
      </c>
      <c r="G1" s="136" t="s">
        <v>81</v>
      </c>
      <c r="H1" s="139" t="s">
        <v>156</v>
      </c>
      <c r="I1" s="139" t="s">
        <v>157</v>
      </c>
      <c r="J1" s="139" t="s">
        <v>158</v>
      </c>
      <c r="K1" s="138" t="s">
        <v>80</v>
      </c>
      <c r="L1" s="140" t="s">
        <v>159</v>
      </c>
      <c r="M1" s="141" t="s">
        <v>160</v>
      </c>
      <c r="N1" s="142" t="s">
        <v>161</v>
      </c>
      <c r="O1" s="142" t="s">
        <v>162</v>
      </c>
      <c r="P1" s="142" t="s">
        <v>163</v>
      </c>
      <c r="Q1" s="142" t="s">
        <v>164</v>
      </c>
      <c r="R1" s="142" t="s">
        <v>165</v>
      </c>
      <c r="S1" s="142" t="s">
        <v>166</v>
      </c>
      <c r="T1" s="142" t="s">
        <v>167</v>
      </c>
      <c r="U1" s="142" t="s">
        <v>168</v>
      </c>
      <c r="V1" s="143" t="s">
        <v>169</v>
      </c>
      <c r="W1" s="144" t="s">
        <v>170</v>
      </c>
      <c r="X1" s="144" t="s">
        <v>171</v>
      </c>
      <c r="Y1" s="144" t="s">
        <v>172</v>
      </c>
      <c r="Z1" s="144" t="s">
        <v>173</v>
      </c>
      <c r="AA1" s="144" t="s">
        <v>174</v>
      </c>
      <c r="AB1" s="144" t="s">
        <v>175</v>
      </c>
      <c r="AC1" s="144" t="s">
        <v>176</v>
      </c>
      <c r="AD1" s="145" t="s">
        <v>177</v>
      </c>
      <c r="AE1" s="146" t="s">
        <v>178</v>
      </c>
      <c r="AF1" s="147" t="s">
        <v>179</v>
      </c>
      <c r="AG1" s="147" t="s">
        <v>180</v>
      </c>
      <c r="AH1" s="148" t="s">
        <v>181</v>
      </c>
      <c r="AI1" s="148" t="s">
        <v>182</v>
      </c>
      <c r="AJ1" s="148" t="s">
        <v>183</v>
      </c>
      <c r="AK1" s="148" t="s">
        <v>184</v>
      </c>
      <c r="AL1" s="149" t="s">
        <v>185</v>
      </c>
      <c r="AM1" s="150" t="s">
        <v>186</v>
      </c>
      <c r="AN1" s="150" t="s">
        <v>187</v>
      </c>
      <c r="AO1" s="151" t="s">
        <v>188</v>
      </c>
    </row>
    <row r="2" spans="1:94" x14ac:dyDescent="0.3">
      <c r="A2" s="152">
        <v>2311</v>
      </c>
      <c r="B2" s="158">
        <v>41136</v>
      </c>
      <c r="C2" s="154" t="s">
        <v>236</v>
      </c>
      <c r="D2" s="155" t="s">
        <v>126</v>
      </c>
      <c r="E2" s="155"/>
      <c r="F2" s="155" t="s">
        <v>237</v>
      </c>
      <c r="G2" s="153">
        <v>41114</v>
      </c>
      <c r="H2" s="156" t="s">
        <v>197</v>
      </c>
      <c r="I2" s="156" t="s">
        <v>238</v>
      </c>
      <c r="J2" s="156"/>
      <c r="K2" s="155" t="s">
        <v>258</v>
      </c>
      <c r="L2" s="159" t="s">
        <v>222</v>
      </c>
      <c r="M2" s="155">
        <v>77.47</v>
      </c>
      <c r="N2" s="155">
        <v>24.84</v>
      </c>
      <c r="O2" s="155" t="s">
        <v>240</v>
      </c>
      <c r="P2" s="155">
        <v>1000</v>
      </c>
      <c r="Q2" s="155">
        <v>24.47</v>
      </c>
      <c r="R2" s="157">
        <v>1750</v>
      </c>
      <c r="S2" s="155">
        <v>24.27</v>
      </c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 t="s">
        <v>196</v>
      </c>
      <c r="AM2" s="156" t="s">
        <v>197</v>
      </c>
      <c r="AN2" s="156"/>
      <c r="AO2" s="156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</row>
    <row r="3" spans="1:94" x14ac:dyDescent="0.3">
      <c r="A3" s="152">
        <v>2005</v>
      </c>
      <c r="B3" s="158">
        <v>41095</v>
      </c>
      <c r="C3" s="154" t="s">
        <v>236</v>
      </c>
      <c r="D3" s="155" t="s">
        <v>126</v>
      </c>
      <c r="E3" s="155"/>
      <c r="F3" s="155" t="s">
        <v>237</v>
      </c>
      <c r="G3" s="153">
        <v>41090</v>
      </c>
      <c r="H3" s="156" t="s">
        <v>241</v>
      </c>
      <c r="I3" s="156" t="s">
        <v>197</v>
      </c>
      <c r="J3" s="156"/>
      <c r="K3" s="155" t="s">
        <v>106</v>
      </c>
      <c r="L3" s="159" t="s">
        <v>222</v>
      </c>
      <c r="M3" s="155">
        <v>77.47</v>
      </c>
      <c r="N3" s="155">
        <v>24.64</v>
      </c>
      <c r="O3" s="155" t="s">
        <v>240</v>
      </c>
      <c r="P3" s="155">
        <v>1000</v>
      </c>
      <c r="Q3" s="155">
        <v>24.17</v>
      </c>
      <c r="R3" s="157">
        <v>1750</v>
      </c>
      <c r="S3" s="155">
        <v>23.97</v>
      </c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 t="s">
        <v>196</v>
      </c>
      <c r="AM3" s="156" t="s">
        <v>197</v>
      </c>
      <c r="AN3" s="156"/>
      <c r="AO3" s="156"/>
    </row>
    <row r="4" spans="1:94" x14ac:dyDescent="0.3">
      <c r="A4" s="152">
        <v>2559</v>
      </c>
      <c r="B4" s="158">
        <v>41137</v>
      </c>
      <c r="C4" s="154" t="s">
        <v>236</v>
      </c>
      <c r="D4" s="155" t="s">
        <v>126</v>
      </c>
      <c r="E4" s="155"/>
      <c r="F4" s="155" t="s">
        <v>237</v>
      </c>
      <c r="G4" s="153">
        <v>41121</v>
      </c>
      <c r="H4" s="156" t="s">
        <v>197</v>
      </c>
      <c r="I4" s="156" t="s">
        <v>238</v>
      </c>
      <c r="J4" s="156"/>
      <c r="K4" s="155" t="s">
        <v>242</v>
      </c>
      <c r="L4" s="159" t="s">
        <v>222</v>
      </c>
      <c r="M4" s="155">
        <v>78.959999999999994</v>
      </c>
      <c r="N4" s="155">
        <v>23.17</v>
      </c>
      <c r="O4" s="155" t="s">
        <v>240</v>
      </c>
      <c r="P4" s="155">
        <v>1000</v>
      </c>
      <c r="Q4" s="155">
        <v>22.55</v>
      </c>
      <c r="R4" s="157">
        <v>1750</v>
      </c>
      <c r="S4" s="155">
        <v>21.73</v>
      </c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 t="s">
        <v>196</v>
      </c>
      <c r="AM4" s="156" t="s">
        <v>197</v>
      </c>
      <c r="AN4" s="156"/>
      <c r="AO4" s="156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</row>
    <row r="5" spans="1:94" x14ac:dyDescent="0.3">
      <c r="A5" s="152">
        <v>1113</v>
      </c>
      <c r="B5" s="158">
        <v>41095</v>
      </c>
      <c r="C5" s="154" t="s">
        <v>236</v>
      </c>
      <c r="D5" s="155" t="s">
        <v>126</v>
      </c>
      <c r="E5" s="155"/>
      <c r="F5" s="155" t="s">
        <v>237</v>
      </c>
      <c r="G5" s="153">
        <v>41090</v>
      </c>
      <c r="H5" s="156" t="s">
        <v>197</v>
      </c>
      <c r="I5" s="156" t="s">
        <v>238</v>
      </c>
      <c r="J5" s="156"/>
      <c r="K5" s="155" t="s">
        <v>243</v>
      </c>
      <c r="L5" s="159" t="s">
        <v>222</v>
      </c>
      <c r="M5" s="159">
        <v>86</v>
      </c>
      <c r="N5" s="159">
        <v>26.8</v>
      </c>
      <c r="O5" s="155" t="s">
        <v>240</v>
      </c>
      <c r="P5" s="159">
        <v>1000</v>
      </c>
      <c r="Q5" s="155">
        <v>25.8</v>
      </c>
      <c r="R5" s="157">
        <v>1750</v>
      </c>
      <c r="S5" s="159">
        <v>23.6</v>
      </c>
      <c r="T5" s="159"/>
      <c r="U5" s="159"/>
      <c r="V5" s="159"/>
      <c r="W5" s="155"/>
      <c r="X5" s="159"/>
      <c r="Y5" s="159"/>
      <c r="Z5" s="159"/>
      <c r="AA5" s="159"/>
      <c r="AB5" s="159"/>
      <c r="AC5" s="159"/>
      <c r="AD5" s="159"/>
      <c r="AE5" s="155"/>
      <c r="AF5" s="159"/>
      <c r="AG5" s="159"/>
      <c r="AH5" s="155"/>
      <c r="AI5" s="155"/>
      <c r="AJ5" s="155"/>
      <c r="AK5" s="159"/>
      <c r="AL5" s="155" t="s">
        <v>196</v>
      </c>
      <c r="AM5" s="156" t="s">
        <v>197</v>
      </c>
      <c r="AN5" s="156"/>
      <c r="AO5" s="156"/>
    </row>
    <row r="6" spans="1:94" x14ac:dyDescent="0.3">
      <c r="A6" s="152">
        <v>1473</v>
      </c>
      <c r="B6" s="158">
        <v>41149</v>
      </c>
      <c r="C6" s="154" t="s">
        <v>236</v>
      </c>
      <c r="D6" s="155" t="s">
        <v>126</v>
      </c>
      <c r="E6" s="155"/>
      <c r="F6" s="155" t="s">
        <v>237</v>
      </c>
      <c r="G6" s="153">
        <v>41121</v>
      </c>
      <c r="H6" s="156" t="s">
        <v>241</v>
      </c>
      <c r="I6" s="156" t="s">
        <v>197</v>
      </c>
      <c r="J6" s="156"/>
      <c r="K6" s="159" t="s">
        <v>117</v>
      </c>
      <c r="L6" s="159" t="s">
        <v>222</v>
      </c>
      <c r="M6" s="159">
        <v>77.75</v>
      </c>
      <c r="N6" s="159">
        <v>24.75</v>
      </c>
      <c r="O6" s="155" t="s">
        <v>240</v>
      </c>
      <c r="P6" s="159">
        <v>1750</v>
      </c>
      <c r="Q6" s="159">
        <v>24.1</v>
      </c>
      <c r="R6" s="160">
        <v>1750</v>
      </c>
      <c r="S6" s="161">
        <v>24.1</v>
      </c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5" t="s">
        <v>196</v>
      </c>
      <c r="AM6" s="156" t="s">
        <v>197</v>
      </c>
      <c r="AN6" s="162"/>
      <c r="AO6" s="162"/>
    </row>
    <row r="7" spans="1:94" x14ac:dyDescent="0.3">
      <c r="A7" s="152">
        <v>1523</v>
      </c>
      <c r="B7" s="158">
        <v>41095</v>
      </c>
      <c r="C7" s="154" t="s">
        <v>236</v>
      </c>
      <c r="D7" s="155" t="s">
        <v>126</v>
      </c>
      <c r="E7" s="155"/>
      <c r="F7" s="155" t="s">
        <v>237</v>
      </c>
      <c r="G7" s="153">
        <v>41097</v>
      </c>
      <c r="H7" s="156" t="s">
        <v>241</v>
      </c>
      <c r="I7" s="156" t="s">
        <v>197</v>
      </c>
      <c r="J7" s="156"/>
      <c r="K7" s="159" t="s">
        <v>244</v>
      </c>
      <c r="L7" s="159" t="s">
        <v>222</v>
      </c>
      <c r="M7" s="159">
        <v>93</v>
      </c>
      <c r="N7" s="159">
        <v>25.99</v>
      </c>
      <c r="O7" s="155" t="s">
        <v>240</v>
      </c>
      <c r="P7" s="159">
        <v>1000</v>
      </c>
      <c r="Q7" s="159">
        <v>26.79</v>
      </c>
      <c r="R7" s="157">
        <v>1750</v>
      </c>
      <c r="S7" s="159">
        <v>25.1</v>
      </c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5" t="s">
        <v>196</v>
      </c>
      <c r="AM7" s="162" t="s">
        <v>197</v>
      </c>
      <c r="AN7" s="162"/>
      <c r="AO7" s="162"/>
    </row>
    <row r="8" spans="1:94" x14ac:dyDescent="0.3">
      <c r="A8" s="152">
        <v>1445</v>
      </c>
      <c r="B8" s="158">
        <v>41136</v>
      </c>
      <c r="C8" s="154" t="s">
        <v>236</v>
      </c>
      <c r="D8" s="155" t="s">
        <v>126</v>
      </c>
      <c r="E8" s="155"/>
      <c r="F8" s="155" t="s">
        <v>237</v>
      </c>
      <c r="G8" s="153">
        <v>41121</v>
      </c>
      <c r="H8" s="156" t="s">
        <v>241</v>
      </c>
      <c r="I8" s="156" t="s">
        <v>197</v>
      </c>
      <c r="J8" s="156"/>
      <c r="K8" s="155" t="s">
        <v>245</v>
      </c>
      <c r="L8" s="159" t="s">
        <v>222</v>
      </c>
      <c r="M8" s="159">
        <v>84.98</v>
      </c>
      <c r="N8" s="159">
        <v>21.95</v>
      </c>
      <c r="O8" s="155" t="s">
        <v>240</v>
      </c>
      <c r="P8" s="159">
        <v>300</v>
      </c>
      <c r="Q8" s="159">
        <v>22.13</v>
      </c>
      <c r="R8" s="163">
        <v>1020</v>
      </c>
      <c r="S8" s="159">
        <v>23.95</v>
      </c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5" t="s">
        <v>196</v>
      </c>
      <c r="AM8" s="156" t="s">
        <v>197</v>
      </c>
      <c r="AN8" s="162"/>
      <c r="AO8" s="162"/>
    </row>
    <row r="9" spans="1:94" x14ac:dyDescent="0.3">
      <c r="A9" s="152">
        <v>1485</v>
      </c>
      <c r="B9" s="158">
        <v>41149</v>
      </c>
      <c r="C9" s="154" t="s">
        <v>236</v>
      </c>
      <c r="D9" s="155" t="s">
        <v>126</v>
      </c>
      <c r="E9" s="155"/>
      <c r="F9" s="155" t="s">
        <v>237</v>
      </c>
      <c r="G9" s="153">
        <v>41121</v>
      </c>
      <c r="H9" s="156" t="s">
        <v>241</v>
      </c>
      <c r="I9" s="156" t="s">
        <v>197</v>
      </c>
      <c r="J9" s="156"/>
      <c r="K9" s="159" t="s">
        <v>246</v>
      </c>
      <c r="L9" s="159" t="s">
        <v>222</v>
      </c>
      <c r="M9" s="159">
        <v>76.989999999999995</v>
      </c>
      <c r="N9" s="159">
        <v>23.65</v>
      </c>
      <c r="O9" s="155" t="s">
        <v>240</v>
      </c>
      <c r="P9" s="159">
        <v>1750</v>
      </c>
      <c r="Q9" s="159">
        <v>22.8</v>
      </c>
      <c r="R9" s="160">
        <v>1750</v>
      </c>
      <c r="S9" s="161">
        <v>22.8</v>
      </c>
      <c r="T9" s="159"/>
      <c r="U9" s="159"/>
      <c r="V9" s="159"/>
      <c r="W9" s="159"/>
      <c r="X9" s="159"/>
      <c r="Y9" s="159"/>
      <c r="Z9" s="159"/>
      <c r="AA9" s="159"/>
      <c r="AB9" s="159"/>
      <c r="AC9" s="159"/>
      <c r="AD9" s="159"/>
      <c r="AE9" s="159"/>
      <c r="AF9" s="159"/>
      <c r="AG9" s="159"/>
      <c r="AH9" s="159"/>
      <c r="AI9" s="159"/>
      <c r="AJ9" s="159"/>
      <c r="AK9" s="159"/>
      <c r="AL9" s="155" t="s">
        <v>196</v>
      </c>
      <c r="AM9" s="156" t="s">
        <v>197</v>
      </c>
      <c r="AN9" s="162"/>
      <c r="AO9" s="162"/>
    </row>
    <row r="10" spans="1:94" x14ac:dyDescent="0.3">
      <c r="A10" s="152">
        <v>1255</v>
      </c>
      <c r="B10" s="158">
        <v>41149</v>
      </c>
      <c r="C10" s="154" t="s">
        <v>236</v>
      </c>
      <c r="D10" s="155" t="s">
        <v>126</v>
      </c>
      <c r="E10" s="155"/>
      <c r="F10" s="155" t="s">
        <v>237</v>
      </c>
      <c r="G10" s="153">
        <v>41090</v>
      </c>
      <c r="H10" s="156" t="s">
        <v>241</v>
      </c>
      <c r="I10" s="156" t="s">
        <v>197</v>
      </c>
      <c r="J10" s="156"/>
      <c r="K10" s="155" t="s">
        <v>247</v>
      </c>
      <c r="L10" s="159" t="s">
        <v>222</v>
      </c>
      <c r="M10" s="159">
        <v>81.603999999999999</v>
      </c>
      <c r="N10" s="159">
        <v>25.4771</v>
      </c>
      <c r="O10" s="155" t="s">
        <v>240</v>
      </c>
      <c r="P10" s="159">
        <v>1000</v>
      </c>
      <c r="Q10" s="155">
        <v>24.599299999999999</v>
      </c>
      <c r="R10" s="163">
        <v>1750</v>
      </c>
      <c r="S10" s="159">
        <v>22.916899999999998</v>
      </c>
      <c r="T10" s="159"/>
      <c r="U10" s="159"/>
      <c r="V10" s="159"/>
      <c r="W10" s="155"/>
      <c r="X10" s="159"/>
      <c r="Y10" s="159"/>
      <c r="Z10" s="159"/>
      <c r="AA10" s="159"/>
      <c r="AB10" s="159"/>
      <c r="AC10" s="159"/>
      <c r="AD10" s="159"/>
      <c r="AE10" s="155"/>
      <c r="AF10" s="159"/>
      <c r="AG10" s="159"/>
      <c r="AH10" s="155"/>
      <c r="AI10" s="155"/>
      <c r="AJ10" s="155"/>
      <c r="AK10" s="159"/>
      <c r="AL10" s="155" t="s">
        <v>196</v>
      </c>
      <c r="AM10" s="156" t="s">
        <v>197</v>
      </c>
      <c r="AN10" s="156"/>
      <c r="AO10" s="156"/>
    </row>
    <row r="11" spans="1:94" x14ac:dyDescent="0.3">
      <c r="A11" s="152">
        <v>3103</v>
      </c>
      <c r="B11" s="158">
        <v>41149</v>
      </c>
      <c r="C11" s="154" t="s">
        <v>236</v>
      </c>
      <c r="D11" s="155" t="s">
        <v>126</v>
      </c>
      <c r="E11" s="155"/>
      <c r="F11" s="155" t="s">
        <v>237</v>
      </c>
      <c r="G11" s="153">
        <v>40991</v>
      </c>
      <c r="H11" s="156" t="s">
        <v>241</v>
      </c>
      <c r="I11" s="156" t="s">
        <v>197</v>
      </c>
      <c r="J11" s="156"/>
      <c r="K11" s="159" t="s">
        <v>249</v>
      </c>
      <c r="L11" s="159" t="s">
        <v>222</v>
      </c>
      <c r="M11" s="159">
        <v>58.82</v>
      </c>
      <c r="N11" s="159">
        <v>26.18</v>
      </c>
      <c r="O11" s="155" t="s">
        <v>240</v>
      </c>
      <c r="P11" s="159">
        <v>1000</v>
      </c>
      <c r="Q11" s="159">
        <v>25.18</v>
      </c>
      <c r="R11" s="163">
        <v>1750</v>
      </c>
      <c r="S11" s="159">
        <v>23.45</v>
      </c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5" t="s">
        <v>196</v>
      </c>
      <c r="AM11" s="156" t="s">
        <v>197</v>
      </c>
      <c r="AN11" s="162"/>
      <c r="AO11" s="162"/>
    </row>
    <row r="12" spans="1:94" x14ac:dyDescent="0.3">
      <c r="A12" s="152">
        <v>1423</v>
      </c>
      <c r="B12" s="158">
        <v>41149</v>
      </c>
      <c r="C12" s="154" t="s">
        <v>236</v>
      </c>
      <c r="D12" s="155" t="s">
        <v>126</v>
      </c>
      <c r="E12" s="155"/>
      <c r="F12" s="155" t="s">
        <v>237</v>
      </c>
      <c r="G12" s="153">
        <v>41097</v>
      </c>
      <c r="H12" s="156" t="s">
        <v>241</v>
      </c>
      <c r="I12" s="156" t="s">
        <v>197</v>
      </c>
      <c r="J12" s="156"/>
      <c r="K12" s="159" t="s">
        <v>250</v>
      </c>
      <c r="L12" s="159" t="s">
        <v>222</v>
      </c>
      <c r="M12" s="159">
        <v>72.2</v>
      </c>
      <c r="N12" s="159">
        <v>25.25</v>
      </c>
      <c r="O12" s="155" t="s">
        <v>240</v>
      </c>
      <c r="P12" s="159">
        <v>600</v>
      </c>
      <c r="Q12" s="159">
        <v>21.33</v>
      </c>
      <c r="R12" s="160">
        <v>600</v>
      </c>
      <c r="S12" s="161">
        <v>21.33</v>
      </c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5" t="s">
        <v>196</v>
      </c>
      <c r="AM12" s="156" t="s">
        <v>197</v>
      </c>
      <c r="AN12" s="162"/>
      <c r="AO12" s="162"/>
    </row>
    <row r="13" spans="1:94" x14ac:dyDescent="0.3">
      <c r="A13" s="152">
        <v>2267</v>
      </c>
      <c r="B13" s="158">
        <v>41095</v>
      </c>
      <c r="C13" s="154" t="s">
        <v>236</v>
      </c>
      <c r="D13" s="155" t="s">
        <v>126</v>
      </c>
      <c r="E13" s="155"/>
      <c r="F13" s="155" t="s">
        <v>237</v>
      </c>
      <c r="G13" s="153">
        <v>41090</v>
      </c>
      <c r="H13" s="156" t="s">
        <v>241</v>
      </c>
      <c r="I13" s="156" t="s">
        <v>197</v>
      </c>
      <c r="J13" s="156"/>
      <c r="K13" s="155" t="s">
        <v>251</v>
      </c>
      <c r="L13" s="159" t="s">
        <v>222</v>
      </c>
      <c r="M13" s="155">
        <v>78.5</v>
      </c>
      <c r="N13" s="155">
        <v>23.43</v>
      </c>
      <c r="O13" s="155" t="s">
        <v>240</v>
      </c>
      <c r="P13" s="155">
        <v>1000</v>
      </c>
      <c r="Q13" s="155">
        <v>22.83</v>
      </c>
      <c r="R13" s="157">
        <v>1750</v>
      </c>
      <c r="S13" s="155">
        <v>21.73</v>
      </c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 t="s">
        <v>196</v>
      </c>
      <c r="AM13" s="156" t="s">
        <v>197</v>
      </c>
      <c r="AN13" s="156"/>
      <c r="AO13" s="156"/>
    </row>
    <row r="14" spans="1:94" x14ac:dyDescent="0.3">
      <c r="A14" s="152">
        <v>1289</v>
      </c>
      <c r="B14" s="158">
        <v>41136</v>
      </c>
      <c r="C14" s="154" t="s">
        <v>236</v>
      </c>
      <c r="D14" s="155" t="s">
        <v>126</v>
      </c>
      <c r="E14" s="155"/>
      <c r="F14" s="155" t="s">
        <v>237</v>
      </c>
      <c r="G14" s="153">
        <v>41121</v>
      </c>
      <c r="H14" s="156" t="s">
        <v>197</v>
      </c>
      <c r="I14" s="156" t="s">
        <v>238</v>
      </c>
      <c r="J14" s="156"/>
      <c r="K14" s="155" t="s">
        <v>108</v>
      </c>
      <c r="L14" s="159" t="s">
        <v>222</v>
      </c>
      <c r="M14" s="159">
        <v>77.47</v>
      </c>
      <c r="N14" s="159">
        <v>24.5</v>
      </c>
      <c r="O14" s="155" t="s">
        <v>240</v>
      </c>
      <c r="P14" s="159">
        <v>1750</v>
      </c>
      <c r="Q14" s="155">
        <v>23.94</v>
      </c>
      <c r="R14" s="160">
        <v>1750</v>
      </c>
      <c r="S14" s="165">
        <v>23.94</v>
      </c>
      <c r="T14" s="159"/>
      <c r="U14" s="159"/>
      <c r="V14" s="159"/>
      <c r="W14" s="155"/>
      <c r="X14" s="159"/>
      <c r="Y14" s="159"/>
      <c r="Z14" s="159"/>
      <c r="AA14" s="159"/>
      <c r="AB14" s="159"/>
      <c r="AC14" s="159"/>
      <c r="AD14" s="159"/>
      <c r="AE14" s="155"/>
      <c r="AF14" s="159"/>
      <c r="AG14" s="159"/>
      <c r="AH14" s="155"/>
      <c r="AI14" s="155"/>
      <c r="AJ14" s="155"/>
      <c r="AK14" s="159"/>
      <c r="AL14" s="155" t="s">
        <v>196</v>
      </c>
      <c r="AM14" s="156" t="s">
        <v>197</v>
      </c>
      <c r="AN14" s="156"/>
      <c r="AO14" s="156"/>
    </row>
    <row r="15" spans="1:94" x14ac:dyDescent="0.3">
      <c r="A15" s="152">
        <v>1461</v>
      </c>
      <c r="B15" s="158">
        <v>41135</v>
      </c>
      <c r="C15" s="154" t="s">
        <v>236</v>
      </c>
      <c r="D15" s="155" t="s">
        <v>126</v>
      </c>
      <c r="E15" s="155"/>
      <c r="F15" s="155" t="s">
        <v>237</v>
      </c>
      <c r="G15" s="153">
        <v>41090</v>
      </c>
      <c r="H15" s="156" t="s">
        <v>241</v>
      </c>
      <c r="I15" s="156" t="s">
        <v>197</v>
      </c>
      <c r="J15" s="156"/>
      <c r="K15" s="159" t="s">
        <v>252</v>
      </c>
      <c r="L15" s="159" t="s">
        <v>222</v>
      </c>
      <c r="M15" s="159">
        <v>88.703999999999994</v>
      </c>
      <c r="N15" s="159">
        <v>23.231999999999999</v>
      </c>
      <c r="O15" s="159"/>
      <c r="P15" s="155"/>
      <c r="Q15" s="159"/>
      <c r="R15" s="163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5" t="s">
        <v>196</v>
      </c>
      <c r="AM15" s="156" t="s">
        <v>197</v>
      </c>
      <c r="AN15" s="162"/>
      <c r="AO15" s="162"/>
    </row>
    <row r="16" spans="1:94" x14ac:dyDescent="0.3">
      <c r="A16" s="152">
        <v>1391</v>
      </c>
      <c r="B16" s="158">
        <v>41095</v>
      </c>
      <c r="C16" s="154" t="s">
        <v>236</v>
      </c>
      <c r="D16" s="155" t="s">
        <v>126</v>
      </c>
      <c r="E16" s="155"/>
      <c r="F16" s="155" t="s">
        <v>237</v>
      </c>
      <c r="G16" s="164">
        <v>41090</v>
      </c>
      <c r="H16" s="156" t="s">
        <v>241</v>
      </c>
      <c r="I16" s="156" t="s">
        <v>197</v>
      </c>
      <c r="J16" s="156"/>
      <c r="K16" s="155" t="s">
        <v>253</v>
      </c>
      <c r="L16" s="159" t="s">
        <v>222</v>
      </c>
      <c r="M16" s="159">
        <v>73.790000000000006</v>
      </c>
      <c r="N16" s="159">
        <v>24.86</v>
      </c>
      <c r="O16" s="155" t="s">
        <v>240</v>
      </c>
      <c r="P16" s="159">
        <v>1000</v>
      </c>
      <c r="Q16" s="159">
        <v>23.42</v>
      </c>
      <c r="R16" s="163">
        <v>1750</v>
      </c>
      <c r="S16" s="159">
        <v>22.27</v>
      </c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5" t="s">
        <v>196</v>
      </c>
      <c r="AM16" s="156" t="s">
        <v>197</v>
      </c>
      <c r="AN16" s="162"/>
      <c r="AO16" s="162"/>
    </row>
    <row r="17" spans="1:94" x14ac:dyDescent="0.3">
      <c r="A17" s="152">
        <v>1367</v>
      </c>
      <c r="B17" s="158">
        <v>41149</v>
      </c>
      <c r="C17" s="154" t="s">
        <v>236</v>
      </c>
      <c r="D17" s="155" t="s">
        <v>126</v>
      </c>
      <c r="E17" s="155"/>
      <c r="F17" s="155" t="s">
        <v>237</v>
      </c>
      <c r="G17" s="164">
        <v>41093</v>
      </c>
      <c r="H17" s="156" t="s">
        <v>197</v>
      </c>
      <c r="I17" s="156" t="s">
        <v>238</v>
      </c>
      <c r="J17" s="156"/>
      <c r="K17" s="155" t="s">
        <v>254</v>
      </c>
      <c r="L17" s="159" t="s">
        <v>222</v>
      </c>
      <c r="M17" s="155">
        <v>71.709999999999994</v>
      </c>
      <c r="N17" s="155">
        <v>20.64</v>
      </c>
      <c r="O17" s="155" t="s">
        <v>240</v>
      </c>
      <c r="P17" s="155">
        <v>1750</v>
      </c>
      <c r="Q17" s="155">
        <v>22.94</v>
      </c>
      <c r="R17" s="160">
        <v>1750</v>
      </c>
      <c r="S17" s="165">
        <v>22.94</v>
      </c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 t="s">
        <v>196</v>
      </c>
      <c r="AM17" s="156" t="s">
        <v>197</v>
      </c>
      <c r="AN17" s="156"/>
      <c r="AO17" s="156"/>
    </row>
    <row r="18" spans="1:94" x14ac:dyDescent="0.3">
      <c r="A18" s="152">
        <v>2531</v>
      </c>
      <c r="B18" s="158">
        <v>41135</v>
      </c>
      <c r="C18" s="154" t="s">
        <v>236</v>
      </c>
      <c r="D18" s="155" t="s">
        <v>126</v>
      </c>
      <c r="E18" s="155"/>
      <c r="F18" s="155" t="s">
        <v>237</v>
      </c>
      <c r="G18" s="153">
        <v>41090</v>
      </c>
      <c r="H18" s="156" t="s">
        <v>241</v>
      </c>
      <c r="I18" s="156" t="s">
        <v>197</v>
      </c>
      <c r="J18" s="156"/>
      <c r="K18" s="159" t="s">
        <v>255</v>
      </c>
      <c r="L18" s="159" t="s">
        <v>222</v>
      </c>
      <c r="M18" s="159">
        <v>78.5</v>
      </c>
      <c r="N18" s="159">
        <v>23.7</v>
      </c>
      <c r="O18" s="155" t="s">
        <v>240</v>
      </c>
      <c r="P18" s="159">
        <v>1000</v>
      </c>
      <c r="Q18" s="159">
        <v>22.9</v>
      </c>
      <c r="R18" s="157">
        <v>1700</v>
      </c>
      <c r="S18" s="159">
        <v>21.3</v>
      </c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5" t="s">
        <v>196</v>
      </c>
      <c r="AM18" s="156" t="s">
        <v>197</v>
      </c>
      <c r="AN18" s="162"/>
      <c r="AO18" s="16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</row>
    <row r="19" spans="1:94" x14ac:dyDescent="0.3">
      <c r="A19" s="152">
        <v>2312</v>
      </c>
      <c r="B19" s="158">
        <v>41136</v>
      </c>
      <c r="C19" s="154" t="s">
        <v>236</v>
      </c>
      <c r="D19" s="155" t="s">
        <v>126</v>
      </c>
      <c r="E19" s="155"/>
      <c r="F19" s="155" t="s">
        <v>256</v>
      </c>
      <c r="G19" s="153">
        <v>41114</v>
      </c>
      <c r="H19" s="156" t="s">
        <v>197</v>
      </c>
      <c r="I19" s="156" t="s">
        <v>238</v>
      </c>
      <c r="J19" s="156"/>
      <c r="K19" s="155" t="s">
        <v>258</v>
      </c>
      <c r="L19" s="159" t="s">
        <v>222</v>
      </c>
      <c r="M19" s="155">
        <v>83.59</v>
      </c>
      <c r="N19" s="155">
        <v>24.84</v>
      </c>
      <c r="O19" s="155" t="s">
        <v>240</v>
      </c>
      <c r="P19" s="155">
        <v>1000</v>
      </c>
      <c r="Q19" s="155">
        <v>24.47</v>
      </c>
      <c r="R19" s="157">
        <v>1750</v>
      </c>
      <c r="S19" s="155">
        <v>24.27</v>
      </c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>
        <v>8.94</v>
      </c>
      <c r="AF19" s="155"/>
      <c r="AG19" s="155"/>
      <c r="AH19" s="155"/>
      <c r="AI19" s="155"/>
      <c r="AJ19" s="155"/>
      <c r="AK19" s="155"/>
      <c r="AL19" s="155" t="s">
        <v>218</v>
      </c>
      <c r="AM19" s="156" t="s">
        <v>197</v>
      </c>
      <c r="AN19" s="156"/>
      <c r="AO19" s="156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</row>
    <row r="20" spans="1:94" x14ac:dyDescent="0.3">
      <c r="A20" s="152">
        <v>2006</v>
      </c>
      <c r="B20" s="158">
        <v>41095</v>
      </c>
      <c r="C20" s="154" t="s">
        <v>236</v>
      </c>
      <c r="D20" s="155" t="s">
        <v>126</v>
      </c>
      <c r="E20" s="155"/>
      <c r="F20" s="155" t="s">
        <v>256</v>
      </c>
      <c r="G20" s="153">
        <v>41090</v>
      </c>
      <c r="H20" s="156" t="s">
        <v>241</v>
      </c>
      <c r="I20" s="156" t="s">
        <v>197</v>
      </c>
      <c r="J20" s="156"/>
      <c r="K20" s="155" t="s">
        <v>106</v>
      </c>
      <c r="L20" s="159" t="s">
        <v>222</v>
      </c>
      <c r="M20" s="155">
        <v>83.59</v>
      </c>
      <c r="N20" s="155">
        <v>24.64</v>
      </c>
      <c r="O20" s="155" t="s">
        <v>240</v>
      </c>
      <c r="P20" s="155">
        <v>1000</v>
      </c>
      <c r="Q20" s="155">
        <v>24.17</v>
      </c>
      <c r="R20" s="157">
        <v>1750</v>
      </c>
      <c r="S20" s="155">
        <v>23.97</v>
      </c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>
        <v>7.34</v>
      </c>
      <c r="AF20" s="155"/>
      <c r="AG20" s="155"/>
      <c r="AH20" s="155"/>
      <c r="AI20" s="155"/>
      <c r="AJ20" s="155"/>
      <c r="AK20" s="155"/>
      <c r="AL20" s="155" t="s">
        <v>218</v>
      </c>
      <c r="AM20" s="156" t="s">
        <v>197</v>
      </c>
      <c r="AN20" s="156"/>
      <c r="AO20" s="156"/>
    </row>
    <row r="21" spans="1:94" x14ac:dyDescent="0.3">
      <c r="A21" s="152">
        <v>2560</v>
      </c>
      <c r="B21" s="158">
        <v>41137</v>
      </c>
      <c r="C21" s="154" t="s">
        <v>236</v>
      </c>
      <c r="D21" s="155" t="s">
        <v>126</v>
      </c>
      <c r="E21" s="155"/>
      <c r="F21" s="155" t="s">
        <v>256</v>
      </c>
      <c r="G21" s="153">
        <v>41121</v>
      </c>
      <c r="H21" s="156" t="s">
        <v>197</v>
      </c>
      <c r="I21" s="156" t="s">
        <v>238</v>
      </c>
      <c r="J21" s="156"/>
      <c r="K21" s="155" t="s">
        <v>242</v>
      </c>
      <c r="L21" s="159" t="s">
        <v>222</v>
      </c>
      <c r="M21" s="155">
        <v>84.14</v>
      </c>
      <c r="N21" s="155">
        <v>24.17</v>
      </c>
      <c r="O21" s="155" t="s">
        <v>240</v>
      </c>
      <c r="P21" s="155">
        <v>1000</v>
      </c>
      <c r="Q21" s="155">
        <v>22.55</v>
      </c>
      <c r="R21" s="157">
        <v>1750</v>
      </c>
      <c r="S21" s="155">
        <v>21.73</v>
      </c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>
        <v>8.1</v>
      </c>
      <c r="AF21" s="155"/>
      <c r="AG21" s="155"/>
      <c r="AH21" s="155"/>
      <c r="AI21" s="155"/>
      <c r="AJ21" s="155"/>
      <c r="AK21" s="155"/>
      <c r="AL21" s="155" t="s">
        <v>218</v>
      </c>
      <c r="AM21" s="156" t="s">
        <v>197</v>
      </c>
      <c r="AN21" s="156"/>
      <c r="AO21" s="156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</row>
    <row r="22" spans="1:94" x14ac:dyDescent="0.3">
      <c r="A22" s="152">
        <v>1114</v>
      </c>
      <c r="B22" s="158">
        <v>41095</v>
      </c>
      <c r="C22" s="154" t="s">
        <v>236</v>
      </c>
      <c r="D22" s="155" t="s">
        <v>126</v>
      </c>
      <c r="E22" s="155"/>
      <c r="F22" s="155" t="s">
        <v>256</v>
      </c>
      <c r="G22" s="153">
        <v>41090</v>
      </c>
      <c r="H22" s="156" t="s">
        <v>197</v>
      </c>
      <c r="I22" s="156" t="s">
        <v>238</v>
      </c>
      <c r="J22" s="156"/>
      <c r="K22" s="155" t="s">
        <v>243</v>
      </c>
      <c r="L22" s="159" t="s">
        <v>222</v>
      </c>
      <c r="M22" s="159">
        <v>92</v>
      </c>
      <c r="N22" s="159">
        <v>26.8</v>
      </c>
      <c r="O22" s="155" t="s">
        <v>240</v>
      </c>
      <c r="P22" s="159">
        <v>1000</v>
      </c>
      <c r="Q22" s="155">
        <v>25.8</v>
      </c>
      <c r="R22" s="157">
        <v>1750</v>
      </c>
      <c r="S22" s="159">
        <v>23.6</v>
      </c>
      <c r="T22" s="159"/>
      <c r="U22" s="159"/>
      <c r="V22" s="159"/>
      <c r="W22" s="155"/>
      <c r="X22" s="159"/>
      <c r="Y22" s="159"/>
      <c r="Z22" s="159"/>
      <c r="AA22" s="159"/>
      <c r="AB22" s="159"/>
      <c r="AC22" s="159"/>
      <c r="AD22" s="159"/>
      <c r="AE22" s="155">
        <v>11.8</v>
      </c>
      <c r="AF22" s="159"/>
      <c r="AG22" s="159"/>
      <c r="AH22" s="155"/>
      <c r="AI22" s="155"/>
      <c r="AJ22" s="155"/>
      <c r="AK22" s="159"/>
      <c r="AL22" s="155" t="s">
        <v>218</v>
      </c>
      <c r="AM22" s="156" t="s">
        <v>197</v>
      </c>
      <c r="AN22" s="156"/>
      <c r="AO22" s="156"/>
    </row>
    <row r="23" spans="1:94" x14ac:dyDescent="0.3">
      <c r="A23" s="152">
        <v>1474</v>
      </c>
      <c r="B23" s="158">
        <v>41149</v>
      </c>
      <c r="C23" s="154" t="s">
        <v>236</v>
      </c>
      <c r="D23" s="155" t="s">
        <v>126</v>
      </c>
      <c r="E23" s="155"/>
      <c r="F23" s="155" t="s">
        <v>256</v>
      </c>
      <c r="G23" s="153">
        <v>41121</v>
      </c>
      <c r="H23" s="156" t="s">
        <v>241</v>
      </c>
      <c r="I23" s="156" t="s">
        <v>197</v>
      </c>
      <c r="J23" s="156"/>
      <c r="K23" s="159" t="s">
        <v>117</v>
      </c>
      <c r="L23" s="159" t="s">
        <v>222</v>
      </c>
      <c r="M23" s="159">
        <v>82.96</v>
      </c>
      <c r="N23" s="159">
        <v>24.75</v>
      </c>
      <c r="O23" s="155" t="s">
        <v>240</v>
      </c>
      <c r="P23" s="159">
        <v>1750</v>
      </c>
      <c r="Q23" s="159">
        <v>24.1</v>
      </c>
      <c r="R23" s="160">
        <v>1750</v>
      </c>
      <c r="S23" s="161">
        <v>24.1</v>
      </c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>
        <v>7.6</v>
      </c>
      <c r="AF23" s="159"/>
      <c r="AG23" s="159"/>
      <c r="AH23" s="159"/>
      <c r="AI23" s="159"/>
      <c r="AJ23" s="159"/>
      <c r="AK23" s="159"/>
      <c r="AL23" s="155" t="s">
        <v>218</v>
      </c>
      <c r="AM23" s="156" t="s">
        <v>197</v>
      </c>
      <c r="AN23" s="162"/>
      <c r="AO23" s="162"/>
    </row>
    <row r="24" spans="1:94" x14ac:dyDescent="0.3">
      <c r="A24" s="152">
        <v>1524</v>
      </c>
      <c r="B24" s="158">
        <v>41095</v>
      </c>
      <c r="C24" s="154" t="s">
        <v>236</v>
      </c>
      <c r="D24" s="155" t="s">
        <v>126</v>
      </c>
      <c r="E24" s="155"/>
      <c r="F24" s="155" t="s">
        <v>256</v>
      </c>
      <c r="G24" s="153">
        <v>41097</v>
      </c>
      <c r="H24" s="156" t="s">
        <v>241</v>
      </c>
      <c r="I24" s="156" t="s">
        <v>197</v>
      </c>
      <c r="J24" s="156"/>
      <c r="K24" s="159" t="s">
        <v>244</v>
      </c>
      <c r="L24" s="159" t="s">
        <v>222</v>
      </c>
      <c r="M24" s="159">
        <v>102.85</v>
      </c>
      <c r="N24" s="159">
        <v>27.7</v>
      </c>
      <c r="O24" s="155" t="s">
        <v>240</v>
      </c>
      <c r="P24" s="159">
        <v>1000</v>
      </c>
      <c r="Q24" s="159">
        <v>26.79</v>
      </c>
      <c r="R24" s="157">
        <v>1750</v>
      </c>
      <c r="S24" s="159">
        <v>25.1</v>
      </c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>
        <v>12.74</v>
      </c>
      <c r="AF24" s="159"/>
      <c r="AG24" s="159"/>
      <c r="AH24" s="159"/>
      <c r="AI24" s="159"/>
      <c r="AJ24" s="159"/>
      <c r="AK24" s="159"/>
      <c r="AL24" s="155" t="s">
        <v>218</v>
      </c>
      <c r="AM24" s="162" t="s">
        <v>197</v>
      </c>
      <c r="AN24" s="162"/>
      <c r="AO24" s="162"/>
    </row>
    <row r="25" spans="1:94" x14ac:dyDescent="0.3">
      <c r="A25" s="152">
        <v>1446</v>
      </c>
      <c r="B25" s="158">
        <v>41136</v>
      </c>
      <c r="C25" s="154" t="s">
        <v>236</v>
      </c>
      <c r="D25" s="155" t="s">
        <v>126</v>
      </c>
      <c r="E25" s="155"/>
      <c r="F25" s="155" t="s">
        <v>256</v>
      </c>
      <c r="G25" s="153">
        <v>41121</v>
      </c>
      <c r="H25" s="156" t="s">
        <v>241</v>
      </c>
      <c r="I25" s="156" t="s">
        <v>197</v>
      </c>
      <c r="J25" s="156"/>
      <c r="K25" s="155" t="s">
        <v>245</v>
      </c>
      <c r="L25" s="159" t="s">
        <v>222</v>
      </c>
      <c r="M25" s="159">
        <v>89.98</v>
      </c>
      <c r="N25" s="159">
        <v>21.95</v>
      </c>
      <c r="O25" s="155" t="s">
        <v>240</v>
      </c>
      <c r="P25" s="159">
        <v>300</v>
      </c>
      <c r="Q25" s="159">
        <v>22.13</v>
      </c>
      <c r="R25" s="163">
        <v>1020</v>
      </c>
      <c r="S25" s="159">
        <v>23.95</v>
      </c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>
        <v>9.9499999999999993</v>
      </c>
      <c r="AF25" s="159"/>
      <c r="AG25" s="159"/>
      <c r="AH25" s="159"/>
      <c r="AI25" s="159"/>
      <c r="AJ25" s="159"/>
      <c r="AK25" s="159"/>
      <c r="AL25" s="155" t="s">
        <v>218</v>
      </c>
      <c r="AM25" s="156" t="s">
        <v>197</v>
      </c>
      <c r="AN25" s="162"/>
      <c r="AO25" s="162"/>
    </row>
    <row r="26" spans="1:94" x14ac:dyDescent="0.3">
      <c r="A26" s="152">
        <v>1486</v>
      </c>
      <c r="B26" s="158">
        <v>41149</v>
      </c>
      <c r="C26" s="154" t="s">
        <v>236</v>
      </c>
      <c r="D26" s="155" t="s">
        <v>126</v>
      </c>
      <c r="E26" s="155"/>
      <c r="F26" s="155" t="s">
        <v>256</v>
      </c>
      <c r="G26" s="153">
        <v>41121</v>
      </c>
      <c r="H26" s="156" t="s">
        <v>241</v>
      </c>
      <c r="I26" s="156" t="s">
        <v>197</v>
      </c>
      <c r="J26" s="156"/>
      <c r="K26" s="159" t="s">
        <v>246</v>
      </c>
      <c r="L26" s="159" t="s">
        <v>222</v>
      </c>
      <c r="M26" s="159">
        <v>82.45</v>
      </c>
      <c r="N26" s="159">
        <v>23.65</v>
      </c>
      <c r="O26" s="155" t="s">
        <v>240</v>
      </c>
      <c r="P26" s="159">
        <v>1750</v>
      </c>
      <c r="Q26" s="159">
        <v>22.8</v>
      </c>
      <c r="R26" s="160">
        <v>1750</v>
      </c>
      <c r="S26" s="161">
        <v>22.8</v>
      </c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>
        <v>7.15</v>
      </c>
      <c r="AF26" s="159"/>
      <c r="AG26" s="159"/>
      <c r="AH26" s="159"/>
      <c r="AI26" s="159"/>
      <c r="AJ26" s="159"/>
      <c r="AK26" s="159"/>
      <c r="AL26" s="155" t="s">
        <v>218</v>
      </c>
      <c r="AM26" s="156" t="s">
        <v>197</v>
      </c>
      <c r="AN26" s="162"/>
      <c r="AO26" s="162"/>
    </row>
    <row r="27" spans="1:94" x14ac:dyDescent="0.3">
      <c r="A27" s="152">
        <v>1256</v>
      </c>
      <c r="B27" s="158">
        <v>41149</v>
      </c>
      <c r="C27" s="154" t="s">
        <v>236</v>
      </c>
      <c r="D27" s="155" t="s">
        <v>126</v>
      </c>
      <c r="E27" s="155"/>
      <c r="F27" s="155" t="s">
        <v>256</v>
      </c>
      <c r="G27" s="153">
        <v>41090</v>
      </c>
      <c r="H27" s="156" t="s">
        <v>241</v>
      </c>
      <c r="I27" s="156" t="s">
        <v>197</v>
      </c>
      <c r="J27" s="156"/>
      <c r="K27" s="155" t="s">
        <v>247</v>
      </c>
      <c r="L27" s="159" t="s">
        <v>222</v>
      </c>
      <c r="M27" s="159">
        <v>86.129000000000005</v>
      </c>
      <c r="N27" s="159">
        <v>25.4771</v>
      </c>
      <c r="O27" s="155" t="s">
        <v>240</v>
      </c>
      <c r="P27" s="159">
        <v>1000</v>
      </c>
      <c r="Q27" s="155">
        <v>24.599299999999999</v>
      </c>
      <c r="R27" s="163">
        <v>1750</v>
      </c>
      <c r="S27" s="159">
        <v>22.916899999999998</v>
      </c>
      <c r="T27" s="159"/>
      <c r="U27" s="159"/>
      <c r="V27" s="159"/>
      <c r="W27" s="155"/>
      <c r="X27" s="159"/>
      <c r="Y27" s="159"/>
      <c r="Z27" s="159"/>
      <c r="AA27" s="159"/>
      <c r="AB27" s="159"/>
      <c r="AC27" s="159"/>
      <c r="AD27" s="159"/>
      <c r="AE27" s="155">
        <v>7.9316000000000004</v>
      </c>
      <c r="AF27" s="159"/>
      <c r="AG27" s="159"/>
      <c r="AH27" s="155"/>
      <c r="AI27" s="155"/>
      <c r="AJ27" s="155"/>
      <c r="AK27" s="159"/>
      <c r="AL27" s="155" t="s">
        <v>218</v>
      </c>
      <c r="AM27" s="156" t="s">
        <v>197</v>
      </c>
      <c r="AN27" s="156"/>
      <c r="AO27" s="156"/>
    </row>
    <row r="28" spans="1:94" x14ac:dyDescent="0.3">
      <c r="A28" s="152">
        <v>3104</v>
      </c>
      <c r="B28" s="158">
        <v>41149</v>
      </c>
      <c r="C28" s="154" t="s">
        <v>236</v>
      </c>
      <c r="D28" s="155" t="s">
        <v>126</v>
      </c>
      <c r="E28" s="155"/>
      <c r="F28" s="155" t="s">
        <v>256</v>
      </c>
      <c r="G28" s="153">
        <v>40991</v>
      </c>
      <c r="H28" s="156" t="s">
        <v>241</v>
      </c>
      <c r="I28" s="156" t="s">
        <v>197</v>
      </c>
      <c r="J28" s="156"/>
      <c r="K28" s="159" t="s">
        <v>249</v>
      </c>
      <c r="L28" s="159" t="s">
        <v>222</v>
      </c>
      <c r="M28" s="159">
        <v>65.37</v>
      </c>
      <c r="N28" s="159">
        <v>26.18</v>
      </c>
      <c r="O28" s="155" t="s">
        <v>240</v>
      </c>
      <c r="P28" s="159">
        <v>1000</v>
      </c>
      <c r="Q28" s="159">
        <v>25.18</v>
      </c>
      <c r="R28" s="163">
        <v>1750</v>
      </c>
      <c r="S28" s="159">
        <v>23.45</v>
      </c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>
        <v>11.55</v>
      </c>
      <c r="AF28" s="159"/>
      <c r="AG28" s="159"/>
      <c r="AH28" s="159"/>
      <c r="AI28" s="159"/>
      <c r="AJ28" s="159"/>
      <c r="AK28" s="159"/>
      <c r="AL28" s="155" t="s">
        <v>218</v>
      </c>
      <c r="AM28" s="156" t="s">
        <v>197</v>
      </c>
      <c r="AN28" s="162"/>
      <c r="AO28" s="162"/>
    </row>
    <row r="29" spans="1:94" x14ac:dyDescent="0.3">
      <c r="A29" s="152">
        <v>1424</v>
      </c>
      <c r="B29" s="158">
        <v>41149</v>
      </c>
      <c r="C29" s="154" t="s">
        <v>236</v>
      </c>
      <c r="D29" s="155" t="s">
        <v>126</v>
      </c>
      <c r="E29" s="155"/>
      <c r="F29" s="155" t="s">
        <v>256</v>
      </c>
      <c r="G29" s="153">
        <v>41097</v>
      </c>
      <c r="H29" s="156" t="s">
        <v>241</v>
      </c>
      <c r="I29" s="156" t="s">
        <v>197</v>
      </c>
      <c r="J29" s="156"/>
      <c r="K29" s="159" t="s">
        <v>250</v>
      </c>
      <c r="L29" s="159" t="s">
        <v>222</v>
      </c>
      <c r="M29" s="159">
        <v>72.2</v>
      </c>
      <c r="N29" s="159">
        <v>25.25</v>
      </c>
      <c r="O29" s="155" t="s">
        <v>240</v>
      </c>
      <c r="P29" s="159">
        <v>600</v>
      </c>
      <c r="Q29" s="159">
        <v>21.33</v>
      </c>
      <c r="R29" s="160">
        <v>600</v>
      </c>
      <c r="S29" s="161">
        <v>21.33</v>
      </c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>
        <v>12.38</v>
      </c>
      <c r="AF29" s="159"/>
      <c r="AG29" s="159"/>
      <c r="AH29" s="159"/>
      <c r="AI29" s="159"/>
      <c r="AJ29" s="159"/>
      <c r="AK29" s="159"/>
      <c r="AL29" s="155" t="s">
        <v>218</v>
      </c>
      <c r="AM29" s="156" t="s">
        <v>197</v>
      </c>
      <c r="AN29" s="162"/>
      <c r="AO29" s="162"/>
    </row>
    <row r="30" spans="1:94" x14ac:dyDescent="0.3">
      <c r="A30" s="152">
        <v>2268</v>
      </c>
      <c r="B30" s="158">
        <v>41095</v>
      </c>
      <c r="C30" s="154" t="s">
        <v>236</v>
      </c>
      <c r="D30" s="155" t="s">
        <v>126</v>
      </c>
      <c r="E30" s="155"/>
      <c r="F30" s="155" t="s">
        <v>256</v>
      </c>
      <c r="G30" s="153">
        <v>41090</v>
      </c>
      <c r="H30" s="156" t="s">
        <v>241</v>
      </c>
      <c r="I30" s="156" t="s">
        <v>197</v>
      </c>
      <c r="J30" s="156"/>
      <c r="K30" s="155" t="s">
        <v>251</v>
      </c>
      <c r="L30" s="159" t="s">
        <v>222</v>
      </c>
      <c r="M30" s="155">
        <v>83.5</v>
      </c>
      <c r="N30" s="155">
        <v>23.43</v>
      </c>
      <c r="O30" s="155" t="s">
        <v>240</v>
      </c>
      <c r="P30" s="155">
        <v>1000</v>
      </c>
      <c r="Q30" s="155">
        <v>22.83</v>
      </c>
      <c r="R30" s="157">
        <v>1750</v>
      </c>
      <c r="S30" s="155">
        <v>21.73</v>
      </c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>
        <v>7.9</v>
      </c>
      <c r="AF30" s="155"/>
      <c r="AG30" s="155"/>
      <c r="AH30" s="155"/>
      <c r="AI30" s="155"/>
      <c r="AJ30" s="155"/>
      <c r="AK30" s="155"/>
      <c r="AL30" s="155" t="s">
        <v>218</v>
      </c>
      <c r="AM30" s="156" t="s">
        <v>197</v>
      </c>
      <c r="AN30" s="156"/>
      <c r="AO30" s="156"/>
    </row>
    <row r="31" spans="1:94" x14ac:dyDescent="0.3">
      <c r="A31" s="152">
        <v>1290</v>
      </c>
      <c r="B31" s="158">
        <v>41136</v>
      </c>
      <c r="C31" s="154" t="s">
        <v>236</v>
      </c>
      <c r="D31" s="155" t="s">
        <v>126</v>
      </c>
      <c r="E31" s="155"/>
      <c r="F31" s="155" t="s">
        <v>256</v>
      </c>
      <c r="G31" s="153">
        <v>41121</v>
      </c>
      <c r="H31" s="156" t="s">
        <v>197</v>
      </c>
      <c r="I31" s="156" t="s">
        <v>238</v>
      </c>
      <c r="J31" s="156"/>
      <c r="K31" s="155" t="s">
        <v>108</v>
      </c>
      <c r="L31" s="159" t="s">
        <v>222</v>
      </c>
      <c r="M31" s="159">
        <v>77.47</v>
      </c>
      <c r="N31" s="159">
        <v>24.5</v>
      </c>
      <c r="O31" s="155" t="s">
        <v>240</v>
      </c>
      <c r="P31" s="159">
        <v>1750</v>
      </c>
      <c r="Q31" s="155">
        <v>23.94</v>
      </c>
      <c r="R31" s="160">
        <v>1750</v>
      </c>
      <c r="S31" s="165">
        <v>23.94</v>
      </c>
      <c r="T31" s="159"/>
      <c r="U31" s="159"/>
      <c r="V31" s="159"/>
      <c r="W31" s="155"/>
      <c r="X31" s="159"/>
      <c r="Y31" s="159"/>
      <c r="Z31" s="159"/>
      <c r="AA31" s="159"/>
      <c r="AB31" s="159"/>
      <c r="AC31" s="159"/>
      <c r="AD31" s="159"/>
      <c r="AE31" s="155">
        <v>12.53</v>
      </c>
      <c r="AF31" s="159"/>
      <c r="AG31" s="159"/>
      <c r="AH31" s="155"/>
      <c r="AI31" s="155"/>
      <c r="AJ31" s="155"/>
      <c r="AK31" s="159"/>
      <c r="AL31" s="155" t="s">
        <v>218</v>
      </c>
      <c r="AM31" s="156" t="s">
        <v>197</v>
      </c>
      <c r="AN31" s="156"/>
      <c r="AO31" s="156"/>
    </row>
    <row r="32" spans="1:94" x14ac:dyDescent="0.3">
      <c r="A32" s="152">
        <v>1462</v>
      </c>
      <c r="B32" s="158">
        <v>41135</v>
      </c>
      <c r="C32" s="154" t="s">
        <v>236</v>
      </c>
      <c r="D32" s="155" t="s">
        <v>126</v>
      </c>
      <c r="E32" s="155"/>
      <c r="F32" s="155" t="s">
        <v>256</v>
      </c>
      <c r="G32" s="153">
        <v>41090</v>
      </c>
      <c r="H32" s="156" t="s">
        <v>241</v>
      </c>
      <c r="I32" s="156" t="s">
        <v>197</v>
      </c>
      <c r="J32" s="156"/>
      <c r="K32" s="159" t="s">
        <v>252</v>
      </c>
      <c r="L32" s="159" t="s">
        <v>222</v>
      </c>
      <c r="M32" s="159">
        <v>93.504000000000005</v>
      </c>
      <c r="N32" s="159">
        <v>23.231999999999999</v>
      </c>
      <c r="O32" s="159"/>
      <c r="P32" s="159"/>
      <c r="Q32" s="159"/>
      <c r="R32" s="163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>
        <v>12.364800000000001</v>
      </c>
      <c r="AF32" s="159"/>
      <c r="AG32" s="159"/>
      <c r="AH32" s="159"/>
      <c r="AI32" s="159"/>
      <c r="AJ32" s="159"/>
      <c r="AK32" s="159"/>
      <c r="AL32" s="155" t="s">
        <v>218</v>
      </c>
      <c r="AM32" s="156" t="s">
        <v>197</v>
      </c>
      <c r="AN32" s="162"/>
      <c r="AO32" s="162"/>
    </row>
    <row r="33" spans="1:94" x14ac:dyDescent="0.3">
      <c r="A33" s="152">
        <v>1392</v>
      </c>
      <c r="B33" s="158">
        <v>41095</v>
      </c>
      <c r="C33" s="154" t="s">
        <v>236</v>
      </c>
      <c r="D33" s="155" t="s">
        <v>126</v>
      </c>
      <c r="E33" s="155"/>
      <c r="F33" s="155" t="s">
        <v>256</v>
      </c>
      <c r="G33" s="164">
        <v>41090</v>
      </c>
      <c r="H33" s="156" t="s">
        <v>241</v>
      </c>
      <c r="I33" s="156" t="s">
        <v>197</v>
      </c>
      <c r="J33" s="156"/>
      <c r="K33" s="155" t="s">
        <v>253</v>
      </c>
      <c r="L33" s="159" t="s">
        <v>222</v>
      </c>
      <c r="M33" s="159">
        <v>77.88</v>
      </c>
      <c r="N33" s="159">
        <v>24.86</v>
      </c>
      <c r="O33" s="155" t="s">
        <v>240</v>
      </c>
      <c r="P33" s="159">
        <v>1000</v>
      </c>
      <c r="Q33" s="159">
        <v>23.42</v>
      </c>
      <c r="R33" s="163">
        <v>1750</v>
      </c>
      <c r="S33" s="159">
        <v>22.27</v>
      </c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>
        <v>7.83</v>
      </c>
      <c r="AF33" s="159"/>
      <c r="AG33" s="159"/>
      <c r="AH33" s="159"/>
      <c r="AI33" s="159"/>
      <c r="AJ33" s="159"/>
      <c r="AK33" s="159"/>
      <c r="AL33" s="155" t="s">
        <v>218</v>
      </c>
      <c r="AM33" s="156" t="s">
        <v>197</v>
      </c>
      <c r="AN33" s="162"/>
      <c r="AO33" s="162"/>
    </row>
    <row r="34" spans="1:94" x14ac:dyDescent="0.3">
      <c r="A34" s="152">
        <v>1368</v>
      </c>
      <c r="B34" s="158">
        <v>41149</v>
      </c>
      <c r="C34" s="154" t="s">
        <v>236</v>
      </c>
      <c r="D34" s="155" t="s">
        <v>126</v>
      </c>
      <c r="E34" s="155"/>
      <c r="F34" s="155" t="s">
        <v>256</v>
      </c>
      <c r="G34" s="164">
        <v>41093</v>
      </c>
      <c r="H34" s="156" t="s">
        <v>197</v>
      </c>
      <c r="I34" s="156" t="s">
        <v>238</v>
      </c>
      <c r="J34" s="156"/>
      <c r="K34" s="155" t="s">
        <v>254</v>
      </c>
      <c r="L34" s="159" t="s">
        <v>222</v>
      </c>
      <c r="M34" s="155">
        <v>76.489999999999995</v>
      </c>
      <c r="N34" s="155">
        <v>20.64</v>
      </c>
      <c r="O34" s="155" t="s">
        <v>240</v>
      </c>
      <c r="P34" s="155">
        <v>1750</v>
      </c>
      <c r="Q34" s="155">
        <v>22.94</v>
      </c>
      <c r="R34" s="160">
        <v>1750</v>
      </c>
      <c r="S34" s="165">
        <v>22.94</v>
      </c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>
        <v>5.97</v>
      </c>
      <c r="AF34" s="155"/>
      <c r="AG34" s="155"/>
      <c r="AH34" s="155"/>
      <c r="AI34" s="155"/>
      <c r="AJ34" s="155"/>
      <c r="AK34" s="155"/>
      <c r="AL34" s="155" t="s">
        <v>218</v>
      </c>
      <c r="AM34" s="156" t="s">
        <v>197</v>
      </c>
      <c r="AN34" s="156"/>
      <c r="AO34" s="156"/>
    </row>
    <row r="35" spans="1:94" x14ac:dyDescent="0.3">
      <c r="A35" s="152">
        <v>2532</v>
      </c>
      <c r="B35" s="158">
        <v>41135</v>
      </c>
      <c r="C35" s="154" t="s">
        <v>236</v>
      </c>
      <c r="D35" s="155" t="s">
        <v>126</v>
      </c>
      <c r="E35" s="155"/>
      <c r="F35" s="155" t="s">
        <v>256</v>
      </c>
      <c r="G35" s="153">
        <v>41090</v>
      </c>
      <c r="H35" s="156" t="s">
        <v>241</v>
      </c>
      <c r="I35" s="156" t="s">
        <v>197</v>
      </c>
      <c r="J35" s="156"/>
      <c r="K35" s="159" t="s">
        <v>255</v>
      </c>
      <c r="L35" s="159" t="s">
        <v>222</v>
      </c>
      <c r="M35" s="159">
        <v>83.5</v>
      </c>
      <c r="N35" s="159">
        <v>23.7</v>
      </c>
      <c r="O35" s="155" t="s">
        <v>240</v>
      </c>
      <c r="P35" s="159">
        <v>1000</v>
      </c>
      <c r="Q35" s="159">
        <v>22.9</v>
      </c>
      <c r="R35" s="163">
        <v>1700</v>
      </c>
      <c r="S35" s="159">
        <v>21.3</v>
      </c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>
        <v>7.9</v>
      </c>
      <c r="AF35" s="159"/>
      <c r="AG35" s="159"/>
      <c r="AH35" s="159"/>
      <c r="AI35" s="159"/>
      <c r="AJ35" s="159"/>
      <c r="AK35" s="159"/>
      <c r="AL35" s="155" t="s">
        <v>218</v>
      </c>
      <c r="AM35" s="156" t="s">
        <v>197</v>
      </c>
      <c r="AN35" s="162"/>
      <c r="AO35" s="16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</row>
    <row r="36" spans="1:94" x14ac:dyDescent="0.3">
      <c r="A36" s="152">
        <v>2314</v>
      </c>
      <c r="B36" s="158">
        <v>41136</v>
      </c>
      <c r="C36" s="154" t="s">
        <v>236</v>
      </c>
      <c r="D36" s="155" t="s">
        <v>126</v>
      </c>
      <c r="E36" s="155"/>
      <c r="F36" s="155" t="s">
        <v>257</v>
      </c>
      <c r="G36" s="153">
        <v>41114</v>
      </c>
      <c r="H36" s="156" t="s">
        <v>197</v>
      </c>
      <c r="I36" s="156" t="s">
        <v>238</v>
      </c>
      <c r="J36" s="156"/>
      <c r="K36" s="155" t="s">
        <v>258</v>
      </c>
      <c r="L36" s="159" t="s">
        <v>222</v>
      </c>
      <c r="M36" s="155">
        <v>99.49</v>
      </c>
      <c r="N36" s="155">
        <v>32.950000000000003</v>
      </c>
      <c r="O36" s="155"/>
      <c r="P36" s="155"/>
      <c r="Q36" s="155"/>
      <c r="R36" s="157"/>
      <c r="S36" s="155"/>
      <c r="T36" s="155"/>
      <c r="U36" s="155"/>
      <c r="V36" s="155"/>
      <c r="W36" s="155">
        <v>13.15</v>
      </c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>
        <v>27</v>
      </c>
      <c r="AI36" s="155"/>
      <c r="AJ36" s="155"/>
      <c r="AK36" s="155"/>
      <c r="AL36" s="155" t="s">
        <v>235</v>
      </c>
      <c r="AM36" s="156" t="s">
        <v>197</v>
      </c>
      <c r="AN36" s="156"/>
      <c r="AO36" s="156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</row>
    <row r="37" spans="1:94" x14ac:dyDescent="0.3">
      <c r="A37" s="152">
        <v>2008</v>
      </c>
      <c r="B37" s="158">
        <v>41095</v>
      </c>
      <c r="C37" s="154" t="s">
        <v>236</v>
      </c>
      <c r="D37" s="155" t="s">
        <v>126</v>
      </c>
      <c r="E37" s="155"/>
      <c r="F37" s="155" t="s">
        <v>257</v>
      </c>
      <c r="G37" s="153">
        <v>41090</v>
      </c>
      <c r="H37" s="156" t="s">
        <v>241</v>
      </c>
      <c r="I37" s="156" t="s">
        <v>197</v>
      </c>
      <c r="J37" s="156"/>
      <c r="K37" s="155" t="s">
        <v>106</v>
      </c>
      <c r="L37" s="159" t="s">
        <v>222</v>
      </c>
      <c r="M37" s="155">
        <v>99.49</v>
      </c>
      <c r="N37" s="155">
        <v>32.950000000000003</v>
      </c>
      <c r="O37" s="155"/>
      <c r="P37" s="155"/>
      <c r="Q37" s="155"/>
      <c r="R37" s="157"/>
      <c r="S37" s="155"/>
      <c r="T37" s="155"/>
      <c r="U37" s="155"/>
      <c r="V37" s="155"/>
      <c r="W37" s="155">
        <v>13.15</v>
      </c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>
        <v>27</v>
      </c>
      <c r="AI37" s="155"/>
      <c r="AJ37" s="155"/>
      <c r="AK37" s="155"/>
      <c r="AL37" s="155" t="s">
        <v>235</v>
      </c>
      <c r="AM37" s="156" t="s">
        <v>197</v>
      </c>
      <c r="AN37" s="156"/>
      <c r="AO37" s="156"/>
    </row>
    <row r="38" spans="1:94" x14ac:dyDescent="0.3">
      <c r="A38" s="152">
        <v>2562</v>
      </c>
      <c r="B38" s="158">
        <v>41137</v>
      </c>
      <c r="C38" s="154" t="s">
        <v>236</v>
      </c>
      <c r="D38" s="155" t="s">
        <v>126</v>
      </c>
      <c r="E38" s="155"/>
      <c r="F38" s="155" t="s">
        <v>257</v>
      </c>
      <c r="G38" s="153">
        <v>41121</v>
      </c>
      <c r="H38" s="156" t="s">
        <v>197</v>
      </c>
      <c r="I38" s="156" t="s">
        <v>238</v>
      </c>
      <c r="J38" s="156"/>
      <c r="K38" s="155" t="s">
        <v>242</v>
      </c>
      <c r="L38" s="159" t="s">
        <v>222</v>
      </c>
      <c r="M38" s="155">
        <v>103.75</v>
      </c>
      <c r="N38" s="155">
        <v>31.77</v>
      </c>
      <c r="O38" s="155"/>
      <c r="P38" s="155"/>
      <c r="Q38" s="155"/>
      <c r="R38" s="157"/>
      <c r="S38" s="155"/>
      <c r="T38" s="155"/>
      <c r="U38" s="155"/>
      <c r="V38" s="155"/>
      <c r="W38" s="155">
        <v>13.23</v>
      </c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>
        <v>25.96</v>
      </c>
      <c r="AI38" s="155"/>
      <c r="AJ38" s="155"/>
      <c r="AK38" s="155"/>
      <c r="AL38" s="155" t="s">
        <v>235</v>
      </c>
      <c r="AM38" s="156" t="s">
        <v>197</v>
      </c>
      <c r="AN38" s="156"/>
      <c r="AO38" s="156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</row>
    <row r="39" spans="1:94" x14ac:dyDescent="0.3">
      <c r="A39" s="152">
        <v>1116</v>
      </c>
      <c r="B39" s="158">
        <v>41095</v>
      </c>
      <c r="C39" s="154" t="s">
        <v>236</v>
      </c>
      <c r="D39" s="155" t="s">
        <v>126</v>
      </c>
      <c r="E39" s="155"/>
      <c r="F39" s="155" t="s">
        <v>257</v>
      </c>
      <c r="G39" s="153">
        <v>41090</v>
      </c>
      <c r="H39" s="156" t="s">
        <v>197</v>
      </c>
      <c r="I39" s="156" t="s">
        <v>238</v>
      </c>
      <c r="J39" s="156"/>
      <c r="K39" s="155" t="s">
        <v>243</v>
      </c>
      <c r="L39" s="159" t="s">
        <v>222</v>
      </c>
      <c r="M39" s="159">
        <v>104</v>
      </c>
      <c r="N39" s="159">
        <v>34</v>
      </c>
      <c r="O39" s="155"/>
      <c r="P39" s="159"/>
      <c r="Q39" s="155"/>
      <c r="R39" s="163"/>
      <c r="S39" s="159"/>
      <c r="T39" s="159"/>
      <c r="U39" s="159"/>
      <c r="V39" s="159"/>
      <c r="W39" s="155">
        <v>19</v>
      </c>
      <c r="X39" s="159"/>
      <c r="Y39" s="159"/>
      <c r="Z39" s="159"/>
      <c r="AA39" s="159"/>
      <c r="AB39" s="159"/>
      <c r="AC39" s="159"/>
      <c r="AD39" s="159"/>
      <c r="AE39" s="155"/>
      <c r="AF39" s="159"/>
      <c r="AG39" s="159"/>
      <c r="AH39" s="155">
        <v>28</v>
      </c>
      <c r="AI39" s="155"/>
      <c r="AJ39" s="155"/>
      <c r="AK39" s="159"/>
      <c r="AL39" s="155" t="s">
        <v>235</v>
      </c>
      <c r="AM39" s="156" t="s">
        <v>197</v>
      </c>
      <c r="AN39" s="156"/>
      <c r="AO39" s="156"/>
    </row>
    <row r="40" spans="1:94" x14ac:dyDescent="0.3">
      <c r="A40" s="152">
        <v>1476</v>
      </c>
      <c r="B40" s="158">
        <v>41149</v>
      </c>
      <c r="C40" s="154" t="s">
        <v>236</v>
      </c>
      <c r="D40" s="155" t="s">
        <v>126</v>
      </c>
      <c r="E40" s="155"/>
      <c r="F40" s="155" t="s">
        <v>257</v>
      </c>
      <c r="G40" s="153">
        <v>41121</v>
      </c>
      <c r="H40" s="156" t="s">
        <v>241</v>
      </c>
      <c r="I40" s="156" t="s">
        <v>197</v>
      </c>
      <c r="J40" s="156"/>
      <c r="K40" s="159" t="s">
        <v>117</v>
      </c>
      <c r="L40" s="159" t="s">
        <v>222</v>
      </c>
      <c r="M40" s="159">
        <v>100.1</v>
      </c>
      <c r="N40" s="159">
        <v>34.6</v>
      </c>
      <c r="O40" s="159"/>
      <c r="P40" s="159"/>
      <c r="Q40" s="159"/>
      <c r="R40" s="163"/>
      <c r="S40" s="159"/>
      <c r="T40" s="159"/>
      <c r="U40" s="159"/>
      <c r="V40" s="159"/>
      <c r="W40" s="159">
        <v>13.5</v>
      </c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>
        <v>26.4</v>
      </c>
      <c r="AI40" s="159"/>
      <c r="AJ40" s="159"/>
      <c r="AK40" s="159"/>
      <c r="AL40" s="155" t="s">
        <v>235</v>
      </c>
      <c r="AM40" s="156" t="s">
        <v>197</v>
      </c>
      <c r="AN40" s="162"/>
      <c r="AO40" s="162"/>
    </row>
    <row r="41" spans="1:94" x14ac:dyDescent="0.3">
      <c r="A41" s="152">
        <v>1526</v>
      </c>
      <c r="B41" s="158">
        <v>41095</v>
      </c>
      <c r="C41" s="154" t="s">
        <v>236</v>
      </c>
      <c r="D41" s="155" t="s">
        <v>126</v>
      </c>
      <c r="E41" s="155"/>
      <c r="F41" s="155" t="s">
        <v>257</v>
      </c>
      <c r="G41" s="153">
        <v>41097</v>
      </c>
      <c r="H41" s="156" t="s">
        <v>241</v>
      </c>
      <c r="I41" s="156" t="s">
        <v>197</v>
      </c>
      <c r="J41" s="156"/>
      <c r="K41" s="159" t="s">
        <v>244</v>
      </c>
      <c r="L41" s="159" t="s">
        <v>222</v>
      </c>
      <c r="M41" s="159">
        <v>134</v>
      </c>
      <c r="N41" s="159">
        <v>33.71</v>
      </c>
      <c r="O41" s="155"/>
      <c r="P41" s="159"/>
      <c r="Q41" s="159"/>
      <c r="R41" s="163"/>
      <c r="S41" s="159"/>
      <c r="T41" s="159"/>
      <c r="U41" s="159"/>
      <c r="V41" s="159"/>
      <c r="W41" s="159">
        <v>17.8</v>
      </c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>
        <v>26.6</v>
      </c>
      <c r="AI41" s="159"/>
      <c r="AJ41" s="159"/>
      <c r="AK41" s="159"/>
      <c r="AL41" s="155" t="s">
        <v>235</v>
      </c>
      <c r="AM41" s="162" t="s">
        <v>197</v>
      </c>
      <c r="AN41" s="162"/>
      <c r="AO41" s="162"/>
    </row>
    <row r="42" spans="1:94" x14ac:dyDescent="0.3">
      <c r="A42" s="152">
        <v>1448</v>
      </c>
      <c r="B42" s="158">
        <v>41136</v>
      </c>
      <c r="C42" s="154" t="s">
        <v>236</v>
      </c>
      <c r="D42" s="155" t="s">
        <v>126</v>
      </c>
      <c r="E42" s="155"/>
      <c r="F42" s="155" t="s">
        <v>257</v>
      </c>
      <c r="G42" s="153">
        <v>41121</v>
      </c>
      <c r="H42" s="156" t="s">
        <v>241</v>
      </c>
      <c r="I42" s="156" t="s">
        <v>197</v>
      </c>
      <c r="J42" s="156"/>
      <c r="K42" s="155" t="s">
        <v>245</v>
      </c>
      <c r="L42" s="159" t="s">
        <v>222</v>
      </c>
      <c r="M42" s="159">
        <v>98.9</v>
      </c>
      <c r="N42" s="159">
        <v>30.53</v>
      </c>
      <c r="O42" s="159" t="s">
        <v>240</v>
      </c>
      <c r="P42" s="159">
        <v>1020</v>
      </c>
      <c r="Q42" s="159">
        <v>31.49</v>
      </c>
      <c r="R42" s="163"/>
      <c r="S42" s="159"/>
      <c r="T42" s="159"/>
      <c r="U42" s="159"/>
      <c r="V42" s="159"/>
      <c r="W42" s="159">
        <v>13.84</v>
      </c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>
        <v>24.97</v>
      </c>
      <c r="AI42" s="159"/>
      <c r="AJ42" s="159"/>
      <c r="AK42" s="159"/>
      <c r="AL42" s="155" t="s">
        <v>235</v>
      </c>
      <c r="AM42" s="156" t="s">
        <v>197</v>
      </c>
      <c r="AN42" s="162"/>
      <c r="AO42" s="162"/>
    </row>
    <row r="43" spans="1:94" x14ac:dyDescent="0.3">
      <c r="A43" s="152">
        <v>1488</v>
      </c>
      <c r="B43" s="158">
        <v>41149</v>
      </c>
      <c r="C43" s="154" t="s">
        <v>236</v>
      </c>
      <c r="D43" s="155" t="s">
        <v>126</v>
      </c>
      <c r="E43" s="155"/>
      <c r="F43" s="155" t="s">
        <v>257</v>
      </c>
      <c r="G43" s="153">
        <v>41121</v>
      </c>
      <c r="H43" s="156" t="s">
        <v>241</v>
      </c>
      <c r="I43" s="156" t="s">
        <v>197</v>
      </c>
      <c r="J43" s="156"/>
      <c r="K43" s="159" t="s">
        <v>246</v>
      </c>
      <c r="L43" s="159" t="s">
        <v>222</v>
      </c>
      <c r="M43" s="159">
        <v>98.95</v>
      </c>
      <c r="N43" s="159">
        <v>32.99</v>
      </c>
      <c r="O43" s="159"/>
      <c r="P43" s="159"/>
      <c r="Q43" s="159"/>
      <c r="R43" s="163"/>
      <c r="S43" s="159"/>
      <c r="T43" s="159"/>
      <c r="U43" s="159"/>
      <c r="V43" s="159"/>
      <c r="W43" s="159">
        <v>12.65</v>
      </c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>
        <v>24.2</v>
      </c>
      <c r="AI43" s="159"/>
      <c r="AJ43" s="159"/>
      <c r="AK43" s="159"/>
      <c r="AL43" s="155" t="s">
        <v>235</v>
      </c>
      <c r="AM43" s="156" t="s">
        <v>197</v>
      </c>
      <c r="AN43" s="162"/>
      <c r="AO43" s="162"/>
    </row>
    <row r="44" spans="1:94" x14ac:dyDescent="0.3">
      <c r="A44" s="152">
        <v>1258</v>
      </c>
      <c r="B44" s="158">
        <v>41149</v>
      </c>
      <c r="C44" s="154" t="s">
        <v>236</v>
      </c>
      <c r="D44" s="155" t="s">
        <v>126</v>
      </c>
      <c r="E44" s="155"/>
      <c r="F44" s="155" t="s">
        <v>257</v>
      </c>
      <c r="G44" s="153">
        <v>41090</v>
      </c>
      <c r="H44" s="156" t="s">
        <v>241</v>
      </c>
      <c r="I44" s="156" t="s">
        <v>197</v>
      </c>
      <c r="J44" s="156"/>
      <c r="K44" s="155" t="s">
        <v>247</v>
      </c>
      <c r="L44" s="159" t="s">
        <v>222</v>
      </c>
      <c r="M44" s="159">
        <v>102.306</v>
      </c>
      <c r="N44" s="159">
        <v>34.694000000000003</v>
      </c>
      <c r="O44" s="159"/>
      <c r="P44" s="159"/>
      <c r="Q44" s="155"/>
      <c r="R44" s="163"/>
      <c r="S44" s="159"/>
      <c r="T44" s="159"/>
      <c r="U44" s="159"/>
      <c r="V44" s="159"/>
      <c r="W44" s="155">
        <v>13.073</v>
      </c>
      <c r="X44" s="159"/>
      <c r="Y44" s="159"/>
      <c r="Z44" s="159"/>
      <c r="AA44" s="159"/>
      <c r="AB44" s="159"/>
      <c r="AC44" s="159"/>
      <c r="AD44" s="159"/>
      <c r="AE44" s="155"/>
      <c r="AF44" s="159"/>
      <c r="AG44" s="159"/>
      <c r="AH44" s="155">
        <v>25.811499999999999</v>
      </c>
      <c r="AI44" s="155"/>
      <c r="AJ44" s="155"/>
      <c r="AK44" s="159"/>
      <c r="AL44" s="155" t="s">
        <v>235</v>
      </c>
      <c r="AM44" s="156" t="s">
        <v>197</v>
      </c>
      <c r="AN44" s="156"/>
      <c r="AO44" s="156"/>
    </row>
    <row r="45" spans="1:94" x14ac:dyDescent="0.3">
      <c r="A45" s="152">
        <v>3106</v>
      </c>
      <c r="B45" s="158">
        <v>41149</v>
      </c>
      <c r="C45" s="154" t="s">
        <v>236</v>
      </c>
      <c r="D45" s="155" t="s">
        <v>126</v>
      </c>
      <c r="E45" s="155"/>
      <c r="F45" s="155" t="s">
        <v>257</v>
      </c>
      <c r="G45" s="153">
        <v>40991</v>
      </c>
      <c r="H45" s="156" t="s">
        <v>241</v>
      </c>
      <c r="I45" s="156" t="s">
        <v>197</v>
      </c>
      <c r="J45" s="156"/>
      <c r="K45" s="159" t="s">
        <v>249</v>
      </c>
      <c r="L45" s="159" t="s">
        <v>222</v>
      </c>
      <c r="M45" s="159">
        <v>133.63999999999999</v>
      </c>
      <c r="N45" s="159">
        <v>32.36</v>
      </c>
      <c r="O45" s="155"/>
      <c r="P45" s="159"/>
      <c r="Q45" s="159"/>
      <c r="R45" s="163"/>
      <c r="S45" s="159"/>
      <c r="T45" s="159"/>
      <c r="U45" s="159"/>
      <c r="V45" s="159"/>
      <c r="W45" s="159">
        <v>18</v>
      </c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>
        <v>25</v>
      </c>
      <c r="AI45" s="159"/>
      <c r="AJ45" s="159"/>
      <c r="AK45" s="159"/>
      <c r="AL45" s="155" t="s">
        <v>235</v>
      </c>
      <c r="AM45" s="156" t="s">
        <v>197</v>
      </c>
      <c r="AN45" s="162"/>
      <c r="AO45" s="162"/>
    </row>
    <row r="46" spans="1:94" x14ac:dyDescent="0.3">
      <c r="A46" s="152">
        <v>1426</v>
      </c>
      <c r="B46" s="158">
        <v>41149</v>
      </c>
      <c r="C46" s="154" t="s">
        <v>236</v>
      </c>
      <c r="D46" s="155" t="s">
        <v>126</v>
      </c>
      <c r="E46" s="155"/>
      <c r="F46" s="155" t="s">
        <v>257</v>
      </c>
      <c r="G46" s="153">
        <v>41097</v>
      </c>
      <c r="H46" s="156" t="s">
        <v>241</v>
      </c>
      <c r="I46" s="156" t="s">
        <v>197</v>
      </c>
      <c r="J46" s="156"/>
      <c r="K46" s="159" t="s">
        <v>250</v>
      </c>
      <c r="L46" s="159" t="s">
        <v>222</v>
      </c>
      <c r="M46" s="159">
        <v>88.9</v>
      </c>
      <c r="N46" s="159">
        <v>34.51</v>
      </c>
      <c r="O46" s="155" t="s">
        <v>240</v>
      </c>
      <c r="P46" s="159">
        <v>600</v>
      </c>
      <c r="Q46" s="159">
        <v>26.8</v>
      </c>
      <c r="R46" s="163"/>
      <c r="S46" s="159"/>
      <c r="T46" s="159"/>
      <c r="U46" s="159"/>
      <c r="V46" s="159"/>
      <c r="W46" s="159">
        <v>14.74</v>
      </c>
      <c r="X46" s="159"/>
      <c r="Y46" s="159"/>
      <c r="Z46" s="159"/>
      <c r="AA46" s="159"/>
      <c r="AB46" s="159"/>
      <c r="AC46" s="159"/>
      <c r="AD46" s="159"/>
      <c r="AE46" s="159"/>
      <c r="AF46" s="159"/>
      <c r="AG46" s="159"/>
      <c r="AH46" s="159">
        <v>21.2</v>
      </c>
      <c r="AI46" s="159"/>
      <c r="AJ46" s="159"/>
      <c r="AK46" s="159"/>
      <c r="AL46" s="155" t="s">
        <v>235</v>
      </c>
      <c r="AM46" s="156" t="s">
        <v>197</v>
      </c>
      <c r="AN46" s="162"/>
      <c r="AO46" s="162"/>
    </row>
    <row r="47" spans="1:94" x14ac:dyDescent="0.3">
      <c r="A47" s="152">
        <v>2270</v>
      </c>
      <c r="B47" s="158">
        <v>41095</v>
      </c>
      <c r="C47" s="154" t="s">
        <v>236</v>
      </c>
      <c r="D47" s="155" t="s">
        <v>126</v>
      </c>
      <c r="E47" s="155"/>
      <c r="F47" s="155" t="s">
        <v>257</v>
      </c>
      <c r="G47" s="153">
        <v>41090</v>
      </c>
      <c r="H47" s="156" t="s">
        <v>241</v>
      </c>
      <c r="I47" s="156" t="s">
        <v>197</v>
      </c>
      <c r="J47" s="156"/>
      <c r="K47" s="155" t="s">
        <v>251</v>
      </c>
      <c r="L47" s="159" t="s">
        <v>222</v>
      </c>
      <c r="M47" s="155">
        <v>99</v>
      </c>
      <c r="N47" s="155">
        <v>32.1</v>
      </c>
      <c r="O47" s="155"/>
      <c r="P47" s="155"/>
      <c r="Q47" s="155"/>
      <c r="R47" s="157"/>
      <c r="S47" s="155"/>
      <c r="T47" s="155"/>
      <c r="U47" s="155"/>
      <c r="V47" s="155"/>
      <c r="W47" s="155">
        <v>14</v>
      </c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>
        <v>26.5</v>
      </c>
      <c r="AI47" s="155"/>
      <c r="AJ47" s="155"/>
      <c r="AK47" s="155"/>
      <c r="AL47" s="155" t="s">
        <v>235</v>
      </c>
      <c r="AM47" s="156" t="s">
        <v>197</v>
      </c>
      <c r="AN47" s="156"/>
      <c r="AO47" s="156"/>
    </row>
    <row r="48" spans="1:94" x14ac:dyDescent="0.3">
      <c r="A48" s="152">
        <v>1292</v>
      </c>
      <c r="B48" s="158">
        <v>41136</v>
      </c>
      <c r="C48" s="154" t="s">
        <v>236</v>
      </c>
      <c r="D48" s="155" t="s">
        <v>126</v>
      </c>
      <c r="E48" s="155"/>
      <c r="F48" s="155" t="s">
        <v>257</v>
      </c>
      <c r="G48" s="153">
        <v>41121</v>
      </c>
      <c r="H48" s="156" t="s">
        <v>197</v>
      </c>
      <c r="I48" s="156" t="s">
        <v>238</v>
      </c>
      <c r="J48" s="156"/>
      <c r="K48" s="155" t="s">
        <v>108</v>
      </c>
      <c r="L48" s="159" t="s">
        <v>222</v>
      </c>
      <c r="M48" s="159">
        <v>99.49</v>
      </c>
      <c r="N48" s="159">
        <v>32.92</v>
      </c>
      <c r="O48" s="159"/>
      <c r="P48" s="159"/>
      <c r="Q48" s="155"/>
      <c r="R48" s="163"/>
      <c r="S48" s="159"/>
      <c r="T48" s="159"/>
      <c r="U48" s="159"/>
      <c r="V48" s="159"/>
      <c r="W48" s="155">
        <v>13.12</v>
      </c>
      <c r="X48" s="159"/>
      <c r="Y48" s="159"/>
      <c r="Z48" s="159"/>
      <c r="AA48" s="159"/>
      <c r="AB48" s="159"/>
      <c r="AC48" s="159"/>
      <c r="AD48" s="159"/>
      <c r="AE48" s="155"/>
      <c r="AF48" s="159"/>
      <c r="AG48" s="159"/>
      <c r="AH48" s="155">
        <v>26.97</v>
      </c>
      <c r="AI48" s="155"/>
      <c r="AJ48" s="155"/>
      <c r="AK48" s="159"/>
      <c r="AL48" s="155" t="s">
        <v>235</v>
      </c>
      <c r="AM48" s="156" t="s">
        <v>197</v>
      </c>
      <c r="AN48" s="156"/>
      <c r="AO48" s="156"/>
    </row>
    <row r="49" spans="1:94" x14ac:dyDescent="0.3">
      <c r="A49" s="152">
        <v>1464</v>
      </c>
      <c r="B49" s="158">
        <v>41135</v>
      </c>
      <c r="C49" s="154" t="s">
        <v>236</v>
      </c>
      <c r="D49" s="155" t="s">
        <v>126</v>
      </c>
      <c r="E49" s="155"/>
      <c r="F49" s="155" t="s">
        <v>257</v>
      </c>
      <c r="G49" s="153">
        <v>41090</v>
      </c>
      <c r="H49" s="156" t="s">
        <v>241</v>
      </c>
      <c r="I49" s="156" t="s">
        <v>197</v>
      </c>
      <c r="J49" s="156"/>
      <c r="K49" s="159" t="s">
        <v>252</v>
      </c>
      <c r="L49" s="159" t="s">
        <v>222</v>
      </c>
      <c r="M49" s="159">
        <v>115.2</v>
      </c>
      <c r="N49" s="159">
        <v>28.0992</v>
      </c>
      <c r="O49" s="159"/>
      <c r="P49" s="159"/>
      <c r="Q49" s="159"/>
      <c r="R49" s="163"/>
      <c r="S49" s="159"/>
      <c r="T49" s="159"/>
      <c r="U49" s="159"/>
      <c r="V49" s="159"/>
      <c r="W49" s="159">
        <v>17.3856</v>
      </c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>
        <v>22.348800000000001</v>
      </c>
      <c r="AI49" s="159"/>
      <c r="AJ49" s="159"/>
      <c r="AK49" s="159"/>
      <c r="AL49" s="155" t="s">
        <v>235</v>
      </c>
      <c r="AM49" s="156" t="s">
        <v>197</v>
      </c>
      <c r="AN49" s="162"/>
      <c r="AO49" s="162"/>
    </row>
    <row r="50" spans="1:94" x14ac:dyDescent="0.3">
      <c r="A50" s="152">
        <v>1394</v>
      </c>
      <c r="B50" s="158">
        <v>41095</v>
      </c>
      <c r="C50" s="154" t="s">
        <v>236</v>
      </c>
      <c r="D50" s="155" t="s">
        <v>126</v>
      </c>
      <c r="E50" s="155"/>
      <c r="F50" s="155" t="s">
        <v>257</v>
      </c>
      <c r="G50" s="164">
        <v>41090</v>
      </c>
      <c r="H50" s="156" t="s">
        <v>241</v>
      </c>
      <c r="I50" s="156" t="s">
        <v>197</v>
      </c>
      <c r="J50" s="156"/>
      <c r="K50" s="155" t="s">
        <v>253</v>
      </c>
      <c r="L50" s="159" t="s">
        <v>222</v>
      </c>
      <c r="M50" s="159">
        <v>91.86</v>
      </c>
      <c r="N50" s="159">
        <v>30.54</v>
      </c>
      <c r="O50" s="159"/>
      <c r="P50" s="159"/>
      <c r="Q50" s="159"/>
      <c r="R50" s="163"/>
      <c r="S50" s="159"/>
      <c r="T50" s="159"/>
      <c r="U50" s="159"/>
      <c r="V50" s="159"/>
      <c r="W50" s="159">
        <v>13.85</v>
      </c>
      <c r="X50" s="159"/>
      <c r="Y50" s="159"/>
      <c r="Z50" s="159"/>
      <c r="AA50" s="159"/>
      <c r="AB50" s="159"/>
      <c r="AC50" s="159"/>
      <c r="AD50" s="159"/>
      <c r="AE50" s="159"/>
      <c r="AF50" s="159"/>
      <c r="AG50" s="159"/>
      <c r="AH50" s="159">
        <v>25.7</v>
      </c>
      <c r="AI50" s="159"/>
      <c r="AJ50" s="159"/>
      <c r="AK50" s="159"/>
      <c r="AL50" s="155" t="s">
        <v>235</v>
      </c>
      <c r="AM50" s="156" t="s">
        <v>197</v>
      </c>
      <c r="AN50" s="162"/>
      <c r="AO50" s="162"/>
    </row>
    <row r="51" spans="1:94" x14ac:dyDescent="0.3">
      <c r="A51" s="152">
        <v>1370</v>
      </c>
      <c r="B51" s="158">
        <v>41149</v>
      </c>
      <c r="C51" s="154" t="s">
        <v>236</v>
      </c>
      <c r="D51" s="155" t="s">
        <v>126</v>
      </c>
      <c r="E51" s="155"/>
      <c r="F51" s="155" t="s">
        <v>257</v>
      </c>
      <c r="G51" s="164">
        <v>41093</v>
      </c>
      <c r="H51" s="156" t="s">
        <v>197</v>
      </c>
      <c r="I51" s="156" t="s">
        <v>238</v>
      </c>
      <c r="J51" s="156"/>
      <c r="K51" s="155" t="s">
        <v>254</v>
      </c>
      <c r="L51" s="159" t="s">
        <v>222</v>
      </c>
      <c r="M51" s="155">
        <v>82.17</v>
      </c>
      <c r="N51" s="155">
        <v>28.43</v>
      </c>
      <c r="O51" s="155"/>
      <c r="P51" s="155"/>
      <c r="Q51" s="155"/>
      <c r="R51" s="157"/>
      <c r="S51" s="155"/>
      <c r="T51" s="155"/>
      <c r="U51" s="155"/>
      <c r="V51" s="155"/>
      <c r="W51" s="155">
        <v>11.03</v>
      </c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>
        <v>21.86</v>
      </c>
      <c r="AI51" s="155"/>
      <c r="AJ51" s="155"/>
      <c r="AK51" s="155"/>
      <c r="AL51" s="155" t="s">
        <v>235</v>
      </c>
      <c r="AM51" s="156" t="s">
        <v>197</v>
      </c>
      <c r="AN51" s="156"/>
      <c r="AO51" s="156"/>
    </row>
    <row r="52" spans="1:94" x14ac:dyDescent="0.3">
      <c r="A52" s="152">
        <v>2534</v>
      </c>
      <c r="B52" s="158">
        <v>41135</v>
      </c>
      <c r="C52" s="154" t="s">
        <v>236</v>
      </c>
      <c r="D52" s="155" t="s">
        <v>126</v>
      </c>
      <c r="E52" s="155"/>
      <c r="F52" s="155" t="s">
        <v>257</v>
      </c>
      <c r="G52" s="153">
        <v>41090</v>
      </c>
      <c r="H52" s="156" t="s">
        <v>241</v>
      </c>
      <c r="I52" s="156" t="s">
        <v>197</v>
      </c>
      <c r="J52" s="156"/>
      <c r="K52" s="159" t="s">
        <v>255</v>
      </c>
      <c r="L52" s="159" t="s">
        <v>222</v>
      </c>
      <c r="M52" s="159">
        <v>99</v>
      </c>
      <c r="N52" s="159">
        <v>31.6</v>
      </c>
      <c r="O52" s="155"/>
      <c r="P52" s="159"/>
      <c r="Q52" s="159"/>
      <c r="R52" s="163"/>
      <c r="S52" s="159"/>
      <c r="T52" s="159"/>
      <c r="U52" s="159"/>
      <c r="V52" s="159"/>
      <c r="W52" s="159">
        <v>16.100000000000001</v>
      </c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>
        <v>23.9</v>
      </c>
      <c r="AI52" s="159"/>
      <c r="AJ52" s="159"/>
      <c r="AK52" s="159"/>
      <c r="AL52" s="155" t="s">
        <v>235</v>
      </c>
      <c r="AM52" s="156" t="s">
        <v>197</v>
      </c>
      <c r="AN52" s="162"/>
      <c r="AO52" s="16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</row>
    <row r="53" spans="1:94" x14ac:dyDescent="0.3">
      <c r="B53" s="1"/>
    </row>
    <row r="54" spans="1:94" x14ac:dyDescent="0.3">
      <c r="B54" s="1"/>
    </row>
    <row r="55" spans="1:94" x14ac:dyDescent="0.3">
      <c r="B55" s="1"/>
    </row>
  </sheetData>
  <sheetProtection algorithmName="SHA-512" hashValue="DKU/YjH/KJKwMbzw/wgnIViJe+DSxWDKLe85Vm9ckUVqrRuF9uqw3pgejCz5/+9xmpeFYIDZd9nPavYEtjjM9w==" saltValue="ve34L2WTPlsKBDIgSZTWRg==" spinCount="100000" sheet="1" objects="1" scenarios="1"/>
  <phoneticPr fontId="5" type="noConversion"/>
  <pageMargins left="0.75" right="0.75" top="1" bottom="1" header="0.5" footer="0.5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0"/>
  <dimension ref="A1:U33"/>
  <sheetViews>
    <sheetView workbookViewId="0">
      <selection activeCell="G19" sqref="G19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5" width="12.15234375" customWidth="1"/>
  </cols>
  <sheetData>
    <row r="1" spans="1:21" x14ac:dyDescent="0.3">
      <c r="A1" s="3" t="s">
        <v>102</v>
      </c>
      <c r="D1" s="1"/>
      <c r="E1" s="1"/>
    </row>
    <row r="2" spans="1:21" x14ac:dyDescent="0.3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</row>
    <row r="3" spans="1:21" x14ac:dyDescent="0.3">
      <c r="A3" s="4" t="s">
        <v>259</v>
      </c>
      <c r="B3" s="5"/>
      <c r="C3" s="5"/>
      <c r="D3" s="6"/>
      <c r="E3" s="99"/>
      <c r="F3" s="5"/>
      <c r="G3" s="5"/>
      <c r="H3" s="5"/>
    </row>
    <row r="4" spans="1:21" x14ac:dyDescent="0.3">
      <c r="D4" s="7"/>
      <c r="E4" s="109" t="s">
        <v>260</v>
      </c>
      <c r="F4" s="1"/>
      <c r="G4" s="1"/>
      <c r="H4" s="1"/>
      <c r="I4" s="1"/>
      <c r="J4" s="1"/>
      <c r="K4" s="1"/>
      <c r="L4" s="1"/>
      <c r="M4" s="1"/>
      <c r="N4" s="1"/>
      <c r="O4" s="1"/>
    </row>
    <row r="5" spans="1:21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1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252</v>
      </c>
      <c r="Q6" s="57" t="s">
        <v>262</v>
      </c>
      <c r="R6" s="57" t="s">
        <v>263</v>
      </c>
      <c r="S6" s="57" t="s">
        <v>117</v>
      </c>
      <c r="T6" s="57" t="s">
        <v>118</v>
      </c>
      <c r="U6" s="57" t="s">
        <v>119</v>
      </c>
    </row>
    <row r="7" spans="1:21" x14ac:dyDescent="0.3">
      <c r="A7" t="s">
        <v>264</v>
      </c>
      <c r="D7" s="7"/>
      <c r="E7" s="133">
        <v>1000</v>
      </c>
      <c r="F7" s="133">
        <v>1000</v>
      </c>
      <c r="G7" s="133">
        <v>1000</v>
      </c>
      <c r="H7" s="133">
        <v>1000</v>
      </c>
      <c r="I7" s="59">
        <v>0</v>
      </c>
      <c r="J7" s="59">
        <v>0</v>
      </c>
      <c r="K7" s="59">
        <v>0</v>
      </c>
      <c r="L7" s="59">
        <v>0</v>
      </c>
      <c r="M7" s="133">
        <v>1000</v>
      </c>
      <c r="N7" s="133">
        <v>600</v>
      </c>
      <c r="O7" s="59">
        <v>0</v>
      </c>
      <c r="P7" s="59">
        <v>0</v>
      </c>
      <c r="Q7" s="133">
        <v>1000</v>
      </c>
      <c r="R7" s="59">
        <v>0</v>
      </c>
      <c r="S7" s="59">
        <v>0</v>
      </c>
      <c r="T7" s="1">
        <v>0</v>
      </c>
      <c r="U7" s="59">
        <v>0</v>
      </c>
    </row>
    <row r="8" spans="1:21" x14ac:dyDescent="0.3">
      <c r="A8" t="s">
        <v>265</v>
      </c>
      <c r="D8" s="7"/>
      <c r="E8" s="134">
        <v>1750</v>
      </c>
      <c r="F8" s="134">
        <v>1750</v>
      </c>
      <c r="G8" s="134">
        <v>1750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134">
        <v>1750</v>
      </c>
      <c r="N8" s="134">
        <v>0</v>
      </c>
      <c r="O8" s="56">
        <v>0</v>
      </c>
      <c r="P8" s="56">
        <v>0</v>
      </c>
      <c r="Q8" s="134">
        <v>1750</v>
      </c>
      <c r="R8" s="56">
        <v>0</v>
      </c>
      <c r="S8" s="56">
        <v>0</v>
      </c>
      <c r="T8" s="134">
        <v>0</v>
      </c>
      <c r="U8" s="56">
        <v>0</v>
      </c>
    </row>
    <row r="9" spans="1:21" x14ac:dyDescent="0.3">
      <c r="A9" t="s">
        <v>266</v>
      </c>
      <c r="D9" s="7"/>
      <c r="E9" s="1">
        <v>21.62</v>
      </c>
      <c r="F9" s="1">
        <v>24.36</v>
      </c>
      <c r="G9" s="1">
        <v>22.18</v>
      </c>
      <c r="H9" s="1">
        <v>24.34</v>
      </c>
      <c r="I9" s="1">
        <v>28.08</v>
      </c>
      <c r="J9" s="1">
        <v>30.244</v>
      </c>
      <c r="K9" s="1">
        <v>29.11</v>
      </c>
      <c r="L9" s="1">
        <v>28.51</v>
      </c>
      <c r="M9" s="1">
        <v>25.498000000000001</v>
      </c>
      <c r="N9" s="1">
        <v>24.1</v>
      </c>
      <c r="O9" s="1">
        <v>28.03</v>
      </c>
      <c r="P9" s="1">
        <v>20.6</v>
      </c>
      <c r="Q9" s="1">
        <v>22.05</v>
      </c>
      <c r="R9" s="1">
        <v>31.1</v>
      </c>
      <c r="S9" s="1">
        <v>31.03</v>
      </c>
      <c r="T9" s="1">
        <v>28.05</v>
      </c>
      <c r="U9" s="1">
        <v>22.18</v>
      </c>
    </row>
    <row r="10" spans="1:21" x14ac:dyDescent="0.3">
      <c r="A10" t="s">
        <v>267</v>
      </c>
      <c r="D10" s="7"/>
      <c r="E10" s="1">
        <v>21.31</v>
      </c>
      <c r="F10" s="1">
        <v>24.04</v>
      </c>
      <c r="G10" s="1">
        <v>21.86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25.174099999999999</v>
      </c>
      <c r="N10" s="1">
        <v>0</v>
      </c>
      <c r="O10" s="1">
        <v>0</v>
      </c>
      <c r="P10" s="59">
        <v>0</v>
      </c>
      <c r="Q10" s="1">
        <v>20.190000000000001</v>
      </c>
      <c r="R10" s="1">
        <v>0</v>
      </c>
      <c r="S10" s="1">
        <v>0</v>
      </c>
      <c r="T10" s="1">
        <v>0</v>
      </c>
      <c r="U10" s="1">
        <v>0</v>
      </c>
    </row>
    <row r="11" spans="1:21" x14ac:dyDescent="0.3">
      <c r="A11" t="s">
        <v>268</v>
      </c>
      <c r="D11" s="7"/>
      <c r="E11" s="1">
        <v>20.99</v>
      </c>
      <c r="F11" s="1">
        <v>23.72</v>
      </c>
      <c r="G11" s="1">
        <v>21.54</v>
      </c>
      <c r="H11" s="1">
        <v>23.82</v>
      </c>
      <c r="I11" s="1">
        <v>0</v>
      </c>
      <c r="J11" s="1">
        <v>0</v>
      </c>
      <c r="K11" s="1">
        <v>0</v>
      </c>
      <c r="L11" s="1">
        <v>0</v>
      </c>
      <c r="M11" s="1">
        <v>25.142700000000001</v>
      </c>
      <c r="N11" s="1">
        <v>21.37</v>
      </c>
      <c r="O11" s="1">
        <v>0</v>
      </c>
      <c r="P11" s="1">
        <v>0</v>
      </c>
      <c r="Q11" s="1">
        <v>19.5</v>
      </c>
      <c r="R11" s="1">
        <v>0</v>
      </c>
      <c r="S11" s="1">
        <v>0</v>
      </c>
      <c r="T11" s="1">
        <v>0</v>
      </c>
      <c r="U11" s="1">
        <v>0</v>
      </c>
    </row>
    <row r="12" spans="1:21" x14ac:dyDescent="0.3">
      <c r="A12" t="s">
        <v>269</v>
      </c>
      <c r="D12" s="7"/>
      <c r="E12" s="1">
        <v>126.42</v>
      </c>
      <c r="F12" s="1">
        <v>127.9</v>
      </c>
      <c r="G12" s="1">
        <v>131.34</v>
      </c>
      <c r="H12" s="1">
        <v>127.9</v>
      </c>
      <c r="I12" s="1">
        <v>126.84</v>
      </c>
      <c r="J12" s="1">
        <v>131.03</v>
      </c>
      <c r="K12" s="1">
        <v>124.79</v>
      </c>
      <c r="L12" s="1">
        <v>122.17</v>
      </c>
      <c r="M12" s="1">
        <v>118.08499999999999</v>
      </c>
      <c r="N12" s="1">
        <v>128.24</v>
      </c>
      <c r="O12" s="1">
        <v>127.07</v>
      </c>
      <c r="P12" s="1">
        <v>156</v>
      </c>
      <c r="Q12" s="1">
        <v>129.9</v>
      </c>
      <c r="R12" s="1">
        <v>124.79</v>
      </c>
      <c r="S12" s="1">
        <v>125.9</v>
      </c>
      <c r="T12" s="1">
        <v>125.6</v>
      </c>
      <c r="U12" s="1">
        <v>131.34</v>
      </c>
    </row>
    <row r="13" spans="1:21" x14ac:dyDescent="0.3">
      <c r="D13" s="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D14" s="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12" t="s">
        <v>270</v>
      </c>
      <c r="D15" s="7"/>
      <c r="E15" s="57" t="s">
        <v>261</v>
      </c>
      <c r="F15" s="57" t="s">
        <v>32</v>
      </c>
      <c r="G15" s="98" t="s">
        <v>107</v>
      </c>
      <c r="H15" s="98" t="s">
        <v>108</v>
      </c>
      <c r="I15" s="57" t="s">
        <v>52</v>
      </c>
      <c r="J15" s="57" t="s">
        <v>109</v>
      </c>
      <c r="K15" s="57" t="s">
        <v>110</v>
      </c>
      <c r="L15" s="57" t="s">
        <v>111</v>
      </c>
      <c r="M15" s="57" t="s">
        <v>112</v>
      </c>
      <c r="N15" s="57" t="s">
        <v>113</v>
      </c>
      <c r="O15" s="57" t="s">
        <v>114</v>
      </c>
      <c r="P15" s="57" t="s">
        <v>252</v>
      </c>
      <c r="Q15" s="57" t="s">
        <v>262</v>
      </c>
      <c r="R15" s="57" t="s">
        <v>263</v>
      </c>
      <c r="S15" s="57" t="s">
        <v>117</v>
      </c>
      <c r="T15" s="57" t="s">
        <v>118</v>
      </c>
      <c r="U15" s="57" t="s">
        <v>119</v>
      </c>
    </row>
    <row r="16" spans="1:21" x14ac:dyDescent="0.3">
      <c r="A16" t="s">
        <v>264</v>
      </c>
      <c r="D16" s="7"/>
      <c r="E16" s="133">
        <v>1000</v>
      </c>
      <c r="F16" s="133">
        <v>1000</v>
      </c>
      <c r="G16" s="133">
        <v>1000</v>
      </c>
      <c r="H16" s="133">
        <v>1000</v>
      </c>
      <c r="I16" s="59">
        <v>0</v>
      </c>
      <c r="J16" s="59">
        <v>0</v>
      </c>
      <c r="K16" s="59">
        <v>0</v>
      </c>
      <c r="L16" s="59">
        <v>0</v>
      </c>
      <c r="M16" s="133">
        <v>1000</v>
      </c>
      <c r="N16" s="133">
        <v>600</v>
      </c>
      <c r="O16" s="59">
        <v>0</v>
      </c>
      <c r="P16" s="59">
        <v>0</v>
      </c>
      <c r="Q16" s="133">
        <v>1000</v>
      </c>
      <c r="R16" s="59">
        <v>0</v>
      </c>
      <c r="S16" s="59">
        <v>0</v>
      </c>
      <c r="T16" s="1">
        <v>0</v>
      </c>
      <c r="U16" s="59">
        <v>0</v>
      </c>
    </row>
    <row r="17" spans="1:21" x14ac:dyDescent="0.3">
      <c r="A17" t="s">
        <v>265</v>
      </c>
      <c r="D17" s="7"/>
      <c r="E17" s="134">
        <v>1750</v>
      </c>
      <c r="F17" s="134">
        <v>1750</v>
      </c>
      <c r="G17" s="134">
        <v>1750</v>
      </c>
      <c r="H17" s="134">
        <v>1750</v>
      </c>
      <c r="I17" s="56">
        <v>0</v>
      </c>
      <c r="J17" s="56">
        <v>0</v>
      </c>
      <c r="K17" s="56">
        <v>0</v>
      </c>
      <c r="L17" s="56">
        <v>0</v>
      </c>
      <c r="M17" s="134">
        <v>1750</v>
      </c>
      <c r="N17" s="134">
        <v>0</v>
      </c>
      <c r="O17" s="56">
        <v>0</v>
      </c>
      <c r="P17" s="56">
        <v>0</v>
      </c>
      <c r="Q17" s="134">
        <v>1750</v>
      </c>
      <c r="R17" s="56">
        <v>0</v>
      </c>
      <c r="S17" s="56">
        <v>0</v>
      </c>
      <c r="T17" s="134">
        <v>0</v>
      </c>
      <c r="U17" s="56">
        <v>0</v>
      </c>
    </row>
    <row r="18" spans="1:21" x14ac:dyDescent="0.3">
      <c r="A18" t="s">
        <v>266</v>
      </c>
      <c r="D18" s="7"/>
      <c r="E18" s="1">
        <v>21.62</v>
      </c>
      <c r="F18" s="1">
        <v>24.36</v>
      </c>
      <c r="G18" s="1">
        <v>22.18</v>
      </c>
      <c r="H18" s="1">
        <v>24.34</v>
      </c>
      <c r="I18" s="1">
        <v>28.08</v>
      </c>
      <c r="J18" s="1">
        <v>30.244</v>
      </c>
      <c r="K18" s="1">
        <v>29.11</v>
      </c>
      <c r="L18" s="1">
        <v>28.51</v>
      </c>
      <c r="M18" s="1">
        <v>25.498000000000001</v>
      </c>
      <c r="N18" s="1">
        <v>24.1</v>
      </c>
      <c r="O18" s="1">
        <v>28.03</v>
      </c>
      <c r="P18" s="1">
        <v>20.6</v>
      </c>
      <c r="Q18" s="1">
        <v>22.71</v>
      </c>
      <c r="R18" s="1">
        <v>31.1</v>
      </c>
      <c r="S18" s="1">
        <v>31.03</v>
      </c>
      <c r="T18" s="1">
        <v>28.05</v>
      </c>
      <c r="U18" s="1">
        <v>0</v>
      </c>
    </row>
    <row r="19" spans="1:21" x14ac:dyDescent="0.3">
      <c r="A19" t="s">
        <v>267</v>
      </c>
      <c r="D19" s="7"/>
      <c r="E19" s="1">
        <v>21.31</v>
      </c>
      <c r="F19" s="1">
        <v>24.04</v>
      </c>
      <c r="G19" s="1">
        <v>21.86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25.174099999999999</v>
      </c>
      <c r="N19" s="1">
        <v>0</v>
      </c>
      <c r="O19" s="1">
        <v>0</v>
      </c>
      <c r="P19" s="59">
        <v>0</v>
      </c>
      <c r="Q19" s="1">
        <v>20.8</v>
      </c>
      <c r="R19" s="1">
        <v>0</v>
      </c>
      <c r="S19" s="1">
        <v>0</v>
      </c>
      <c r="T19" s="1">
        <v>0</v>
      </c>
      <c r="U19" s="1">
        <v>0</v>
      </c>
    </row>
    <row r="20" spans="1:21" x14ac:dyDescent="0.3">
      <c r="A20" t="s">
        <v>268</v>
      </c>
      <c r="D20" s="7"/>
      <c r="E20" s="1">
        <v>20.99</v>
      </c>
      <c r="F20" s="1">
        <v>0</v>
      </c>
      <c r="G20" s="1">
        <v>21.54</v>
      </c>
      <c r="H20" s="1">
        <v>23.82</v>
      </c>
      <c r="I20" s="1">
        <v>0</v>
      </c>
      <c r="J20" s="1">
        <v>0</v>
      </c>
      <c r="K20" s="1">
        <v>0</v>
      </c>
      <c r="L20" s="1">
        <v>0</v>
      </c>
      <c r="M20" s="1">
        <v>25.142700000000001</v>
      </c>
      <c r="N20" s="1">
        <v>21.37</v>
      </c>
      <c r="O20" s="1">
        <v>0</v>
      </c>
      <c r="P20" s="1">
        <v>0</v>
      </c>
      <c r="Q20" s="1">
        <v>20.09</v>
      </c>
      <c r="R20" s="1">
        <v>0</v>
      </c>
      <c r="S20" s="1">
        <v>0</v>
      </c>
      <c r="T20" s="1">
        <v>0</v>
      </c>
      <c r="U20" s="1">
        <v>0</v>
      </c>
    </row>
    <row r="21" spans="1:21" x14ac:dyDescent="0.3">
      <c r="A21" t="s">
        <v>271</v>
      </c>
      <c r="D21" s="7"/>
      <c r="E21" s="1">
        <v>9.82</v>
      </c>
      <c r="F21" s="1">
        <v>8.2799999999999994</v>
      </c>
      <c r="G21" s="1">
        <v>10.39</v>
      </c>
      <c r="H21" s="1">
        <v>16.38</v>
      </c>
      <c r="I21" s="1">
        <v>9.8800000000000008</v>
      </c>
      <c r="J21" s="1">
        <v>10.409000000000001</v>
      </c>
      <c r="K21" s="1">
        <v>10.220000000000001</v>
      </c>
      <c r="L21" s="1">
        <v>9.6199999999999992</v>
      </c>
      <c r="M21" s="1">
        <v>8.8825000000000003</v>
      </c>
      <c r="N21" s="1">
        <v>15.6</v>
      </c>
      <c r="O21" s="1">
        <v>9.91</v>
      </c>
      <c r="P21" s="1">
        <v>11.2</v>
      </c>
      <c r="Q21" s="1">
        <v>10.55</v>
      </c>
      <c r="R21" s="1">
        <v>12.22</v>
      </c>
      <c r="S21" s="1">
        <v>10.89</v>
      </c>
      <c r="T21" s="1">
        <v>10.15</v>
      </c>
      <c r="U21" s="1">
        <v>0</v>
      </c>
    </row>
    <row r="22" spans="1:21" x14ac:dyDescent="0.3">
      <c r="A22" t="s">
        <v>269</v>
      </c>
      <c r="D22" s="7"/>
      <c r="E22" s="1">
        <v>137.91</v>
      </c>
      <c r="F22" s="1">
        <v>137.78</v>
      </c>
      <c r="G22" s="1">
        <v>143.63999999999999</v>
      </c>
      <c r="H22" s="1">
        <v>127.9</v>
      </c>
      <c r="I22" s="1">
        <v>138.44999999999999</v>
      </c>
      <c r="J22" s="1">
        <v>142.93700000000001</v>
      </c>
      <c r="K22" s="1">
        <v>136.13</v>
      </c>
      <c r="L22" s="1">
        <v>133.27000000000001</v>
      </c>
      <c r="M22" s="1">
        <v>129.58000000000001</v>
      </c>
      <c r="N22" s="1">
        <v>128.24</v>
      </c>
      <c r="O22" s="1">
        <v>127.07</v>
      </c>
      <c r="P22" s="1">
        <v>170</v>
      </c>
      <c r="Q22" s="1">
        <v>141.51</v>
      </c>
      <c r="R22" s="1">
        <v>136.13</v>
      </c>
      <c r="S22" s="1">
        <v>137.9</v>
      </c>
      <c r="T22" s="1">
        <v>137.1</v>
      </c>
      <c r="U22" s="1">
        <v>0</v>
      </c>
    </row>
    <row r="23" spans="1:21" x14ac:dyDescent="0.3"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D24" s="7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12" t="s">
        <v>94</v>
      </c>
      <c r="D25" s="7"/>
      <c r="E25" s="57" t="s">
        <v>261</v>
      </c>
      <c r="F25" s="57" t="s">
        <v>32</v>
      </c>
      <c r="G25" s="98" t="s">
        <v>107</v>
      </c>
      <c r="H25" s="98" t="s">
        <v>108</v>
      </c>
      <c r="I25" s="57" t="s">
        <v>52</v>
      </c>
      <c r="J25" s="57" t="s">
        <v>109</v>
      </c>
      <c r="K25" s="57" t="s">
        <v>110</v>
      </c>
      <c r="L25" s="57" t="s">
        <v>111</v>
      </c>
      <c r="M25" s="57" t="s">
        <v>112</v>
      </c>
      <c r="N25" s="57" t="s">
        <v>113</v>
      </c>
      <c r="O25" s="57" t="s">
        <v>114</v>
      </c>
      <c r="P25" s="57" t="s">
        <v>252</v>
      </c>
      <c r="Q25" s="57" t="s">
        <v>115</v>
      </c>
      <c r="R25" s="57" t="s">
        <v>263</v>
      </c>
      <c r="S25" s="57" t="s">
        <v>117</v>
      </c>
      <c r="T25" s="57" t="s">
        <v>118</v>
      </c>
      <c r="U25" s="57" t="s">
        <v>119</v>
      </c>
    </row>
    <row r="26" spans="1:21" x14ac:dyDescent="0.3">
      <c r="A26" t="s">
        <v>264</v>
      </c>
      <c r="D26" s="7"/>
      <c r="E26" s="204">
        <v>0</v>
      </c>
      <c r="F26" s="124">
        <v>0</v>
      </c>
      <c r="G26" s="204">
        <v>0</v>
      </c>
      <c r="H26" s="204">
        <v>0</v>
      </c>
      <c r="I26" s="204">
        <v>0</v>
      </c>
      <c r="J26" s="124">
        <v>0</v>
      </c>
      <c r="K26" s="204">
        <v>0</v>
      </c>
      <c r="L26" s="204">
        <v>0</v>
      </c>
      <c r="M26" s="204">
        <v>0</v>
      </c>
      <c r="N26" s="204">
        <v>600</v>
      </c>
      <c r="O26" s="204">
        <v>0</v>
      </c>
      <c r="P26" s="204">
        <v>0</v>
      </c>
      <c r="Q26" s="124">
        <v>0</v>
      </c>
      <c r="R26" s="204">
        <v>0</v>
      </c>
      <c r="S26" s="124">
        <v>0</v>
      </c>
      <c r="T26" s="124">
        <v>0</v>
      </c>
      <c r="U26" s="204">
        <v>0</v>
      </c>
    </row>
    <row r="27" spans="1:21" x14ac:dyDescent="0.3">
      <c r="A27" t="s">
        <v>272</v>
      </c>
      <c r="C27" s="2"/>
      <c r="D27" s="7"/>
      <c r="E27" s="205">
        <v>25.83</v>
      </c>
      <c r="F27" s="205">
        <v>33.33</v>
      </c>
      <c r="G27" s="1">
        <v>26.84</v>
      </c>
      <c r="H27" s="205">
        <v>28.85</v>
      </c>
      <c r="I27" s="205">
        <v>31.58</v>
      </c>
      <c r="J27" s="110">
        <v>34.003</v>
      </c>
      <c r="K27" s="1">
        <v>32.69</v>
      </c>
      <c r="L27" s="1">
        <v>0</v>
      </c>
      <c r="M27" s="205">
        <v>28.497199999999999</v>
      </c>
      <c r="N27" s="1">
        <v>27.28</v>
      </c>
      <c r="O27" s="1">
        <v>30.92</v>
      </c>
      <c r="P27" s="1">
        <v>22.8</v>
      </c>
      <c r="Q27" s="1">
        <v>26.3</v>
      </c>
      <c r="R27" s="1">
        <v>34.69</v>
      </c>
      <c r="S27" s="1">
        <v>34.799999999999997</v>
      </c>
      <c r="T27" s="1">
        <v>29.4</v>
      </c>
      <c r="U27" s="1">
        <v>26.84</v>
      </c>
    </row>
    <row r="28" spans="1:21" x14ac:dyDescent="0.3">
      <c r="A28" t="s">
        <v>273</v>
      </c>
      <c r="C28" s="2"/>
      <c r="D28" s="7"/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110">
        <v>0</v>
      </c>
      <c r="K28" s="205">
        <v>0</v>
      </c>
      <c r="L28" s="205">
        <v>0</v>
      </c>
      <c r="M28" s="205">
        <v>0</v>
      </c>
      <c r="N28" s="1">
        <v>25.08</v>
      </c>
      <c r="O28" s="205">
        <v>0</v>
      </c>
      <c r="P28" s="205">
        <v>0</v>
      </c>
      <c r="Q28" s="206">
        <v>0</v>
      </c>
      <c r="R28" s="205">
        <v>0</v>
      </c>
      <c r="S28" s="206">
        <v>0</v>
      </c>
      <c r="T28" s="206">
        <v>0</v>
      </c>
      <c r="U28" s="205">
        <v>0</v>
      </c>
    </row>
    <row r="29" spans="1:21" x14ac:dyDescent="0.3">
      <c r="A29" t="s">
        <v>274</v>
      </c>
      <c r="D29" s="7"/>
      <c r="E29" s="205">
        <v>25.83</v>
      </c>
      <c r="F29" s="205">
        <v>33.33</v>
      </c>
      <c r="G29" s="1">
        <v>26.84</v>
      </c>
      <c r="H29" s="205">
        <v>28.85</v>
      </c>
      <c r="I29" s="205">
        <v>31.58</v>
      </c>
      <c r="J29" s="110">
        <v>34.003</v>
      </c>
      <c r="K29" s="1">
        <v>32.69</v>
      </c>
      <c r="L29" s="1">
        <v>0</v>
      </c>
      <c r="M29" s="205">
        <v>28.497199999999999</v>
      </c>
      <c r="N29" s="1">
        <v>24.08</v>
      </c>
      <c r="O29" s="1">
        <v>30.92</v>
      </c>
      <c r="P29" s="205">
        <v>22.8</v>
      </c>
      <c r="Q29" s="206">
        <v>26.3</v>
      </c>
      <c r="R29" s="205">
        <v>34.69</v>
      </c>
      <c r="S29" s="206">
        <v>34.799999999999997</v>
      </c>
      <c r="T29" s="206">
        <v>29.4</v>
      </c>
      <c r="U29" s="1">
        <v>26.84</v>
      </c>
    </row>
    <row r="30" spans="1:21" x14ac:dyDescent="0.3">
      <c r="A30" t="s">
        <v>271</v>
      </c>
      <c r="D30" s="7"/>
      <c r="E30" s="205">
        <v>13.27</v>
      </c>
      <c r="F30" s="205">
        <v>15.48</v>
      </c>
      <c r="G30" s="1">
        <v>14.51</v>
      </c>
      <c r="H30" s="205">
        <v>15.44</v>
      </c>
      <c r="I30" s="205">
        <v>14.75</v>
      </c>
      <c r="J30" s="110">
        <v>15.712</v>
      </c>
      <c r="K30" s="1">
        <v>15.27</v>
      </c>
      <c r="L30" s="1">
        <v>0</v>
      </c>
      <c r="M30" s="205">
        <v>13.1357</v>
      </c>
      <c r="N30" s="1">
        <v>14.5</v>
      </c>
      <c r="O30" s="1">
        <v>15.39</v>
      </c>
      <c r="P30" s="205">
        <v>14.5</v>
      </c>
      <c r="Q30" s="206">
        <v>14.7</v>
      </c>
      <c r="R30" s="205">
        <v>17.27</v>
      </c>
      <c r="S30" s="206">
        <v>16.309999999999999</v>
      </c>
      <c r="T30" s="206">
        <v>13.4</v>
      </c>
      <c r="U30" s="1">
        <v>14.51</v>
      </c>
    </row>
    <row r="31" spans="1:21" x14ac:dyDescent="0.3">
      <c r="A31" t="s">
        <v>269</v>
      </c>
      <c r="D31" s="7"/>
      <c r="E31" s="205">
        <v>126.42</v>
      </c>
      <c r="F31" s="205">
        <v>127.89</v>
      </c>
      <c r="G31" s="1">
        <v>130.82</v>
      </c>
      <c r="H31" s="205">
        <v>127.89</v>
      </c>
      <c r="I31" s="205">
        <v>126.83</v>
      </c>
      <c r="J31" s="110">
        <v>131.01900000000001</v>
      </c>
      <c r="K31" s="1">
        <v>124.76</v>
      </c>
      <c r="L31" s="1">
        <v>0</v>
      </c>
      <c r="M31" s="205">
        <v>120.175</v>
      </c>
      <c r="N31" s="1">
        <v>128.24</v>
      </c>
      <c r="O31" s="1">
        <v>127.06</v>
      </c>
      <c r="P31" s="205">
        <v>156</v>
      </c>
      <c r="Q31" s="206">
        <v>129.9</v>
      </c>
      <c r="R31" s="205">
        <v>124.79</v>
      </c>
      <c r="S31" s="206">
        <v>125.9</v>
      </c>
      <c r="T31" s="206">
        <v>117.25</v>
      </c>
      <c r="U31" s="1">
        <v>130.82</v>
      </c>
    </row>
    <row r="32" spans="1:21" x14ac:dyDescent="0.3">
      <c r="D32" s="7"/>
      <c r="E32" s="1"/>
    </row>
    <row r="33" spans="1:21" x14ac:dyDescent="0.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</sheetData>
  <sheetProtection algorithmName="SHA-512" hashValue="kweDzgmJGgXPkQMeH8EDN8tVdD6P9GCVgT4j8Y27c7afZEEVbVhIG4UNVm7tzWGl8b87oPRO3WqrM69mtsmVkw==" saltValue="SpEeG37kwlaXBGWrk1sd9g==" spinCount="100000" sheet="1" objects="1" scenarios="1"/>
  <phoneticPr fontId="5" type="noConversion"/>
  <pageMargins left="0.75" right="0.75" top="1" bottom="1" header="0.5" footer="0.5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1"/>
  <dimension ref="A1:U33"/>
  <sheetViews>
    <sheetView workbookViewId="0">
      <selection activeCell="H2" sqref="H2:H3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5" width="12.15234375" customWidth="1"/>
  </cols>
  <sheetData>
    <row r="1" spans="1:21" x14ac:dyDescent="0.3">
      <c r="A1" s="3" t="s">
        <v>102</v>
      </c>
      <c r="D1" s="1"/>
      <c r="E1" s="1"/>
    </row>
    <row r="2" spans="1:21" x14ac:dyDescent="0.3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  <c r="Q2" s="114"/>
      <c r="R2" s="114"/>
      <c r="S2" s="114"/>
      <c r="T2" s="114"/>
      <c r="U2" s="114"/>
    </row>
    <row r="3" spans="1:21" x14ac:dyDescent="0.3">
      <c r="A3" s="4" t="s">
        <v>275</v>
      </c>
      <c r="B3" s="5"/>
      <c r="C3" s="5"/>
      <c r="D3" s="6"/>
      <c r="E3" s="99"/>
      <c r="F3" s="5"/>
      <c r="G3" s="5"/>
      <c r="H3" s="5"/>
    </row>
    <row r="4" spans="1:21" x14ac:dyDescent="0.3">
      <c r="D4" s="7"/>
      <c r="E4" s="109" t="s">
        <v>260</v>
      </c>
      <c r="F4" s="109"/>
      <c r="G4" s="1"/>
      <c r="H4" s="1"/>
      <c r="I4" s="1"/>
      <c r="J4" s="1"/>
      <c r="K4" s="1"/>
      <c r="L4" s="1"/>
      <c r="M4" s="1"/>
      <c r="N4" s="1"/>
      <c r="O4" s="1"/>
    </row>
    <row r="5" spans="1:21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1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252</v>
      </c>
      <c r="Q6" s="57" t="s">
        <v>262</v>
      </c>
      <c r="R6" s="57" t="s">
        <v>263</v>
      </c>
      <c r="S6" s="57" t="s">
        <v>117</v>
      </c>
      <c r="T6" s="57" t="s">
        <v>118</v>
      </c>
      <c r="U6" s="57" t="s">
        <v>119</v>
      </c>
    </row>
    <row r="7" spans="1:21" x14ac:dyDescent="0.3">
      <c r="A7" t="s">
        <v>264</v>
      </c>
      <c r="D7" s="7"/>
      <c r="E7" s="59">
        <v>1000</v>
      </c>
      <c r="F7" s="59">
        <v>1000</v>
      </c>
      <c r="G7" s="59">
        <v>1000</v>
      </c>
      <c r="H7" s="59">
        <v>1750</v>
      </c>
      <c r="I7" s="59">
        <v>1000</v>
      </c>
      <c r="J7" s="59">
        <v>1000</v>
      </c>
      <c r="K7" s="59">
        <v>1000</v>
      </c>
      <c r="L7" s="59">
        <v>1000</v>
      </c>
      <c r="M7" s="59">
        <v>1000</v>
      </c>
      <c r="N7" s="133">
        <v>600</v>
      </c>
      <c r="O7" s="59">
        <v>1000</v>
      </c>
      <c r="P7" s="59">
        <v>0</v>
      </c>
      <c r="Q7" s="59">
        <v>1000</v>
      </c>
      <c r="R7" s="59">
        <v>1000</v>
      </c>
      <c r="S7" s="59">
        <v>1000</v>
      </c>
      <c r="T7" s="59">
        <v>300</v>
      </c>
      <c r="U7" s="59">
        <v>1000</v>
      </c>
    </row>
    <row r="8" spans="1:21" x14ac:dyDescent="0.3">
      <c r="A8" t="s">
        <v>265</v>
      </c>
      <c r="D8" s="7"/>
      <c r="E8" s="56">
        <v>1000</v>
      </c>
      <c r="F8" s="56">
        <v>1000</v>
      </c>
      <c r="G8" s="56">
        <v>1000</v>
      </c>
      <c r="H8" s="56">
        <v>0</v>
      </c>
      <c r="I8" s="56">
        <v>1000</v>
      </c>
      <c r="J8" s="56">
        <v>1000</v>
      </c>
      <c r="K8" s="56">
        <v>1000</v>
      </c>
      <c r="L8" s="56">
        <v>1000</v>
      </c>
      <c r="M8" s="56">
        <v>1000</v>
      </c>
      <c r="N8" s="56">
        <v>2000</v>
      </c>
      <c r="O8" s="56">
        <v>1000</v>
      </c>
      <c r="P8" s="56">
        <v>0</v>
      </c>
      <c r="Q8" s="56">
        <v>1000</v>
      </c>
      <c r="R8" s="56">
        <v>1000</v>
      </c>
      <c r="S8" s="56">
        <v>1000</v>
      </c>
      <c r="T8" s="56">
        <v>1020</v>
      </c>
      <c r="U8" s="56">
        <v>1000</v>
      </c>
    </row>
    <row r="9" spans="1:21" x14ac:dyDescent="0.3">
      <c r="A9" t="s">
        <v>266</v>
      </c>
      <c r="D9" s="7"/>
      <c r="E9" s="1">
        <v>20.1082</v>
      </c>
      <c r="F9" s="1">
        <v>21.97</v>
      </c>
      <c r="G9" s="1">
        <v>21.21</v>
      </c>
      <c r="H9" s="1">
        <v>22.73</v>
      </c>
      <c r="I9" s="1">
        <v>22.62</v>
      </c>
      <c r="J9" s="1">
        <v>23.79</v>
      </c>
      <c r="K9" s="1">
        <v>22.9</v>
      </c>
      <c r="L9" s="1">
        <v>22.41</v>
      </c>
      <c r="M9" s="1">
        <v>22.3537</v>
      </c>
      <c r="N9" s="1">
        <v>26.77</v>
      </c>
      <c r="O9" s="1">
        <v>21.97</v>
      </c>
      <c r="P9" s="1">
        <v>20.54</v>
      </c>
      <c r="Q9" s="1">
        <v>19.95</v>
      </c>
      <c r="R9" s="1">
        <v>24.9</v>
      </c>
      <c r="S9" s="1">
        <v>24.38</v>
      </c>
      <c r="T9" s="1">
        <v>22.62</v>
      </c>
      <c r="U9" s="1">
        <v>21.21</v>
      </c>
    </row>
    <row r="10" spans="1:21" x14ac:dyDescent="0.3">
      <c r="A10" t="s">
        <v>267</v>
      </c>
      <c r="D10" s="7"/>
      <c r="E10" s="1">
        <v>18.912299999999998</v>
      </c>
      <c r="F10" s="1">
        <v>22.17</v>
      </c>
      <c r="G10" s="1">
        <v>20.64</v>
      </c>
      <c r="H10" s="1">
        <v>0</v>
      </c>
      <c r="I10" s="1">
        <v>22.73</v>
      </c>
      <c r="J10" s="1">
        <v>25.344000000000001</v>
      </c>
      <c r="K10" s="1">
        <v>24.38</v>
      </c>
      <c r="L10" s="1">
        <v>23.89</v>
      </c>
      <c r="M10" s="1">
        <v>22.0486</v>
      </c>
      <c r="N10" s="1">
        <v>22.73</v>
      </c>
      <c r="O10" s="1">
        <v>23.28</v>
      </c>
      <c r="P10" s="59">
        <v>0</v>
      </c>
      <c r="Q10" s="1">
        <v>20.6</v>
      </c>
      <c r="R10" s="1">
        <v>26.38</v>
      </c>
      <c r="S10" s="1">
        <v>25.98</v>
      </c>
      <c r="T10" s="1">
        <v>22.65</v>
      </c>
      <c r="U10" s="1">
        <v>20.64</v>
      </c>
    </row>
    <row r="11" spans="1:21" x14ac:dyDescent="0.3">
      <c r="A11" t="s">
        <v>268</v>
      </c>
      <c r="D11" s="7"/>
      <c r="E11" s="1">
        <v>17.546800000000001</v>
      </c>
      <c r="F11" s="1">
        <v>23.17</v>
      </c>
      <c r="G11" s="1">
        <v>20.52</v>
      </c>
      <c r="H11" s="1">
        <v>23.84</v>
      </c>
      <c r="I11" s="1">
        <v>21.73</v>
      </c>
      <c r="J11" s="1">
        <v>25.548999999999999</v>
      </c>
      <c r="K11" s="1">
        <v>26.48</v>
      </c>
      <c r="L11" s="1">
        <v>25.99</v>
      </c>
      <c r="M11" s="1">
        <v>21.7638</v>
      </c>
      <c r="N11" s="1">
        <v>22.48</v>
      </c>
      <c r="O11" s="1">
        <v>25.13</v>
      </c>
      <c r="P11" s="1">
        <v>0</v>
      </c>
      <c r="Q11" s="1">
        <v>19.8</v>
      </c>
      <c r="R11" s="1">
        <v>28.48</v>
      </c>
      <c r="S11" s="1">
        <v>28.16</v>
      </c>
      <c r="T11" s="1">
        <v>23.35</v>
      </c>
      <c r="U11" s="1">
        <v>20.52</v>
      </c>
    </row>
    <row r="12" spans="1:21" x14ac:dyDescent="0.3">
      <c r="A12" t="s">
        <v>269</v>
      </c>
      <c r="D12" s="7"/>
      <c r="E12" s="1">
        <v>71.12</v>
      </c>
      <c r="F12" s="1">
        <v>72.77</v>
      </c>
      <c r="G12" s="1">
        <v>75.61</v>
      </c>
      <c r="H12" s="1">
        <v>72.77</v>
      </c>
      <c r="I12" s="1">
        <v>71.97</v>
      </c>
      <c r="J12" s="1">
        <v>74.55</v>
      </c>
      <c r="K12" s="1">
        <v>70.989999999999995</v>
      </c>
      <c r="L12" s="1">
        <v>69.510000000000005</v>
      </c>
      <c r="M12" s="1">
        <v>67.122</v>
      </c>
      <c r="N12" s="1">
        <v>73.739999999999995</v>
      </c>
      <c r="O12" s="1">
        <v>72.08</v>
      </c>
      <c r="P12" s="1">
        <v>89.25</v>
      </c>
      <c r="Q12" s="1">
        <v>75.2</v>
      </c>
      <c r="R12" s="1">
        <v>71</v>
      </c>
      <c r="S12" s="1">
        <v>71.900000000000006</v>
      </c>
      <c r="T12" s="1">
        <v>71.25</v>
      </c>
      <c r="U12" s="1">
        <v>75.61</v>
      </c>
    </row>
    <row r="13" spans="1:21" x14ac:dyDescent="0.3">
      <c r="D13" s="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spans="1:21" x14ac:dyDescent="0.3">
      <c r="D14" s="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1" x14ac:dyDescent="0.3">
      <c r="A15" s="12" t="s">
        <v>270</v>
      </c>
      <c r="D15" s="7"/>
      <c r="E15" s="57" t="s">
        <v>261</v>
      </c>
      <c r="F15" s="98" t="s">
        <v>106</v>
      </c>
      <c r="G15" s="98" t="s">
        <v>107</v>
      </c>
      <c r="H15" s="98" t="s">
        <v>108</v>
      </c>
      <c r="I15" s="57" t="s">
        <v>52</v>
      </c>
      <c r="J15" s="57" t="s">
        <v>109</v>
      </c>
      <c r="K15" s="57" t="s">
        <v>110</v>
      </c>
      <c r="L15" s="57" t="s">
        <v>111</v>
      </c>
      <c r="M15" s="57" t="s">
        <v>112</v>
      </c>
      <c r="N15" s="57" t="s">
        <v>113</v>
      </c>
      <c r="O15" s="57" t="s">
        <v>114</v>
      </c>
      <c r="P15" s="57" t="s">
        <v>252</v>
      </c>
      <c r="Q15" s="57" t="s">
        <v>262</v>
      </c>
      <c r="R15" s="57" t="s">
        <v>263</v>
      </c>
      <c r="S15" s="57" t="s">
        <v>117</v>
      </c>
      <c r="T15" s="57" t="s">
        <v>118</v>
      </c>
      <c r="U15" s="57" t="s">
        <v>119</v>
      </c>
    </row>
    <row r="16" spans="1:21" x14ac:dyDescent="0.3">
      <c r="A16" t="s">
        <v>264</v>
      </c>
      <c r="D16" s="7"/>
      <c r="E16" s="59">
        <v>1000</v>
      </c>
      <c r="F16" s="59">
        <v>1000</v>
      </c>
      <c r="G16" s="59">
        <v>1000</v>
      </c>
      <c r="H16" s="59">
        <v>1750</v>
      </c>
      <c r="I16" s="59">
        <v>1000</v>
      </c>
      <c r="J16" s="59">
        <v>1000</v>
      </c>
      <c r="K16" s="59">
        <v>1000</v>
      </c>
      <c r="L16" s="59">
        <v>1000</v>
      </c>
      <c r="M16" s="59">
        <v>1000</v>
      </c>
      <c r="N16" s="133">
        <v>600</v>
      </c>
      <c r="O16" s="59">
        <v>1000</v>
      </c>
      <c r="P16" s="59">
        <v>0</v>
      </c>
      <c r="Q16" s="59">
        <v>1000</v>
      </c>
      <c r="R16" s="59">
        <v>1000</v>
      </c>
      <c r="S16" s="59">
        <v>1000</v>
      </c>
      <c r="T16" s="59">
        <v>300</v>
      </c>
      <c r="U16" s="59">
        <v>1000</v>
      </c>
    </row>
    <row r="17" spans="1:21" x14ac:dyDescent="0.3">
      <c r="A17" t="s">
        <v>265</v>
      </c>
      <c r="D17" s="7"/>
      <c r="E17" s="56">
        <v>1000</v>
      </c>
      <c r="F17" s="56">
        <v>1000</v>
      </c>
      <c r="G17" s="56">
        <v>1000</v>
      </c>
      <c r="H17" s="56">
        <v>0</v>
      </c>
      <c r="I17" s="56">
        <v>1000</v>
      </c>
      <c r="J17" s="56">
        <v>1000</v>
      </c>
      <c r="K17" s="56">
        <v>1000</v>
      </c>
      <c r="L17" s="56">
        <v>1000</v>
      </c>
      <c r="M17" s="56">
        <v>1000</v>
      </c>
      <c r="N17" s="56">
        <v>2000</v>
      </c>
      <c r="O17" s="56">
        <v>1000</v>
      </c>
      <c r="P17" s="56">
        <v>0</v>
      </c>
      <c r="Q17" s="56">
        <v>1000</v>
      </c>
      <c r="R17" s="56">
        <v>1000</v>
      </c>
      <c r="S17" s="56">
        <v>1000</v>
      </c>
      <c r="T17" s="56">
        <v>1020</v>
      </c>
      <c r="U17" s="56">
        <v>1000</v>
      </c>
    </row>
    <row r="18" spans="1:21" x14ac:dyDescent="0.3">
      <c r="A18" t="s">
        <v>266</v>
      </c>
      <c r="D18" s="7"/>
      <c r="E18" s="1">
        <v>20.1082</v>
      </c>
      <c r="F18" s="1">
        <v>21.97</v>
      </c>
      <c r="G18" s="1">
        <v>21.21</v>
      </c>
      <c r="H18" s="1">
        <v>22.73</v>
      </c>
      <c r="I18" s="1">
        <v>22.62</v>
      </c>
      <c r="J18" s="1">
        <v>23.79</v>
      </c>
      <c r="K18" s="1">
        <v>22.9</v>
      </c>
      <c r="L18" s="1">
        <v>22.41</v>
      </c>
      <c r="M18" s="1">
        <v>22.3537</v>
      </c>
      <c r="N18" s="1">
        <v>26.77</v>
      </c>
      <c r="O18" s="1">
        <v>21.97</v>
      </c>
      <c r="P18" s="1">
        <v>20.54</v>
      </c>
      <c r="Q18" s="1">
        <v>20.95</v>
      </c>
      <c r="R18" s="1">
        <v>24.9</v>
      </c>
      <c r="S18" s="1">
        <v>24.38</v>
      </c>
      <c r="T18" s="1">
        <v>22.62</v>
      </c>
      <c r="U18" s="1">
        <v>21.21</v>
      </c>
    </row>
    <row r="19" spans="1:21" x14ac:dyDescent="0.3">
      <c r="A19" t="s">
        <v>267</v>
      </c>
      <c r="D19" s="7"/>
      <c r="E19" s="1">
        <v>18.912299999999998</v>
      </c>
      <c r="F19" s="1">
        <v>22.17</v>
      </c>
      <c r="G19" s="1">
        <v>20.64</v>
      </c>
      <c r="H19" s="1">
        <v>0</v>
      </c>
      <c r="I19" s="1">
        <v>22.73</v>
      </c>
      <c r="J19" s="1">
        <v>25.344000000000001</v>
      </c>
      <c r="K19" s="1">
        <v>24.38</v>
      </c>
      <c r="L19" s="1">
        <v>23.89</v>
      </c>
      <c r="M19" s="1">
        <v>22.0486</v>
      </c>
      <c r="N19" s="1">
        <v>22.73</v>
      </c>
      <c r="O19" s="1">
        <v>23.28</v>
      </c>
      <c r="P19" s="59">
        <v>0</v>
      </c>
      <c r="Q19" s="1">
        <v>22.98</v>
      </c>
      <c r="R19" s="1">
        <v>26.38</v>
      </c>
      <c r="S19" s="1">
        <v>25.98</v>
      </c>
      <c r="T19" s="1">
        <v>22.65</v>
      </c>
      <c r="U19" s="1">
        <v>20.64</v>
      </c>
    </row>
    <row r="20" spans="1:21" x14ac:dyDescent="0.3">
      <c r="A20" t="s">
        <v>268</v>
      </c>
      <c r="D20" s="7"/>
      <c r="E20" s="1">
        <v>17.546800000000001</v>
      </c>
      <c r="F20" s="1">
        <v>23.17</v>
      </c>
      <c r="G20" s="1">
        <v>20.52</v>
      </c>
      <c r="H20" s="1">
        <v>23.84</v>
      </c>
      <c r="I20" s="1">
        <v>21.73</v>
      </c>
      <c r="J20" s="1">
        <v>25.548999999999999</v>
      </c>
      <c r="K20" s="1">
        <v>26.48</v>
      </c>
      <c r="L20" s="1">
        <v>25.99</v>
      </c>
      <c r="M20" s="1">
        <v>21.7638</v>
      </c>
      <c r="N20" s="1">
        <v>22.48</v>
      </c>
      <c r="O20" s="1">
        <v>25.13</v>
      </c>
      <c r="P20" s="1">
        <v>0</v>
      </c>
      <c r="Q20" s="1">
        <v>20.48</v>
      </c>
      <c r="R20" s="1">
        <v>28.48</v>
      </c>
      <c r="S20" s="1">
        <v>28.16</v>
      </c>
      <c r="T20" s="1">
        <v>23.35</v>
      </c>
      <c r="U20" s="1">
        <v>20.52</v>
      </c>
    </row>
    <row r="21" spans="1:21" x14ac:dyDescent="0.3">
      <c r="A21" t="s">
        <v>271</v>
      </c>
      <c r="D21" s="7"/>
      <c r="E21" s="1">
        <v>7.3075999999999999</v>
      </c>
      <c r="F21" s="1">
        <v>8.01</v>
      </c>
      <c r="G21" s="1">
        <v>8.15</v>
      </c>
      <c r="H21" s="1">
        <v>11.29</v>
      </c>
      <c r="I21" s="1">
        <v>11.38</v>
      </c>
      <c r="J21" s="1">
        <v>8.4079999999999995</v>
      </c>
      <c r="K21" s="1">
        <v>8.25</v>
      </c>
      <c r="L21" s="1">
        <v>7.76</v>
      </c>
      <c r="M21" s="1">
        <v>8.0952999999999999</v>
      </c>
      <c r="N21" s="1">
        <v>13.49</v>
      </c>
      <c r="O21" s="1">
        <v>8</v>
      </c>
      <c r="P21" s="1">
        <v>9.6999999999999993</v>
      </c>
      <c r="Q21" s="1">
        <v>10.6</v>
      </c>
      <c r="R21" s="1">
        <v>10.25</v>
      </c>
      <c r="S21" s="1">
        <v>8.77</v>
      </c>
      <c r="T21" s="1">
        <v>7.98</v>
      </c>
      <c r="U21" s="1">
        <v>8.0500000000000007</v>
      </c>
    </row>
    <row r="22" spans="1:21" x14ac:dyDescent="0.3">
      <c r="A22" t="s">
        <v>269</v>
      </c>
      <c r="D22" s="7"/>
      <c r="E22" s="1">
        <v>71.12</v>
      </c>
      <c r="F22" s="1">
        <v>72.77</v>
      </c>
      <c r="G22" s="1">
        <v>75.61</v>
      </c>
      <c r="H22" s="1">
        <v>72.77</v>
      </c>
      <c r="I22" s="1">
        <v>71.97</v>
      </c>
      <c r="J22" s="1">
        <v>74.55</v>
      </c>
      <c r="K22" s="1">
        <v>70.989999999999995</v>
      </c>
      <c r="L22" s="1">
        <v>69.510000000000005</v>
      </c>
      <c r="M22" s="1">
        <v>71.19</v>
      </c>
      <c r="N22" s="1">
        <v>73.84</v>
      </c>
      <c r="O22" s="1">
        <v>72.08</v>
      </c>
      <c r="P22" s="1">
        <v>93.45</v>
      </c>
      <c r="Q22" s="1">
        <v>75.2</v>
      </c>
      <c r="R22" s="1">
        <v>71</v>
      </c>
      <c r="S22" s="1">
        <v>71.900000000000006</v>
      </c>
      <c r="T22" s="1">
        <v>71.25</v>
      </c>
      <c r="U22" s="1">
        <v>79.73</v>
      </c>
    </row>
    <row r="23" spans="1:21" x14ac:dyDescent="0.3"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3">
      <c r="D24" s="7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3">
      <c r="A25" s="12" t="s">
        <v>94</v>
      </c>
      <c r="D25" s="7"/>
      <c r="E25" s="57" t="s">
        <v>261</v>
      </c>
      <c r="F25" s="57" t="s">
        <v>32</v>
      </c>
      <c r="G25" s="98" t="s">
        <v>107</v>
      </c>
      <c r="H25" s="98" t="s">
        <v>108</v>
      </c>
      <c r="I25" s="57" t="s">
        <v>52</v>
      </c>
      <c r="J25" s="57" t="s">
        <v>109</v>
      </c>
      <c r="K25" s="57" t="s">
        <v>110</v>
      </c>
      <c r="L25" s="57" t="s">
        <v>111</v>
      </c>
      <c r="M25" s="57" t="s">
        <v>112</v>
      </c>
      <c r="N25" s="57" t="s">
        <v>113</v>
      </c>
      <c r="O25" s="57" t="s">
        <v>114</v>
      </c>
      <c r="P25" s="57" t="s">
        <v>252</v>
      </c>
      <c r="Q25" s="57" t="s">
        <v>115</v>
      </c>
      <c r="R25" s="57" t="s">
        <v>263</v>
      </c>
      <c r="S25" s="57" t="s">
        <v>117</v>
      </c>
      <c r="T25" s="57" t="s">
        <v>118</v>
      </c>
      <c r="U25" s="57" t="s">
        <v>119</v>
      </c>
    </row>
    <row r="26" spans="1:21" x14ac:dyDescent="0.3">
      <c r="A26" t="s">
        <v>264</v>
      </c>
      <c r="D26" s="7"/>
      <c r="E26" s="204">
        <v>0</v>
      </c>
      <c r="F26" s="124">
        <v>0</v>
      </c>
      <c r="G26" s="204">
        <v>0</v>
      </c>
      <c r="H26" s="204">
        <v>0</v>
      </c>
      <c r="I26" s="204">
        <v>0</v>
      </c>
      <c r="J26" s="124">
        <v>0</v>
      </c>
      <c r="K26" s="204">
        <v>0</v>
      </c>
      <c r="L26" s="204">
        <v>0</v>
      </c>
      <c r="M26" s="204">
        <v>0</v>
      </c>
      <c r="N26" s="124">
        <v>600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</row>
    <row r="27" spans="1:21" x14ac:dyDescent="0.3">
      <c r="A27" t="s">
        <v>272</v>
      </c>
      <c r="C27" s="2"/>
      <c r="D27" s="7"/>
      <c r="E27" s="205">
        <v>44.637900000000002</v>
      </c>
      <c r="F27" s="205">
        <v>46.47</v>
      </c>
      <c r="G27" s="1">
        <v>46.01</v>
      </c>
      <c r="H27" s="205">
        <v>46.44</v>
      </c>
      <c r="I27" s="1">
        <v>46.19</v>
      </c>
      <c r="J27" s="110">
        <v>47.804000000000002</v>
      </c>
      <c r="K27" s="206">
        <v>45.77</v>
      </c>
      <c r="L27" s="206">
        <v>47.77</v>
      </c>
      <c r="M27" s="205">
        <v>42.652999999999999</v>
      </c>
      <c r="N27" s="205">
        <v>43.41</v>
      </c>
      <c r="O27" s="1">
        <v>43.59</v>
      </c>
      <c r="P27" s="205">
        <v>38.74</v>
      </c>
      <c r="Q27" s="1">
        <v>45.98</v>
      </c>
      <c r="R27" s="1">
        <v>47.77</v>
      </c>
      <c r="S27" s="1">
        <v>48.88</v>
      </c>
      <c r="T27" s="1">
        <v>41.5</v>
      </c>
      <c r="U27" s="205">
        <v>46.01</v>
      </c>
    </row>
    <row r="28" spans="1:21" x14ac:dyDescent="0.3">
      <c r="A28" t="s">
        <v>273</v>
      </c>
      <c r="C28" s="2"/>
      <c r="D28" s="7"/>
      <c r="E28" s="205">
        <v>0</v>
      </c>
      <c r="F28" s="205">
        <v>0</v>
      </c>
      <c r="G28" s="1">
        <v>0</v>
      </c>
      <c r="H28" s="205">
        <v>0</v>
      </c>
      <c r="I28" s="1">
        <v>0</v>
      </c>
      <c r="J28" s="110">
        <v>0</v>
      </c>
      <c r="K28" s="206">
        <v>0</v>
      </c>
      <c r="L28" s="206">
        <v>0</v>
      </c>
      <c r="M28" s="205">
        <v>0</v>
      </c>
      <c r="N28" s="206">
        <v>39.22</v>
      </c>
      <c r="O28" s="206">
        <v>0</v>
      </c>
      <c r="P28" s="206">
        <v>0</v>
      </c>
      <c r="Q28" s="1">
        <v>0</v>
      </c>
      <c r="R28" s="206">
        <v>0</v>
      </c>
      <c r="S28" s="206">
        <v>0</v>
      </c>
      <c r="T28" s="206">
        <v>0</v>
      </c>
      <c r="U28" s="206">
        <v>0</v>
      </c>
    </row>
    <row r="29" spans="1:21" x14ac:dyDescent="0.3">
      <c r="A29" t="s">
        <v>274</v>
      </c>
      <c r="D29" s="7"/>
      <c r="E29" s="206">
        <v>17.430199999999999</v>
      </c>
      <c r="F29" s="206">
        <v>17.86</v>
      </c>
      <c r="G29" s="1">
        <v>18.420000000000002</v>
      </c>
      <c r="H29" s="206">
        <v>17.829999999999998</v>
      </c>
      <c r="I29" s="1">
        <v>17.760000000000002</v>
      </c>
      <c r="J29" s="110">
        <v>18.498000000000001</v>
      </c>
      <c r="K29" s="206">
        <v>17.86</v>
      </c>
      <c r="L29" s="206">
        <v>19.86</v>
      </c>
      <c r="M29" s="206">
        <v>17.858499999999999</v>
      </c>
      <c r="N29" s="206">
        <v>17.55</v>
      </c>
      <c r="O29" s="1">
        <v>18.12</v>
      </c>
      <c r="P29" s="135">
        <v>14.55</v>
      </c>
      <c r="Q29" s="1">
        <v>18.04</v>
      </c>
      <c r="R29" s="1">
        <v>19.86</v>
      </c>
      <c r="S29" s="1">
        <v>19.23</v>
      </c>
      <c r="T29" s="206">
        <v>16.100000000000001</v>
      </c>
      <c r="U29" s="1">
        <v>18.420000000000002</v>
      </c>
    </row>
    <row r="30" spans="1:21" x14ac:dyDescent="0.3">
      <c r="A30" t="s">
        <v>271</v>
      </c>
      <c r="D30" s="7"/>
      <c r="E30" s="205">
        <v>9.5053999999999998</v>
      </c>
      <c r="F30" s="205">
        <v>9.77</v>
      </c>
      <c r="G30" s="1">
        <v>10.4</v>
      </c>
      <c r="H30" s="205">
        <v>9.74</v>
      </c>
      <c r="I30" s="1">
        <v>9.8000000000000007</v>
      </c>
      <c r="J30" s="110">
        <v>10.214</v>
      </c>
      <c r="K30" s="206">
        <v>9.9700000000000006</v>
      </c>
      <c r="L30" s="206">
        <v>11.97</v>
      </c>
      <c r="M30" s="205">
        <v>10.068300000000001</v>
      </c>
      <c r="N30" s="206">
        <v>12.74</v>
      </c>
      <c r="O30" s="1">
        <v>10.92</v>
      </c>
      <c r="P30" s="205">
        <v>11.48</v>
      </c>
      <c r="Q30" s="1">
        <v>10.5</v>
      </c>
      <c r="R30" s="1">
        <v>11.97</v>
      </c>
      <c r="S30" s="1">
        <v>10.63</v>
      </c>
      <c r="T30" s="206">
        <v>9</v>
      </c>
      <c r="U30" s="205">
        <v>10.4</v>
      </c>
    </row>
    <row r="31" spans="1:21" x14ac:dyDescent="0.3">
      <c r="A31" t="s">
        <v>269</v>
      </c>
      <c r="D31" s="7"/>
      <c r="E31" s="1">
        <v>79.248000000000005</v>
      </c>
      <c r="F31" s="1">
        <v>81.23</v>
      </c>
      <c r="G31" s="1">
        <v>82.58</v>
      </c>
      <c r="H31" s="1">
        <v>81.23</v>
      </c>
      <c r="I31" s="1">
        <v>80.53</v>
      </c>
      <c r="J31" s="110">
        <v>83.212999999999994</v>
      </c>
      <c r="K31" s="206">
        <v>79.25</v>
      </c>
      <c r="L31" s="206">
        <v>79.25</v>
      </c>
      <c r="M31" s="205">
        <v>78.918999999999997</v>
      </c>
      <c r="N31" s="206">
        <v>82.58</v>
      </c>
      <c r="O31" s="1">
        <v>79.599999999999994</v>
      </c>
      <c r="P31" s="205">
        <v>104.9</v>
      </c>
      <c r="Q31" s="1">
        <v>82.03</v>
      </c>
      <c r="R31" s="1">
        <v>79.25</v>
      </c>
      <c r="S31" s="1">
        <v>50.5</v>
      </c>
      <c r="T31" s="206">
        <v>76.099999999999994</v>
      </c>
      <c r="U31" s="205">
        <v>85.58</v>
      </c>
    </row>
    <row r="32" spans="1:21" x14ac:dyDescent="0.3">
      <c r="D32" s="7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spans="1:21" x14ac:dyDescent="0.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</sheetData>
  <sheetProtection algorithmName="SHA-512" hashValue="JsVeEioymDWG3ZPX3BJuUOU/4I8DlplMhM4gQSSBxhQO63z5uXfd/1bavkPQVWAfL+SnaHySJekOSes4barM5w==" saltValue="Tw66oaqCGZvJ8/0A8r3LCg==" spinCount="100000" sheet="1" objects="1" scenarios="1"/>
  <phoneticPr fontId="5" type="noConversion"/>
  <pageMargins left="0.75" right="0.75" top="1" bottom="1" header="0.5" footer="0.5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2"/>
  <dimension ref="A1:W33"/>
  <sheetViews>
    <sheetView workbookViewId="0">
      <selection activeCell="C5" sqref="C5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5" width="12.15234375" customWidth="1"/>
  </cols>
  <sheetData>
    <row r="1" spans="1:23" x14ac:dyDescent="0.3">
      <c r="A1" s="3" t="s">
        <v>102</v>
      </c>
      <c r="D1" s="1"/>
      <c r="E1" s="1"/>
    </row>
    <row r="2" spans="1:23" x14ac:dyDescent="0.3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4"/>
      <c r="Q2" s="114"/>
      <c r="R2" s="114"/>
      <c r="S2" s="114"/>
      <c r="T2" s="114"/>
      <c r="U2" s="114"/>
    </row>
    <row r="3" spans="1:23" x14ac:dyDescent="0.3">
      <c r="A3" s="4" t="s">
        <v>68</v>
      </c>
      <c r="B3" s="5"/>
      <c r="C3" s="5"/>
      <c r="D3" s="6"/>
      <c r="E3" s="99"/>
      <c r="F3" s="5"/>
      <c r="G3" s="5"/>
      <c r="H3" s="5"/>
    </row>
    <row r="4" spans="1:23" x14ac:dyDescent="0.3">
      <c r="D4" s="7"/>
      <c r="E4" s="109" t="s">
        <v>260</v>
      </c>
      <c r="F4" s="1"/>
      <c r="G4" s="1"/>
      <c r="H4" s="1"/>
      <c r="I4" s="1"/>
      <c r="J4" s="1"/>
      <c r="K4" s="1"/>
      <c r="L4" s="1"/>
      <c r="M4" s="1"/>
      <c r="N4" s="1"/>
      <c r="O4" s="1"/>
    </row>
    <row r="5" spans="1:23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3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252</v>
      </c>
      <c r="Q6" s="57" t="s">
        <v>262</v>
      </c>
      <c r="R6" s="57" t="s">
        <v>263</v>
      </c>
      <c r="S6" s="57" t="s">
        <v>117</v>
      </c>
      <c r="T6" s="57" t="s">
        <v>118</v>
      </c>
      <c r="U6" s="57" t="s">
        <v>119</v>
      </c>
      <c r="V6" s="1"/>
      <c r="W6" s="1"/>
    </row>
    <row r="7" spans="1:23" x14ac:dyDescent="0.3">
      <c r="A7" t="s">
        <v>264</v>
      </c>
      <c r="D7" s="7"/>
      <c r="E7" s="133">
        <v>1000</v>
      </c>
      <c r="F7" s="133">
        <v>1000</v>
      </c>
      <c r="G7" s="133">
        <v>1000</v>
      </c>
      <c r="H7" s="59">
        <v>1750</v>
      </c>
      <c r="I7" s="59">
        <v>1750</v>
      </c>
      <c r="J7" s="133">
        <v>1750</v>
      </c>
      <c r="K7" s="59">
        <v>1750</v>
      </c>
      <c r="L7" s="59">
        <v>1750</v>
      </c>
      <c r="M7" s="133">
        <v>1000</v>
      </c>
      <c r="N7" s="133">
        <v>600</v>
      </c>
      <c r="O7" s="59">
        <v>1750</v>
      </c>
      <c r="P7" s="59">
        <v>0</v>
      </c>
      <c r="Q7" s="133">
        <v>1000</v>
      </c>
      <c r="R7" s="59">
        <v>1750</v>
      </c>
      <c r="S7" s="59">
        <v>1750</v>
      </c>
      <c r="T7" s="59">
        <v>1020</v>
      </c>
      <c r="U7" s="59">
        <v>1750</v>
      </c>
      <c r="V7" s="1"/>
      <c r="W7" s="1"/>
    </row>
    <row r="8" spans="1:23" x14ac:dyDescent="0.3">
      <c r="A8" t="s">
        <v>265</v>
      </c>
      <c r="D8" s="7"/>
      <c r="E8" s="134">
        <v>1750</v>
      </c>
      <c r="F8" s="134">
        <v>1750</v>
      </c>
      <c r="G8" s="134">
        <v>1750</v>
      </c>
      <c r="H8" s="56">
        <v>0</v>
      </c>
      <c r="I8" s="56">
        <v>0</v>
      </c>
      <c r="J8" s="134">
        <v>0</v>
      </c>
      <c r="K8" s="56">
        <v>0</v>
      </c>
      <c r="L8" s="56">
        <v>0</v>
      </c>
      <c r="M8" s="134">
        <v>1750</v>
      </c>
      <c r="N8" s="134">
        <v>0</v>
      </c>
      <c r="O8" s="56">
        <v>0</v>
      </c>
      <c r="P8" s="56">
        <v>0</v>
      </c>
      <c r="Q8" s="134">
        <v>1750</v>
      </c>
      <c r="R8" s="56">
        <v>0</v>
      </c>
      <c r="S8" s="56">
        <v>0</v>
      </c>
      <c r="T8" s="134">
        <v>0</v>
      </c>
      <c r="U8" s="56">
        <v>0</v>
      </c>
      <c r="V8" s="1"/>
      <c r="W8" s="1"/>
    </row>
    <row r="9" spans="1:23" x14ac:dyDescent="0.3">
      <c r="A9" t="s">
        <v>266</v>
      </c>
      <c r="D9" s="7"/>
      <c r="E9" s="1">
        <v>21.43</v>
      </c>
      <c r="F9" s="1">
        <v>22.43</v>
      </c>
      <c r="G9" s="64">
        <v>21.81</v>
      </c>
      <c r="H9" s="1">
        <v>22.3</v>
      </c>
      <c r="I9" s="1">
        <v>22.45</v>
      </c>
      <c r="J9" s="64">
        <v>23.515999999999998</v>
      </c>
      <c r="K9" s="64">
        <v>22.66</v>
      </c>
      <c r="L9" s="1">
        <v>22.17</v>
      </c>
      <c r="M9" s="1">
        <v>23.0318</v>
      </c>
      <c r="N9" s="1">
        <v>25.45</v>
      </c>
      <c r="O9" s="1">
        <v>22.29</v>
      </c>
      <c r="P9" s="1">
        <v>20</v>
      </c>
      <c r="Q9" s="1">
        <v>21.35</v>
      </c>
      <c r="R9" s="1">
        <v>24.66</v>
      </c>
      <c r="S9" s="1">
        <v>24.12</v>
      </c>
      <c r="T9" s="1">
        <v>20.7</v>
      </c>
      <c r="U9" s="1">
        <v>21.81</v>
      </c>
      <c r="V9" s="1"/>
      <c r="W9" s="1"/>
    </row>
    <row r="10" spans="1:23" x14ac:dyDescent="0.3">
      <c r="A10" t="s">
        <v>267</v>
      </c>
      <c r="D10" s="7"/>
      <c r="E10" s="1">
        <v>20.84</v>
      </c>
      <c r="F10" s="1">
        <v>22</v>
      </c>
      <c r="G10" s="64">
        <v>21.22</v>
      </c>
      <c r="H10" s="1">
        <v>0</v>
      </c>
      <c r="I10" s="1">
        <v>0</v>
      </c>
      <c r="J10" s="64">
        <v>0</v>
      </c>
      <c r="K10" s="1">
        <v>0</v>
      </c>
      <c r="L10" s="1">
        <v>0</v>
      </c>
      <c r="M10" s="1">
        <v>22.2272</v>
      </c>
      <c r="N10" s="1">
        <v>0</v>
      </c>
      <c r="O10" s="1">
        <v>0</v>
      </c>
      <c r="P10" s="59">
        <v>0</v>
      </c>
      <c r="Q10" s="59">
        <v>21.14</v>
      </c>
      <c r="R10" s="1">
        <v>0</v>
      </c>
      <c r="S10" s="1">
        <v>0</v>
      </c>
      <c r="T10" s="1">
        <v>0</v>
      </c>
      <c r="U10" s="59">
        <v>0</v>
      </c>
      <c r="V10" s="1"/>
      <c r="W10" s="1"/>
    </row>
    <row r="11" spans="1:23" x14ac:dyDescent="0.3">
      <c r="A11" t="s">
        <v>268</v>
      </c>
      <c r="D11" s="7"/>
      <c r="E11" s="1">
        <v>18.78</v>
      </c>
      <c r="F11" s="1">
        <v>21.8</v>
      </c>
      <c r="G11" s="64">
        <v>20.45</v>
      </c>
      <c r="H11" s="1">
        <v>21.79</v>
      </c>
      <c r="I11" s="1">
        <v>23.11</v>
      </c>
      <c r="J11" s="64">
        <v>26.404</v>
      </c>
      <c r="K11" s="64">
        <v>25.41</v>
      </c>
      <c r="L11" s="1">
        <v>24.92</v>
      </c>
      <c r="M11" s="1">
        <v>21.109000000000002</v>
      </c>
      <c r="N11" s="1">
        <v>21.33</v>
      </c>
      <c r="O11" s="1">
        <v>24.77</v>
      </c>
      <c r="P11" s="1">
        <v>0</v>
      </c>
      <c r="Q11" s="1">
        <v>19.899999999999999</v>
      </c>
      <c r="R11" s="1">
        <v>27.41</v>
      </c>
      <c r="S11" s="1">
        <v>27.04</v>
      </c>
      <c r="T11" s="1">
        <v>23.15</v>
      </c>
      <c r="U11" s="1">
        <v>21.22</v>
      </c>
      <c r="V11" s="1"/>
      <c r="W11" s="1"/>
    </row>
    <row r="12" spans="1:23" x14ac:dyDescent="0.3">
      <c r="A12" t="s">
        <v>269</v>
      </c>
      <c r="D12" s="7"/>
      <c r="E12" s="1">
        <v>70.89</v>
      </c>
      <c r="F12" s="1">
        <v>71.62</v>
      </c>
      <c r="G12" s="64">
        <v>74.319999999999993</v>
      </c>
      <c r="H12" s="1">
        <v>71.62</v>
      </c>
      <c r="I12" s="1">
        <v>70.73</v>
      </c>
      <c r="J12" s="64">
        <v>73.373999999999995</v>
      </c>
      <c r="K12" s="64">
        <v>69.849999999999994</v>
      </c>
      <c r="L12" s="1">
        <v>68.41</v>
      </c>
      <c r="M12" s="1">
        <v>75.239999999999995</v>
      </c>
      <c r="N12" s="1">
        <v>72.2</v>
      </c>
      <c r="O12" s="1">
        <v>70.819999999999993</v>
      </c>
      <c r="P12" s="1">
        <v>92.4</v>
      </c>
      <c r="Q12" s="1">
        <v>73.900000000000006</v>
      </c>
      <c r="R12" s="1">
        <v>69.88</v>
      </c>
      <c r="S12" s="1">
        <v>70.7</v>
      </c>
      <c r="T12" s="1">
        <v>65.900000000000006</v>
      </c>
      <c r="U12" s="1">
        <v>94.42</v>
      </c>
      <c r="V12" s="1"/>
      <c r="W12" s="1"/>
    </row>
    <row r="13" spans="1:23" x14ac:dyDescent="0.3">
      <c r="D13" s="7"/>
      <c r="E13" s="1"/>
      <c r="F13" s="1"/>
      <c r="G13" s="1"/>
      <c r="H13" s="1"/>
      <c r="I13" s="1"/>
      <c r="J13" s="64"/>
      <c r="K13" s="64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">
      <c r="D14" s="7"/>
      <c r="E14" s="1"/>
      <c r="F14" s="1"/>
      <c r="G14" s="1"/>
      <c r="H14" s="1"/>
      <c r="I14" s="1"/>
      <c r="J14" s="64"/>
      <c r="K14" s="5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">
      <c r="A15" s="12" t="s">
        <v>270</v>
      </c>
      <c r="D15" s="7"/>
      <c r="E15" s="57" t="s">
        <v>261</v>
      </c>
      <c r="F15" s="98" t="s">
        <v>32</v>
      </c>
      <c r="G15" s="98" t="s">
        <v>276</v>
      </c>
      <c r="H15" s="98" t="s">
        <v>48</v>
      </c>
      <c r="I15" s="57" t="s">
        <v>52</v>
      </c>
      <c r="J15" s="58" t="s">
        <v>109</v>
      </c>
      <c r="K15" s="58" t="s">
        <v>110</v>
      </c>
      <c r="L15" s="57" t="s">
        <v>277</v>
      </c>
      <c r="M15" s="57" t="s">
        <v>278</v>
      </c>
      <c r="N15" s="57" t="s">
        <v>279</v>
      </c>
      <c r="O15" s="57" t="s">
        <v>280</v>
      </c>
      <c r="P15" s="57" t="s">
        <v>252</v>
      </c>
      <c r="Q15" s="57" t="s">
        <v>262</v>
      </c>
      <c r="R15" s="57" t="s">
        <v>263</v>
      </c>
      <c r="S15" s="57" t="s">
        <v>117</v>
      </c>
      <c r="T15" s="57" t="s">
        <v>118</v>
      </c>
      <c r="U15" s="57" t="s">
        <v>281</v>
      </c>
      <c r="V15" s="1"/>
      <c r="W15" s="1"/>
    </row>
    <row r="16" spans="1:23" x14ac:dyDescent="0.3">
      <c r="A16" t="s">
        <v>264</v>
      </c>
      <c r="D16" s="7"/>
      <c r="E16" s="133">
        <v>1000</v>
      </c>
      <c r="F16" s="133">
        <v>1000</v>
      </c>
      <c r="G16" s="133">
        <v>1000</v>
      </c>
      <c r="H16" s="59">
        <v>1750</v>
      </c>
      <c r="I16" s="59">
        <v>1750</v>
      </c>
      <c r="J16" s="133">
        <v>1750</v>
      </c>
      <c r="K16" s="59">
        <v>1750</v>
      </c>
      <c r="L16" s="59">
        <v>1750</v>
      </c>
      <c r="M16" s="133">
        <v>1000</v>
      </c>
      <c r="N16" s="133">
        <v>600</v>
      </c>
      <c r="O16" s="59">
        <v>1750</v>
      </c>
      <c r="P16" s="59">
        <v>0</v>
      </c>
      <c r="Q16" s="133">
        <v>1000</v>
      </c>
      <c r="R16" s="59">
        <v>1750</v>
      </c>
      <c r="S16" s="133">
        <v>1750</v>
      </c>
      <c r="T16" s="59">
        <v>1020</v>
      </c>
      <c r="U16" s="59">
        <v>0</v>
      </c>
      <c r="V16" s="1"/>
      <c r="W16" s="1"/>
    </row>
    <row r="17" spans="1:23" x14ac:dyDescent="0.3">
      <c r="A17" t="s">
        <v>265</v>
      </c>
      <c r="D17" s="7"/>
      <c r="E17" s="134">
        <v>1750</v>
      </c>
      <c r="F17" s="134">
        <v>1750</v>
      </c>
      <c r="G17" s="134">
        <v>1750</v>
      </c>
      <c r="H17" s="56">
        <v>0</v>
      </c>
      <c r="I17" s="56">
        <v>0</v>
      </c>
      <c r="J17" s="134">
        <v>0</v>
      </c>
      <c r="K17" s="56">
        <v>0</v>
      </c>
      <c r="L17" s="56">
        <v>0</v>
      </c>
      <c r="M17" s="134">
        <v>1750</v>
      </c>
      <c r="N17" s="134">
        <v>0</v>
      </c>
      <c r="O17" s="56">
        <v>0</v>
      </c>
      <c r="P17" s="56">
        <v>0</v>
      </c>
      <c r="Q17" s="134">
        <v>1750</v>
      </c>
      <c r="R17" s="56">
        <v>0</v>
      </c>
      <c r="S17" s="134">
        <v>0</v>
      </c>
      <c r="T17" s="134">
        <v>0</v>
      </c>
      <c r="U17" s="204">
        <v>0</v>
      </c>
      <c r="V17" s="1"/>
      <c r="W17" s="1"/>
    </row>
    <row r="18" spans="1:23" x14ac:dyDescent="0.3">
      <c r="A18" t="s">
        <v>266</v>
      </c>
      <c r="D18" s="7"/>
      <c r="E18" s="1">
        <v>21.43</v>
      </c>
      <c r="F18" s="1">
        <v>22.43</v>
      </c>
      <c r="G18" s="64">
        <v>21.81</v>
      </c>
      <c r="H18" s="1">
        <v>22.3</v>
      </c>
      <c r="I18" s="1">
        <v>22.45</v>
      </c>
      <c r="J18" s="64">
        <v>23.515999999999998</v>
      </c>
      <c r="K18" s="64">
        <v>22.66</v>
      </c>
      <c r="L18" s="1">
        <v>22.17</v>
      </c>
      <c r="M18" s="1">
        <v>23.0318</v>
      </c>
      <c r="N18" s="1">
        <v>25.45</v>
      </c>
      <c r="O18" s="1">
        <v>22.29</v>
      </c>
      <c r="P18" s="1">
        <v>20</v>
      </c>
      <c r="Q18" s="1">
        <v>21.99</v>
      </c>
      <c r="R18" s="1">
        <v>24.66</v>
      </c>
      <c r="S18" s="1">
        <v>24.12</v>
      </c>
      <c r="T18" s="1">
        <v>20.7</v>
      </c>
      <c r="U18" s="205">
        <v>0</v>
      </c>
      <c r="V18" s="1"/>
      <c r="W18" s="1"/>
    </row>
    <row r="19" spans="1:23" x14ac:dyDescent="0.3">
      <c r="A19" t="s">
        <v>267</v>
      </c>
      <c r="D19" s="7"/>
      <c r="E19" s="1">
        <v>20.84</v>
      </c>
      <c r="F19" s="1">
        <v>22</v>
      </c>
      <c r="G19" s="64">
        <v>21.22</v>
      </c>
      <c r="H19" s="1">
        <v>0</v>
      </c>
      <c r="I19" s="1">
        <v>0</v>
      </c>
      <c r="J19" s="64">
        <v>0</v>
      </c>
      <c r="K19" s="1">
        <v>0</v>
      </c>
      <c r="L19" s="1">
        <v>0</v>
      </c>
      <c r="M19" s="1">
        <v>22.2272</v>
      </c>
      <c r="N19" s="1">
        <v>0</v>
      </c>
      <c r="O19" s="1">
        <v>0</v>
      </c>
      <c r="P19" s="59">
        <v>0</v>
      </c>
      <c r="Q19" s="64">
        <v>21.77</v>
      </c>
      <c r="R19" s="1">
        <v>0</v>
      </c>
      <c r="S19" s="64">
        <v>0</v>
      </c>
      <c r="T19" s="1">
        <v>0</v>
      </c>
      <c r="U19" s="206">
        <v>0</v>
      </c>
      <c r="V19" s="1"/>
      <c r="W19" s="1"/>
    </row>
    <row r="20" spans="1:23" x14ac:dyDescent="0.3">
      <c r="A20" t="s">
        <v>268</v>
      </c>
      <c r="D20" s="7"/>
      <c r="E20" s="1">
        <v>18.78</v>
      </c>
      <c r="F20" s="1">
        <v>21.8</v>
      </c>
      <c r="G20" s="64">
        <v>20.45</v>
      </c>
      <c r="H20" s="1">
        <v>21.79</v>
      </c>
      <c r="I20" s="1">
        <v>23.11</v>
      </c>
      <c r="J20" s="64">
        <v>26.404</v>
      </c>
      <c r="K20" s="64">
        <v>25.41</v>
      </c>
      <c r="L20" s="1">
        <v>24.92</v>
      </c>
      <c r="M20" s="1">
        <v>21.109000000000002</v>
      </c>
      <c r="N20" s="1">
        <v>21.33</v>
      </c>
      <c r="O20" s="1">
        <v>24.77</v>
      </c>
      <c r="P20" s="1">
        <v>0</v>
      </c>
      <c r="Q20" s="1">
        <v>19.899999999999999</v>
      </c>
      <c r="R20" s="1">
        <v>27.41</v>
      </c>
      <c r="S20" s="1">
        <v>27.04</v>
      </c>
      <c r="T20" s="1">
        <v>23.15</v>
      </c>
      <c r="U20" s="206">
        <v>0</v>
      </c>
      <c r="V20" s="1"/>
      <c r="W20" s="1"/>
    </row>
    <row r="21" spans="1:23" x14ac:dyDescent="0.3">
      <c r="A21" t="s">
        <v>271</v>
      </c>
      <c r="D21" s="7"/>
      <c r="E21" s="1">
        <v>6.25</v>
      </c>
      <c r="F21" s="1">
        <v>6.27</v>
      </c>
      <c r="G21" s="64">
        <v>6.92</v>
      </c>
      <c r="H21" s="1">
        <v>11.12</v>
      </c>
      <c r="I21" s="1">
        <v>6.47</v>
      </c>
      <c r="J21" s="64">
        <v>11.651</v>
      </c>
      <c r="K21" s="64">
        <v>6.6</v>
      </c>
      <c r="L21" s="1">
        <v>6.11</v>
      </c>
      <c r="M21" s="1">
        <v>7.1059999999999999</v>
      </c>
      <c r="N21" s="1">
        <v>12.38</v>
      </c>
      <c r="O21" s="1">
        <v>6.38</v>
      </c>
      <c r="P21" s="1">
        <v>8.3000000000000007</v>
      </c>
      <c r="Q21" s="1">
        <v>7.28</v>
      </c>
      <c r="R21" s="1">
        <v>8.6</v>
      </c>
      <c r="S21" s="1">
        <v>7.01</v>
      </c>
      <c r="T21" s="1">
        <v>6.3</v>
      </c>
      <c r="U21" s="206">
        <v>0</v>
      </c>
      <c r="V21" s="1"/>
      <c r="W21" s="1"/>
    </row>
    <row r="22" spans="1:23" x14ac:dyDescent="0.3">
      <c r="A22" t="s">
        <v>269</v>
      </c>
      <c r="D22" s="7"/>
      <c r="E22" s="1">
        <v>75.7</v>
      </c>
      <c r="F22" s="1">
        <v>76.47</v>
      </c>
      <c r="G22" s="64">
        <v>79.28</v>
      </c>
      <c r="H22" s="1">
        <v>71.62</v>
      </c>
      <c r="I22" s="1">
        <v>75.47</v>
      </c>
      <c r="J22" s="64">
        <v>78.350999999999999</v>
      </c>
      <c r="K22" s="64">
        <v>74.540000000000006</v>
      </c>
      <c r="L22" s="1">
        <v>73.05</v>
      </c>
      <c r="M22" s="1">
        <v>79.42</v>
      </c>
      <c r="N22" s="1">
        <v>72.2</v>
      </c>
      <c r="O22" s="1">
        <v>70.819999999999993</v>
      </c>
      <c r="P22" s="1">
        <v>97.4</v>
      </c>
      <c r="Q22" s="1">
        <v>77.64</v>
      </c>
      <c r="R22" s="1">
        <v>74.62</v>
      </c>
      <c r="S22" s="1">
        <v>75.400000000000006</v>
      </c>
      <c r="T22" s="1">
        <v>70.7</v>
      </c>
      <c r="U22" s="206">
        <v>0</v>
      </c>
      <c r="V22" s="1"/>
      <c r="W22" s="1"/>
    </row>
    <row r="23" spans="1:23" x14ac:dyDescent="0.3">
      <c r="D23" s="7"/>
      <c r="E23" s="1"/>
      <c r="F23" s="64"/>
      <c r="G23" s="1"/>
      <c r="H23" s="1"/>
      <c r="I23" s="1"/>
      <c r="J23" s="64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">
      <c r="D24" s="7"/>
      <c r="E24" s="1"/>
      <c r="F24" s="64"/>
      <c r="G24" s="1"/>
      <c r="H24" s="1"/>
      <c r="I24" s="1"/>
      <c r="J24" s="6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">
      <c r="A25" s="12" t="s">
        <v>94</v>
      </c>
      <c r="D25" s="7"/>
      <c r="E25" s="57" t="s">
        <v>261</v>
      </c>
      <c r="F25" s="58" t="s">
        <v>32</v>
      </c>
      <c r="G25" s="98" t="s">
        <v>276</v>
      </c>
      <c r="H25" s="98" t="s">
        <v>48</v>
      </c>
      <c r="I25" s="57" t="s">
        <v>52</v>
      </c>
      <c r="J25" s="58" t="s">
        <v>109</v>
      </c>
      <c r="K25" s="58" t="s">
        <v>110</v>
      </c>
      <c r="L25" s="57" t="s">
        <v>277</v>
      </c>
      <c r="M25" s="57" t="s">
        <v>278</v>
      </c>
      <c r="N25" s="57" t="s">
        <v>279</v>
      </c>
      <c r="O25" s="57" t="s">
        <v>280</v>
      </c>
      <c r="P25" s="57" t="s">
        <v>252</v>
      </c>
      <c r="Q25" s="57" t="s">
        <v>115</v>
      </c>
      <c r="R25" s="57" t="s">
        <v>263</v>
      </c>
      <c r="S25" s="57" t="s">
        <v>117</v>
      </c>
      <c r="T25" s="57" t="s">
        <v>118</v>
      </c>
      <c r="U25" s="57" t="s">
        <v>281</v>
      </c>
      <c r="V25" s="1"/>
      <c r="W25" s="1"/>
    </row>
    <row r="26" spans="1:23" x14ac:dyDescent="0.3">
      <c r="A26" t="s">
        <v>264</v>
      </c>
      <c r="D26" s="7"/>
      <c r="E26" s="204">
        <v>0</v>
      </c>
      <c r="F26" s="124">
        <v>0</v>
      </c>
      <c r="G26" s="204">
        <v>0</v>
      </c>
      <c r="H26" s="204">
        <v>0</v>
      </c>
      <c r="I26" s="204">
        <v>0</v>
      </c>
      <c r="J26" s="124">
        <v>0</v>
      </c>
      <c r="K26" s="204">
        <v>0</v>
      </c>
      <c r="L26" s="204">
        <v>0</v>
      </c>
      <c r="M26" s="204">
        <v>0</v>
      </c>
      <c r="N26" s="204">
        <v>600</v>
      </c>
      <c r="O26" s="204">
        <v>0</v>
      </c>
      <c r="P26" s="204">
        <v>0</v>
      </c>
      <c r="Q26" s="124">
        <v>0</v>
      </c>
      <c r="R26" s="204">
        <v>0</v>
      </c>
      <c r="S26" s="204">
        <v>0</v>
      </c>
      <c r="T26" s="124">
        <v>0</v>
      </c>
      <c r="U26" s="204">
        <v>0</v>
      </c>
      <c r="V26" s="1"/>
      <c r="W26" s="1"/>
    </row>
    <row r="27" spans="1:23" x14ac:dyDescent="0.3">
      <c r="A27" t="s">
        <v>272</v>
      </c>
      <c r="C27" s="2"/>
      <c r="D27" s="7"/>
      <c r="E27" s="205">
        <v>28.02</v>
      </c>
      <c r="F27" s="205">
        <v>30.2</v>
      </c>
      <c r="G27" s="64">
        <v>28.91</v>
      </c>
      <c r="H27" s="205">
        <v>30.17</v>
      </c>
      <c r="I27" s="205">
        <v>32.950000000000003</v>
      </c>
      <c r="J27" s="64">
        <v>35.182000000000002</v>
      </c>
      <c r="K27" s="64">
        <v>33.770000000000003</v>
      </c>
      <c r="L27" s="205">
        <v>39.347000000000001</v>
      </c>
      <c r="M27" s="205">
        <v>33.178800000000003</v>
      </c>
      <c r="N27" s="205">
        <v>34.51</v>
      </c>
      <c r="O27" s="205">
        <v>32.29</v>
      </c>
      <c r="P27" s="205">
        <v>25.03</v>
      </c>
      <c r="Q27" s="1">
        <v>28.83</v>
      </c>
      <c r="R27" s="1">
        <v>35.770000000000003</v>
      </c>
      <c r="S27" s="1">
        <v>35.909999999999997</v>
      </c>
      <c r="T27" s="1">
        <v>30.95</v>
      </c>
      <c r="U27" s="205">
        <v>0</v>
      </c>
      <c r="V27" s="1"/>
      <c r="W27" s="1"/>
    </row>
    <row r="28" spans="1:23" x14ac:dyDescent="0.3">
      <c r="A28" t="s">
        <v>282</v>
      </c>
      <c r="D28" s="7"/>
      <c r="E28" s="206">
        <v>0</v>
      </c>
      <c r="F28" s="205">
        <v>0</v>
      </c>
      <c r="G28" s="205">
        <v>0</v>
      </c>
      <c r="H28" s="205">
        <v>0</v>
      </c>
      <c r="I28" s="205">
        <v>0</v>
      </c>
      <c r="J28" s="64">
        <v>0</v>
      </c>
      <c r="K28" s="205">
        <v>0</v>
      </c>
      <c r="L28" s="205">
        <v>0</v>
      </c>
      <c r="M28" s="205">
        <v>0</v>
      </c>
      <c r="N28" s="206">
        <v>26.8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64">
        <v>0</v>
      </c>
      <c r="U28" s="206">
        <v>0</v>
      </c>
      <c r="V28" s="1"/>
      <c r="W28" s="1"/>
    </row>
    <row r="29" spans="1:23" x14ac:dyDescent="0.3">
      <c r="A29" t="s">
        <v>274</v>
      </c>
      <c r="D29" s="7"/>
      <c r="E29" s="206">
        <v>23.31</v>
      </c>
      <c r="F29" s="206">
        <v>24.66</v>
      </c>
      <c r="G29" s="64">
        <v>23.63</v>
      </c>
      <c r="H29" s="206">
        <v>24.63</v>
      </c>
      <c r="I29" s="206">
        <v>25.1</v>
      </c>
      <c r="J29" s="64">
        <v>26.509</v>
      </c>
      <c r="K29" s="64">
        <v>25.51</v>
      </c>
      <c r="L29" s="206">
        <v>30.260999999999999</v>
      </c>
      <c r="M29" s="206">
        <v>22.927299999999999</v>
      </c>
      <c r="N29" s="206">
        <v>21.2</v>
      </c>
      <c r="O29" s="206">
        <v>24.83</v>
      </c>
      <c r="P29" s="206">
        <v>19.8</v>
      </c>
      <c r="Q29" s="1">
        <v>23.2</v>
      </c>
      <c r="R29" s="1">
        <v>27.51</v>
      </c>
      <c r="S29" s="1">
        <v>27.2</v>
      </c>
      <c r="T29" s="1">
        <v>23.4</v>
      </c>
      <c r="U29" s="206">
        <v>0</v>
      </c>
      <c r="V29" s="1"/>
      <c r="W29" s="1"/>
    </row>
    <row r="30" spans="1:23" x14ac:dyDescent="0.3">
      <c r="A30" t="s">
        <v>271</v>
      </c>
      <c r="D30" s="7"/>
      <c r="E30" s="205">
        <v>11.4</v>
      </c>
      <c r="F30" s="205">
        <v>11.68</v>
      </c>
      <c r="G30" s="64">
        <v>12.04</v>
      </c>
      <c r="H30" s="205">
        <v>11.65</v>
      </c>
      <c r="I30" s="206">
        <v>11.8</v>
      </c>
      <c r="J30" s="64">
        <v>12.196999999999999</v>
      </c>
      <c r="K30" s="64">
        <v>11.88</v>
      </c>
      <c r="L30" s="205">
        <v>15.268000000000001</v>
      </c>
      <c r="M30" s="205">
        <v>11.7354</v>
      </c>
      <c r="N30" s="205">
        <v>14.74</v>
      </c>
      <c r="O30" s="205">
        <v>12.53</v>
      </c>
      <c r="P30" s="206">
        <v>14.79</v>
      </c>
      <c r="Q30" s="1">
        <v>12.5</v>
      </c>
      <c r="R30" s="206">
        <v>13.88</v>
      </c>
      <c r="S30" s="1">
        <v>12.64</v>
      </c>
      <c r="T30" s="1">
        <v>10.8</v>
      </c>
      <c r="U30" s="206">
        <v>0</v>
      </c>
      <c r="V30" s="1"/>
      <c r="W30" s="1"/>
    </row>
    <row r="31" spans="1:23" x14ac:dyDescent="0.3">
      <c r="A31" t="s">
        <v>269</v>
      </c>
      <c r="D31" s="7"/>
      <c r="E31" s="205">
        <v>91.19</v>
      </c>
      <c r="F31" s="205">
        <v>92.12</v>
      </c>
      <c r="G31" s="64">
        <v>94.42</v>
      </c>
      <c r="H31" s="205">
        <v>92.12</v>
      </c>
      <c r="I31" s="206">
        <v>91.23</v>
      </c>
      <c r="J31" s="64">
        <v>94.373999999999995</v>
      </c>
      <c r="K31" s="64">
        <v>89.85</v>
      </c>
      <c r="L31" s="205">
        <v>98.867999999999995</v>
      </c>
      <c r="M31" s="205">
        <v>93.004999999999995</v>
      </c>
      <c r="N31" s="205">
        <v>88.9</v>
      </c>
      <c r="O31" s="205">
        <v>80.42</v>
      </c>
      <c r="P31" s="206">
        <v>120</v>
      </c>
      <c r="Q31" s="1">
        <v>93.9</v>
      </c>
      <c r="R31" s="206">
        <v>69.88</v>
      </c>
      <c r="S31" s="1">
        <v>91</v>
      </c>
      <c r="T31" s="1">
        <v>90.3</v>
      </c>
      <c r="U31" s="206">
        <v>0</v>
      </c>
      <c r="V31" s="1"/>
      <c r="W31" s="1"/>
    </row>
    <row r="32" spans="1:23" x14ac:dyDescent="0.3">
      <c r="D32" s="7"/>
      <c r="E32" s="1"/>
    </row>
    <row r="33" spans="1:21" x14ac:dyDescent="0.3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</sheetData>
  <sheetProtection algorithmName="SHA-512" hashValue="pJmsG3SkTCQyfwcL90i71jxA/JPGAxkctNWN0Hp47XX0/u2UwyJoBhUmDroCOApu9JIc9vc1IcYSC3PaF7PQxA==" saltValue="A2VijQSoyw9eI7hWiivjKQ==" spinCount="100000" sheet="1" objects="1" scenarios="1"/>
  <phoneticPr fontId="5" type="noConversion"/>
  <pageMargins left="0.75" right="0.75" top="1" bottom="1" header="0.5" footer="0.5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43"/>
  <dimension ref="A1:P32"/>
  <sheetViews>
    <sheetView topLeftCell="B1" workbookViewId="0">
      <selection activeCell="H39" sqref="H39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6" width="12.15234375" customWidth="1"/>
  </cols>
  <sheetData>
    <row r="1" spans="1:16" x14ac:dyDescent="0.3">
      <c r="A1" s="3" t="s">
        <v>102</v>
      </c>
      <c r="D1" s="1"/>
      <c r="E1" s="1"/>
    </row>
    <row r="2" spans="1:16" x14ac:dyDescent="0.3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x14ac:dyDescent="0.3">
      <c r="A3" s="4" t="s">
        <v>259</v>
      </c>
      <c r="B3" s="5"/>
      <c r="C3" s="5"/>
      <c r="D3" s="6"/>
      <c r="E3" s="99"/>
      <c r="F3" s="5"/>
      <c r="G3" s="5"/>
      <c r="H3" s="5"/>
    </row>
    <row r="4" spans="1:16" x14ac:dyDescent="0.3">
      <c r="D4" s="7"/>
      <c r="E4" s="109" t="s">
        <v>283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119</v>
      </c>
    </row>
    <row r="7" spans="1:16" x14ac:dyDescent="0.3">
      <c r="A7" t="s">
        <v>264</v>
      </c>
      <c r="D7" s="7"/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</row>
    <row r="8" spans="1:16" x14ac:dyDescent="0.3">
      <c r="A8" t="s">
        <v>265</v>
      </c>
      <c r="D8" s="7"/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</row>
    <row r="9" spans="1:16" x14ac:dyDescent="0.3">
      <c r="A9" t="s">
        <v>266</v>
      </c>
      <c r="D9" s="7"/>
      <c r="E9" s="1">
        <v>32.945</v>
      </c>
      <c r="F9" s="1">
        <v>35.067999999999998</v>
      </c>
      <c r="G9" s="1">
        <v>33.912999999999997</v>
      </c>
      <c r="H9" s="1">
        <v>35.067999999999998</v>
      </c>
      <c r="I9" s="1">
        <v>30.888000000000002</v>
      </c>
      <c r="J9" s="1">
        <v>35.932600000000001</v>
      </c>
      <c r="K9" s="1">
        <v>34.220999999999997</v>
      </c>
      <c r="L9" s="1">
        <v>34.220999999999997</v>
      </c>
      <c r="M9" s="1">
        <v>35.213639999999998</v>
      </c>
      <c r="N9" s="1">
        <v>34.220999999999997</v>
      </c>
      <c r="O9" s="1">
        <v>34.220999999999997</v>
      </c>
      <c r="P9" s="1">
        <v>0</v>
      </c>
    </row>
    <row r="10" spans="1:16" x14ac:dyDescent="0.3">
      <c r="A10" t="s">
        <v>267</v>
      </c>
      <c r="D10" s="7"/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</row>
    <row r="11" spans="1:16" x14ac:dyDescent="0.3">
      <c r="A11" t="s">
        <v>268</v>
      </c>
      <c r="D11" s="7"/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</row>
    <row r="12" spans="1:16" x14ac:dyDescent="0.3">
      <c r="A12" t="s">
        <v>269</v>
      </c>
      <c r="D12" s="7"/>
      <c r="E12" s="1">
        <v>135.21199999999999</v>
      </c>
      <c r="F12" s="1">
        <v>140.69</v>
      </c>
      <c r="G12" s="1">
        <v>139.524</v>
      </c>
      <c r="H12" s="1">
        <v>140.69</v>
      </c>
      <c r="I12" s="1">
        <v>139.524</v>
      </c>
      <c r="J12" s="1">
        <v>144.13300000000001</v>
      </c>
      <c r="K12" s="1">
        <v>137.26900000000001</v>
      </c>
      <c r="L12" s="1">
        <v>137.26900000000001</v>
      </c>
      <c r="M12" s="1">
        <v>149.55600000000001</v>
      </c>
      <c r="N12" s="1">
        <v>137.26900000000001</v>
      </c>
      <c r="O12" s="1">
        <v>142.46100000000001</v>
      </c>
      <c r="P12" s="1">
        <v>0</v>
      </c>
    </row>
    <row r="13" spans="1:16" x14ac:dyDescent="0.3">
      <c r="D13" s="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x14ac:dyDescent="0.3">
      <c r="D14" s="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x14ac:dyDescent="0.3">
      <c r="A15" s="12" t="s">
        <v>270</v>
      </c>
      <c r="D15" s="7"/>
      <c r="E15" s="57" t="s">
        <v>261</v>
      </c>
      <c r="F15" s="98" t="s">
        <v>106</v>
      </c>
      <c r="G15" s="98" t="s">
        <v>107</v>
      </c>
      <c r="H15" s="98" t="s">
        <v>108</v>
      </c>
      <c r="I15" s="57" t="s">
        <v>52</v>
      </c>
      <c r="J15" s="57" t="s">
        <v>109</v>
      </c>
      <c r="K15" s="57" t="s">
        <v>110</v>
      </c>
      <c r="L15" s="57" t="s">
        <v>111</v>
      </c>
      <c r="M15" s="57" t="s">
        <v>112</v>
      </c>
      <c r="N15" s="57" t="s">
        <v>113</v>
      </c>
      <c r="O15" s="57" t="s">
        <v>114</v>
      </c>
      <c r="P15" s="57" t="s">
        <v>119</v>
      </c>
    </row>
    <row r="16" spans="1:16" x14ac:dyDescent="0.3">
      <c r="A16" t="s">
        <v>264</v>
      </c>
      <c r="D16" s="7"/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</row>
    <row r="17" spans="1:16" x14ac:dyDescent="0.3">
      <c r="A17" t="s">
        <v>265</v>
      </c>
      <c r="D17" s="7"/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</row>
    <row r="18" spans="1:16" x14ac:dyDescent="0.3">
      <c r="A18" t="s">
        <v>266</v>
      </c>
      <c r="D18" s="7"/>
      <c r="E18" s="1">
        <v>32.945</v>
      </c>
      <c r="F18" s="1">
        <v>35.067999999999998</v>
      </c>
      <c r="G18" s="1">
        <v>33.912999999999997</v>
      </c>
      <c r="H18" s="1">
        <v>35.067999999999998</v>
      </c>
      <c r="I18" s="1">
        <v>30.888000000000002</v>
      </c>
      <c r="J18" s="1">
        <v>35.932600000000001</v>
      </c>
      <c r="K18" s="1">
        <v>34.220999999999997</v>
      </c>
      <c r="L18" s="1">
        <v>34.220999999999997</v>
      </c>
      <c r="M18" s="1">
        <v>35.213639999999998</v>
      </c>
      <c r="N18" s="1">
        <v>34.220999999999997</v>
      </c>
      <c r="O18" s="1">
        <v>34.220999999999997</v>
      </c>
      <c r="P18" s="1">
        <v>0</v>
      </c>
    </row>
    <row r="19" spans="1:16" x14ac:dyDescent="0.3">
      <c r="A19" t="s">
        <v>267</v>
      </c>
      <c r="D19" s="7"/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</row>
    <row r="20" spans="1:16" x14ac:dyDescent="0.3">
      <c r="A20" t="s">
        <v>268</v>
      </c>
      <c r="D20" s="7"/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</row>
    <row r="21" spans="1:16" x14ac:dyDescent="0.3">
      <c r="A21" t="s">
        <v>271</v>
      </c>
      <c r="D21" s="7"/>
      <c r="E21" s="1">
        <v>13.233000000000001</v>
      </c>
      <c r="F21" s="1">
        <v>13.772</v>
      </c>
      <c r="G21" s="1">
        <v>13.893000000000001</v>
      </c>
      <c r="H21" s="1">
        <v>20.504000000000001</v>
      </c>
      <c r="I21" s="1">
        <v>10.868</v>
      </c>
      <c r="J21" s="1">
        <v>14.114100000000001</v>
      </c>
      <c r="K21" s="1">
        <v>13.442</v>
      </c>
      <c r="L21" s="1">
        <v>13.442</v>
      </c>
      <c r="M21" s="1">
        <v>14.1059</v>
      </c>
      <c r="N21" s="1">
        <v>13.442</v>
      </c>
      <c r="O21" s="1">
        <v>13.442</v>
      </c>
      <c r="P21" s="1">
        <v>0</v>
      </c>
    </row>
    <row r="22" spans="1:16" x14ac:dyDescent="0.3">
      <c r="A22" t="s">
        <v>269</v>
      </c>
      <c r="D22" s="7"/>
      <c r="E22" s="1">
        <v>147.499</v>
      </c>
      <c r="F22" s="1">
        <v>153.47200000000001</v>
      </c>
      <c r="G22" s="1">
        <v>152.29499999999999</v>
      </c>
      <c r="H22" s="1">
        <v>140.69</v>
      </c>
      <c r="I22" s="1">
        <v>152.29499999999999</v>
      </c>
      <c r="J22" s="1">
        <v>157.23070000000001</v>
      </c>
      <c r="K22" s="1">
        <v>149.74299999999999</v>
      </c>
      <c r="L22" s="1">
        <v>149.74299999999999</v>
      </c>
      <c r="M22" s="1">
        <v>149.55600000000001</v>
      </c>
      <c r="N22" s="1">
        <v>149.74299999999999</v>
      </c>
      <c r="O22" s="1">
        <v>142.46100000000001</v>
      </c>
      <c r="P22" s="1">
        <v>0</v>
      </c>
    </row>
    <row r="23" spans="1:16" x14ac:dyDescent="0.3"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3">
      <c r="D24" s="7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3">
      <c r="A25" s="12" t="s">
        <v>94</v>
      </c>
      <c r="D25" s="7"/>
      <c r="E25" s="57" t="s">
        <v>261</v>
      </c>
      <c r="F25" s="98" t="s">
        <v>106</v>
      </c>
      <c r="G25" s="98" t="s">
        <v>107</v>
      </c>
      <c r="H25" s="98" t="s">
        <v>108</v>
      </c>
      <c r="I25" s="57" t="s">
        <v>52</v>
      </c>
      <c r="J25" s="57" t="s">
        <v>109</v>
      </c>
      <c r="K25" s="57" t="s">
        <v>110</v>
      </c>
      <c r="L25" s="57" t="s">
        <v>111</v>
      </c>
      <c r="M25" s="57" t="s">
        <v>112</v>
      </c>
      <c r="N25" s="57" t="s">
        <v>113</v>
      </c>
      <c r="O25" s="57" t="s">
        <v>114</v>
      </c>
      <c r="P25" s="57" t="s">
        <v>119</v>
      </c>
    </row>
    <row r="26" spans="1:16" x14ac:dyDescent="0.3">
      <c r="A26" t="s">
        <v>264</v>
      </c>
      <c r="D26" s="7"/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 x14ac:dyDescent="0.3">
      <c r="A27" t="s">
        <v>272</v>
      </c>
      <c r="C27" s="2"/>
      <c r="D27" s="7"/>
      <c r="E27" s="205">
        <v>36.74</v>
      </c>
      <c r="F27" s="205">
        <v>39.104999999999997</v>
      </c>
      <c r="G27" s="205">
        <v>37.774000000000001</v>
      </c>
      <c r="H27" s="205">
        <v>39.104999999999997</v>
      </c>
      <c r="I27" s="205">
        <v>34.738</v>
      </c>
      <c r="J27" s="110">
        <v>40.067500000000003</v>
      </c>
      <c r="K27" s="1">
        <v>38.158999999999999</v>
      </c>
      <c r="L27" s="1">
        <v>38.158999999999999</v>
      </c>
      <c r="M27" s="205">
        <v>39.0319</v>
      </c>
      <c r="N27" s="1">
        <v>38.158999999999999</v>
      </c>
      <c r="O27" s="1">
        <v>38.158999999999999</v>
      </c>
      <c r="P27" s="1">
        <v>0</v>
      </c>
    </row>
    <row r="28" spans="1:16" x14ac:dyDescent="0.3">
      <c r="A28" t="s">
        <v>284</v>
      </c>
      <c r="D28" s="7"/>
      <c r="E28" s="205">
        <v>36.74</v>
      </c>
      <c r="F28" s="205">
        <v>39.104999999999997</v>
      </c>
      <c r="G28" s="205">
        <v>37.774000000000001</v>
      </c>
      <c r="H28" s="205">
        <v>39.104999999999997</v>
      </c>
      <c r="I28" s="205">
        <v>34.738</v>
      </c>
      <c r="J28" s="110">
        <v>40.067500000000003</v>
      </c>
      <c r="K28" s="1">
        <v>38.158999999999999</v>
      </c>
      <c r="L28" s="1">
        <v>38.158999999999999</v>
      </c>
      <c r="M28" s="205">
        <v>39.0319</v>
      </c>
      <c r="N28" s="1">
        <v>38.158999999999999</v>
      </c>
      <c r="O28" s="1">
        <v>38.158999999999999</v>
      </c>
      <c r="P28" s="1">
        <v>0</v>
      </c>
    </row>
    <row r="29" spans="1:16" x14ac:dyDescent="0.3">
      <c r="A29" t="s">
        <v>271</v>
      </c>
      <c r="D29" s="7"/>
      <c r="E29" s="205">
        <v>18.513000000000002</v>
      </c>
      <c r="F29" s="205">
        <v>19.47</v>
      </c>
      <c r="G29" s="205">
        <v>19.25</v>
      </c>
      <c r="H29" s="205">
        <v>19.47</v>
      </c>
      <c r="I29" s="205">
        <v>16.225000000000001</v>
      </c>
      <c r="J29" s="110">
        <v>19.947399999999998</v>
      </c>
      <c r="K29" s="1">
        <v>18.997</v>
      </c>
      <c r="L29" s="1">
        <v>18.997</v>
      </c>
      <c r="M29" s="205">
        <v>19.5443</v>
      </c>
      <c r="N29" s="1">
        <v>18.997</v>
      </c>
      <c r="O29" s="1">
        <v>18.997</v>
      </c>
      <c r="P29" s="1">
        <v>0</v>
      </c>
    </row>
    <row r="30" spans="1:16" x14ac:dyDescent="0.3">
      <c r="A30" t="s">
        <v>269</v>
      </c>
      <c r="D30" s="7"/>
      <c r="E30" s="205">
        <v>135.20099999999999</v>
      </c>
      <c r="F30" s="205">
        <v>140.679</v>
      </c>
      <c r="G30" s="205">
        <v>139.51300000000001</v>
      </c>
      <c r="H30" s="205">
        <v>140.679</v>
      </c>
      <c r="I30" s="205">
        <v>139.51300000000001</v>
      </c>
      <c r="J30" s="110">
        <v>144.12090000000001</v>
      </c>
      <c r="K30" s="1">
        <v>137.23599999999999</v>
      </c>
      <c r="L30" s="1">
        <v>137.25800000000001</v>
      </c>
      <c r="M30" s="205">
        <v>164.285</v>
      </c>
      <c r="N30" s="1">
        <v>137.25800000000001</v>
      </c>
      <c r="O30" s="1">
        <v>137.25800000000001</v>
      </c>
      <c r="P30" s="1">
        <v>0</v>
      </c>
    </row>
    <row r="31" spans="1:16" x14ac:dyDescent="0.3">
      <c r="D31" s="7"/>
      <c r="E31" s="1"/>
    </row>
    <row r="32" spans="1:16" x14ac:dyDescent="0.3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</row>
  </sheetData>
  <sheetProtection password="93B4" sheet="1" objects="1" scenarios="1"/>
  <phoneticPr fontId="5" type="noConversion"/>
  <pageMargins left="0.75" right="0.75" top="1" bottom="1" header="0.5" footer="0.5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44"/>
  <dimension ref="A1:Q32"/>
  <sheetViews>
    <sheetView workbookViewId="0">
      <selection activeCell="F12" sqref="F12:P12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6" width="12.15234375" customWidth="1"/>
  </cols>
  <sheetData>
    <row r="1" spans="1:17" x14ac:dyDescent="0.3">
      <c r="A1" s="3" t="s">
        <v>102</v>
      </c>
      <c r="D1" s="1"/>
      <c r="E1" s="1"/>
    </row>
    <row r="2" spans="1:17" x14ac:dyDescent="0.3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7" x14ac:dyDescent="0.3">
      <c r="A3" s="4" t="s">
        <v>275</v>
      </c>
      <c r="B3" s="5"/>
      <c r="C3" s="5"/>
      <c r="D3" s="6"/>
      <c r="E3" s="99"/>
      <c r="F3" s="5"/>
      <c r="G3" s="5"/>
      <c r="H3" s="5"/>
    </row>
    <row r="4" spans="1:17" x14ac:dyDescent="0.3">
      <c r="D4" s="7"/>
      <c r="E4" s="109" t="s">
        <v>283</v>
      </c>
      <c r="F4" s="109"/>
      <c r="G4" s="1"/>
      <c r="H4" s="1" t="s">
        <v>285</v>
      </c>
      <c r="I4" s="1"/>
      <c r="J4" s="1"/>
      <c r="K4" s="1"/>
      <c r="L4" s="1"/>
      <c r="M4" s="1"/>
      <c r="N4" s="1"/>
      <c r="O4" s="1"/>
      <c r="P4" s="1"/>
      <c r="Q4" s="1"/>
    </row>
    <row r="5" spans="1:17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119</v>
      </c>
      <c r="Q6" s="1"/>
    </row>
    <row r="7" spans="1:17" x14ac:dyDescent="0.3">
      <c r="A7" t="s">
        <v>264</v>
      </c>
      <c r="D7" s="7"/>
      <c r="E7" s="59">
        <v>1000</v>
      </c>
      <c r="F7" s="59">
        <v>1000</v>
      </c>
      <c r="G7" s="59">
        <v>1000</v>
      </c>
      <c r="H7" s="59">
        <v>1750</v>
      </c>
      <c r="I7" s="59">
        <v>1000</v>
      </c>
      <c r="J7" s="59">
        <v>1000</v>
      </c>
      <c r="K7" s="59">
        <v>1000</v>
      </c>
      <c r="L7" s="59">
        <v>1000</v>
      </c>
      <c r="M7" s="59">
        <v>1000</v>
      </c>
      <c r="N7" s="59">
        <v>1000</v>
      </c>
      <c r="O7" s="59">
        <v>0</v>
      </c>
      <c r="P7" s="59">
        <v>1000</v>
      </c>
      <c r="Q7" s="1"/>
    </row>
    <row r="8" spans="1:17" x14ac:dyDescent="0.3">
      <c r="A8" t="s">
        <v>265</v>
      </c>
      <c r="D8" s="7"/>
      <c r="E8" s="56">
        <v>1000</v>
      </c>
      <c r="F8" s="56">
        <v>1000</v>
      </c>
      <c r="G8" s="56">
        <v>1000</v>
      </c>
      <c r="H8" s="56">
        <v>0</v>
      </c>
      <c r="I8" s="56">
        <v>1000</v>
      </c>
      <c r="J8" s="56">
        <v>1000</v>
      </c>
      <c r="K8" s="56">
        <v>1000</v>
      </c>
      <c r="L8" s="56">
        <v>1000</v>
      </c>
      <c r="M8" s="56">
        <v>1000</v>
      </c>
      <c r="N8" s="56">
        <v>1000</v>
      </c>
      <c r="O8" s="56">
        <v>0</v>
      </c>
      <c r="P8" s="56">
        <v>1000</v>
      </c>
      <c r="Q8" s="1"/>
    </row>
    <row r="9" spans="1:17" x14ac:dyDescent="0.3">
      <c r="A9" t="s">
        <v>266</v>
      </c>
      <c r="D9" s="7"/>
      <c r="E9" s="1">
        <v>26.73</v>
      </c>
      <c r="F9" s="1">
        <v>28.071999999999999</v>
      </c>
      <c r="G9" s="1">
        <v>27.709</v>
      </c>
      <c r="H9" s="1">
        <v>29.315000000000001</v>
      </c>
      <c r="I9" s="1">
        <v>24.760999999999999</v>
      </c>
      <c r="J9" s="1">
        <v>28.759499999999999</v>
      </c>
      <c r="K9" s="1">
        <v>27.39</v>
      </c>
      <c r="L9" s="1">
        <v>27.39</v>
      </c>
      <c r="M9" s="1">
        <v>28.5549</v>
      </c>
      <c r="N9" s="1">
        <v>27.39</v>
      </c>
      <c r="O9" s="1">
        <v>0</v>
      </c>
      <c r="P9" s="1">
        <v>27.709</v>
      </c>
      <c r="Q9" s="1"/>
    </row>
    <row r="10" spans="1:17" x14ac:dyDescent="0.3">
      <c r="A10" t="s">
        <v>267</v>
      </c>
      <c r="D10" s="7"/>
      <c r="E10" s="1">
        <v>26.95</v>
      </c>
      <c r="F10" s="1">
        <v>29.733000000000001</v>
      </c>
      <c r="G10" s="1">
        <v>27.742000000000001</v>
      </c>
      <c r="H10" s="1">
        <v>0</v>
      </c>
      <c r="I10" s="1">
        <v>24.893000000000001</v>
      </c>
      <c r="J10" s="1">
        <v>30.468900000000001</v>
      </c>
      <c r="K10" s="1">
        <v>29.018000000000001</v>
      </c>
      <c r="L10" s="1">
        <v>29.018000000000001</v>
      </c>
      <c r="M10" s="1">
        <v>28.667100000000001</v>
      </c>
      <c r="N10" s="1">
        <v>29.018000000000001</v>
      </c>
      <c r="O10" s="1">
        <v>0</v>
      </c>
      <c r="P10" s="1">
        <v>27.742000000000001</v>
      </c>
      <c r="Q10" s="1"/>
    </row>
    <row r="11" spans="1:17" x14ac:dyDescent="0.3">
      <c r="A11" t="s">
        <v>268</v>
      </c>
      <c r="D11" s="7"/>
      <c r="E11" s="1">
        <v>26.84</v>
      </c>
      <c r="F11" s="1">
        <v>32.109000000000002</v>
      </c>
      <c r="G11" s="1">
        <v>27.885000000000002</v>
      </c>
      <c r="H11" s="1">
        <v>32.692</v>
      </c>
      <c r="I11" s="1">
        <v>24.893000000000001</v>
      </c>
      <c r="J11" s="1">
        <v>32.894399999999997</v>
      </c>
      <c r="K11" s="1">
        <v>31.327999999999999</v>
      </c>
      <c r="L11" s="1">
        <v>31.327999999999999</v>
      </c>
      <c r="M11" s="1">
        <v>28.779299999999999</v>
      </c>
      <c r="N11" s="1">
        <v>31.327999999999999</v>
      </c>
      <c r="O11" s="1">
        <v>0</v>
      </c>
      <c r="P11" s="1">
        <v>27.885000000000002</v>
      </c>
      <c r="Q11" s="1"/>
    </row>
    <row r="12" spans="1:17" x14ac:dyDescent="0.3">
      <c r="A12" t="s">
        <v>269</v>
      </c>
      <c r="D12" s="7"/>
      <c r="E12" s="1">
        <v>77</v>
      </c>
      <c r="F12" s="1">
        <v>80.046999999999997</v>
      </c>
      <c r="G12" s="1">
        <v>79.167000000000002</v>
      </c>
      <c r="H12" s="1">
        <v>80.046999999999997</v>
      </c>
      <c r="I12" s="1">
        <v>79.167000000000002</v>
      </c>
      <c r="J12" s="1">
        <v>82.004999999999995</v>
      </c>
      <c r="K12" s="1">
        <v>78.088999999999999</v>
      </c>
      <c r="L12" s="1">
        <v>78.099999999999994</v>
      </c>
      <c r="M12" s="1">
        <v>84.15</v>
      </c>
      <c r="N12" s="1">
        <v>78.099999999999994</v>
      </c>
      <c r="O12" s="1">
        <v>0</v>
      </c>
      <c r="P12" s="1">
        <v>79.167000000000002</v>
      </c>
      <c r="Q12" s="1"/>
    </row>
    <row r="13" spans="1:17" x14ac:dyDescent="0.3">
      <c r="D13" s="7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">
      <c r="D14" s="7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">
      <c r="A15" s="12" t="s">
        <v>270</v>
      </c>
      <c r="D15" s="7"/>
      <c r="E15" s="57" t="s">
        <v>261</v>
      </c>
      <c r="F15" s="98" t="s">
        <v>106</v>
      </c>
      <c r="G15" s="98" t="s">
        <v>107</v>
      </c>
      <c r="H15" s="98" t="s">
        <v>108</v>
      </c>
      <c r="I15" s="57" t="s">
        <v>52</v>
      </c>
      <c r="J15" s="57" t="s">
        <v>109</v>
      </c>
      <c r="K15" s="57" t="s">
        <v>110</v>
      </c>
      <c r="L15" s="57" t="s">
        <v>111</v>
      </c>
      <c r="M15" s="57" t="s">
        <v>112</v>
      </c>
      <c r="N15" s="57" t="s">
        <v>113</v>
      </c>
      <c r="O15" s="57" t="s">
        <v>114</v>
      </c>
      <c r="P15" s="57" t="s">
        <v>119</v>
      </c>
      <c r="Q15" s="1"/>
    </row>
    <row r="16" spans="1:17" x14ac:dyDescent="0.3">
      <c r="A16" t="s">
        <v>264</v>
      </c>
      <c r="D16" s="7"/>
      <c r="E16" s="59">
        <v>1000</v>
      </c>
      <c r="F16" s="59">
        <v>1000</v>
      </c>
      <c r="G16" s="59">
        <v>1000</v>
      </c>
      <c r="H16" s="59">
        <v>1750</v>
      </c>
      <c r="I16" s="59">
        <v>1000</v>
      </c>
      <c r="J16" s="59">
        <v>1000</v>
      </c>
      <c r="K16" s="59">
        <v>1000</v>
      </c>
      <c r="L16" s="59">
        <v>1000</v>
      </c>
      <c r="M16" s="59">
        <v>1000</v>
      </c>
      <c r="N16" s="59">
        <v>1000</v>
      </c>
      <c r="O16" s="59">
        <v>0</v>
      </c>
      <c r="P16" s="59">
        <v>1000</v>
      </c>
      <c r="Q16" s="1"/>
    </row>
    <row r="17" spans="1:17" x14ac:dyDescent="0.3">
      <c r="A17" t="s">
        <v>265</v>
      </c>
      <c r="D17" s="7"/>
      <c r="E17" s="56">
        <v>1000</v>
      </c>
      <c r="F17" s="56">
        <v>1000</v>
      </c>
      <c r="G17" s="56">
        <v>1000</v>
      </c>
      <c r="H17" s="56">
        <v>0</v>
      </c>
      <c r="I17" s="56">
        <v>1000</v>
      </c>
      <c r="J17" s="56">
        <v>1000</v>
      </c>
      <c r="K17" s="56">
        <v>1000</v>
      </c>
      <c r="L17" s="56">
        <v>1000</v>
      </c>
      <c r="M17" s="56">
        <v>1000</v>
      </c>
      <c r="N17" s="56">
        <v>1000</v>
      </c>
      <c r="O17" s="56">
        <v>0</v>
      </c>
      <c r="P17" s="56">
        <v>1000</v>
      </c>
      <c r="Q17" s="1"/>
    </row>
    <row r="18" spans="1:17" x14ac:dyDescent="0.3">
      <c r="A18" t="s">
        <v>266</v>
      </c>
      <c r="D18" s="7"/>
      <c r="E18" s="1">
        <v>26.73</v>
      </c>
      <c r="F18" s="1">
        <v>28.071999999999999</v>
      </c>
      <c r="G18" s="1">
        <v>27.709</v>
      </c>
      <c r="H18" s="1">
        <v>29.315000000000001</v>
      </c>
      <c r="I18" s="1">
        <v>24.760999999999999</v>
      </c>
      <c r="J18" s="1">
        <v>28.759499999999999</v>
      </c>
      <c r="K18" s="1">
        <v>27.39</v>
      </c>
      <c r="L18" s="1">
        <v>27.39</v>
      </c>
      <c r="M18" s="1">
        <v>28.5549</v>
      </c>
      <c r="N18" s="1">
        <v>27.39</v>
      </c>
      <c r="O18" s="1">
        <v>0</v>
      </c>
      <c r="P18" s="1">
        <v>27.709</v>
      </c>
      <c r="Q18" s="1"/>
    </row>
    <row r="19" spans="1:17" x14ac:dyDescent="0.3">
      <c r="A19" t="s">
        <v>267</v>
      </c>
      <c r="D19" s="7"/>
      <c r="E19" s="1">
        <v>26.95</v>
      </c>
      <c r="F19" s="1">
        <v>29.733000000000001</v>
      </c>
      <c r="G19" s="1">
        <v>27.742000000000001</v>
      </c>
      <c r="H19" s="1">
        <v>0</v>
      </c>
      <c r="I19" s="1">
        <v>24.893000000000001</v>
      </c>
      <c r="J19" s="1">
        <v>30.468900000000001</v>
      </c>
      <c r="K19" s="1">
        <v>29.018000000000001</v>
      </c>
      <c r="L19" s="1">
        <v>29.018000000000001</v>
      </c>
      <c r="M19" s="1">
        <v>28.667100000000001</v>
      </c>
      <c r="N19" s="1">
        <v>29.018000000000001</v>
      </c>
      <c r="O19" s="1">
        <v>0</v>
      </c>
      <c r="P19" s="1">
        <v>27.742000000000001</v>
      </c>
      <c r="Q19" s="1"/>
    </row>
    <row r="20" spans="1:17" x14ac:dyDescent="0.3">
      <c r="A20" t="s">
        <v>268</v>
      </c>
      <c r="D20" s="7"/>
      <c r="E20" s="1">
        <v>26.84</v>
      </c>
      <c r="F20" s="1">
        <v>32.109000000000002</v>
      </c>
      <c r="G20" s="1">
        <v>27.885000000000002</v>
      </c>
      <c r="H20" s="1">
        <v>32.692</v>
      </c>
      <c r="I20" s="1">
        <v>24.893000000000001</v>
      </c>
      <c r="J20" s="1">
        <v>32.894399999999997</v>
      </c>
      <c r="K20" s="1">
        <v>31.327999999999999</v>
      </c>
      <c r="L20" s="1">
        <v>31.327999999999999</v>
      </c>
      <c r="M20" s="1">
        <v>28.779299999999999</v>
      </c>
      <c r="N20" s="1">
        <v>31.327999999999999</v>
      </c>
      <c r="O20" s="1">
        <v>0</v>
      </c>
      <c r="P20" s="1">
        <v>27.885000000000002</v>
      </c>
      <c r="Q20" s="1"/>
    </row>
    <row r="21" spans="1:17" x14ac:dyDescent="0.3">
      <c r="A21" t="s">
        <v>271</v>
      </c>
      <c r="D21" s="7"/>
      <c r="E21" s="1">
        <v>11.11</v>
      </c>
      <c r="F21" s="1">
        <v>11.55</v>
      </c>
      <c r="G21" s="1">
        <v>11.77</v>
      </c>
      <c r="H21" s="1">
        <v>15.191000000000001</v>
      </c>
      <c r="I21" s="1">
        <v>8.7010000000000005</v>
      </c>
      <c r="J21" s="1">
        <v>11.8393</v>
      </c>
      <c r="K21" s="1">
        <v>11.275</v>
      </c>
      <c r="L21" s="1">
        <v>11.275</v>
      </c>
      <c r="M21" s="1">
        <v>12.229799999999999</v>
      </c>
      <c r="N21" s="1">
        <v>11.275</v>
      </c>
      <c r="O21" s="1">
        <v>0</v>
      </c>
      <c r="P21" s="1">
        <v>11.77</v>
      </c>
      <c r="Q21" s="1"/>
    </row>
    <row r="22" spans="1:17" x14ac:dyDescent="0.3">
      <c r="A22" t="s">
        <v>269</v>
      </c>
      <c r="D22" s="7"/>
      <c r="E22" s="1">
        <v>77</v>
      </c>
      <c r="F22" s="1">
        <v>80.046999999999997</v>
      </c>
      <c r="G22" s="1">
        <v>79.167000000000002</v>
      </c>
      <c r="H22" s="1">
        <v>80.046999999999997</v>
      </c>
      <c r="I22" s="1">
        <v>79.167000000000002</v>
      </c>
      <c r="J22" s="1">
        <v>82.004999999999995</v>
      </c>
      <c r="K22" s="1">
        <v>78.088999999999999</v>
      </c>
      <c r="L22" s="1">
        <v>78.099999999999994</v>
      </c>
      <c r="M22" s="1">
        <v>84.15</v>
      </c>
      <c r="N22" s="1">
        <v>78.099999999999994</v>
      </c>
      <c r="O22" s="1">
        <v>0</v>
      </c>
      <c r="P22" s="1">
        <v>79.167000000000002</v>
      </c>
      <c r="Q22" s="1"/>
    </row>
    <row r="23" spans="1:17" x14ac:dyDescent="0.3"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3">
      <c r="D24" s="7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3">
      <c r="A25" s="12" t="s">
        <v>94</v>
      </c>
      <c r="D25" s="7"/>
      <c r="E25" s="57" t="s">
        <v>261</v>
      </c>
      <c r="F25" s="98" t="s">
        <v>106</v>
      </c>
      <c r="G25" s="98" t="s">
        <v>107</v>
      </c>
      <c r="H25" s="98" t="s">
        <v>108</v>
      </c>
      <c r="I25" s="57" t="s">
        <v>52</v>
      </c>
      <c r="J25" s="57" t="s">
        <v>109</v>
      </c>
      <c r="K25" s="57" t="s">
        <v>110</v>
      </c>
      <c r="L25" s="57" t="s">
        <v>111</v>
      </c>
      <c r="M25" s="57" t="s">
        <v>112</v>
      </c>
      <c r="N25" s="57" t="s">
        <v>113</v>
      </c>
      <c r="O25" s="57" t="s">
        <v>114</v>
      </c>
      <c r="P25" s="57" t="s">
        <v>119</v>
      </c>
      <c r="Q25" s="1"/>
    </row>
    <row r="26" spans="1:17" x14ac:dyDescent="0.3">
      <c r="A26" t="s">
        <v>264</v>
      </c>
      <c r="D26" s="7"/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1"/>
    </row>
    <row r="27" spans="1:17" x14ac:dyDescent="0.3">
      <c r="A27" t="s">
        <v>272</v>
      </c>
      <c r="C27" s="2"/>
      <c r="D27" s="7"/>
      <c r="E27" s="205">
        <v>51.81</v>
      </c>
      <c r="F27" s="205">
        <v>53.856000000000002</v>
      </c>
      <c r="G27" s="205">
        <v>53.701999999999998</v>
      </c>
      <c r="H27" s="205">
        <v>53.856000000000002</v>
      </c>
      <c r="I27" s="1">
        <v>48.84</v>
      </c>
      <c r="J27" s="110">
        <v>55.174900000000001</v>
      </c>
      <c r="K27" s="206">
        <v>52.546999999999997</v>
      </c>
      <c r="L27" s="206">
        <v>52.546999999999997</v>
      </c>
      <c r="M27" s="205">
        <v>54.417000000000002</v>
      </c>
      <c r="N27" s="205">
        <v>52.546999999999997</v>
      </c>
      <c r="O27" s="1">
        <v>0</v>
      </c>
      <c r="P27" s="205">
        <v>53.701999999999998</v>
      </c>
      <c r="Q27" s="1"/>
    </row>
    <row r="28" spans="1:17" x14ac:dyDescent="0.3">
      <c r="A28" t="s">
        <v>284</v>
      </c>
      <c r="D28" s="7"/>
      <c r="E28" s="206">
        <v>21.56</v>
      </c>
      <c r="F28" s="206">
        <v>22.385000000000002</v>
      </c>
      <c r="G28" s="206">
        <v>22.417999999999999</v>
      </c>
      <c r="H28" s="206">
        <v>22.385000000000002</v>
      </c>
      <c r="I28" s="1">
        <v>18.634</v>
      </c>
      <c r="J28" s="110">
        <v>22.938300000000002</v>
      </c>
      <c r="K28" s="206">
        <v>21.846</v>
      </c>
      <c r="L28" s="206">
        <v>21.846</v>
      </c>
      <c r="M28" s="206">
        <v>23.06832</v>
      </c>
      <c r="N28" s="206">
        <v>21.846</v>
      </c>
      <c r="O28" s="1">
        <v>0</v>
      </c>
      <c r="P28" s="1">
        <v>22.417999999999999</v>
      </c>
      <c r="Q28" s="1"/>
    </row>
    <row r="29" spans="1:17" x14ac:dyDescent="0.3">
      <c r="A29" t="s">
        <v>271</v>
      </c>
      <c r="D29" s="7"/>
      <c r="E29" s="205">
        <v>12.98</v>
      </c>
      <c r="F29" s="205">
        <v>13.486000000000001</v>
      </c>
      <c r="G29" s="205">
        <v>13.673</v>
      </c>
      <c r="H29" s="205">
        <v>13.486000000000001</v>
      </c>
      <c r="I29" s="1">
        <v>10.329000000000001</v>
      </c>
      <c r="J29" s="110">
        <v>13.825900000000001</v>
      </c>
      <c r="K29" s="206">
        <v>13.167</v>
      </c>
      <c r="L29" s="206">
        <v>13.167</v>
      </c>
      <c r="M29" s="205">
        <v>13.901579999999999</v>
      </c>
      <c r="N29" s="206">
        <v>13.167</v>
      </c>
      <c r="O29" s="1">
        <v>0</v>
      </c>
      <c r="P29" s="205">
        <v>13.673</v>
      </c>
      <c r="Q29" s="1"/>
    </row>
    <row r="30" spans="1:17" x14ac:dyDescent="0.3">
      <c r="A30" t="s">
        <v>269</v>
      </c>
      <c r="D30" s="7"/>
      <c r="E30" s="1">
        <v>85.8</v>
      </c>
      <c r="F30" s="1">
        <v>89.352999999999994</v>
      </c>
      <c r="G30" s="205">
        <v>88.582999999999998</v>
      </c>
      <c r="H30" s="1">
        <v>89.352999999999994</v>
      </c>
      <c r="I30" s="1">
        <v>87.516000000000005</v>
      </c>
      <c r="J30" s="110">
        <v>91.534300000000002</v>
      </c>
      <c r="K30" s="206">
        <v>87.174999999999997</v>
      </c>
      <c r="L30" s="206">
        <v>87.174999999999997</v>
      </c>
      <c r="M30" s="205">
        <v>92.564999999999998</v>
      </c>
      <c r="N30" s="206">
        <v>87.174999999999997</v>
      </c>
      <c r="O30" s="1">
        <v>0</v>
      </c>
      <c r="P30" s="205">
        <v>88.582999999999998</v>
      </c>
      <c r="Q30" s="1"/>
    </row>
    <row r="31" spans="1:17" x14ac:dyDescent="0.3">
      <c r="D31" s="7"/>
      <c r="E31" s="1"/>
    </row>
    <row r="32" spans="1:17" x14ac:dyDescent="0.3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</row>
  </sheetData>
  <sheetProtection password="93B4" sheet="1" objects="1" scenarios="1"/>
  <phoneticPr fontId="5" type="noConversion"/>
  <pageMargins left="0.75" right="0.75" top="1" bottom="1" header="0.5" footer="0.5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/>
  <dimension ref="A1:Q32"/>
  <sheetViews>
    <sheetView workbookViewId="0">
      <selection activeCell="F6" sqref="F6:P6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16" width="12.15234375" customWidth="1"/>
  </cols>
  <sheetData>
    <row r="1" spans="1:17" x14ac:dyDescent="0.3">
      <c r="A1" s="3" t="s">
        <v>102</v>
      </c>
      <c r="D1" s="1"/>
      <c r="E1" s="1"/>
    </row>
    <row r="2" spans="1:17" x14ac:dyDescent="0.3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7" x14ac:dyDescent="0.3">
      <c r="A3" s="4" t="s">
        <v>68</v>
      </c>
      <c r="B3" s="5"/>
      <c r="C3" s="5"/>
      <c r="D3" s="6"/>
      <c r="E3" s="99"/>
      <c r="F3" s="5"/>
      <c r="G3" s="5"/>
      <c r="H3" s="5"/>
    </row>
    <row r="4" spans="1:17" x14ac:dyDescent="0.3">
      <c r="D4" s="7"/>
      <c r="E4" s="109" t="s">
        <v>283</v>
      </c>
      <c r="F4" s="1"/>
      <c r="G4" s="1"/>
      <c r="H4" s="1" t="s">
        <v>285</v>
      </c>
      <c r="I4" s="1"/>
      <c r="J4" s="1"/>
      <c r="K4" s="1"/>
      <c r="L4" s="1"/>
      <c r="M4" s="1"/>
      <c r="N4" s="1"/>
      <c r="O4" s="1"/>
      <c r="P4" s="1"/>
      <c r="Q4" s="1"/>
    </row>
    <row r="5" spans="1:17" x14ac:dyDescent="0.3">
      <c r="D5" s="7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3">
      <c r="A6" s="12" t="s">
        <v>78</v>
      </c>
      <c r="D6" s="7"/>
      <c r="E6" s="57" t="s">
        <v>261</v>
      </c>
      <c r="F6" s="98" t="s">
        <v>106</v>
      </c>
      <c r="G6" s="98" t="s">
        <v>107</v>
      </c>
      <c r="H6" s="98" t="s">
        <v>108</v>
      </c>
      <c r="I6" s="57" t="s">
        <v>52</v>
      </c>
      <c r="J6" s="57" t="s">
        <v>109</v>
      </c>
      <c r="K6" s="57" t="s">
        <v>110</v>
      </c>
      <c r="L6" s="57" t="s">
        <v>111</v>
      </c>
      <c r="M6" s="57" t="s">
        <v>112</v>
      </c>
      <c r="N6" s="57" t="s">
        <v>113</v>
      </c>
      <c r="O6" s="57" t="s">
        <v>114</v>
      </c>
      <c r="P6" s="57" t="s">
        <v>119</v>
      </c>
      <c r="Q6" s="1"/>
    </row>
    <row r="7" spans="1:17" x14ac:dyDescent="0.3">
      <c r="A7" t="s">
        <v>264</v>
      </c>
      <c r="D7" s="7"/>
      <c r="E7" s="59">
        <v>1750</v>
      </c>
      <c r="F7" s="59">
        <v>1750</v>
      </c>
      <c r="G7" s="59">
        <v>1750</v>
      </c>
      <c r="H7" s="59">
        <v>1750</v>
      </c>
      <c r="I7" s="59">
        <v>1750</v>
      </c>
      <c r="J7" s="59">
        <v>1750</v>
      </c>
      <c r="K7" s="59">
        <v>1750</v>
      </c>
      <c r="L7" s="59">
        <v>1750</v>
      </c>
      <c r="M7" s="59">
        <v>1750</v>
      </c>
      <c r="N7" s="59">
        <v>1750</v>
      </c>
      <c r="O7" s="59">
        <v>1750</v>
      </c>
      <c r="P7" s="59">
        <v>1750</v>
      </c>
      <c r="Q7" s="1"/>
    </row>
    <row r="8" spans="1:17" x14ac:dyDescent="0.3">
      <c r="A8" t="s">
        <v>265</v>
      </c>
      <c r="D8" s="7"/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1"/>
    </row>
    <row r="9" spans="1:17" x14ac:dyDescent="0.3">
      <c r="A9" t="s">
        <v>266</v>
      </c>
      <c r="D9" s="7"/>
      <c r="E9" s="1">
        <v>26.719000000000001</v>
      </c>
      <c r="F9" s="1">
        <v>27.797000000000001</v>
      </c>
      <c r="G9" s="1">
        <v>27.565999999999999</v>
      </c>
      <c r="H9" s="1">
        <v>27.797000000000001</v>
      </c>
      <c r="I9" s="1">
        <v>24.695</v>
      </c>
      <c r="J9" s="64">
        <v>28.482299999999999</v>
      </c>
      <c r="K9" s="64">
        <v>27.126000000000001</v>
      </c>
      <c r="L9" s="1">
        <v>27.126000000000001</v>
      </c>
      <c r="M9" s="1">
        <v>28.66743</v>
      </c>
      <c r="N9" s="1">
        <v>27.126000000000001</v>
      </c>
      <c r="O9" s="1">
        <v>27.126000000000001</v>
      </c>
      <c r="P9" s="1">
        <v>27.565999999999999</v>
      </c>
      <c r="Q9" s="1"/>
    </row>
    <row r="10" spans="1:17" x14ac:dyDescent="0.3">
      <c r="A10" t="s">
        <v>267</v>
      </c>
      <c r="D10" s="7"/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59">
        <v>0</v>
      </c>
      <c r="Q10" s="1"/>
    </row>
    <row r="11" spans="1:17" x14ac:dyDescent="0.3">
      <c r="A11" t="s">
        <v>268</v>
      </c>
      <c r="D11" s="7"/>
      <c r="E11" s="1">
        <v>27.401</v>
      </c>
      <c r="F11" s="1">
        <v>30.899000000000001</v>
      </c>
      <c r="G11" s="1">
        <v>28.292000000000002</v>
      </c>
      <c r="H11" s="1">
        <v>30.899000000000001</v>
      </c>
      <c r="I11" s="1">
        <v>25.420999999999999</v>
      </c>
      <c r="J11" s="64">
        <v>31.659099999999999</v>
      </c>
      <c r="K11" s="64">
        <v>30.151</v>
      </c>
      <c r="L11" s="1">
        <v>30.151</v>
      </c>
      <c r="M11" s="1">
        <v>29.828700000000001</v>
      </c>
      <c r="N11" s="1">
        <v>30.151</v>
      </c>
      <c r="O11" s="1">
        <v>30.151</v>
      </c>
      <c r="P11" s="1">
        <v>28.292000000000002</v>
      </c>
      <c r="Q11" s="1"/>
    </row>
    <row r="12" spans="1:17" x14ac:dyDescent="0.3">
      <c r="A12" t="s">
        <v>269</v>
      </c>
      <c r="D12" s="7"/>
      <c r="E12" s="1">
        <v>75.712999999999994</v>
      </c>
      <c r="F12" s="1">
        <v>78.781999999999996</v>
      </c>
      <c r="G12" s="1">
        <v>77.802999999999997</v>
      </c>
      <c r="H12" s="1">
        <v>78.781999999999996</v>
      </c>
      <c r="I12" s="1">
        <v>77.802999999999997</v>
      </c>
      <c r="J12" s="64">
        <v>80.711399999999998</v>
      </c>
      <c r="K12" s="64">
        <v>76.834999999999994</v>
      </c>
      <c r="L12" s="1">
        <v>76.867999999999995</v>
      </c>
      <c r="M12" s="1">
        <v>85.393000000000001</v>
      </c>
      <c r="N12" s="1">
        <v>76.867999999999995</v>
      </c>
      <c r="O12" s="1">
        <v>78.957999999999998</v>
      </c>
      <c r="P12" s="1">
        <v>77.802999999999997</v>
      </c>
      <c r="Q12" s="1"/>
    </row>
    <row r="13" spans="1:17" x14ac:dyDescent="0.3">
      <c r="D13" s="7"/>
      <c r="E13" s="1"/>
      <c r="F13" s="1"/>
      <c r="G13" s="1"/>
      <c r="H13" s="1"/>
      <c r="I13" s="1"/>
      <c r="J13" s="64"/>
      <c r="K13" s="64"/>
      <c r="L13" s="1"/>
      <c r="M13" s="1"/>
      <c r="N13" s="1"/>
      <c r="O13" s="1"/>
      <c r="P13" s="1"/>
      <c r="Q13" s="1"/>
    </row>
    <row r="14" spans="1:17" x14ac:dyDescent="0.3">
      <c r="D14" s="7"/>
      <c r="E14" s="1"/>
      <c r="F14" s="1"/>
      <c r="G14" s="1"/>
      <c r="H14" s="1"/>
      <c r="I14" s="1"/>
      <c r="J14" s="1"/>
      <c r="K14" s="58"/>
      <c r="L14" s="1"/>
      <c r="M14" s="1"/>
      <c r="N14" s="1"/>
      <c r="O14" s="1"/>
      <c r="P14" s="1"/>
      <c r="Q14" s="1"/>
    </row>
    <row r="15" spans="1:17" x14ac:dyDescent="0.3">
      <c r="A15" s="12" t="s">
        <v>270</v>
      </c>
      <c r="D15" s="7"/>
      <c r="E15" s="57" t="s">
        <v>261</v>
      </c>
      <c r="F15" s="98" t="s">
        <v>32</v>
      </c>
      <c r="G15" s="98" t="s">
        <v>276</v>
      </c>
      <c r="H15" s="98" t="s">
        <v>48</v>
      </c>
      <c r="I15" s="57" t="s">
        <v>52</v>
      </c>
      <c r="J15" s="58" t="s">
        <v>109</v>
      </c>
      <c r="K15" s="58" t="s">
        <v>110</v>
      </c>
      <c r="L15" s="57" t="s">
        <v>277</v>
      </c>
      <c r="M15" s="57" t="s">
        <v>278</v>
      </c>
      <c r="N15" s="57" t="s">
        <v>279</v>
      </c>
      <c r="O15" s="57" t="s">
        <v>280</v>
      </c>
      <c r="P15" s="57" t="s">
        <v>281</v>
      </c>
      <c r="Q15" s="1"/>
    </row>
    <row r="16" spans="1:17" x14ac:dyDescent="0.3">
      <c r="A16" t="s">
        <v>264</v>
      </c>
      <c r="D16" s="7"/>
      <c r="E16" s="59">
        <v>1750</v>
      </c>
      <c r="F16" s="59">
        <v>1750</v>
      </c>
      <c r="G16" s="59">
        <v>1750</v>
      </c>
      <c r="H16" s="59">
        <v>1750</v>
      </c>
      <c r="I16" s="59">
        <v>1750</v>
      </c>
      <c r="J16" s="59">
        <v>1750</v>
      </c>
      <c r="K16" s="59">
        <v>1750</v>
      </c>
      <c r="L16" s="59">
        <v>1750</v>
      </c>
      <c r="M16" s="59">
        <v>1750</v>
      </c>
      <c r="N16" s="59">
        <v>1750</v>
      </c>
      <c r="O16" s="59">
        <v>1750</v>
      </c>
      <c r="P16" s="59">
        <v>1750</v>
      </c>
      <c r="Q16" s="1"/>
    </row>
    <row r="17" spans="1:17" x14ac:dyDescent="0.3">
      <c r="A17" t="s">
        <v>265</v>
      </c>
      <c r="D17" s="7"/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1"/>
    </row>
    <row r="18" spans="1:17" x14ac:dyDescent="0.3">
      <c r="A18" t="s">
        <v>266</v>
      </c>
      <c r="D18" s="7"/>
      <c r="E18" s="1">
        <v>26.719000000000001</v>
      </c>
      <c r="F18" s="1">
        <v>27.797000000000001</v>
      </c>
      <c r="G18" s="1">
        <v>27.565999999999999</v>
      </c>
      <c r="H18" s="1">
        <v>27.797000000000001</v>
      </c>
      <c r="I18" s="1">
        <v>24.695</v>
      </c>
      <c r="J18" s="64">
        <v>28.482299999999999</v>
      </c>
      <c r="K18" s="64">
        <v>27.126000000000001</v>
      </c>
      <c r="L18" s="1">
        <v>27.126000000000001</v>
      </c>
      <c r="M18" s="1">
        <v>28.66743</v>
      </c>
      <c r="N18" s="1">
        <v>27.126000000000001</v>
      </c>
      <c r="O18" s="1">
        <v>27.126000000000001</v>
      </c>
      <c r="P18" s="1">
        <v>27.565999999999999</v>
      </c>
      <c r="Q18" s="1"/>
    </row>
    <row r="19" spans="1:17" x14ac:dyDescent="0.3">
      <c r="A19" t="s">
        <v>267</v>
      </c>
      <c r="D19" s="7"/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59">
        <v>0</v>
      </c>
      <c r="Q19" s="1"/>
    </row>
    <row r="20" spans="1:17" x14ac:dyDescent="0.3">
      <c r="A20" t="s">
        <v>268</v>
      </c>
      <c r="D20" s="7"/>
      <c r="E20" s="1">
        <v>27.401</v>
      </c>
      <c r="F20" s="1">
        <v>30.899000000000001</v>
      </c>
      <c r="G20" s="1">
        <v>28.292000000000002</v>
      </c>
      <c r="H20" s="1">
        <v>30.899000000000001</v>
      </c>
      <c r="I20" s="1">
        <v>25.420999999999999</v>
      </c>
      <c r="J20" s="64">
        <v>31.659099999999999</v>
      </c>
      <c r="K20" s="64">
        <v>30.151</v>
      </c>
      <c r="L20" s="1">
        <v>30.151</v>
      </c>
      <c r="M20" s="1">
        <v>29.828700000000001</v>
      </c>
      <c r="N20" s="1">
        <v>30.151</v>
      </c>
      <c r="O20" s="1">
        <v>30.151</v>
      </c>
      <c r="P20" s="1">
        <v>28.292000000000002</v>
      </c>
      <c r="Q20" s="1"/>
    </row>
    <row r="21" spans="1:17" x14ac:dyDescent="0.3">
      <c r="A21" t="s">
        <v>271</v>
      </c>
      <c r="D21" s="7"/>
      <c r="E21" s="1">
        <v>9.3170000000000002</v>
      </c>
      <c r="F21" s="1">
        <v>9.6910000000000007</v>
      </c>
      <c r="G21" s="1">
        <v>9.9879999999999995</v>
      </c>
      <c r="H21" s="1">
        <v>15.058999999999999</v>
      </c>
      <c r="I21" s="1">
        <v>7.117</v>
      </c>
      <c r="J21" s="64">
        <v>9.9329999999999998</v>
      </c>
      <c r="K21" s="64">
        <v>9.4600000000000009</v>
      </c>
      <c r="L21" s="1">
        <v>9.4600000000000009</v>
      </c>
      <c r="M21" s="1">
        <v>10.588050000000001</v>
      </c>
      <c r="N21" s="1">
        <v>9.4600000000000009</v>
      </c>
      <c r="O21" s="1">
        <v>14.696</v>
      </c>
      <c r="P21" s="1">
        <v>9.9879999999999995</v>
      </c>
      <c r="Q21" s="1"/>
    </row>
    <row r="22" spans="1:17" x14ac:dyDescent="0.3">
      <c r="A22" t="s">
        <v>269</v>
      </c>
      <c r="D22" s="7"/>
      <c r="E22" s="1">
        <v>80.849999999999994</v>
      </c>
      <c r="F22" s="1">
        <v>84.117000000000004</v>
      </c>
      <c r="G22" s="1">
        <v>83.016999999999996</v>
      </c>
      <c r="H22" s="1">
        <v>84.117000000000004</v>
      </c>
      <c r="I22" s="1">
        <v>88.230999999999995</v>
      </c>
      <c r="J22" s="64">
        <v>86.186099999999996</v>
      </c>
      <c r="K22" s="64">
        <v>81.994</v>
      </c>
      <c r="L22" s="1">
        <v>82.081999999999994</v>
      </c>
      <c r="M22" s="1">
        <v>91.08</v>
      </c>
      <c r="N22" s="1">
        <v>82.081999999999994</v>
      </c>
      <c r="O22" s="1">
        <v>78.957999999999998</v>
      </c>
      <c r="P22" s="1">
        <v>83.016999999999996</v>
      </c>
      <c r="Q22" s="1"/>
    </row>
    <row r="23" spans="1:17" x14ac:dyDescent="0.3">
      <c r="D23" s="7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3">
      <c r="D24" s="7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x14ac:dyDescent="0.3">
      <c r="A25" s="12" t="s">
        <v>94</v>
      </c>
      <c r="D25" s="7"/>
      <c r="E25" s="57" t="s">
        <v>261</v>
      </c>
      <c r="F25" s="98" t="s">
        <v>32</v>
      </c>
      <c r="G25" s="98" t="s">
        <v>276</v>
      </c>
      <c r="H25" s="98" t="s">
        <v>48</v>
      </c>
      <c r="I25" s="57" t="s">
        <v>52</v>
      </c>
      <c r="J25" s="58" t="s">
        <v>109</v>
      </c>
      <c r="K25" s="58" t="s">
        <v>110</v>
      </c>
      <c r="L25" s="57" t="s">
        <v>277</v>
      </c>
      <c r="M25" s="57" t="s">
        <v>278</v>
      </c>
      <c r="N25" s="57" t="s">
        <v>279</v>
      </c>
      <c r="O25" s="57" t="s">
        <v>280</v>
      </c>
      <c r="P25" s="57" t="s">
        <v>281</v>
      </c>
      <c r="Q25" s="1"/>
    </row>
    <row r="26" spans="1:17" x14ac:dyDescent="0.3">
      <c r="A26" t="s">
        <v>264</v>
      </c>
      <c r="D26" s="7"/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1"/>
    </row>
    <row r="27" spans="1:17" x14ac:dyDescent="0.3">
      <c r="A27" t="s">
        <v>272</v>
      </c>
      <c r="C27" s="2"/>
      <c r="D27" s="7"/>
      <c r="E27" s="205">
        <v>38.093000000000004</v>
      </c>
      <c r="F27" s="205">
        <v>40.326000000000001</v>
      </c>
      <c r="G27" s="205">
        <v>39.116</v>
      </c>
      <c r="H27" s="205">
        <v>40.326000000000001</v>
      </c>
      <c r="I27" s="205">
        <v>36.244999999999997</v>
      </c>
      <c r="J27" s="64">
        <v>41.314900000000002</v>
      </c>
      <c r="K27" s="64">
        <v>39.347000000000001</v>
      </c>
      <c r="L27" s="205">
        <v>39.347000000000001</v>
      </c>
      <c r="M27" s="205">
        <v>41.099850000000004</v>
      </c>
      <c r="N27" s="205">
        <v>39.347000000000001</v>
      </c>
      <c r="O27" s="205">
        <v>39.347000000000001</v>
      </c>
      <c r="P27" s="205">
        <v>0</v>
      </c>
      <c r="Q27" s="1"/>
    </row>
    <row r="28" spans="1:17" x14ac:dyDescent="0.3">
      <c r="A28" t="s">
        <v>284</v>
      </c>
      <c r="D28" s="7"/>
      <c r="E28" s="206">
        <v>29.59</v>
      </c>
      <c r="F28" s="206">
        <v>31.009</v>
      </c>
      <c r="G28" s="206">
        <v>30.481000000000002</v>
      </c>
      <c r="H28" s="206">
        <v>31.009</v>
      </c>
      <c r="I28" s="206">
        <v>27.31</v>
      </c>
      <c r="J28" s="64">
        <v>31.7746</v>
      </c>
      <c r="K28" s="64">
        <v>30.260999999999999</v>
      </c>
      <c r="L28" s="206">
        <v>30.260999999999999</v>
      </c>
      <c r="M28" s="206">
        <v>29.259450000000001</v>
      </c>
      <c r="N28" s="206">
        <v>30.260999999999999</v>
      </c>
      <c r="O28" s="206">
        <v>30.260999999999999</v>
      </c>
      <c r="P28" s="206">
        <v>0</v>
      </c>
      <c r="Q28" s="1"/>
    </row>
    <row r="29" spans="1:17" x14ac:dyDescent="0.3">
      <c r="A29" t="s">
        <v>271</v>
      </c>
      <c r="D29" s="7"/>
      <c r="E29" s="205">
        <v>15.037000000000001</v>
      </c>
      <c r="F29" s="205">
        <v>15.641999999999999</v>
      </c>
      <c r="G29" s="205">
        <v>15.84</v>
      </c>
      <c r="H29" s="205">
        <v>15.641999999999999</v>
      </c>
      <c r="I29" s="206">
        <v>12.98</v>
      </c>
      <c r="J29" s="64">
        <v>16.031400000000001</v>
      </c>
      <c r="K29" s="64">
        <v>15.268000000000001</v>
      </c>
      <c r="L29" s="205">
        <v>15.268000000000001</v>
      </c>
      <c r="M29" s="205">
        <v>16.337530000000001</v>
      </c>
      <c r="N29" s="205">
        <v>15.268000000000001</v>
      </c>
      <c r="O29" s="205">
        <v>15.268000000000001</v>
      </c>
      <c r="P29" s="206">
        <v>0</v>
      </c>
      <c r="Q29" s="1"/>
    </row>
    <row r="30" spans="1:17" x14ac:dyDescent="0.3">
      <c r="A30" t="s">
        <v>269</v>
      </c>
      <c r="D30" s="7"/>
      <c r="E30" s="205">
        <v>97.382999999999996</v>
      </c>
      <c r="F30" s="205">
        <v>101.33199999999999</v>
      </c>
      <c r="G30" s="205">
        <v>100.35299999999999</v>
      </c>
      <c r="H30" s="205">
        <v>101.33199999999999</v>
      </c>
      <c r="I30" s="206">
        <v>100.35299999999999</v>
      </c>
      <c r="J30" s="64">
        <v>103.81140000000001</v>
      </c>
      <c r="K30" s="64">
        <v>98.834999999999994</v>
      </c>
      <c r="L30" s="205">
        <v>98.867999999999995</v>
      </c>
      <c r="M30" s="205">
        <v>105.886</v>
      </c>
      <c r="N30" s="205">
        <v>98.867999999999995</v>
      </c>
      <c r="O30" s="205">
        <v>98.867999999999995</v>
      </c>
      <c r="P30" s="206">
        <v>0</v>
      </c>
      <c r="Q30" s="1"/>
    </row>
    <row r="31" spans="1:17" x14ac:dyDescent="0.3">
      <c r="D31" s="7"/>
      <c r="E31" s="1"/>
    </row>
    <row r="32" spans="1:17" x14ac:dyDescent="0.3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</row>
  </sheetData>
  <sheetProtection password="93B4" sheet="1" objects="1" scenarios="1"/>
  <phoneticPr fontId="5" type="noConversion"/>
  <pageMargins left="0.75" right="0.75" top="1" bottom="1" header="0.5" footer="0.5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6"/>
  <dimension ref="A1:H32"/>
  <sheetViews>
    <sheetView zoomScale="125" workbookViewId="0">
      <selection activeCell="G34" sqref="G34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.15234375" customWidth="1"/>
    <col min="6" max="6" width="20" customWidth="1"/>
    <col min="7" max="7" width="20.4609375" customWidth="1"/>
  </cols>
  <sheetData>
    <row r="1" spans="1:8" x14ac:dyDescent="0.3">
      <c r="A1" s="3" t="s">
        <v>138</v>
      </c>
      <c r="D1" s="1"/>
    </row>
    <row r="2" spans="1:8" x14ac:dyDescent="0.3">
      <c r="A2" s="61"/>
      <c r="B2" s="61"/>
      <c r="C2" s="61"/>
      <c r="D2" s="61"/>
      <c r="E2" s="61"/>
      <c r="F2" s="61"/>
      <c r="G2" s="61"/>
    </row>
    <row r="3" spans="1:8" x14ac:dyDescent="0.3">
      <c r="A3" s="4" t="s">
        <v>286</v>
      </c>
      <c r="B3" s="5"/>
      <c r="C3" s="5"/>
      <c r="D3" s="6"/>
      <c r="E3" s="5"/>
      <c r="F3" s="5"/>
      <c r="G3" s="5"/>
    </row>
    <row r="4" spans="1:8" x14ac:dyDescent="0.3">
      <c r="D4" s="7"/>
      <c r="E4" s="8" t="s">
        <v>287</v>
      </c>
      <c r="H4" s="1"/>
    </row>
    <row r="5" spans="1:8" x14ac:dyDescent="0.3">
      <c r="D5" s="7"/>
      <c r="E5" s="1"/>
      <c r="F5" s="1"/>
      <c r="G5" s="1"/>
      <c r="H5" s="1"/>
    </row>
    <row r="6" spans="1:8" x14ac:dyDescent="0.3">
      <c r="A6" s="12" t="s">
        <v>78</v>
      </c>
      <c r="D6" s="7"/>
      <c r="E6" s="57" t="s">
        <v>104</v>
      </c>
      <c r="F6" s="57" t="s">
        <v>230</v>
      </c>
      <c r="G6" s="57" t="s">
        <v>140</v>
      </c>
      <c r="H6" s="1"/>
    </row>
    <row r="7" spans="1:8" x14ac:dyDescent="0.3">
      <c r="A7" t="s">
        <v>264</v>
      </c>
      <c r="D7" s="7"/>
      <c r="E7" s="59">
        <v>0</v>
      </c>
      <c r="F7" s="59">
        <v>1000</v>
      </c>
      <c r="G7" s="59">
        <v>1750</v>
      </c>
      <c r="H7" s="1"/>
    </row>
    <row r="8" spans="1:8" x14ac:dyDescent="0.3">
      <c r="A8" t="s">
        <v>265</v>
      </c>
      <c r="D8" s="7"/>
      <c r="E8" s="56">
        <v>0</v>
      </c>
      <c r="F8" s="56">
        <v>1000</v>
      </c>
      <c r="G8" s="56">
        <v>0</v>
      </c>
      <c r="H8" s="1"/>
    </row>
    <row r="9" spans="1:8" x14ac:dyDescent="0.3">
      <c r="A9" t="s">
        <v>266</v>
      </c>
      <c r="D9" s="7"/>
      <c r="E9" s="1">
        <v>34.220999999999997</v>
      </c>
      <c r="F9" s="1">
        <v>27.39</v>
      </c>
      <c r="G9" s="1">
        <v>27.126000000000001</v>
      </c>
      <c r="H9" s="1"/>
    </row>
    <row r="10" spans="1:8" x14ac:dyDescent="0.3">
      <c r="A10" t="s">
        <v>267</v>
      </c>
      <c r="D10" s="7"/>
      <c r="E10" s="1">
        <v>0</v>
      </c>
      <c r="F10" s="1">
        <v>29.018000000000001</v>
      </c>
      <c r="G10" s="1">
        <v>0</v>
      </c>
      <c r="H10" s="1"/>
    </row>
    <row r="11" spans="1:8" x14ac:dyDescent="0.3">
      <c r="A11" t="s">
        <v>268</v>
      </c>
      <c r="D11" s="7"/>
      <c r="E11" s="1">
        <v>0</v>
      </c>
      <c r="F11" s="1">
        <v>31.327999999999999</v>
      </c>
      <c r="G11" s="1">
        <v>30.151</v>
      </c>
      <c r="H11" s="1"/>
    </row>
    <row r="12" spans="1:8" x14ac:dyDescent="0.3">
      <c r="A12" t="s">
        <v>269</v>
      </c>
      <c r="D12" s="7"/>
      <c r="E12" s="1">
        <v>137.26900000000001</v>
      </c>
      <c r="F12" s="1">
        <v>78.099999999999994</v>
      </c>
      <c r="G12" s="1">
        <v>76.867999999999995</v>
      </c>
      <c r="H12" s="1"/>
    </row>
    <row r="13" spans="1:8" x14ac:dyDescent="0.3">
      <c r="D13" s="7"/>
      <c r="E13" s="1"/>
      <c r="F13" s="1"/>
      <c r="G13" s="1"/>
      <c r="H13" s="1"/>
    </row>
    <row r="14" spans="1:8" x14ac:dyDescent="0.3">
      <c r="D14" s="7"/>
      <c r="E14" s="1"/>
      <c r="F14" s="1"/>
      <c r="G14" s="1"/>
      <c r="H14" s="1"/>
    </row>
    <row r="15" spans="1:8" x14ac:dyDescent="0.3">
      <c r="A15" s="12" t="s">
        <v>270</v>
      </c>
      <c r="D15" s="7"/>
      <c r="E15" s="57" t="s">
        <v>104</v>
      </c>
      <c r="F15" s="57" t="s">
        <v>230</v>
      </c>
      <c r="G15" s="57" t="s">
        <v>140</v>
      </c>
      <c r="H15" s="1"/>
    </row>
    <row r="16" spans="1:8" x14ac:dyDescent="0.3">
      <c r="A16" t="s">
        <v>264</v>
      </c>
      <c r="D16" s="7"/>
      <c r="E16" s="59">
        <v>0</v>
      </c>
      <c r="F16" s="59">
        <v>1000</v>
      </c>
      <c r="G16" s="59">
        <v>1750</v>
      </c>
      <c r="H16" s="1"/>
    </row>
    <row r="17" spans="1:8" x14ac:dyDescent="0.3">
      <c r="A17" t="s">
        <v>265</v>
      </c>
      <c r="D17" s="7"/>
      <c r="E17" s="56">
        <v>0</v>
      </c>
      <c r="F17" s="56">
        <v>1000</v>
      </c>
      <c r="G17" s="56">
        <v>0</v>
      </c>
      <c r="H17" s="1"/>
    </row>
    <row r="18" spans="1:8" x14ac:dyDescent="0.3">
      <c r="A18" t="s">
        <v>266</v>
      </c>
      <c r="D18" s="7"/>
      <c r="E18" s="1">
        <v>34.220999999999997</v>
      </c>
      <c r="F18" s="1">
        <v>27.39</v>
      </c>
      <c r="G18" s="1">
        <v>27.126000000000001</v>
      </c>
      <c r="H18" s="1"/>
    </row>
    <row r="19" spans="1:8" x14ac:dyDescent="0.3">
      <c r="A19" t="s">
        <v>267</v>
      </c>
      <c r="D19" s="7"/>
      <c r="E19" s="1">
        <v>0</v>
      </c>
      <c r="F19" s="1">
        <v>29.018000000000001</v>
      </c>
      <c r="G19" s="1">
        <v>0</v>
      </c>
      <c r="H19" s="1"/>
    </row>
    <row r="20" spans="1:8" x14ac:dyDescent="0.3">
      <c r="A20" t="s">
        <v>268</v>
      </c>
      <c r="D20" s="7"/>
      <c r="E20" s="1">
        <v>0</v>
      </c>
      <c r="F20" s="1">
        <v>31.327999999999999</v>
      </c>
      <c r="G20" s="1">
        <v>30.151</v>
      </c>
      <c r="H20" s="1"/>
    </row>
    <row r="21" spans="1:8" x14ac:dyDescent="0.3">
      <c r="A21" t="s">
        <v>271</v>
      </c>
      <c r="D21" s="7"/>
      <c r="E21" s="1">
        <v>13.442</v>
      </c>
      <c r="F21" s="1">
        <v>11.275</v>
      </c>
      <c r="G21" s="1">
        <v>9.4600000000000009</v>
      </c>
      <c r="H21" s="1"/>
    </row>
    <row r="22" spans="1:8" x14ac:dyDescent="0.3">
      <c r="A22" t="s">
        <v>269</v>
      </c>
      <c r="D22" s="7"/>
      <c r="E22" s="1">
        <v>149.74299999999999</v>
      </c>
      <c r="F22" s="1">
        <v>78.099999999999994</v>
      </c>
      <c r="G22" s="1">
        <v>82.081999999999994</v>
      </c>
      <c r="H22" s="1"/>
    </row>
    <row r="23" spans="1:8" x14ac:dyDescent="0.3">
      <c r="D23" s="7"/>
      <c r="E23" s="1"/>
      <c r="F23" s="1"/>
      <c r="G23" s="1"/>
      <c r="H23" s="1"/>
    </row>
    <row r="24" spans="1:8" x14ac:dyDescent="0.3">
      <c r="D24" s="7"/>
      <c r="E24" s="1"/>
      <c r="F24" s="1"/>
      <c r="G24" s="1"/>
      <c r="H24" s="1"/>
    </row>
    <row r="25" spans="1:8" x14ac:dyDescent="0.3">
      <c r="A25" s="12" t="s">
        <v>94</v>
      </c>
      <c r="D25" s="7"/>
      <c r="E25" s="58" t="s">
        <v>104</v>
      </c>
      <c r="F25" s="58" t="s">
        <v>125</v>
      </c>
      <c r="G25" s="58" t="s">
        <v>140</v>
      </c>
      <c r="H25" s="1"/>
    </row>
    <row r="26" spans="1:8" x14ac:dyDescent="0.3">
      <c r="A26" t="s">
        <v>264</v>
      </c>
      <c r="D26" s="7"/>
      <c r="E26" s="204">
        <v>0</v>
      </c>
      <c r="F26" s="204">
        <v>0</v>
      </c>
      <c r="G26" s="204">
        <v>0</v>
      </c>
      <c r="H26" s="1"/>
    </row>
    <row r="27" spans="1:8" x14ac:dyDescent="0.3">
      <c r="A27" t="s">
        <v>272</v>
      </c>
      <c r="C27" s="2"/>
      <c r="D27" s="7"/>
      <c r="E27" s="205">
        <v>38.158999999999999</v>
      </c>
      <c r="F27" s="205">
        <v>52.546999999999997</v>
      </c>
      <c r="G27" s="205">
        <v>39.347000000000001</v>
      </c>
      <c r="H27" s="1"/>
    </row>
    <row r="28" spans="1:8" x14ac:dyDescent="0.3">
      <c r="A28" t="s">
        <v>284</v>
      </c>
      <c r="D28" s="7"/>
      <c r="E28" s="205">
        <v>38.158999999999999</v>
      </c>
      <c r="F28" s="206">
        <v>21.846</v>
      </c>
      <c r="G28" s="206">
        <v>30.260999999999999</v>
      </c>
      <c r="H28" s="1"/>
    </row>
    <row r="29" spans="1:8" x14ac:dyDescent="0.3">
      <c r="A29" t="s">
        <v>271</v>
      </c>
      <c r="D29" s="7"/>
      <c r="E29" s="205">
        <v>18.997</v>
      </c>
      <c r="F29" s="205">
        <v>13.167</v>
      </c>
      <c r="G29" s="205">
        <v>15.268000000000001</v>
      </c>
      <c r="H29" s="1"/>
    </row>
    <row r="30" spans="1:8" x14ac:dyDescent="0.3">
      <c r="A30" t="s">
        <v>269</v>
      </c>
      <c r="D30" s="7"/>
      <c r="E30" s="205">
        <v>137.25800000000001</v>
      </c>
      <c r="F30" s="205">
        <v>87.174999999999997</v>
      </c>
      <c r="G30" s="205">
        <v>98.867999999999995</v>
      </c>
      <c r="H30" s="1"/>
    </row>
    <row r="31" spans="1:8" x14ac:dyDescent="0.3">
      <c r="D31" s="7"/>
    </row>
    <row r="32" spans="1:8" x14ac:dyDescent="0.3">
      <c r="A32" s="62"/>
      <c r="B32" s="62"/>
      <c r="C32" s="62"/>
      <c r="D32" s="62"/>
      <c r="E32" s="62"/>
      <c r="F32" s="62"/>
      <c r="G32" s="62"/>
    </row>
  </sheetData>
  <sheetProtection algorithmName="SHA-512" hashValue="W+FORflvTp4Y9v3+96SYHJlx3ZiB0zVTBi/gbzN+XU8mKA5a3+TnItoBHMwOSQYzAB07YppTpNBOPgzeyrHHTA==" saltValue="sLs0HyBibh5lVWNp6jH/Rg==" spinCount="100000" sheet="1" objects="1" scenarios="1"/>
  <phoneticPr fontId="5" type="noConversion"/>
  <pageMargins left="0.75" right="0.75" top="1" bottom="1" header="0.5" footer="0.5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7"/>
  <dimension ref="A1:G32"/>
  <sheetViews>
    <sheetView zoomScale="125" workbookViewId="0">
      <selection activeCell="G34" sqref="G34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.15234375" customWidth="1"/>
    <col min="6" max="6" width="20" customWidth="1"/>
    <col min="7" max="7" width="20.4609375" customWidth="1"/>
  </cols>
  <sheetData>
    <row r="1" spans="1:7" x14ac:dyDescent="0.3">
      <c r="A1" s="3" t="s">
        <v>138</v>
      </c>
      <c r="D1" s="1"/>
    </row>
    <row r="2" spans="1:7" x14ac:dyDescent="0.3">
      <c r="A2" s="53"/>
      <c r="B2" s="53"/>
      <c r="C2" s="53"/>
      <c r="D2" s="53"/>
      <c r="E2" s="53"/>
      <c r="F2" s="53"/>
      <c r="G2" s="53"/>
    </row>
    <row r="3" spans="1:7" x14ac:dyDescent="0.3">
      <c r="A3" s="4" t="s">
        <v>286</v>
      </c>
      <c r="B3" s="5"/>
      <c r="C3" s="5"/>
      <c r="D3" s="6"/>
      <c r="E3" s="5"/>
      <c r="F3" s="5"/>
      <c r="G3" s="5"/>
    </row>
    <row r="4" spans="1:7" x14ac:dyDescent="0.3">
      <c r="D4" s="7"/>
      <c r="E4" s="8" t="s">
        <v>288</v>
      </c>
    </row>
    <row r="5" spans="1:7" x14ac:dyDescent="0.3">
      <c r="D5" s="7"/>
    </row>
    <row r="6" spans="1:7" x14ac:dyDescent="0.3">
      <c r="A6" s="12" t="s">
        <v>78</v>
      </c>
      <c r="D6" s="7"/>
      <c r="E6" s="11" t="s">
        <v>104</v>
      </c>
      <c r="F6" s="57" t="s">
        <v>230</v>
      </c>
      <c r="G6" s="11" t="s">
        <v>140</v>
      </c>
    </row>
    <row r="7" spans="1:7" x14ac:dyDescent="0.3">
      <c r="A7" t="s">
        <v>264</v>
      </c>
      <c r="D7" s="7"/>
      <c r="E7" s="59">
        <v>0</v>
      </c>
      <c r="F7" s="59">
        <v>1000</v>
      </c>
      <c r="G7" s="59">
        <v>1750</v>
      </c>
    </row>
    <row r="8" spans="1:7" x14ac:dyDescent="0.3">
      <c r="A8" t="s">
        <v>265</v>
      </c>
      <c r="D8" s="7"/>
      <c r="E8" s="56">
        <v>0</v>
      </c>
      <c r="F8" s="56">
        <v>1000</v>
      </c>
      <c r="G8" s="56">
        <v>0</v>
      </c>
    </row>
    <row r="9" spans="1:7" x14ac:dyDescent="0.3">
      <c r="A9" t="s">
        <v>266</v>
      </c>
      <c r="D9" s="7"/>
      <c r="E9" s="1">
        <v>34.418999999999997</v>
      </c>
      <c r="F9" s="1">
        <v>26.84</v>
      </c>
      <c r="G9" s="1">
        <v>26.675000000000001</v>
      </c>
    </row>
    <row r="10" spans="1:7" x14ac:dyDescent="0.3">
      <c r="A10" t="s">
        <v>267</v>
      </c>
      <c r="D10" s="7"/>
      <c r="E10" s="1">
        <v>0</v>
      </c>
      <c r="F10" s="1">
        <v>28.05</v>
      </c>
      <c r="G10" s="1">
        <v>0</v>
      </c>
    </row>
    <row r="11" spans="1:7" x14ac:dyDescent="0.3">
      <c r="A11" t="s">
        <v>268</v>
      </c>
      <c r="D11" s="7"/>
      <c r="E11" s="1">
        <v>0</v>
      </c>
      <c r="F11" s="1">
        <v>37.729999999999997</v>
      </c>
      <c r="G11" s="1">
        <v>29.821000000000002</v>
      </c>
    </row>
    <row r="12" spans="1:7" x14ac:dyDescent="0.3">
      <c r="A12" t="s">
        <v>269</v>
      </c>
      <c r="D12" s="7"/>
      <c r="E12" s="1">
        <v>138.02799999999999</v>
      </c>
      <c r="F12" s="1">
        <v>69.08</v>
      </c>
      <c r="G12" s="1">
        <v>76.054000000000002</v>
      </c>
    </row>
    <row r="13" spans="1:7" x14ac:dyDescent="0.3">
      <c r="D13" s="7"/>
      <c r="E13" s="1"/>
      <c r="F13" s="1"/>
      <c r="G13" s="1"/>
    </row>
    <row r="14" spans="1:7" x14ac:dyDescent="0.3">
      <c r="D14" s="7"/>
      <c r="E14" s="1"/>
      <c r="F14" s="1"/>
      <c r="G14" s="1"/>
    </row>
    <row r="15" spans="1:7" x14ac:dyDescent="0.3">
      <c r="A15" s="12" t="s">
        <v>270</v>
      </c>
      <c r="D15" s="7"/>
      <c r="E15" s="57" t="s">
        <v>104</v>
      </c>
      <c r="F15" s="57" t="s">
        <v>230</v>
      </c>
      <c r="G15" s="57" t="s">
        <v>140</v>
      </c>
    </row>
    <row r="16" spans="1:7" x14ac:dyDescent="0.3">
      <c r="A16" t="s">
        <v>264</v>
      </c>
      <c r="D16" s="7"/>
      <c r="E16" s="59">
        <v>0</v>
      </c>
      <c r="F16" s="59">
        <v>1000</v>
      </c>
      <c r="G16" s="59">
        <v>1750</v>
      </c>
    </row>
    <row r="17" spans="1:7" x14ac:dyDescent="0.3">
      <c r="A17" t="s">
        <v>265</v>
      </c>
      <c r="D17" s="7"/>
      <c r="E17" s="56">
        <v>0</v>
      </c>
      <c r="F17" s="56">
        <v>1000</v>
      </c>
      <c r="G17" s="56">
        <v>0</v>
      </c>
    </row>
    <row r="18" spans="1:7" x14ac:dyDescent="0.3">
      <c r="A18" t="s">
        <v>266</v>
      </c>
      <c r="D18" s="7"/>
      <c r="E18" s="1">
        <v>34.418999999999997</v>
      </c>
      <c r="F18" s="1">
        <v>26.84</v>
      </c>
      <c r="G18" s="1">
        <v>26.675000000000001</v>
      </c>
    </row>
    <row r="19" spans="1:7" x14ac:dyDescent="0.3">
      <c r="A19" t="s">
        <v>267</v>
      </c>
      <c r="D19" s="7"/>
      <c r="E19" s="1">
        <v>0</v>
      </c>
      <c r="F19" s="1">
        <v>28.05</v>
      </c>
      <c r="G19" s="1">
        <v>0</v>
      </c>
    </row>
    <row r="20" spans="1:7" x14ac:dyDescent="0.3">
      <c r="A20" t="s">
        <v>268</v>
      </c>
      <c r="D20" s="7"/>
      <c r="E20" s="1">
        <v>0</v>
      </c>
      <c r="F20" s="1">
        <v>37.729999999999997</v>
      </c>
      <c r="G20" s="1">
        <v>29.821000000000002</v>
      </c>
    </row>
    <row r="21" spans="1:7" x14ac:dyDescent="0.3">
      <c r="A21" t="s">
        <v>271</v>
      </c>
      <c r="D21" s="7"/>
      <c r="E21" s="1">
        <v>13.519</v>
      </c>
      <c r="F21" s="1">
        <v>11.11</v>
      </c>
      <c r="G21" s="1">
        <v>9.3170000000000002</v>
      </c>
    </row>
    <row r="22" spans="1:7" x14ac:dyDescent="0.3">
      <c r="A22" t="s">
        <v>269</v>
      </c>
      <c r="D22" s="7"/>
      <c r="E22" s="1">
        <v>150.56800000000001</v>
      </c>
      <c r="F22" s="1">
        <v>69.08</v>
      </c>
      <c r="G22" s="1">
        <v>81.245999999999995</v>
      </c>
    </row>
    <row r="23" spans="1:7" x14ac:dyDescent="0.3">
      <c r="D23" s="7"/>
      <c r="E23" s="1"/>
      <c r="F23" s="1"/>
      <c r="G23" s="1"/>
    </row>
    <row r="24" spans="1:7" x14ac:dyDescent="0.3">
      <c r="D24" s="7"/>
      <c r="E24" s="1"/>
      <c r="F24" s="1"/>
      <c r="G24" s="1"/>
    </row>
    <row r="25" spans="1:7" x14ac:dyDescent="0.3">
      <c r="A25" s="12" t="s">
        <v>94</v>
      </c>
      <c r="D25" s="7"/>
      <c r="E25" s="58" t="s">
        <v>104</v>
      </c>
      <c r="F25" s="58" t="s">
        <v>125</v>
      </c>
      <c r="G25" s="58" t="s">
        <v>140</v>
      </c>
    </row>
    <row r="26" spans="1:7" x14ac:dyDescent="0.3">
      <c r="A26" t="s">
        <v>264</v>
      </c>
      <c r="D26" s="7"/>
      <c r="E26" s="204">
        <v>0</v>
      </c>
      <c r="F26" s="204">
        <v>0</v>
      </c>
      <c r="G26" s="204">
        <v>0</v>
      </c>
    </row>
    <row r="27" spans="1:7" x14ac:dyDescent="0.3">
      <c r="A27" t="s">
        <v>272</v>
      </c>
      <c r="C27" s="2"/>
      <c r="D27" s="7"/>
      <c r="E27" s="205">
        <v>38.378999999999998</v>
      </c>
      <c r="F27" s="205">
        <v>52.546999999999997</v>
      </c>
      <c r="G27" s="205">
        <v>38.906999999999996</v>
      </c>
    </row>
    <row r="28" spans="1:7" x14ac:dyDescent="0.3">
      <c r="A28" t="s">
        <v>284</v>
      </c>
      <c r="D28" s="7"/>
      <c r="E28" s="206">
        <v>38.378999999999998</v>
      </c>
      <c r="F28" s="206">
        <v>21.34</v>
      </c>
      <c r="G28" s="206">
        <v>29.843</v>
      </c>
    </row>
    <row r="29" spans="1:7" x14ac:dyDescent="0.3">
      <c r="A29" t="s">
        <v>271</v>
      </c>
      <c r="D29" s="7"/>
      <c r="E29" s="205">
        <v>19.106999999999999</v>
      </c>
      <c r="F29" s="205">
        <v>13.09</v>
      </c>
      <c r="G29" s="205">
        <v>15.037000000000001</v>
      </c>
    </row>
    <row r="30" spans="1:7" x14ac:dyDescent="0.3">
      <c r="A30" t="s">
        <v>269</v>
      </c>
      <c r="D30" s="7"/>
      <c r="E30" s="205">
        <v>138.02799999999999</v>
      </c>
      <c r="F30" s="205">
        <v>82.17</v>
      </c>
      <c r="G30" s="205">
        <v>98.054000000000002</v>
      </c>
    </row>
    <row r="31" spans="1:7" x14ac:dyDescent="0.3">
      <c r="D31" s="7"/>
    </row>
    <row r="32" spans="1:7" x14ac:dyDescent="0.3">
      <c r="A32" s="52"/>
      <c r="B32" s="52"/>
      <c r="C32" s="52"/>
      <c r="D32" s="52"/>
      <c r="E32" s="52"/>
      <c r="F32" s="52"/>
      <c r="G32" s="52"/>
    </row>
  </sheetData>
  <sheetProtection password="93B4" sheet="1" objects="1" scenarios="1"/>
  <phoneticPr fontId="5" type="noConversion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54DDC-E990-0A4B-B862-DFE55BE63E2E}">
  <sheetPr codeName="Sheet53"/>
  <dimension ref="A1:FU7635"/>
  <sheetViews>
    <sheetView zoomScaleNormal="100" workbookViewId="0">
      <selection activeCell="A8" sqref="A8:A32"/>
    </sheetView>
  </sheetViews>
  <sheetFormatPr defaultColWidth="10.84375" defaultRowHeight="13.5" x14ac:dyDescent="0.3"/>
  <cols>
    <col min="1" max="1" width="20.3046875" style="263" customWidth="1"/>
    <col min="2" max="2" width="12" style="263" customWidth="1"/>
    <col min="3" max="9" width="12.15234375" style="263" customWidth="1"/>
    <col min="178" max="16384" width="10.84375" style="263"/>
  </cols>
  <sheetData>
    <row r="1" spans="1:177" customFormat="1" x14ac:dyDescent="0.3">
      <c r="A1" s="325" t="s">
        <v>76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</row>
    <row r="2" spans="1:177" customFormat="1" x14ac:dyDescent="0.3">
      <c r="A2" s="326" t="s">
        <v>99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</row>
    <row r="3" spans="1:177" customFormat="1" ht="14" thickBot="1" x14ac:dyDescent="0.35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</row>
    <row r="4" spans="1:177" s="262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</row>
    <row r="5" spans="1:177" s="262" customFormat="1" ht="14" x14ac:dyDescent="0.3">
      <c r="A5" s="92" t="s">
        <v>79</v>
      </c>
      <c r="B5" s="93"/>
      <c r="C5" s="168">
        <v>1500</v>
      </c>
      <c r="D5" s="93"/>
      <c r="E5" s="93"/>
      <c r="F5" s="93"/>
      <c r="G5" s="93"/>
      <c r="H5" s="93"/>
      <c r="I5" s="178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</row>
    <row r="6" spans="1:177" s="262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</row>
    <row r="7" spans="1:177" s="262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</row>
    <row r="8" spans="1:177" x14ac:dyDescent="0.3">
      <c r="A8" s="179" t="str">
        <f>'AG Jul 2021'!K2</f>
        <v>AGL</v>
      </c>
      <c r="B8" s="180">
        <f>'AG Jul 2021'!G2</f>
        <v>42928</v>
      </c>
      <c r="C8" s="181">
        <f>91*'AG Jul 2021'!M2/100</f>
        <v>82.685909090909078</v>
      </c>
      <c r="D8" s="181">
        <f>$C$5*'AG Jul 2021'!N2/100</f>
        <v>359.45454545454544</v>
      </c>
      <c r="E8" s="181">
        <v>0</v>
      </c>
      <c r="F8" s="181">
        <v>0</v>
      </c>
      <c r="G8" s="181">
        <v>0</v>
      </c>
      <c r="H8" s="183">
        <f t="shared" ref="H8:H30" si="0">SUM(C8:G8)</f>
        <v>442.14045454545453</v>
      </c>
      <c r="I8" s="202">
        <f t="shared" ref="I8:I30" si="1">(H8*4)*1.1</f>
        <v>1945.4180000000001</v>
      </c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</row>
    <row r="9" spans="1:177" x14ac:dyDescent="0.3">
      <c r="A9" s="179" t="str">
        <f>'AG Jul 2021'!K3</f>
        <v>Alinta Energy</v>
      </c>
      <c r="B9" s="180">
        <f>'AG Jul 2021'!G3</f>
        <v>42916</v>
      </c>
      <c r="C9" s="181">
        <f>91*'AG Jul 2021'!M3/100</f>
        <v>76.44</v>
      </c>
      <c r="D9" s="181">
        <f>$C$5*'AG Jul 2021'!N3/100</f>
        <v>368.72727272727263</v>
      </c>
      <c r="E9" s="181">
        <v>0</v>
      </c>
      <c r="F9" s="181">
        <v>0</v>
      </c>
      <c r="G9" s="181">
        <v>0</v>
      </c>
      <c r="H9" s="183">
        <f t="shared" si="0"/>
        <v>445.16727272727263</v>
      </c>
      <c r="I9" s="202">
        <f t="shared" si="1"/>
        <v>1958.7359999999996</v>
      </c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</row>
    <row r="10" spans="1:177" x14ac:dyDescent="0.3">
      <c r="A10" s="179" t="str">
        <f>'AG Jul 2021'!K4</f>
        <v>CovaU</v>
      </c>
      <c r="B10" s="180">
        <f>'AG Jul 2021'!G4</f>
        <v>42916</v>
      </c>
      <c r="C10" s="181">
        <f>91*'AG Jul 2021'!M4/100</f>
        <v>59.15</v>
      </c>
      <c r="D10" s="181">
        <f>$C$5*'AG Jul 2021'!N4/100</f>
        <v>384.95454545454544</v>
      </c>
      <c r="E10" s="181">
        <v>0</v>
      </c>
      <c r="F10" s="181">
        <v>0</v>
      </c>
      <c r="G10" s="181">
        <v>0</v>
      </c>
      <c r="H10" s="183">
        <f t="shared" si="0"/>
        <v>444.10454545454542</v>
      </c>
      <c r="I10" s="202">
        <f t="shared" si="1"/>
        <v>1954.06</v>
      </c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</row>
    <row r="11" spans="1:177" x14ac:dyDescent="0.3">
      <c r="A11" s="179" t="str">
        <f>'AG Jul 2021'!K5</f>
        <v>Diamond Energy</v>
      </c>
      <c r="B11" s="180">
        <f>'AG Jul 2021'!G5</f>
        <v>42916</v>
      </c>
      <c r="C11" s="181">
        <f>91*'AG Jul 2021'!M5/100</f>
        <v>65.52</v>
      </c>
      <c r="D11" s="181">
        <f>$C$5*'AG Jul 2021'!N5/100</f>
        <v>381.27272727272725</v>
      </c>
      <c r="E11" s="181">
        <v>0</v>
      </c>
      <c r="F11" s="181">
        <v>0</v>
      </c>
      <c r="G11" s="181">
        <v>0</v>
      </c>
      <c r="H11" s="183">
        <f t="shared" si="0"/>
        <v>446.79272727272723</v>
      </c>
      <c r="I11" s="202">
        <f t="shared" si="1"/>
        <v>1965.8879999999999</v>
      </c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</row>
    <row r="12" spans="1:177" x14ac:dyDescent="0.3">
      <c r="A12" s="179" t="str">
        <f>'AG Jul 2021'!K6</f>
        <v>Dodo Power &amp; Gas</v>
      </c>
      <c r="B12" s="180">
        <f>'AG Jul 2021'!G6</f>
        <v>42916</v>
      </c>
      <c r="C12" s="181">
        <f>91*'AG Jul 2021'!M6/100</f>
        <v>100.09999999999998</v>
      </c>
      <c r="D12" s="181">
        <f>$C$5*'AG Jul 2021'!N6/100</f>
        <v>326.99999999999994</v>
      </c>
      <c r="E12" s="181">
        <v>0</v>
      </c>
      <c r="F12" s="181">
        <v>0</v>
      </c>
      <c r="G12" s="181">
        <v>0</v>
      </c>
      <c r="H12" s="183">
        <f t="shared" si="0"/>
        <v>427.09999999999991</v>
      </c>
      <c r="I12" s="202">
        <f t="shared" si="1"/>
        <v>1879.2399999999998</v>
      </c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</row>
    <row r="13" spans="1:177" x14ac:dyDescent="0.3">
      <c r="A13" s="179" t="str">
        <f>'AG Jul 2021'!K7</f>
        <v>EnergyAustralia</v>
      </c>
      <c r="B13" s="180">
        <f>'AG Jul 2021'!G7</f>
        <v>42916</v>
      </c>
      <c r="C13" s="181">
        <f>91*'AG Jul 2021'!M7/100</f>
        <v>72.8</v>
      </c>
      <c r="D13" s="181">
        <f>$C$5*'AG Jul 2021'!N7/100</f>
        <v>374.72727272727275</v>
      </c>
      <c r="E13" s="181">
        <v>0</v>
      </c>
      <c r="F13" s="181">
        <v>0</v>
      </c>
      <c r="G13" s="181">
        <v>0</v>
      </c>
      <c r="H13" s="183">
        <f t="shared" si="0"/>
        <v>447.52727272727276</v>
      </c>
      <c r="I13" s="202">
        <f t="shared" si="1"/>
        <v>1969.1200000000003</v>
      </c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</row>
    <row r="14" spans="1:177" x14ac:dyDescent="0.3">
      <c r="A14" s="179" t="str">
        <f>'AG Jul 2021'!K8</f>
        <v>Mojo Power</v>
      </c>
      <c r="B14" s="180">
        <f>'AG Jul 2021'!G8</f>
        <v>42916</v>
      </c>
      <c r="C14" s="181">
        <f>91*'AG Jul 2021'!M8/100</f>
        <v>85.879181818181806</v>
      </c>
      <c r="D14" s="181">
        <f>$C$5*'AG Jul 2021'!N8/100</f>
        <v>354.40909090909088</v>
      </c>
      <c r="E14" s="181">
        <v>0</v>
      </c>
      <c r="F14" s="181">
        <v>0</v>
      </c>
      <c r="G14" s="181">
        <v>0</v>
      </c>
      <c r="H14" s="183">
        <f t="shared" si="0"/>
        <v>440.28827272727267</v>
      </c>
      <c r="I14" s="202">
        <f t="shared" si="1"/>
        <v>1937.2683999999999</v>
      </c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</row>
    <row r="15" spans="1:177" x14ac:dyDescent="0.3">
      <c r="A15" s="179" t="str">
        <f>'AG Jul 2021'!K9</f>
        <v>Momentum Energy</v>
      </c>
      <c r="B15" s="180">
        <f>'AG Jul 2021'!G9</f>
        <v>42916</v>
      </c>
      <c r="C15" s="181">
        <f>91*'AG Jul 2021'!M9/100</f>
        <v>81.701454545454538</v>
      </c>
      <c r="D15" s="181">
        <f>$C$5*'AG Jul 2021'!N9/100</f>
        <v>360.95454545454538</v>
      </c>
      <c r="E15" s="181">
        <v>0</v>
      </c>
      <c r="F15" s="181">
        <v>0</v>
      </c>
      <c r="G15" s="181">
        <v>0</v>
      </c>
      <c r="H15" s="183">
        <f t="shared" si="0"/>
        <v>442.65599999999995</v>
      </c>
      <c r="I15" s="202">
        <f t="shared" si="1"/>
        <v>1947.6863999999998</v>
      </c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</row>
    <row r="16" spans="1:177" x14ac:dyDescent="0.3">
      <c r="A16" s="179" t="str">
        <f>'AG Jul 2021'!K10</f>
        <v>Origin Energy</v>
      </c>
      <c r="B16" s="180">
        <f>'AG Jul 2021'!G10</f>
        <v>42916</v>
      </c>
      <c r="C16" s="181">
        <f>91*'AG Jul 2021'!M10/100</f>
        <v>73.200399999999988</v>
      </c>
      <c r="D16" s="181">
        <f>$C$5*'AG Jul 2021'!N10/100</f>
        <v>374.1</v>
      </c>
      <c r="E16" s="181">
        <v>0</v>
      </c>
      <c r="F16" s="181">
        <v>0</v>
      </c>
      <c r="G16" s="181">
        <v>0</v>
      </c>
      <c r="H16" s="183">
        <f t="shared" si="0"/>
        <v>447.30040000000002</v>
      </c>
      <c r="I16" s="202">
        <f t="shared" si="1"/>
        <v>1968.1217600000002</v>
      </c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</row>
    <row r="17" spans="1:33" x14ac:dyDescent="0.3">
      <c r="A17" s="179" t="str">
        <f>'AG Jul 2021'!K11</f>
        <v>Powerdirect</v>
      </c>
      <c r="B17" s="180">
        <f>'AG Jul 2021'!G11</f>
        <v>42916</v>
      </c>
      <c r="C17" s="181">
        <f>91*'AG Jul 2021'!M11/100</f>
        <v>82.685909090909078</v>
      </c>
      <c r="D17" s="181">
        <f>$C$5*'AG Jul 2021'!N11/100</f>
        <v>359.45454545454544</v>
      </c>
      <c r="E17" s="181">
        <v>0</v>
      </c>
      <c r="F17" s="181">
        <v>0</v>
      </c>
      <c r="G17" s="181">
        <v>0</v>
      </c>
      <c r="H17" s="183">
        <f t="shared" si="0"/>
        <v>442.14045454545453</v>
      </c>
      <c r="I17" s="202">
        <f t="shared" si="1"/>
        <v>1945.4180000000001</v>
      </c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</row>
    <row r="18" spans="1:33" x14ac:dyDescent="0.3">
      <c r="A18" s="179" t="str">
        <f>'AG Jul 2021'!K12</f>
        <v>Powershop</v>
      </c>
      <c r="B18" s="180">
        <f>'AG Jul 2021'!G12</f>
        <v>42916</v>
      </c>
      <c r="C18" s="181">
        <f>91*'AG Jul 2021'!M12/100</f>
        <v>90.999999999999986</v>
      </c>
      <c r="D18" s="181">
        <f>$C$5*'AG Jul 2021'!N12/100</f>
        <v>345</v>
      </c>
      <c r="E18" s="181">
        <v>0</v>
      </c>
      <c r="F18" s="181">
        <v>0</v>
      </c>
      <c r="G18" s="181">
        <v>0</v>
      </c>
      <c r="H18" s="183">
        <f t="shared" si="0"/>
        <v>436</v>
      </c>
      <c r="I18" s="202">
        <f t="shared" si="1"/>
        <v>1918.4</v>
      </c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</row>
    <row r="19" spans="1:33" x14ac:dyDescent="0.3">
      <c r="A19" s="179" t="str">
        <f>'AG Jul 2021'!K13</f>
        <v>Red Energy</v>
      </c>
      <c r="B19" s="180">
        <f>'AG Jul 2021'!G13</f>
        <v>42916</v>
      </c>
      <c r="C19" s="181">
        <f>91*'AG Jul 2021'!M13/100</f>
        <v>83.992999999999995</v>
      </c>
      <c r="D19" s="181">
        <f>$C$5*'AG Jul 2021'!N13/100</f>
        <v>352.36363636363632</v>
      </c>
      <c r="E19" s="181">
        <v>0</v>
      </c>
      <c r="F19" s="181">
        <v>0</v>
      </c>
      <c r="G19" s="181">
        <v>0</v>
      </c>
      <c r="H19" s="183">
        <f t="shared" si="0"/>
        <v>436.35663636363631</v>
      </c>
      <c r="I19" s="202">
        <f t="shared" si="1"/>
        <v>1919.9692</v>
      </c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</row>
    <row r="20" spans="1:33" x14ac:dyDescent="0.3">
      <c r="A20" s="179" t="str">
        <f>'AG Jul 2021'!K14</f>
        <v>Simply Energy</v>
      </c>
      <c r="B20" s="180">
        <f>'AG Jul 2021'!G14</f>
        <v>42916</v>
      </c>
      <c r="C20" s="181">
        <f>91*'AG Jul 2021'!M14/100</f>
        <v>78.259999999999991</v>
      </c>
      <c r="D20" s="181">
        <f>IF($C$5&gt;='AG Jul 2021'!P14,('AG Jul 2021'!P14*'AG Jul 2021'!N14/100),($C$5*'AG Jul 2021'!N14/100))</f>
        <v>244.18181818181816</v>
      </c>
      <c r="E20" s="181">
        <v>0</v>
      </c>
      <c r="F20" s="181">
        <v>0</v>
      </c>
      <c r="G20" s="181">
        <f>IF(($C$5&lt;'AG Jul 2021'!R14),(0),($C$5-'AG Jul 2021'!R14)*'AG Jul 2021'!S14/100)</f>
        <v>127.5</v>
      </c>
      <c r="H20" s="183">
        <f t="shared" si="0"/>
        <v>449.94181818181812</v>
      </c>
      <c r="I20" s="202">
        <f t="shared" si="1"/>
        <v>1979.7439999999999</v>
      </c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</row>
    <row r="21" spans="1:33" x14ac:dyDescent="0.3">
      <c r="A21" s="179" t="str">
        <f>'AG Jul 2021'!K15</f>
        <v>1st Energy</v>
      </c>
      <c r="B21" s="180">
        <f>'AG Jul 2021'!G15</f>
        <v>42916</v>
      </c>
      <c r="C21" s="181">
        <f>91*'AG Jul 2021'!M15/100</f>
        <v>90.999999999999986</v>
      </c>
      <c r="D21" s="181">
        <f>IF($C$5&gt;='AG Jul 2021'!P15,('AG Jul 2021'!P15*'AG Jul 2021'!N15/100),($C$5*'AG Jul 2021'!N15/100))</f>
        <v>310.5</v>
      </c>
      <c r="E21" s="181">
        <v>0</v>
      </c>
      <c r="F21" s="181">
        <v>0</v>
      </c>
      <c r="G21" s="181">
        <f>IF(($C$5&lt;'AG Jul 2021'!R15),(0),($C$5-'AG Jul 2021'!R15)*'AG Jul 2021'!S15/100)</f>
        <v>39.6</v>
      </c>
      <c r="H21" s="183">
        <f t="shared" si="0"/>
        <v>441.1</v>
      </c>
      <c r="I21" s="202">
        <f t="shared" si="1"/>
        <v>1940.8400000000001</v>
      </c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</row>
    <row r="22" spans="1:33" x14ac:dyDescent="0.3">
      <c r="A22" s="179" t="str">
        <f>'AG Jul 2021'!K16</f>
        <v>ReAmped Energy</v>
      </c>
      <c r="B22" s="180">
        <f>'AG Jul 2021'!G16</f>
        <v>42916</v>
      </c>
      <c r="C22" s="181">
        <f>91*'AG Jul 2021'!M16/100</f>
        <v>104.64999999999998</v>
      </c>
      <c r="D22" s="181">
        <f>$C$5*'AG Jul 2021'!N16/100</f>
        <v>322.09090909090907</v>
      </c>
      <c r="E22" s="181">
        <v>0</v>
      </c>
      <c r="F22" s="181">
        <v>0</v>
      </c>
      <c r="G22" s="181">
        <v>0</v>
      </c>
      <c r="H22" s="183">
        <f t="shared" si="0"/>
        <v>426.74090909090904</v>
      </c>
      <c r="I22" s="202">
        <f t="shared" si="1"/>
        <v>1877.6599999999999</v>
      </c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</row>
    <row r="23" spans="1:33" x14ac:dyDescent="0.3">
      <c r="A23" s="179" t="str">
        <f>'AG Jul 2021'!K17</f>
        <v>Powerclub</v>
      </c>
      <c r="B23" s="180">
        <f>'AG Jul 2021'!G17</f>
        <v>42947</v>
      </c>
      <c r="C23" s="181">
        <f>91*'AG Jul 2021'!M17/100</f>
        <v>83.339454545454544</v>
      </c>
      <c r="D23" s="181">
        <f>$C$5*'AG Jul 2021'!N17/100</f>
        <v>358.5</v>
      </c>
      <c r="E23" s="181">
        <v>0</v>
      </c>
      <c r="F23" s="181">
        <v>0</v>
      </c>
      <c r="G23" s="181">
        <v>0</v>
      </c>
      <c r="H23" s="183">
        <f t="shared" si="0"/>
        <v>441.83945454545454</v>
      </c>
      <c r="I23" s="202">
        <f t="shared" si="1"/>
        <v>1944.0936000000002</v>
      </c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</row>
    <row r="24" spans="1:33" x14ac:dyDescent="0.3">
      <c r="A24" s="179" t="str">
        <f>'AG Jul 2021'!K18</f>
        <v>Enova Energy</v>
      </c>
      <c r="B24" s="180">
        <f>'AG Jul 2021'!G18</f>
        <v>42928</v>
      </c>
      <c r="C24" s="181">
        <f>91*'AG Jul 2021'!M18/100</f>
        <v>71.972727272727255</v>
      </c>
      <c r="D24" s="181">
        <f>$C$5*'AG Jul 2021'!N18/100</f>
        <v>339.5454545454545</v>
      </c>
      <c r="E24" s="181">
        <v>0</v>
      </c>
      <c r="F24" s="181">
        <v>0</v>
      </c>
      <c r="G24" s="181">
        <v>0</v>
      </c>
      <c r="H24" s="183">
        <f t="shared" si="0"/>
        <v>411.51818181818174</v>
      </c>
      <c r="I24" s="202">
        <f t="shared" si="1"/>
        <v>1810.6799999999998</v>
      </c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</row>
    <row r="25" spans="1:33" x14ac:dyDescent="0.3">
      <c r="A25" s="179" t="str">
        <f>'AG Jul 2021'!K19</f>
        <v>Discover Energy</v>
      </c>
      <c r="B25" s="180">
        <f>'AG Jul 2021'!G19</f>
        <v>42916</v>
      </c>
      <c r="C25" s="181">
        <f>91*'AG Jul 2021'!M19/100</f>
        <v>63.7</v>
      </c>
      <c r="D25" s="181">
        <f>$C$5*'AG Jul 2021'!N19/100</f>
        <v>388.77272727272725</v>
      </c>
      <c r="E25" s="181">
        <v>0</v>
      </c>
      <c r="F25" s="181">
        <v>0</v>
      </c>
      <c r="G25" s="181">
        <v>0</v>
      </c>
      <c r="H25" s="183">
        <f t="shared" si="0"/>
        <v>452.47272727272724</v>
      </c>
      <c r="I25" s="202">
        <f t="shared" si="1"/>
        <v>1990.88</v>
      </c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</row>
    <row r="26" spans="1:33" x14ac:dyDescent="0.3">
      <c r="A26" s="179" t="str">
        <f>'AG Jul 2021'!K20</f>
        <v>Future X Power</v>
      </c>
      <c r="B26" s="180">
        <f>'AG Jul 2021'!G20</f>
        <v>42916</v>
      </c>
      <c r="C26" s="181">
        <f>91*'AG Jul 2021'!M20/100</f>
        <v>83.686909090909083</v>
      </c>
      <c r="D26" s="181">
        <f>$C$5*'AG Jul 2021'!N20/100</f>
        <v>356.31818181818176</v>
      </c>
      <c r="E26" s="181">
        <v>0</v>
      </c>
      <c r="F26" s="181">
        <v>0</v>
      </c>
      <c r="G26" s="181">
        <v>0</v>
      </c>
      <c r="H26" s="183">
        <f t="shared" si="0"/>
        <v>440.00509090909082</v>
      </c>
      <c r="I26" s="202">
        <f t="shared" si="1"/>
        <v>1936.0223999999998</v>
      </c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</row>
    <row r="27" spans="1:33" x14ac:dyDescent="0.3">
      <c r="A27" s="179" t="str">
        <f>'AG Jul 2021'!K21</f>
        <v>Nectr</v>
      </c>
      <c r="B27" s="180">
        <f>'AG Jul 2021'!G21</f>
        <v>42936</v>
      </c>
      <c r="C27" s="181">
        <f>91*'AG Jul 2021'!M21/100</f>
        <v>72.617999999999995</v>
      </c>
      <c r="D27" s="181">
        <f>$C$5*'AG Jul 2021'!N21/100</f>
        <v>373.5</v>
      </c>
      <c r="E27" s="181">
        <v>0</v>
      </c>
      <c r="F27" s="181">
        <v>0</v>
      </c>
      <c r="G27" s="181">
        <v>0</v>
      </c>
      <c r="H27" s="183">
        <f t="shared" si="0"/>
        <v>446.11799999999999</v>
      </c>
      <c r="I27" s="202">
        <f t="shared" si="1"/>
        <v>1962.9192</v>
      </c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</row>
    <row r="28" spans="1:33" x14ac:dyDescent="0.3">
      <c r="A28" s="179" t="str">
        <f>'AG Jul 2021'!K22</f>
        <v>OVO Energy</v>
      </c>
      <c r="B28" s="180">
        <f>'AG Jul 2021'!G22</f>
        <v>42916</v>
      </c>
      <c r="C28" s="181">
        <f>91*'AG Jul 2021'!M22/100</f>
        <v>78.698454545454538</v>
      </c>
      <c r="D28" s="181">
        <f>$C$5*'AG Jul 2021'!N22/100</f>
        <v>359.72727272727275</v>
      </c>
      <c r="E28" s="181">
        <v>0</v>
      </c>
      <c r="F28" s="181">
        <v>0</v>
      </c>
      <c r="G28" s="181">
        <v>0</v>
      </c>
      <c r="H28" s="183">
        <f t="shared" si="0"/>
        <v>438.42572727272727</v>
      </c>
      <c r="I28" s="202">
        <f t="shared" si="1"/>
        <v>1929.0732</v>
      </c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</row>
    <row r="29" spans="1:33" x14ac:dyDescent="0.3">
      <c r="A29" s="179" t="str">
        <f>'AG Jul 2021'!K23</f>
        <v>Sumo Power</v>
      </c>
      <c r="B29" s="180">
        <f>'AG Jul 2021'!G23</f>
        <v>42916</v>
      </c>
      <c r="C29" s="181">
        <f>91*'AG Jul 2021'!M23/100</f>
        <v>95.549999999999983</v>
      </c>
      <c r="D29" s="181">
        <f>$C$5*'AG Jul 2021'!N23/100</f>
        <v>337.49999999999994</v>
      </c>
      <c r="E29" s="181">
        <v>0</v>
      </c>
      <c r="F29" s="181">
        <v>0</v>
      </c>
      <c r="G29" s="181">
        <v>0</v>
      </c>
      <c r="H29" s="183">
        <f t="shared" si="0"/>
        <v>433.04999999999995</v>
      </c>
      <c r="I29" s="202">
        <f t="shared" si="1"/>
        <v>1905.4199999999998</v>
      </c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</row>
    <row r="30" spans="1:33" x14ac:dyDescent="0.3">
      <c r="A30" s="179" t="str">
        <f>'AG Jul 2021'!K24</f>
        <v>Tango Energy</v>
      </c>
      <c r="B30" s="180">
        <f>'AG Jul 2021'!G24</f>
        <v>42916</v>
      </c>
      <c r="C30" s="181">
        <f>91*'AG Jul 2021'!M24/100</f>
        <v>75.529999999999987</v>
      </c>
      <c r="D30" s="181">
        <f>$C$5*'AG Jul 2021'!N24/100</f>
        <v>370.5</v>
      </c>
      <c r="E30" s="181">
        <v>0</v>
      </c>
      <c r="F30" s="181">
        <v>0</v>
      </c>
      <c r="G30" s="181">
        <v>0</v>
      </c>
      <c r="H30" s="183">
        <f t="shared" si="0"/>
        <v>446.03</v>
      </c>
      <c r="I30" s="202">
        <f t="shared" si="1"/>
        <v>1962.5319999999999</v>
      </c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</row>
    <row r="31" spans="1:33" x14ac:dyDescent="0.3">
      <c r="A31" s="179" t="str">
        <f>'AG Jul 2021'!K25</f>
        <v>GloBird</v>
      </c>
      <c r="B31" s="180">
        <f>'AG Jul 2021'!G25</f>
        <v>42915</v>
      </c>
      <c r="C31" s="181">
        <f>91*'AG Jul 2021'!M25/100</f>
        <v>109.19999999999999</v>
      </c>
      <c r="D31" s="181">
        <f>IF($C$5&gt;='AG Jul 2021'!P25,('AG Jul 2021'!P25*'AG Jul 2021'!N25/100),($C$5*'AG Jul 2021'!N25/100))</f>
        <v>318</v>
      </c>
      <c r="E31" s="181">
        <v>0</v>
      </c>
      <c r="F31" s="181">
        <v>0</v>
      </c>
      <c r="G31" s="181">
        <f>IF(($C$5&lt;'AG Jul 2021'!R25),(0),($C$5-'AG Jul 2021'!R25)*'AG Jul 2021'!S25/100)</f>
        <v>0</v>
      </c>
      <c r="H31" s="183">
        <f t="shared" ref="H31:H32" si="2">SUM(C31:G31)</f>
        <v>427.2</v>
      </c>
      <c r="I31" s="202">
        <f t="shared" ref="I31:I32" si="3">(H31*4)*1.1</f>
        <v>1879.68</v>
      </c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</row>
    <row r="32" spans="1:33" ht="14" thickBot="1" x14ac:dyDescent="0.35">
      <c r="A32" s="184" t="str">
        <f>'AG Jul 2021'!K26</f>
        <v>Social Energy</v>
      </c>
      <c r="B32" s="185">
        <f>'AG Jul 2021'!G26</f>
        <v>42720</v>
      </c>
      <c r="C32" s="186">
        <f>91*'AG Jul 2021'!M26/100</f>
        <v>77.349999999999994</v>
      </c>
      <c r="D32" s="186">
        <f>$C$5*'AG Jul 2021'!N26/100</f>
        <v>323.45454545454544</v>
      </c>
      <c r="E32" s="186">
        <v>0</v>
      </c>
      <c r="F32" s="186">
        <v>0</v>
      </c>
      <c r="G32" s="186">
        <v>0</v>
      </c>
      <c r="H32" s="188">
        <f t="shared" si="2"/>
        <v>400.8045454545454</v>
      </c>
      <c r="I32" s="203">
        <f t="shared" si="3"/>
        <v>1763.54</v>
      </c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</row>
    <row r="33" spans="1:177" customFormat="1" x14ac:dyDescent="0.3">
      <c r="A33" s="325"/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</row>
    <row r="34" spans="1:177" customFormat="1" ht="14" thickBot="1" x14ac:dyDescent="0.35">
      <c r="A34" s="325"/>
      <c r="B34" s="325"/>
      <c r="C34" s="325"/>
      <c r="D34" s="325"/>
      <c r="E34" s="325"/>
      <c r="F34" s="325"/>
      <c r="G34" s="325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</row>
    <row r="35" spans="1:177" s="262" customFormat="1" ht="14" x14ac:dyDescent="0.3">
      <c r="A35" s="176" t="s">
        <v>89</v>
      </c>
      <c r="B35" s="91"/>
      <c r="C35" s="91"/>
      <c r="D35" s="91"/>
      <c r="E35" s="91"/>
      <c r="F35" s="91"/>
      <c r="G35" s="91"/>
      <c r="H35" s="91"/>
      <c r="I35" s="177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</row>
    <row r="36" spans="1:177" s="262" customFormat="1" ht="14" x14ac:dyDescent="0.3">
      <c r="A36" s="92" t="s">
        <v>79</v>
      </c>
      <c r="B36" s="93"/>
      <c r="C36" s="168">
        <v>2000</v>
      </c>
      <c r="D36" s="93"/>
      <c r="E36" s="93"/>
      <c r="F36" s="93"/>
      <c r="G36" s="93"/>
      <c r="H36" s="93"/>
      <c r="I36" s="178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  <c r="AA36" s="325"/>
      <c r="AB36" s="325"/>
      <c r="AC36" s="325"/>
      <c r="AD36" s="325"/>
      <c r="AE36" s="325"/>
      <c r="AF36" s="325"/>
      <c r="AG36" s="325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</row>
    <row r="37" spans="1:177" s="262" customFormat="1" ht="14" x14ac:dyDescent="0.3">
      <c r="A37" s="92" t="s">
        <v>91</v>
      </c>
      <c r="B37" s="93"/>
      <c r="C37" s="257">
        <v>0.7</v>
      </c>
      <c r="D37" s="93"/>
      <c r="E37" s="93"/>
      <c r="F37" s="93"/>
      <c r="G37" s="93"/>
      <c r="H37" s="93"/>
      <c r="I37" s="178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A37" s="325"/>
      <c r="AB37" s="325"/>
      <c r="AC37" s="325"/>
      <c r="AD37" s="325"/>
      <c r="AE37" s="325"/>
      <c r="AF37" s="325"/>
      <c r="AG37" s="325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</row>
    <row r="38" spans="1:177" s="262" customFormat="1" ht="14" x14ac:dyDescent="0.3">
      <c r="A38" s="92" t="s">
        <v>92</v>
      </c>
      <c r="B38" s="93"/>
      <c r="C38" s="257">
        <v>0.3</v>
      </c>
      <c r="D38" s="93"/>
      <c r="E38" s="93"/>
      <c r="F38" s="93"/>
      <c r="G38" s="93"/>
      <c r="H38" s="93"/>
      <c r="I38" s="178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5"/>
      <c r="AC38" s="325"/>
      <c r="AD38" s="325"/>
      <c r="AE38" s="325"/>
      <c r="AF38" s="325"/>
      <c r="AG38" s="325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</row>
    <row r="39" spans="1:177" s="262" customFormat="1" ht="14" x14ac:dyDescent="0.3">
      <c r="A39" s="92"/>
      <c r="B39" s="93"/>
      <c r="C39" s="93"/>
      <c r="D39" s="93"/>
      <c r="E39" s="93"/>
      <c r="F39" s="93"/>
      <c r="G39" s="93"/>
      <c r="H39" s="93"/>
      <c r="I39" s="178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325"/>
      <c r="AE39" s="325"/>
      <c r="AF39" s="325"/>
      <c r="AG39" s="325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</row>
    <row r="40" spans="1:177" s="262" customFormat="1" ht="28" x14ac:dyDescent="0.3">
      <c r="A40" s="301" t="s">
        <v>80</v>
      </c>
      <c r="B40" s="298" t="s">
        <v>81</v>
      </c>
      <c r="C40" s="298" t="s">
        <v>82</v>
      </c>
      <c r="D40" s="298" t="s">
        <v>83</v>
      </c>
      <c r="E40" s="298" t="s">
        <v>84</v>
      </c>
      <c r="F40" s="298" t="s">
        <v>86</v>
      </c>
      <c r="G40" s="298" t="s">
        <v>93</v>
      </c>
      <c r="H40" s="298" t="s">
        <v>87</v>
      </c>
      <c r="I40" s="300" t="s">
        <v>88</v>
      </c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  <c r="AA40" s="325"/>
      <c r="AB40" s="325"/>
      <c r="AC40" s="325"/>
      <c r="AD40" s="325"/>
      <c r="AE40" s="325"/>
      <c r="AF40" s="325"/>
      <c r="AG40" s="325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</row>
    <row r="41" spans="1:177" x14ac:dyDescent="0.3">
      <c r="A41" s="179" t="str">
        <f>'AG Jul 2021'!K27</f>
        <v>AGL</v>
      </c>
      <c r="B41" s="180">
        <f>'AG Jul 2021'!G27</f>
        <v>42928</v>
      </c>
      <c r="C41" s="181">
        <f>91*'AG Jul 2021'!M27/100</f>
        <v>82.685909090909078</v>
      </c>
      <c r="D41" s="181">
        <f>($C$36*$C$37)*'AG Jul 2021'!N27/100</f>
        <v>335.49090909090904</v>
      </c>
      <c r="E41" s="181">
        <v>0</v>
      </c>
      <c r="F41" s="181">
        <v>0</v>
      </c>
      <c r="G41" s="181">
        <f>($C$36*$C$38)*'AG Jul 2021'!AE27/100</f>
        <v>76.909090909090907</v>
      </c>
      <c r="H41" s="183">
        <f t="shared" ref="H41:H61" si="4">SUM(C41:G41)</f>
        <v>495.08590909090901</v>
      </c>
      <c r="I41" s="202">
        <f t="shared" ref="I41:I61" si="5">(H41*4)*1.1</f>
        <v>2178.3779999999997</v>
      </c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</row>
    <row r="42" spans="1:177" x14ac:dyDescent="0.3">
      <c r="A42" s="179" t="str">
        <f>'AG Jul 2021'!K28</f>
        <v>Alinta Energy</v>
      </c>
      <c r="B42" s="180">
        <f>'AG Jul 2021'!G28</f>
        <v>42916</v>
      </c>
      <c r="C42" s="181">
        <f>91*'AG Jul 2021'!M28/100</f>
        <v>80.079999999999984</v>
      </c>
      <c r="D42" s="181">
        <f>($C$36*$C$37)*'AG Jul 2021'!N28/100</f>
        <v>344.14545454545447</v>
      </c>
      <c r="E42" s="181">
        <v>0</v>
      </c>
      <c r="F42" s="181">
        <v>0</v>
      </c>
      <c r="G42" s="181">
        <f>($C$36*$C$38)*'AG Jul 2021'!AE28/100</f>
        <v>66.545454545454547</v>
      </c>
      <c r="H42" s="183">
        <f t="shared" si="4"/>
        <v>490.77090909090902</v>
      </c>
      <c r="I42" s="202">
        <f t="shared" si="5"/>
        <v>2159.3919999999998</v>
      </c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</row>
    <row r="43" spans="1:177" x14ac:dyDescent="0.3">
      <c r="A43" s="179" t="str">
        <f>'AG Jul 2021'!K29</f>
        <v>CovaU</v>
      </c>
      <c r="B43" s="180">
        <f>'AG Jul 2021'!G29</f>
        <v>42916</v>
      </c>
      <c r="C43" s="181">
        <f>91*'AG Jul 2021'!M29/100</f>
        <v>59.15</v>
      </c>
      <c r="D43" s="181">
        <f>($C$36*$C$37)*'AG Jul 2021'!N29/100</f>
        <v>359.29090909090905</v>
      </c>
      <c r="E43" s="181">
        <v>0</v>
      </c>
      <c r="F43" s="181">
        <v>0</v>
      </c>
      <c r="G43" s="181">
        <f>($C$36*$C$38)*'AG Jul 2021'!AE29/100</f>
        <v>65.999999999999986</v>
      </c>
      <c r="H43" s="183">
        <f t="shared" si="4"/>
        <v>484.44090909090903</v>
      </c>
      <c r="I43" s="202">
        <f t="shared" si="5"/>
        <v>2131.54</v>
      </c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</row>
    <row r="44" spans="1:177" x14ac:dyDescent="0.3">
      <c r="A44" s="179" t="str">
        <f>'AG Jul 2021'!K30</f>
        <v>Diamond Energy</v>
      </c>
      <c r="B44" s="180">
        <f>'AG Jul 2021'!G30</f>
        <v>42916</v>
      </c>
      <c r="C44" s="181">
        <f>91*'AG Jul 2021'!M30/100</f>
        <v>65.52</v>
      </c>
      <c r="D44" s="181">
        <f>($C$36*$C$37)*'AG Jul 2021'!N30/100</f>
        <v>355.85454545454542</v>
      </c>
      <c r="E44" s="181">
        <v>0</v>
      </c>
      <c r="F44" s="181">
        <v>0</v>
      </c>
      <c r="G44" s="181">
        <f>($C$36*$C$38)*'AG Jul 2021'!AE30/100</f>
        <v>73.2</v>
      </c>
      <c r="H44" s="183">
        <f t="shared" si="4"/>
        <v>494.57454545454539</v>
      </c>
      <c r="I44" s="202">
        <f t="shared" si="5"/>
        <v>2176.1279999999997</v>
      </c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</row>
    <row r="45" spans="1:177" x14ac:dyDescent="0.3">
      <c r="A45" s="179" t="str">
        <f>'AG Jul 2021'!K31</f>
        <v>Dodo Power &amp; Gas</v>
      </c>
      <c r="B45" s="180">
        <f>'AG Jul 2021'!G31</f>
        <v>42916</v>
      </c>
      <c r="C45" s="181">
        <f>91*'AG Jul 2021'!M31/100</f>
        <v>100.09999999999998</v>
      </c>
      <c r="D45" s="181">
        <f>($C$36*$C$37)*'AG Jul 2021'!N31/100</f>
        <v>305.2</v>
      </c>
      <c r="E45" s="181">
        <v>0</v>
      </c>
      <c r="F45" s="181">
        <v>0</v>
      </c>
      <c r="G45" s="181">
        <f>($C$36*$C$38)*'AG Jul 2021'!AE31/100</f>
        <v>90.709090909090904</v>
      </c>
      <c r="H45" s="183">
        <f t="shared" si="4"/>
        <v>496.00909090909084</v>
      </c>
      <c r="I45" s="202">
        <f t="shared" si="5"/>
        <v>2182.44</v>
      </c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5"/>
      <c r="AC45" s="325"/>
      <c r="AD45" s="325"/>
      <c r="AE45" s="325"/>
      <c r="AF45" s="325"/>
      <c r="AG45" s="325"/>
    </row>
    <row r="46" spans="1:177" x14ac:dyDescent="0.3">
      <c r="A46" s="179" t="str">
        <f>'AG Jul 2021'!K32</f>
        <v>EnergyAustralia</v>
      </c>
      <c r="B46" s="180">
        <f>'AG Jul 2021'!G32</f>
        <v>42916</v>
      </c>
      <c r="C46" s="181">
        <f>91*'AG Jul 2021'!M32/100</f>
        <v>77.349999999999994</v>
      </c>
      <c r="D46" s="181">
        <f>($C$36*$C$37)*'AG Jul 2021'!N32/100</f>
        <v>349.74545454545455</v>
      </c>
      <c r="E46" s="181">
        <v>0</v>
      </c>
      <c r="F46" s="181">
        <v>0</v>
      </c>
      <c r="G46" s="181">
        <f>($C$36*$C$38)*'AG Jul 2021'!AE32/100</f>
        <v>60.218181818181812</v>
      </c>
      <c r="H46" s="183">
        <f t="shared" si="4"/>
        <v>487.31363636363636</v>
      </c>
      <c r="I46" s="202">
        <f t="shared" si="5"/>
        <v>2144.1800000000003</v>
      </c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</row>
    <row r="47" spans="1:177" x14ac:dyDescent="0.3">
      <c r="A47" s="179" t="str">
        <f>'AG Jul 2021'!K33</f>
        <v>Mojo Power</v>
      </c>
      <c r="B47" s="180">
        <f>'AG Jul 2021'!G33</f>
        <v>42916</v>
      </c>
      <c r="C47" s="181">
        <f>91*'AG Jul 2021'!M33/100</f>
        <v>86.019818181818167</v>
      </c>
      <c r="D47" s="181">
        <f>($C$36*$C$37)*'AG Jul 2021'!N33/100</f>
        <v>314.99999999999994</v>
      </c>
      <c r="E47" s="181">
        <v>0</v>
      </c>
      <c r="F47" s="181">
        <v>0</v>
      </c>
      <c r="G47" s="181">
        <f>($C$36*$C$38)*'AG Jul 2021'!AE33/100</f>
        <v>93.927272727272722</v>
      </c>
      <c r="H47" s="183">
        <f t="shared" si="4"/>
        <v>494.94709090909083</v>
      </c>
      <c r="I47" s="202">
        <f t="shared" si="5"/>
        <v>2177.7671999999998</v>
      </c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</row>
    <row r="48" spans="1:177" x14ac:dyDescent="0.3">
      <c r="A48" s="179" t="str">
        <f>'AG Jul 2021'!K34</f>
        <v>Momentum Energy</v>
      </c>
      <c r="B48" s="180">
        <f>'AG Jul 2021'!G34</f>
        <v>42916</v>
      </c>
      <c r="C48" s="181">
        <f>91*'AG Jul 2021'!M34/100</f>
        <v>96.186999999999983</v>
      </c>
      <c r="D48" s="181">
        <f>($C$36*$C$37)*'AG Jul 2021'!N34/100</f>
        <v>322.5090909090909</v>
      </c>
      <c r="E48" s="181">
        <v>0</v>
      </c>
      <c r="F48" s="181">
        <v>0</v>
      </c>
      <c r="G48" s="181">
        <f>($C$36*$C$38)*'AG Jul 2021'!AE34/100</f>
        <v>73.8</v>
      </c>
      <c r="H48" s="183">
        <f t="shared" si="4"/>
        <v>492.49609090909092</v>
      </c>
      <c r="I48" s="202">
        <f t="shared" si="5"/>
        <v>2166.9828000000002</v>
      </c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</row>
    <row r="49" spans="1:177" x14ac:dyDescent="0.3">
      <c r="A49" s="179" t="str">
        <f>'AG Jul 2021'!K35</f>
        <v>Origin Energy</v>
      </c>
      <c r="B49" s="180">
        <f>'AG Jul 2021'!G35</f>
        <v>42916</v>
      </c>
      <c r="C49" s="181">
        <f>91*'AG Jul 2021'!M35/100</f>
        <v>73.200399999999988</v>
      </c>
      <c r="D49" s="181">
        <f>($C$36*$C$37)*'AG Jul 2021'!N35/100</f>
        <v>349.16</v>
      </c>
      <c r="E49" s="181">
        <v>0</v>
      </c>
      <c r="F49" s="181">
        <v>0</v>
      </c>
      <c r="G49" s="181">
        <f>($C$36*$C$38)*'AG Jul 2021'!AE35/100</f>
        <v>64.958181818181814</v>
      </c>
      <c r="H49" s="183">
        <f t="shared" si="4"/>
        <v>487.31858181818183</v>
      </c>
      <c r="I49" s="202">
        <f t="shared" si="5"/>
        <v>2144.2017600000004</v>
      </c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325"/>
      <c r="AE49" s="325"/>
      <c r="AF49" s="325"/>
      <c r="AG49" s="325"/>
    </row>
    <row r="50" spans="1:177" x14ac:dyDescent="0.3">
      <c r="A50" s="179" t="str">
        <f>'AG Jul 2021'!K36</f>
        <v>Powerdirect</v>
      </c>
      <c r="B50" s="180">
        <f>'AG Jul 2021'!G36</f>
        <v>42916</v>
      </c>
      <c r="C50" s="181">
        <f>91*'AG Jul 2021'!M36/100</f>
        <v>82.685909090909078</v>
      </c>
      <c r="D50" s="181">
        <f>($C$36*$C$37)*'AG Jul 2021'!N36/100</f>
        <v>335.49090909090904</v>
      </c>
      <c r="E50" s="181">
        <v>0</v>
      </c>
      <c r="F50" s="181">
        <v>0</v>
      </c>
      <c r="G50" s="181">
        <f>($C$36*$C$38)*'AG Jul 2021'!AE36/100</f>
        <v>76.909090909090907</v>
      </c>
      <c r="H50" s="183">
        <f t="shared" si="4"/>
        <v>495.08590909090901</v>
      </c>
      <c r="I50" s="202">
        <f t="shared" si="5"/>
        <v>2178.3779999999997</v>
      </c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C50" s="325"/>
      <c r="AD50" s="325"/>
      <c r="AE50" s="325"/>
      <c r="AF50" s="325"/>
      <c r="AG50" s="325"/>
    </row>
    <row r="51" spans="1:177" x14ac:dyDescent="0.3">
      <c r="A51" s="179" t="str">
        <f>'AG Jul 2021'!K37</f>
        <v>Powershop</v>
      </c>
      <c r="B51" s="180">
        <f>'AG Jul 2021'!G37</f>
        <v>42916</v>
      </c>
      <c r="C51" s="181">
        <f>91*'AG Jul 2021'!M37/100</f>
        <v>99.19</v>
      </c>
      <c r="D51" s="181">
        <f>($C$36*$C$37)*'AG Jul 2021'!N37/100</f>
        <v>322</v>
      </c>
      <c r="E51" s="181">
        <v>0</v>
      </c>
      <c r="F51" s="181">
        <v>0</v>
      </c>
      <c r="G51" s="181">
        <f>($C$36*$C$38)*'AG Jul 2021'!AE37/100</f>
        <v>65.999999999999986</v>
      </c>
      <c r="H51" s="183">
        <f t="shared" si="4"/>
        <v>487.19</v>
      </c>
      <c r="I51" s="202">
        <f t="shared" si="5"/>
        <v>2143.636</v>
      </c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5"/>
      <c r="AG51" s="325"/>
    </row>
    <row r="52" spans="1:177" x14ac:dyDescent="0.3">
      <c r="A52" s="179" t="str">
        <f>'AG Jul 2021'!K38</f>
        <v>Red Energy</v>
      </c>
      <c r="B52" s="180">
        <f>'AG Jul 2021'!G38</f>
        <v>42916</v>
      </c>
      <c r="C52" s="181">
        <f>91*'AG Jul 2021'!M38/100</f>
        <v>83.992999999999995</v>
      </c>
      <c r="D52" s="181">
        <f>($C$36*$C$37)*'AG Jul 2021'!N38/100</f>
        <v>328.87272727272722</v>
      </c>
      <c r="E52" s="181">
        <v>0</v>
      </c>
      <c r="F52" s="181">
        <v>0</v>
      </c>
      <c r="G52" s="181">
        <f>($C$36*$C$38)*'AG Jul 2021'!AE38/100</f>
        <v>79.2</v>
      </c>
      <c r="H52" s="183">
        <f t="shared" si="4"/>
        <v>492.0657272727272</v>
      </c>
      <c r="I52" s="202">
        <f t="shared" si="5"/>
        <v>2165.0891999999999</v>
      </c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</row>
    <row r="53" spans="1:177" x14ac:dyDescent="0.3">
      <c r="A53" s="179" t="str">
        <f>'AG Jul 2021'!K39</f>
        <v>Simply Energy</v>
      </c>
      <c r="B53" s="180">
        <f>'AG Jul 2021'!G39</f>
        <v>42916</v>
      </c>
      <c r="C53" s="181">
        <f>91*'AG Jul 2021'!M39/100</f>
        <v>81.899999999999991</v>
      </c>
      <c r="D53" s="181">
        <f>IF($C$36*$C$37&gt;='AG Jul 2021'!P39,('AG Jul 2021'!P39*'AG Jul 2021'!N39/100),(($C$36*$C$37)*'AG Jul 2021'!N39/100))</f>
        <v>244.18181818181816</v>
      </c>
      <c r="E53" s="181">
        <f>IF($C$36*$C$37&lt;'AG Jul 2021'!P39,0,IF(($C$36*$C$37)&lt;='AG Jul 2021'!R39,(($C$36*$C$37-'AG Jul 2021'!P39)*'AG Jul 2021'!Q39/100),(('AG Jul 2021'!R39-'AG Jul 2021'!P39)*'AG Jul 2021'!Q39/100)))</f>
        <v>0</v>
      </c>
      <c r="F53" s="181">
        <f>IF(($C$36*$C$37&lt;'AG Jul 2021'!R39),(0),($C$36*$C$37-'AG Jul 2021'!R39)*'AG Jul 2021'!S39/100)</f>
        <v>102</v>
      </c>
      <c r="G53" s="181">
        <f>($C$36*$C$38)*'AG Jul 2021'!AE39/100</f>
        <v>68.72727272727272</v>
      </c>
      <c r="H53" s="183">
        <f t="shared" si="4"/>
        <v>496.80909090909086</v>
      </c>
      <c r="I53" s="202">
        <f t="shared" si="5"/>
        <v>2185.96</v>
      </c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</row>
    <row r="54" spans="1:177" x14ac:dyDescent="0.3">
      <c r="A54" s="179" t="str">
        <f>'AG Jul 2021'!K40</f>
        <v>1st Energy</v>
      </c>
      <c r="B54" s="180">
        <f>'AG Jul 2021'!G40</f>
        <v>42916</v>
      </c>
      <c r="C54" s="181">
        <f>91*'AG Jul 2021'!M40/100</f>
        <v>95.549999999999983</v>
      </c>
      <c r="D54" s="181">
        <f>IF($C$36*$C$37&gt;='AG Jul 2021'!P40,('AG Jul 2021'!P40*'AG Jul 2021'!N40/100),(($C$36*$C$37)*'AG Jul 2021'!N40/100))</f>
        <v>310.5</v>
      </c>
      <c r="E54" s="181">
        <f>IF($C$36*$C$37&lt;'AG Jul 2021'!P40,0,IF(($C$36*$C$37)&lt;='AG Jul 2021'!R40,(($C$36*$C$37-'AG Jul 2021'!P40)*'AG Jul 2021'!Q40/100),(('AG Jul 2021'!R40-'AG Jul 2021'!P40)*'AG Jul 2021'!Q40/100)))</f>
        <v>0</v>
      </c>
      <c r="F54" s="181">
        <f>IF(($C$36*$C$37&lt;'AG Jul 2021'!R40),(0),($C$36*$C$37-'AG Jul 2021'!R40)*'AG Jul 2021'!S40/100)</f>
        <v>13.2</v>
      </c>
      <c r="G54" s="181">
        <f>($C$36*$C$38)*'AG Jul 2021'!AE40/100</f>
        <v>65.999999999999986</v>
      </c>
      <c r="H54" s="183">
        <f t="shared" si="4"/>
        <v>485.24999999999994</v>
      </c>
      <c r="I54" s="202">
        <f t="shared" si="5"/>
        <v>2135.1</v>
      </c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</row>
    <row r="55" spans="1:177" x14ac:dyDescent="0.3">
      <c r="A55" s="179" t="str">
        <f>'AG Jul 2021'!K41</f>
        <v>ReAmped Energy</v>
      </c>
      <c r="B55" s="180">
        <f>'AG Jul 2021'!G41</f>
        <v>42916</v>
      </c>
      <c r="C55" s="181">
        <f>91*'AG Jul 2021'!M41/100</f>
        <v>89.386818181818185</v>
      </c>
      <c r="D55" s="181">
        <f>($C$36*$C$37)*'AG Jul 2021'!N41/100</f>
        <v>300.61818181818182</v>
      </c>
      <c r="E55" s="181">
        <v>0</v>
      </c>
      <c r="F55" s="181">
        <v>0</v>
      </c>
      <c r="G55" s="181">
        <f>($C$36*$C$38)*'AG Jul 2021'!AE41/100</f>
        <v>101.99999999999999</v>
      </c>
      <c r="H55" s="183">
        <f t="shared" si="4"/>
        <v>492.005</v>
      </c>
      <c r="I55" s="202">
        <f t="shared" si="5"/>
        <v>2164.8220000000001</v>
      </c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</row>
    <row r="56" spans="1:177" x14ac:dyDescent="0.3">
      <c r="A56" s="179" t="str">
        <f>'AG Jul 2021'!K42</f>
        <v>Enova Energy</v>
      </c>
      <c r="B56" s="180">
        <f>'AG Jul 2021'!G42</f>
        <v>42928</v>
      </c>
      <c r="C56" s="181">
        <f>91*'AG Jul 2021'!M42/100</f>
        <v>76.117363636363635</v>
      </c>
      <c r="D56" s="181">
        <f>($C$36*$C$37)*'AG Jul 2021'!N42/100</f>
        <v>316.90909090909082</v>
      </c>
      <c r="E56" s="181">
        <v>0</v>
      </c>
      <c r="F56" s="181">
        <v>0</v>
      </c>
      <c r="G56" s="181">
        <f>($C$36*$C$38)*'AG Jul 2021'!AE42/100</f>
        <v>84</v>
      </c>
      <c r="H56" s="183">
        <f t="shared" si="4"/>
        <v>477.02645454545444</v>
      </c>
      <c r="I56" s="202">
        <f t="shared" si="5"/>
        <v>2098.9163999999996</v>
      </c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</row>
    <row r="57" spans="1:177" x14ac:dyDescent="0.3">
      <c r="A57" s="179" t="str">
        <f>'AG Jul 2021'!K43</f>
        <v>Discover Energy</v>
      </c>
      <c r="B57" s="180">
        <f>'AG Jul 2021'!G43</f>
        <v>42916</v>
      </c>
      <c r="C57" s="181">
        <f>91*'AG Jul 2021'!M43/100</f>
        <v>63.7</v>
      </c>
      <c r="D57" s="181">
        <f>($C$36*$C$37)*'AG Jul 2021'!N43/100</f>
        <v>362.85454545454542</v>
      </c>
      <c r="E57" s="181">
        <v>0</v>
      </c>
      <c r="F57" s="181">
        <v>0</v>
      </c>
      <c r="G57" s="181">
        <f>($C$36*$C$38)*'AG Jul 2021'!AE43/100</f>
        <v>71.61818181818181</v>
      </c>
      <c r="H57" s="183">
        <f t="shared" si="4"/>
        <v>498.17272727272723</v>
      </c>
      <c r="I57" s="202">
        <f t="shared" si="5"/>
        <v>2191.96</v>
      </c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</row>
    <row r="58" spans="1:177" x14ac:dyDescent="0.3">
      <c r="A58" s="179" t="str">
        <f>'AG Jul 2021'!K44</f>
        <v>Future X Power</v>
      </c>
      <c r="B58" s="180">
        <f>'AG Jul 2021'!G44</f>
        <v>42916</v>
      </c>
      <c r="C58" s="181">
        <f>91*'AG Jul 2021'!M44/100</f>
        <v>87.517181818181811</v>
      </c>
      <c r="D58" s="181">
        <f>($C$36*$C$37)*'AG Jul 2021'!N44/100</f>
        <v>332.56363636363631</v>
      </c>
      <c r="E58" s="181">
        <v>0</v>
      </c>
      <c r="F58" s="181">
        <v>0</v>
      </c>
      <c r="G58" s="181">
        <f>($C$36*$C$38)*'AG Jul 2021'!AE44/100</f>
        <v>73.309090909090898</v>
      </c>
      <c r="H58" s="183">
        <f t="shared" si="4"/>
        <v>493.38990909090904</v>
      </c>
      <c r="I58" s="202">
        <f t="shared" si="5"/>
        <v>2170.9155999999998</v>
      </c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</row>
    <row r="59" spans="1:177" x14ac:dyDescent="0.3">
      <c r="A59" s="179" t="str">
        <f>'AG Jul 2021'!K45</f>
        <v>Nectr</v>
      </c>
      <c r="B59" s="180">
        <f>'AG Jul 2021'!G45</f>
        <v>42936</v>
      </c>
      <c r="C59" s="181">
        <f>91*'AG Jul 2021'!M45/100</f>
        <v>72.617999999999995</v>
      </c>
      <c r="D59" s="181">
        <f>($C$36*$C$37)*'AG Jul 2021'!N45/100</f>
        <v>348.6</v>
      </c>
      <c r="E59" s="181">
        <v>0</v>
      </c>
      <c r="F59" s="181">
        <v>0</v>
      </c>
      <c r="G59" s="181">
        <f>($C$36*$C$38)*'AG Jul 2021'!AE45/100</f>
        <v>74.999999999999986</v>
      </c>
      <c r="H59" s="183">
        <f t="shared" si="4"/>
        <v>496.21800000000002</v>
      </c>
      <c r="I59" s="202">
        <f t="shared" si="5"/>
        <v>2183.3592000000003</v>
      </c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</row>
    <row r="60" spans="1:177" x14ac:dyDescent="0.3">
      <c r="A60" s="179" t="str">
        <f>'AG Jul 2021'!K46</f>
        <v>Sumo Power</v>
      </c>
      <c r="B60" s="180">
        <f>'AG Jul 2021'!G46</f>
        <v>42916</v>
      </c>
      <c r="C60" s="181">
        <f>91*'AG Jul 2021'!M46/100</f>
        <v>98.279999999999987</v>
      </c>
      <c r="D60" s="181">
        <f>($C$36*$C$37)*'AG Jul 2021'!N46/100</f>
        <v>314.99999999999994</v>
      </c>
      <c r="E60" s="181">
        <v>0</v>
      </c>
      <c r="F60" s="181">
        <v>0</v>
      </c>
      <c r="G60" s="181">
        <f>($C$36*$C$38)*'AG Jul 2021'!AE46/100</f>
        <v>80.399999999999991</v>
      </c>
      <c r="H60" s="183">
        <f t="shared" si="4"/>
        <v>493.67999999999989</v>
      </c>
      <c r="I60" s="202">
        <f t="shared" si="5"/>
        <v>2172.1919999999996</v>
      </c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</row>
    <row r="61" spans="1:177" s="266" customFormat="1" x14ac:dyDescent="0.3">
      <c r="A61" s="179" t="str">
        <f>'AG Jul 2021'!K47</f>
        <v>Tango Energy</v>
      </c>
      <c r="B61" s="180">
        <f>'AG Jul 2021'!G47</f>
        <v>42916</v>
      </c>
      <c r="C61" s="181">
        <f>91*'AG Jul 2021'!M47/100</f>
        <v>77.349999999999994</v>
      </c>
      <c r="D61" s="181">
        <f>($C$36*$C$37)*'AG Jul 2021'!N47/100</f>
        <v>334.6</v>
      </c>
      <c r="E61" s="181">
        <v>0</v>
      </c>
      <c r="F61" s="181">
        <v>0</v>
      </c>
      <c r="G61" s="181">
        <f>($C$36*$C$38)*'AG Jul 2021'!AE47/100</f>
        <v>84</v>
      </c>
      <c r="H61" s="183">
        <f t="shared" si="4"/>
        <v>495.95000000000005</v>
      </c>
      <c r="I61" s="202">
        <f t="shared" si="5"/>
        <v>2182.1800000000003</v>
      </c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</row>
    <row r="62" spans="1:177" s="266" customFormat="1" x14ac:dyDescent="0.3">
      <c r="A62" s="179" t="str">
        <f>'AG Jul 2021'!K48</f>
        <v>GloBird</v>
      </c>
      <c r="B62" s="180">
        <f>'AG Jul 2021'!G48</f>
        <v>42915</v>
      </c>
      <c r="C62" s="181">
        <f>91*'AG Jul 2021'!M48/100</f>
        <v>109.19999999999999</v>
      </c>
      <c r="D62" s="181">
        <f>IF($C$36*$C$37&gt;='AG Jul 2021'!P48,('AG Jul 2021'!P48*'AG Jul 2021'!N48/100),(($C$36*$C$37)*'AG Jul 2021'!N48/100))</f>
        <v>296.8</v>
      </c>
      <c r="E62" s="181">
        <f>IF($C$36*$C$37&lt;'AG Jul 2021'!P48,0,IF(($C$36*$C$37)&lt;='AG Jul 2021'!R48,(($C$36*$C$37-'AG Jul 2021'!P48)*'AG Jul 2021'!Q48/100),(('AG Jul 2021'!R48-'AG Jul 2021'!P48)*'AG Jul 2021'!Q48/100)))</f>
        <v>0</v>
      </c>
      <c r="F62" s="181">
        <f>IF(($C$36*$C$37&lt;'AG Jul 2021'!R48),(0),($C$36*$C$37-'AG Jul 2021'!R48)*'AG Jul 2021'!S48/100)</f>
        <v>0</v>
      </c>
      <c r="G62" s="181">
        <f>($C$36*$C$38)*'AG Jul 2021'!AE48/100</f>
        <v>84</v>
      </c>
      <c r="H62" s="183">
        <f t="shared" ref="H62:H63" si="6">SUM(C62:G62)</f>
        <v>490</v>
      </c>
      <c r="I62" s="202">
        <f t="shared" ref="I62:I63" si="7">(H62*4)*1.1</f>
        <v>2156</v>
      </c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</row>
    <row r="63" spans="1:177" s="266" customFormat="1" ht="14" thickBot="1" x14ac:dyDescent="0.35">
      <c r="A63" s="184" t="str">
        <f>'AG Jul 2021'!K49</f>
        <v>Social Energy</v>
      </c>
      <c r="B63" s="185">
        <f>'AG Jul 2021'!G49</f>
        <v>42720</v>
      </c>
      <c r="C63" s="186">
        <f>91*'AG Jul 2021'!M49/100</f>
        <v>83.992999999999995</v>
      </c>
      <c r="D63" s="186">
        <f>($C$36*$C$37)*'AG Jul 2021'!N49/100</f>
        <v>301.89090909090908</v>
      </c>
      <c r="E63" s="186">
        <v>0</v>
      </c>
      <c r="F63" s="186">
        <v>0</v>
      </c>
      <c r="G63" s="186">
        <f>($C$36*$C$38)*'AG Jul 2021'!AE49/100</f>
        <v>69.927272727272737</v>
      </c>
      <c r="H63" s="188">
        <f t="shared" si="6"/>
        <v>455.81118181818181</v>
      </c>
      <c r="I63" s="203">
        <f t="shared" si="7"/>
        <v>2005.5692000000001</v>
      </c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5"/>
      <c r="AD63" s="325"/>
      <c r="AE63" s="325"/>
      <c r="AF63" s="325"/>
      <c r="AG63" s="325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</row>
    <row r="64" spans="1:177" customFormat="1" x14ac:dyDescent="0.3">
      <c r="A64" s="325"/>
      <c r="B64" s="325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5"/>
      <c r="AD64" s="325"/>
      <c r="AE64" s="325"/>
      <c r="AF64" s="325"/>
      <c r="AG64" s="325"/>
    </row>
    <row r="65" spans="1:177" customFormat="1" ht="14" thickBot="1" x14ac:dyDescent="0.35">
      <c r="A65" s="325"/>
      <c r="B65" s="325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325"/>
      <c r="AF65" s="325"/>
      <c r="AG65" s="325"/>
    </row>
    <row r="66" spans="1:177" s="262" customFormat="1" ht="14" x14ac:dyDescent="0.3">
      <c r="A66" s="176" t="s">
        <v>94</v>
      </c>
      <c r="B66" s="91"/>
      <c r="C66" s="91"/>
      <c r="D66" s="91"/>
      <c r="E66" s="91"/>
      <c r="F66" s="91"/>
      <c r="G66" s="91"/>
      <c r="H66" s="91"/>
      <c r="I66" s="177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325"/>
      <c r="AF66" s="325"/>
      <c r="AG66" s="325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</row>
    <row r="67" spans="1:177" s="262" customFormat="1" ht="14" x14ac:dyDescent="0.3">
      <c r="A67" s="92" t="s">
        <v>79</v>
      </c>
      <c r="B67" s="93"/>
      <c r="C67" s="168">
        <v>1800</v>
      </c>
      <c r="D67" s="93"/>
      <c r="E67" s="93"/>
      <c r="F67" s="93"/>
      <c r="G67" s="93"/>
      <c r="H67" s="93"/>
      <c r="I67" s="178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  <c r="AG67" s="325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</row>
    <row r="68" spans="1:177" s="262" customFormat="1" ht="14" x14ac:dyDescent="0.3">
      <c r="A68" s="92" t="s">
        <v>91</v>
      </c>
      <c r="B68" s="93"/>
      <c r="C68" s="257">
        <v>0.2</v>
      </c>
      <c r="D68" s="93"/>
      <c r="E68" s="93"/>
      <c r="F68" s="93"/>
      <c r="G68" s="93"/>
      <c r="H68" s="93"/>
      <c r="I68" s="178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  <c r="AG68" s="325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</row>
    <row r="69" spans="1:177" s="262" customFormat="1" ht="14" x14ac:dyDescent="0.3">
      <c r="A69" s="92" t="s">
        <v>95</v>
      </c>
      <c r="B69" s="93"/>
      <c r="C69" s="257">
        <v>0.5</v>
      </c>
      <c r="D69" s="93"/>
      <c r="E69" s="93"/>
      <c r="F69" s="93"/>
      <c r="G69" s="93"/>
      <c r="H69" s="93"/>
      <c r="I69" s="178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</row>
    <row r="70" spans="1:177" s="262" customFormat="1" ht="14" x14ac:dyDescent="0.3">
      <c r="A70" s="92" t="s">
        <v>92</v>
      </c>
      <c r="B70" s="93"/>
      <c r="C70" s="257">
        <v>0.3</v>
      </c>
      <c r="D70" s="93"/>
      <c r="E70" s="93"/>
      <c r="F70" s="93"/>
      <c r="G70" s="93"/>
      <c r="H70" s="93"/>
      <c r="I70" s="178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  <c r="AG70" s="325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</row>
    <row r="71" spans="1:177" s="262" customFormat="1" ht="14" x14ac:dyDescent="0.3">
      <c r="A71" s="166"/>
      <c r="B71" s="93"/>
      <c r="C71" s="167"/>
      <c r="D71" s="93"/>
      <c r="E71" s="93"/>
      <c r="F71" s="93"/>
      <c r="G71" s="93"/>
      <c r="H71" s="93"/>
      <c r="I71" s="178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  <c r="AG71" s="325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</row>
    <row r="72" spans="1:177" s="262" customFormat="1" ht="28" x14ac:dyDescent="0.3">
      <c r="A72" s="301" t="s">
        <v>80</v>
      </c>
      <c r="B72" s="298" t="s">
        <v>81</v>
      </c>
      <c r="C72" s="298" t="s">
        <v>82</v>
      </c>
      <c r="D72" s="298" t="s">
        <v>96</v>
      </c>
      <c r="E72" s="298" t="s">
        <v>86</v>
      </c>
      <c r="F72" s="298" t="s">
        <v>97</v>
      </c>
      <c r="G72" s="298" t="s">
        <v>98</v>
      </c>
      <c r="H72" s="298" t="s">
        <v>87</v>
      </c>
      <c r="I72" s="300" t="s">
        <v>88</v>
      </c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</row>
    <row r="73" spans="1:177" x14ac:dyDescent="0.3">
      <c r="A73" s="179" t="str">
        <f>'AG Jul 2021'!K50</f>
        <v>AGL</v>
      </c>
      <c r="B73" s="180">
        <f>'AG Jul 2021'!G50</f>
        <v>42928</v>
      </c>
      <c r="C73" s="181">
        <f>91*'AG Jul 2021'!M50/100</f>
        <v>87.020818181818157</v>
      </c>
      <c r="D73" s="181">
        <f>($C$67*$C$68)*'AG Jul 2021'!N50/100</f>
        <v>173.45454545454544</v>
      </c>
      <c r="E73" s="181">
        <v>0</v>
      </c>
      <c r="F73" s="181">
        <f>($C$67*$C$69)*'AG Jul 2021'!AH50/100</f>
        <v>178.2</v>
      </c>
      <c r="G73" s="181">
        <f>($C$67*$C$70)*'AG Jul 2021'!W50/100</f>
        <v>67.352727272727265</v>
      </c>
      <c r="H73" s="183">
        <f t="shared" ref="H73:H91" si="8">SUM(C73:G73)</f>
        <v>506.02809090909079</v>
      </c>
      <c r="I73" s="202">
        <f t="shared" ref="I73:I91" si="9">(H73*4)*1.1</f>
        <v>2226.5235999999995</v>
      </c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</row>
    <row r="74" spans="1:177" x14ac:dyDescent="0.3">
      <c r="A74" s="179" t="str">
        <f>'AG Jul 2021'!K51</f>
        <v>Alinta Energy</v>
      </c>
      <c r="B74" s="180">
        <f>'AG Jul 2021'!G51</f>
        <v>42916</v>
      </c>
      <c r="C74" s="181">
        <f>91*'AG Jul 2021'!M51/100</f>
        <v>87.359999999999985</v>
      </c>
      <c r="D74" s="181">
        <f>($C$67*$C$68)*'AG Jul 2021'!N51/100</f>
        <v>164.88</v>
      </c>
      <c r="E74" s="181">
        <v>0</v>
      </c>
      <c r="F74" s="181">
        <f>($C$67*$C$69)*'AG Jul 2021'!AH51/100</f>
        <v>174.76363636363632</v>
      </c>
      <c r="G74" s="181">
        <f>($C$67*$C$70)*'AG Jul 2021'!W51/100</f>
        <v>74.176363636363632</v>
      </c>
      <c r="H74" s="183">
        <f t="shared" si="8"/>
        <v>501.17999999999995</v>
      </c>
      <c r="I74" s="202">
        <f t="shared" si="9"/>
        <v>2205.192</v>
      </c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</row>
    <row r="75" spans="1:177" x14ac:dyDescent="0.3">
      <c r="A75" s="179" t="str">
        <f>'AG Jul 2021'!K52</f>
        <v>CovaU</v>
      </c>
      <c r="B75" s="180">
        <f>'AG Jul 2021'!G52</f>
        <v>42916</v>
      </c>
      <c r="C75" s="181">
        <f>91*'AG Jul 2021'!M52/100</f>
        <v>65.52</v>
      </c>
      <c r="D75" s="181">
        <f>($C$67*$C$68)*'AG Jul 2021'!N52/100</f>
        <v>159.47999999999996</v>
      </c>
      <c r="E75" s="181">
        <v>0</v>
      </c>
      <c r="F75" s="181">
        <f>($C$67*$C$69)*'AG Jul 2021'!AH52/100</f>
        <v>175.99090909090907</v>
      </c>
      <c r="G75" s="181">
        <f>($C$67*$C$70)*'AG Jul 2021'!W52/100</f>
        <v>72.899999999999991</v>
      </c>
      <c r="H75" s="183">
        <f t="shared" si="8"/>
        <v>473.89090909090896</v>
      </c>
      <c r="I75" s="202">
        <f t="shared" si="9"/>
        <v>2085.1199999999994</v>
      </c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</row>
    <row r="76" spans="1:177" x14ac:dyDescent="0.3">
      <c r="A76" s="179" t="str">
        <f>'AG Jul 2021'!K53</f>
        <v>Diamond Energy</v>
      </c>
      <c r="B76" s="180">
        <f>'AG Jul 2021'!G53</f>
        <v>42916</v>
      </c>
      <c r="C76" s="181">
        <f>91*'AG Jul 2021'!M53/100</f>
        <v>95.094999999999999</v>
      </c>
      <c r="D76" s="181">
        <f>IF($C$67*$C$68&gt;='AG Jul 2021'!P53,('AG Jul 2021'!P53*'AG Jul 2021'!N53/100),(($C$67*$C$68)*'AG Jul 2021'!N53/100))</f>
        <v>172.79999999999995</v>
      </c>
      <c r="E76" s="181">
        <f>IF(($C$67*$C$68&lt;'AG Jul 2021'!P53),(0),($C$67*$C$68-'AG Jul 2021'!P53)*'AG Jul 2021'!Q53/100)</f>
        <v>0</v>
      </c>
      <c r="F76" s="181">
        <f>($C$67*$C$69)*'AG Jul 2021'!AH53/100</f>
        <v>224.99999999999997</v>
      </c>
      <c r="G76" s="181">
        <f>($C$67*$C$70)*'AG Jul 2021'!W53/100</f>
        <v>91.799999999999983</v>
      </c>
      <c r="H76" s="183">
        <f t="shared" si="8"/>
        <v>584.69499999999994</v>
      </c>
      <c r="I76" s="202">
        <f t="shared" si="9"/>
        <v>2572.6579999999999</v>
      </c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</row>
    <row r="77" spans="1:177" x14ac:dyDescent="0.3">
      <c r="A77" s="179" t="str">
        <f>'AG Jul 2021'!K54</f>
        <v>Dodo Power &amp; Gas</v>
      </c>
      <c r="B77" s="180">
        <f>'AG Jul 2021'!G54</f>
        <v>42916</v>
      </c>
      <c r="C77" s="181">
        <f>91*'AG Jul 2021'!M54/100</f>
        <v>100.09999999999998</v>
      </c>
      <c r="D77" s="181">
        <f>($C$67*$C$68)*'AG Jul 2021'!N54/100</f>
        <v>136.79999999999998</v>
      </c>
      <c r="E77" s="181">
        <v>0</v>
      </c>
      <c r="F77" s="181">
        <f>($C$67*$C$69)*'AG Jul 2021'!AH54/100</f>
        <v>156.6</v>
      </c>
      <c r="G77" s="181">
        <f>($C$67*$C$70)*'AG Jul 2021'!W54/100</f>
        <v>82.079999999999984</v>
      </c>
      <c r="H77" s="183">
        <f t="shared" si="8"/>
        <v>475.58</v>
      </c>
      <c r="I77" s="202">
        <f t="shared" si="9"/>
        <v>2092.5520000000001</v>
      </c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</row>
    <row r="78" spans="1:177" x14ac:dyDescent="0.3">
      <c r="A78" s="179" t="str">
        <f>'AG Jul 2021'!K55</f>
        <v>EnergyAustralia</v>
      </c>
      <c r="B78" s="180">
        <f>'AG Jul 2021'!G55</f>
        <v>42916</v>
      </c>
      <c r="C78" s="181">
        <f>91*'AG Jul 2021'!M55/100</f>
        <v>81.808999999999997</v>
      </c>
      <c r="D78" s="181">
        <f>($C$67*$C$68)*'AG Jul 2021'!N55/100</f>
        <v>173.02909090909088</v>
      </c>
      <c r="E78" s="181">
        <v>0</v>
      </c>
      <c r="F78" s="181">
        <f>($C$67*$C$69)*'AG Jul 2021'!AH55/100</f>
        <v>206.59090909090909</v>
      </c>
      <c r="G78" s="181">
        <f>($C$67*$C$70)*'AG Jul 2021'!W55/100</f>
        <v>86.890909090909076</v>
      </c>
      <c r="H78" s="183">
        <f t="shared" si="8"/>
        <v>548.31990909090905</v>
      </c>
      <c r="I78" s="202">
        <f t="shared" si="9"/>
        <v>2412.6075999999998</v>
      </c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</row>
    <row r="79" spans="1:177" x14ac:dyDescent="0.3">
      <c r="A79" s="179" t="str">
        <f>'AG Jul 2021'!K56</f>
        <v>Mojo Power</v>
      </c>
      <c r="B79" s="180">
        <f>'AG Jul 2021'!G56</f>
        <v>42916</v>
      </c>
      <c r="C79" s="181">
        <f>91*'AG Jul 2021'!M56/100</f>
        <v>85.879181818181806</v>
      </c>
      <c r="D79" s="181">
        <f>($C$67*$C$68)*'AG Jul 2021'!N56/100</f>
        <v>149.26909090909089</v>
      </c>
      <c r="E79" s="181">
        <v>0</v>
      </c>
      <c r="F79" s="181">
        <f>($C$67*$C$69)*'AG Jul 2021'!AH56/100</f>
        <v>195.38181818181818</v>
      </c>
      <c r="G79" s="181">
        <f>($C$67*$C$70)*'AG Jul 2021'!W56/100</f>
        <v>106.38</v>
      </c>
      <c r="H79" s="183">
        <f t="shared" si="8"/>
        <v>536.91009090909085</v>
      </c>
      <c r="I79" s="202">
        <f t="shared" si="9"/>
        <v>2362.4043999999999</v>
      </c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  <c r="AG79" s="325"/>
    </row>
    <row r="80" spans="1:177" x14ac:dyDescent="0.3">
      <c r="A80" s="179" t="str">
        <f>'AG Jul 2021'!K57</f>
        <v>Momentum Energy</v>
      </c>
      <c r="B80" s="180">
        <f>'AG Jul 2021'!G57</f>
        <v>42916</v>
      </c>
      <c r="C80" s="181">
        <f>91*'AG Jul 2021'!M57/100</f>
        <v>81.701454545454538</v>
      </c>
      <c r="D80" s="181">
        <f>($C$67*$C$68)*'AG Jul 2021'!N57/100</f>
        <v>128.1272727272727</v>
      </c>
      <c r="E80" s="181">
        <v>0</v>
      </c>
      <c r="F80" s="181">
        <f>($C$67*$C$69)*'AG Jul 2021'!AH57/100</f>
        <v>199.8</v>
      </c>
      <c r="G80" s="181">
        <f>($C$67*$C$70)*'AG Jul 2021'!W57/100</f>
        <v>101.17636363636362</v>
      </c>
      <c r="H80" s="183">
        <f t="shared" si="8"/>
        <v>510.80509090909084</v>
      </c>
      <c r="I80" s="202">
        <f t="shared" si="9"/>
        <v>2247.5423999999998</v>
      </c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</row>
    <row r="81" spans="1:177" x14ac:dyDescent="0.3">
      <c r="A81" s="179" t="str">
        <f>'AG Jul 2021'!K58</f>
        <v>Origin Energy</v>
      </c>
      <c r="B81" s="180">
        <f>'AG Jul 2021'!G58</f>
        <v>42916</v>
      </c>
      <c r="C81" s="181">
        <f>91*'AG Jul 2021'!M58/100</f>
        <v>82.9465</v>
      </c>
      <c r="D81" s="181">
        <f>($C$67*$C$68)*'AG Jul 2021'!N58/100</f>
        <v>171.89999999999998</v>
      </c>
      <c r="E81" s="181">
        <v>0</v>
      </c>
      <c r="F81" s="181">
        <f>($C$67*$C$69)*'AG Jul 2021'!AH58/100</f>
        <v>181.25999999999996</v>
      </c>
      <c r="G81" s="181">
        <f>($C$67*$C$70)*'AG Jul 2021'!W58/100</f>
        <v>69.335999999999999</v>
      </c>
      <c r="H81" s="183">
        <f t="shared" si="8"/>
        <v>505.4425</v>
      </c>
      <c r="I81" s="202">
        <f t="shared" si="9"/>
        <v>2223.9470000000001</v>
      </c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  <c r="AG81" s="325"/>
    </row>
    <row r="82" spans="1:177" x14ac:dyDescent="0.3">
      <c r="A82" s="179" t="str">
        <f>'AG Jul 2021'!K59</f>
        <v>Powerdirect</v>
      </c>
      <c r="B82" s="180">
        <f>'AG Jul 2021'!G59</f>
        <v>42916</v>
      </c>
      <c r="C82" s="181">
        <f>91*'AG Jul 2021'!M59/100</f>
        <v>87.020818181818157</v>
      </c>
      <c r="D82" s="181">
        <f>($C$67*$C$68)*'AG Jul 2021'!N59/100</f>
        <v>173.45454545454544</v>
      </c>
      <c r="E82" s="181">
        <v>0</v>
      </c>
      <c r="F82" s="181">
        <f>($C$67*$C$69)*'AG Jul 2021'!AH59/100</f>
        <v>178.2</v>
      </c>
      <c r="G82" s="181">
        <f>($C$67*$C$70)*'AG Jul 2021'!W59/100</f>
        <v>67.352727272727265</v>
      </c>
      <c r="H82" s="183">
        <f t="shared" si="8"/>
        <v>506.02809090909079</v>
      </c>
      <c r="I82" s="202">
        <f t="shared" si="9"/>
        <v>2226.5235999999995</v>
      </c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  <c r="AG82" s="325"/>
    </row>
    <row r="83" spans="1:177" x14ac:dyDescent="0.3">
      <c r="A83" s="179" t="str">
        <f>'AG Jul 2021'!K60</f>
        <v>Powershop</v>
      </c>
      <c r="B83" s="180">
        <f>'AG Jul 2021'!G60</f>
        <v>42916</v>
      </c>
      <c r="C83" s="181">
        <f>91*'AG Jul 2021'!M60/100</f>
        <v>90.999999999999986</v>
      </c>
      <c r="D83" s="181">
        <f>($C$67*$C$68)*'AG Jul 2021'!N60/100</f>
        <v>115.2</v>
      </c>
      <c r="E83" s="181">
        <v>0</v>
      </c>
      <c r="F83" s="181">
        <f>($C$67*$C$69)*'AG Jul 2021'!AH60/100</f>
        <v>215.99999999999997</v>
      </c>
      <c r="G83" s="181">
        <f>($C$67*$C$70)*'AG Jul 2021'!W60/100</f>
        <v>80.999999999999986</v>
      </c>
      <c r="H83" s="183">
        <f t="shared" si="8"/>
        <v>503.19999999999993</v>
      </c>
      <c r="I83" s="202">
        <f t="shared" si="9"/>
        <v>2214.08</v>
      </c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</row>
    <row r="84" spans="1:177" x14ac:dyDescent="0.3">
      <c r="A84" s="179" t="str">
        <f>'AG Jul 2021'!K61</f>
        <v>Red Energy</v>
      </c>
      <c r="B84" s="180">
        <f>'AG Jul 2021'!G61</f>
        <v>42916</v>
      </c>
      <c r="C84" s="181">
        <f>91*'AG Jul 2021'!M61/100</f>
        <v>83.992999999999995</v>
      </c>
      <c r="D84" s="181">
        <f>($C$67*$C$68)*'AG Jul 2021'!N61/100</f>
        <v>84.567272727272723</v>
      </c>
      <c r="E84" s="181">
        <v>0</v>
      </c>
      <c r="F84" s="181">
        <f>($C$67*$C$69)*'AG Jul 2021'!AH61/100</f>
        <v>211.41818181818181</v>
      </c>
      <c r="G84" s="181">
        <f>($C$67*$C$70)*'AG Jul 2021'!W61/100</f>
        <v>126.85090909090908</v>
      </c>
      <c r="H84" s="183">
        <f t="shared" si="8"/>
        <v>506.82936363636361</v>
      </c>
      <c r="I84" s="202">
        <f t="shared" si="9"/>
        <v>2230.0491999999999</v>
      </c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5"/>
      <c r="AC84" s="325"/>
      <c r="AD84" s="325"/>
      <c r="AE84" s="325"/>
      <c r="AF84" s="325"/>
      <c r="AG84" s="325"/>
    </row>
    <row r="85" spans="1:177" x14ac:dyDescent="0.3">
      <c r="A85" s="179" t="str">
        <f>'AG Jul 2021'!K62</f>
        <v>Simply Energy</v>
      </c>
      <c r="B85" s="180">
        <f>'AG Jul 2021'!G62</f>
        <v>42916</v>
      </c>
      <c r="C85" s="181">
        <f>91*'AG Jul 2021'!M62/100</f>
        <v>80.989999999999995</v>
      </c>
      <c r="D85" s="181">
        <f>($C$67*$C$68)*'AG Jul 2021'!N62/100</f>
        <v>140.39999999999998</v>
      </c>
      <c r="E85" s="181">
        <v>0</v>
      </c>
      <c r="F85" s="181">
        <f>($C$67*$C$69)*'AG Jul 2021'!AH62/100</f>
        <v>211.82727272727271</v>
      </c>
      <c r="G85" s="181">
        <f>($C$67*$C$70)*'AG Jul 2021'!W62/100</f>
        <v>102.06</v>
      </c>
      <c r="H85" s="183">
        <f t="shared" si="8"/>
        <v>535.2772727272727</v>
      </c>
      <c r="I85" s="202">
        <f t="shared" si="9"/>
        <v>2355.2200000000003</v>
      </c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  <c r="AG85" s="325"/>
    </row>
    <row r="86" spans="1:177" x14ac:dyDescent="0.3">
      <c r="A86" s="179" t="str">
        <f>'AG Jul 2021'!K63</f>
        <v>1st Energy</v>
      </c>
      <c r="B86" s="180">
        <f>'AG Jul 2021'!G63</f>
        <v>42916</v>
      </c>
      <c r="C86" s="181">
        <f>91*'AG Jul 2021'!M63/100</f>
        <v>90.999999999999986</v>
      </c>
      <c r="D86" s="181">
        <f>($C$67*$C$68)*'AG Jul 2021'!N63/100</f>
        <v>138.95999999999998</v>
      </c>
      <c r="E86" s="181">
        <v>0</v>
      </c>
      <c r="F86" s="181">
        <f>($C$67*$C$69)*'AG Jul 2021'!AH63/100</f>
        <v>161.1</v>
      </c>
      <c r="G86" s="181">
        <f>($C$67*$C$70)*'AG Jul 2021'!W63/100</f>
        <v>77.219999999999985</v>
      </c>
      <c r="H86" s="183">
        <f t="shared" si="8"/>
        <v>468.27999999999992</v>
      </c>
      <c r="I86" s="202">
        <f t="shared" si="9"/>
        <v>2060.4319999999998</v>
      </c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5"/>
      <c r="AC86" s="325"/>
      <c r="AD86" s="325"/>
      <c r="AE86" s="325"/>
      <c r="AF86" s="325"/>
      <c r="AG86" s="325"/>
    </row>
    <row r="87" spans="1:177" x14ac:dyDescent="0.3">
      <c r="A87" s="179" t="str">
        <f>'AG Jul 2021'!K64</f>
        <v>Enova Energy</v>
      </c>
      <c r="B87" s="180">
        <f>'AG Jul 2021'!G64</f>
        <v>42928</v>
      </c>
      <c r="C87" s="181">
        <f>91*'AG Jul 2021'!M64/100</f>
        <v>71.972727272727255</v>
      </c>
      <c r="D87" s="181">
        <f>($C$67*$C$68)*'AG Jul 2021'!N64/100</f>
        <v>81.490909090909085</v>
      </c>
      <c r="E87" s="181">
        <v>0</v>
      </c>
      <c r="F87" s="181">
        <f>($C$67*$C$69)*'AG Jul 2021'!AH64/100</f>
        <v>203.72727272727269</v>
      </c>
      <c r="G87" s="181">
        <f>($C$67*$C$70)*'AG Jul 2021'!W64/100</f>
        <v>122.23636363636362</v>
      </c>
      <c r="H87" s="183">
        <f t="shared" si="8"/>
        <v>479.42727272727268</v>
      </c>
      <c r="I87" s="202">
        <f t="shared" si="9"/>
        <v>2109.48</v>
      </c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</row>
    <row r="88" spans="1:177" x14ac:dyDescent="0.3">
      <c r="A88" s="179" t="str">
        <f>'AG Jul 2021'!K65</f>
        <v>Discover Energy</v>
      </c>
      <c r="B88" s="180">
        <f>'AG Jul 2021'!G65</f>
        <v>42916</v>
      </c>
      <c r="C88" s="181">
        <f>91*'AG Jul 2021'!M65/100</f>
        <v>61.218181818181812</v>
      </c>
      <c r="D88" s="181">
        <f>($C$67*$C$68)*'AG Jul 2021'!N65/100</f>
        <v>162.35999999999999</v>
      </c>
      <c r="E88" s="181">
        <v>0</v>
      </c>
      <c r="F88" s="181">
        <f>($C$67*$C$69)*'AG Jul 2021'!AH65/100</f>
        <v>167.89090909090908</v>
      </c>
      <c r="G88" s="181">
        <f>($C$67*$C$70)*'AG Jul 2021'!W65/100</f>
        <v>82.22727272727272</v>
      </c>
      <c r="H88" s="183">
        <f t="shared" si="8"/>
        <v>473.69636363636357</v>
      </c>
      <c r="I88" s="202">
        <f t="shared" si="9"/>
        <v>2084.2639999999997</v>
      </c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5"/>
      <c r="AC88" s="325"/>
      <c r="AD88" s="325"/>
      <c r="AE88" s="325"/>
      <c r="AF88" s="325"/>
      <c r="AG88" s="325"/>
    </row>
    <row r="89" spans="1:177" x14ac:dyDescent="0.3">
      <c r="A89" s="179" t="str">
        <f>'AG Jul 2021'!K66</f>
        <v>Nectr</v>
      </c>
      <c r="B89" s="180">
        <f>'AG Jul 2021'!G66</f>
        <v>42936</v>
      </c>
      <c r="C89" s="181">
        <f>91*'AG Jul 2021'!M66/100</f>
        <v>82.99199999999999</v>
      </c>
      <c r="D89" s="181">
        <f>($C$67*$C$68)*'AG Jul 2021'!N66/100</f>
        <v>181.08</v>
      </c>
      <c r="E89" s="181">
        <v>0</v>
      </c>
      <c r="F89" s="181">
        <f>($C$67*$C$69)*'AG Jul 2021'!AH66/100</f>
        <v>208.8</v>
      </c>
      <c r="G89" s="181">
        <f>($C$67*$C$70)*'AG Jul 2021'!W66/100</f>
        <v>75.059999999999988</v>
      </c>
      <c r="H89" s="183">
        <f t="shared" si="8"/>
        <v>547.93200000000002</v>
      </c>
      <c r="I89" s="202">
        <f t="shared" si="9"/>
        <v>2410.9008000000003</v>
      </c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</row>
    <row r="90" spans="1:177" x14ac:dyDescent="0.3">
      <c r="A90" s="179" t="str">
        <f>'AG Jul 2021'!K67</f>
        <v>Sumo Power</v>
      </c>
      <c r="B90" s="180">
        <f>'AG Jul 2021'!G67</f>
        <v>42916</v>
      </c>
      <c r="C90" s="181">
        <f>91*'AG Jul 2021'!M67/100</f>
        <v>95.549999999999983</v>
      </c>
      <c r="D90" s="181">
        <f>($C$67*$C$68)*'AG Jul 2021'!N67/100</f>
        <v>132.84</v>
      </c>
      <c r="E90" s="181">
        <v>0</v>
      </c>
      <c r="F90" s="181">
        <f>($C$67*$C$69)*'AG Jul 2021'!AH67/100</f>
        <v>180</v>
      </c>
      <c r="G90" s="181">
        <f>($C$67*$C$70)*'AG Jul 2021'!W67/100</f>
        <v>90.818181818181799</v>
      </c>
      <c r="H90" s="183">
        <f t="shared" si="8"/>
        <v>499.2081818181818</v>
      </c>
      <c r="I90" s="202">
        <f t="shared" si="9"/>
        <v>2196.5160000000001</v>
      </c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177" s="266" customFormat="1" ht="14" thickBot="1" x14ac:dyDescent="0.35">
      <c r="A91" s="184" t="str">
        <f>'AG Jul 2021'!K68</f>
        <v>Tango Energy</v>
      </c>
      <c r="B91" s="185">
        <f>'AG Jul 2021'!G68</f>
        <v>42916</v>
      </c>
      <c r="C91" s="186">
        <f>91*'AG Jul 2021'!M68/100</f>
        <v>77.440999999999988</v>
      </c>
      <c r="D91" s="186">
        <f>($C$67*$C$68)*'AG Jul 2021'!N68/100</f>
        <v>97.199999999999989</v>
      </c>
      <c r="E91" s="186">
        <v>0</v>
      </c>
      <c r="F91" s="186">
        <f>($C$67*$C$69)*'AG Jul 2021'!AH68/100</f>
        <v>220.49999999999997</v>
      </c>
      <c r="G91" s="186">
        <f>($C$67*$C$70)*'AG Jul 2021'!W68/100</f>
        <v>118.79999999999998</v>
      </c>
      <c r="H91" s="188">
        <f t="shared" si="8"/>
        <v>513.94099999999992</v>
      </c>
      <c r="I91" s="203">
        <f t="shared" si="9"/>
        <v>2261.3404</v>
      </c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5"/>
      <c r="AE91" s="325"/>
      <c r="AF91" s="325"/>
      <c r="AG91" s="325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</row>
    <row r="92" spans="1:177" customFormat="1" x14ac:dyDescent="0.3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5"/>
      <c r="AC92" s="325"/>
      <c r="AD92" s="325"/>
      <c r="AE92" s="325"/>
      <c r="AF92" s="325"/>
      <c r="AG92" s="325"/>
    </row>
    <row r="93" spans="1:177" customFormat="1" x14ac:dyDescent="0.3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5"/>
      <c r="AC93" s="325"/>
      <c r="AD93" s="325"/>
      <c r="AE93" s="325"/>
      <c r="AF93" s="325"/>
      <c r="AG93" s="325"/>
    </row>
    <row r="94" spans="1:177" customFormat="1" x14ac:dyDescent="0.3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  <c r="AA94" s="325"/>
      <c r="AB94" s="325"/>
      <c r="AC94" s="325"/>
      <c r="AD94" s="325"/>
      <c r="AE94" s="325"/>
      <c r="AF94" s="325"/>
      <c r="AG94" s="325"/>
    </row>
    <row r="95" spans="1:177" customFormat="1" x14ac:dyDescent="0.3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</row>
    <row r="96" spans="1:177" customFormat="1" x14ac:dyDescent="0.3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  <c r="AA96" s="325"/>
      <c r="AB96" s="325"/>
      <c r="AC96" s="325"/>
      <c r="AD96" s="325"/>
      <c r="AE96" s="325"/>
      <c r="AF96" s="325"/>
      <c r="AG96" s="325"/>
    </row>
    <row r="97" spans="1:33" customFormat="1" x14ac:dyDescent="0.3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C97" s="325"/>
      <c r="AD97" s="325"/>
      <c r="AE97" s="325"/>
      <c r="AF97" s="325"/>
      <c r="AG97" s="325"/>
    </row>
    <row r="98" spans="1:33" customFormat="1" x14ac:dyDescent="0.3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</row>
    <row r="99" spans="1:33" customFormat="1" x14ac:dyDescent="0.3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5"/>
      <c r="AC99" s="325"/>
      <c r="AD99" s="325"/>
      <c r="AE99" s="325"/>
      <c r="AF99" s="325"/>
      <c r="AG99" s="325"/>
    </row>
    <row r="100" spans="1:33" customFormat="1" x14ac:dyDescent="0.3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  <c r="AA100" s="325"/>
      <c r="AB100" s="325"/>
      <c r="AC100" s="325"/>
      <c r="AD100" s="325"/>
      <c r="AE100" s="325"/>
      <c r="AF100" s="325"/>
      <c r="AG100" s="325"/>
    </row>
    <row r="101" spans="1:33" customFormat="1" x14ac:dyDescent="0.3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  <c r="AA101" s="325"/>
      <c r="AB101" s="325"/>
      <c r="AC101" s="325"/>
      <c r="AD101" s="325"/>
      <c r="AE101" s="325"/>
      <c r="AF101" s="325"/>
      <c r="AG101" s="325"/>
    </row>
    <row r="102" spans="1:33" customFormat="1" x14ac:dyDescent="0.3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  <c r="AA102" s="325"/>
      <c r="AB102" s="325"/>
      <c r="AC102" s="325"/>
      <c r="AD102" s="325"/>
      <c r="AE102" s="325"/>
      <c r="AF102" s="325"/>
      <c r="AG102" s="325"/>
    </row>
    <row r="103" spans="1:33" customFormat="1" x14ac:dyDescent="0.3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5"/>
      <c r="AC103" s="325"/>
      <c r="AD103" s="325"/>
      <c r="AE103" s="325"/>
      <c r="AF103" s="325"/>
      <c r="AG103" s="325"/>
    </row>
    <row r="104" spans="1:33" customFormat="1" x14ac:dyDescent="0.3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  <c r="AB104" s="325"/>
      <c r="AC104" s="325"/>
      <c r="AD104" s="325"/>
      <c r="AE104" s="325"/>
      <c r="AF104" s="325"/>
      <c r="AG104" s="325"/>
    </row>
    <row r="105" spans="1:33" customFormat="1" x14ac:dyDescent="0.3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5"/>
      <c r="AC105" s="325"/>
      <c r="AD105" s="325"/>
      <c r="AE105" s="325"/>
      <c r="AF105" s="325"/>
      <c r="AG105" s="325"/>
    </row>
    <row r="106" spans="1:33" customFormat="1" x14ac:dyDescent="0.3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</row>
    <row r="107" spans="1:33" customFormat="1" x14ac:dyDescent="0.3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5"/>
      <c r="AC107" s="325"/>
      <c r="AD107" s="325"/>
      <c r="AE107" s="325"/>
      <c r="AF107" s="325"/>
      <c r="AG107" s="325"/>
    </row>
    <row r="108" spans="1:33" customFormat="1" x14ac:dyDescent="0.3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325"/>
      <c r="AC108" s="325"/>
      <c r="AD108" s="325"/>
      <c r="AE108" s="325"/>
      <c r="AF108" s="325"/>
      <c r="AG108" s="325"/>
    </row>
    <row r="109" spans="1:33" customFormat="1" x14ac:dyDescent="0.3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  <c r="AB109" s="325"/>
      <c r="AC109" s="325"/>
      <c r="AD109" s="325"/>
      <c r="AE109" s="325"/>
      <c r="AF109" s="325"/>
      <c r="AG109" s="325"/>
    </row>
    <row r="110" spans="1:33" customFormat="1" x14ac:dyDescent="0.3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</row>
    <row r="111" spans="1:33" customFormat="1" x14ac:dyDescent="0.3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5"/>
      <c r="AC111" s="325"/>
      <c r="AD111" s="325"/>
      <c r="AE111" s="325"/>
      <c r="AF111" s="325"/>
      <c r="AG111" s="325"/>
    </row>
    <row r="112" spans="1:33" customFormat="1" x14ac:dyDescent="0.3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</row>
    <row r="113" spans="1:33" customFormat="1" x14ac:dyDescent="0.3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</row>
    <row r="114" spans="1:33" customFormat="1" x14ac:dyDescent="0.3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</row>
    <row r="115" spans="1:33" customFormat="1" x14ac:dyDescent="0.3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  <c r="AB115" s="325"/>
      <c r="AC115" s="325"/>
      <c r="AD115" s="325"/>
      <c r="AE115" s="325"/>
      <c r="AF115" s="325"/>
      <c r="AG115" s="325"/>
    </row>
    <row r="116" spans="1:33" customFormat="1" x14ac:dyDescent="0.3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</row>
    <row r="117" spans="1:33" customFormat="1" x14ac:dyDescent="0.3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  <c r="AB117" s="325"/>
      <c r="AC117" s="325"/>
      <c r="AD117" s="325"/>
      <c r="AE117" s="325"/>
      <c r="AF117" s="325"/>
      <c r="AG117" s="325"/>
    </row>
    <row r="118" spans="1:33" customFormat="1" x14ac:dyDescent="0.3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  <c r="AE118" s="325"/>
      <c r="AF118" s="325"/>
      <c r="AG118" s="325"/>
    </row>
    <row r="119" spans="1:33" customFormat="1" x14ac:dyDescent="0.3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/>
      <c r="AB119" s="325"/>
      <c r="AC119" s="325"/>
      <c r="AD119" s="325"/>
      <c r="AE119" s="325"/>
      <c r="AF119" s="325"/>
      <c r="AG119" s="325"/>
    </row>
    <row r="120" spans="1:33" customFormat="1" x14ac:dyDescent="0.3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  <c r="AE120" s="325"/>
      <c r="AF120" s="325"/>
      <c r="AG120" s="325"/>
    </row>
    <row r="121" spans="1:33" customFormat="1" x14ac:dyDescent="0.3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  <c r="AA121" s="325"/>
      <c r="AB121" s="325"/>
      <c r="AC121" s="325"/>
      <c r="AD121" s="325"/>
      <c r="AE121" s="325"/>
      <c r="AF121" s="325"/>
      <c r="AG121" s="325"/>
    </row>
    <row r="122" spans="1:33" customFormat="1" x14ac:dyDescent="0.3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  <c r="AA122" s="325"/>
      <c r="AB122" s="325"/>
      <c r="AC122" s="325"/>
      <c r="AD122" s="325"/>
      <c r="AE122" s="325"/>
      <c r="AF122" s="325"/>
      <c r="AG122" s="325"/>
    </row>
    <row r="123" spans="1:33" customFormat="1" x14ac:dyDescent="0.3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</row>
    <row r="124" spans="1:33" customFormat="1" x14ac:dyDescent="0.3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  <c r="AA124" s="325"/>
      <c r="AB124" s="325"/>
      <c r="AC124" s="325"/>
      <c r="AD124" s="325"/>
      <c r="AE124" s="325"/>
      <c r="AF124" s="325"/>
      <c r="AG124" s="325"/>
    </row>
    <row r="125" spans="1:33" customFormat="1" x14ac:dyDescent="0.3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  <c r="AB125" s="325"/>
      <c r="AC125" s="325"/>
      <c r="AD125" s="325"/>
      <c r="AE125" s="325"/>
      <c r="AF125" s="325"/>
      <c r="AG125" s="325"/>
    </row>
    <row r="126" spans="1:33" customFormat="1" x14ac:dyDescent="0.3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  <c r="AB126" s="325"/>
      <c r="AC126" s="325"/>
      <c r="AD126" s="325"/>
      <c r="AE126" s="325"/>
      <c r="AF126" s="325"/>
      <c r="AG126" s="325"/>
    </row>
    <row r="127" spans="1:33" customFormat="1" x14ac:dyDescent="0.3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  <c r="AE127" s="325"/>
      <c r="AF127" s="325"/>
      <c r="AG127" s="325"/>
    </row>
    <row r="128" spans="1:33" customFormat="1" x14ac:dyDescent="0.3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  <c r="AA128" s="325"/>
      <c r="AB128" s="325"/>
      <c r="AC128" s="325"/>
      <c r="AD128" s="325"/>
      <c r="AE128" s="325"/>
      <c r="AF128" s="325"/>
      <c r="AG128" s="325"/>
    </row>
    <row r="129" spans="1:33" customFormat="1" x14ac:dyDescent="0.3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325"/>
      <c r="AB129" s="325"/>
      <c r="AC129" s="325"/>
      <c r="AD129" s="325"/>
      <c r="AE129" s="325"/>
      <c r="AF129" s="325"/>
      <c r="AG129" s="325"/>
    </row>
    <row r="130" spans="1:33" customFormat="1" x14ac:dyDescent="0.3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325"/>
      <c r="AB130" s="325"/>
      <c r="AC130" s="325"/>
      <c r="AD130" s="325"/>
      <c r="AE130" s="325"/>
      <c r="AF130" s="325"/>
      <c r="AG130" s="325"/>
    </row>
    <row r="131" spans="1:33" customFormat="1" x14ac:dyDescent="0.3"/>
    <row r="132" spans="1:33" customFormat="1" x14ac:dyDescent="0.3"/>
    <row r="133" spans="1:33" customFormat="1" x14ac:dyDescent="0.3"/>
    <row r="134" spans="1:33" customFormat="1" x14ac:dyDescent="0.3"/>
    <row r="135" spans="1:33" customFormat="1" x14ac:dyDescent="0.3"/>
    <row r="136" spans="1:33" customFormat="1" x14ac:dyDescent="0.3"/>
    <row r="137" spans="1:33" customFormat="1" x14ac:dyDescent="0.3"/>
    <row r="138" spans="1:33" customFormat="1" x14ac:dyDescent="0.3"/>
    <row r="139" spans="1:33" customFormat="1" x14ac:dyDescent="0.3"/>
    <row r="140" spans="1:33" customFormat="1" x14ac:dyDescent="0.3"/>
    <row r="141" spans="1:33" customFormat="1" x14ac:dyDescent="0.3"/>
    <row r="142" spans="1:33" customFormat="1" x14ac:dyDescent="0.3"/>
    <row r="143" spans="1:33" customFormat="1" x14ac:dyDescent="0.3"/>
    <row r="144" spans="1:33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  <row r="1584" customFormat="1" x14ac:dyDescent="0.3"/>
    <row r="1585" customFormat="1" x14ac:dyDescent="0.3"/>
    <row r="1586" customFormat="1" x14ac:dyDescent="0.3"/>
    <row r="1587" customFormat="1" x14ac:dyDescent="0.3"/>
    <row r="1588" customFormat="1" x14ac:dyDescent="0.3"/>
    <row r="1589" customFormat="1" x14ac:dyDescent="0.3"/>
    <row r="1590" customFormat="1" x14ac:dyDescent="0.3"/>
    <row r="1591" customFormat="1" x14ac:dyDescent="0.3"/>
    <row r="1592" customFormat="1" x14ac:dyDescent="0.3"/>
    <row r="1593" customFormat="1" x14ac:dyDescent="0.3"/>
    <row r="1594" customFormat="1" x14ac:dyDescent="0.3"/>
    <row r="1595" customFormat="1" x14ac:dyDescent="0.3"/>
    <row r="1596" customFormat="1" x14ac:dyDescent="0.3"/>
    <row r="1597" customFormat="1" x14ac:dyDescent="0.3"/>
    <row r="1598" customFormat="1" x14ac:dyDescent="0.3"/>
    <row r="1599" customFormat="1" x14ac:dyDescent="0.3"/>
    <row r="1600" customFormat="1" x14ac:dyDescent="0.3"/>
    <row r="1601" customFormat="1" x14ac:dyDescent="0.3"/>
    <row r="1602" customFormat="1" x14ac:dyDescent="0.3"/>
    <row r="1603" customFormat="1" x14ac:dyDescent="0.3"/>
    <row r="1604" customFormat="1" x14ac:dyDescent="0.3"/>
    <row r="1605" customFormat="1" x14ac:dyDescent="0.3"/>
    <row r="1606" customFormat="1" x14ac:dyDescent="0.3"/>
    <row r="1607" customFormat="1" x14ac:dyDescent="0.3"/>
    <row r="1608" customFormat="1" x14ac:dyDescent="0.3"/>
    <row r="1609" customFormat="1" x14ac:dyDescent="0.3"/>
    <row r="1610" customFormat="1" x14ac:dyDescent="0.3"/>
    <row r="1611" customFormat="1" x14ac:dyDescent="0.3"/>
    <row r="1612" customFormat="1" x14ac:dyDescent="0.3"/>
    <row r="1613" customFormat="1" x14ac:dyDescent="0.3"/>
    <row r="1614" customFormat="1" x14ac:dyDescent="0.3"/>
    <row r="1615" customFormat="1" x14ac:dyDescent="0.3"/>
    <row r="1616" customFormat="1" x14ac:dyDescent="0.3"/>
    <row r="1617" customFormat="1" x14ac:dyDescent="0.3"/>
    <row r="1618" customFormat="1" x14ac:dyDescent="0.3"/>
    <row r="1619" customFormat="1" x14ac:dyDescent="0.3"/>
    <row r="1620" customFormat="1" x14ac:dyDescent="0.3"/>
    <row r="1621" customFormat="1" x14ac:dyDescent="0.3"/>
    <row r="1622" customFormat="1" x14ac:dyDescent="0.3"/>
    <row r="1623" customFormat="1" x14ac:dyDescent="0.3"/>
    <row r="1624" customFormat="1" x14ac:dyDescent="0.3"/>
    <row r="1625" customFormat="1" x14ac:dyDescent="0.3"/>
    <row r="1626" customFormat="1" x14ac:dyDescent="0.3"/>
    <row r="1627" customFormat="1" x14ac:dyDescent="0.3"/>
    <row r="1628" customFormat="1" x14ac:dyDescent="0.3"/>
    <row r="1629" customFormat="1" x14ac:dyDescent="0.3"/>
    <row r="1630" customFormat="1" x14ac:dyDescent="0.3"/>
    <row r="1631" customFormat="1" x14ac:dyDescent="0.3"/>
    <row r="1632" customFormat="1" x14ac:dyDescent="0.3"/>
    <row r="1633" customFormat="1" x14ac:dyDescent="0.3"/>
    <row r="1634" customFormat="1" x14ac:dyDescent="0.3"/>
    <row r="1635" customFormat="1" x14ac:dyDescent="0.3"/>
    <row r="1636" customFormat="1" x14ac:dyDescent="0.3"/>
    <row r="1637" customFormat="1" x14ac:dyDescent="0.3"/>
    <row r="1638" customFormat="1" x14ac:dyDescent="0.3"/>
    <row r="1639" customFormat="1" x14ac:dyDescent="0.3"/>
    <row r="1640" customFormat="1" x14ac:dyDescent="0.3"/>
    <row r="1641" customFormat="1" x14ac:dyDescent="0.3"/>
    <row r="1642" customFormat="1" x14ac:dyDescent="0.3"/>
    <row r="1643" customFormat="1" x14ac:dyDescent="0.3"/>
    <row r="1644" customFormat="1" x14ac:dyDescent="0.3"/>
    <row r="1645" customFormat="1" x14ac:dyDescent="0.3"/>
    <row r="1646" customFormat="1" x14ac:dyDescent="0.3"/>
    <row r="1647" customFormat="1" x14ac:dyDescent="0.3"/>
    <row r="1648" customFormat="1" x14ac:dyDescent="0.3"/>
    <row r="1649" customFormat="1" x14ac:dyDescent="0.3"/>
    <row r="1650" customFormat="1" x14ac:dyDescent="0.3"/>
    <row r="1651" customFormat="1" x14ac:dyDescent="0.3"/>
    <row r="1652" customFormat="1" x14ac:dyDescent="0.3"/>
    <row r="1653" customFormat="1" x14ac:dyDescent="0.3"/>
    <row r="1654" customFormat="1" x14ac:dyDescent="0.3"/>
    <row r="1655" customFormat="1" x14ac:dyDescent="0.3"/>
    <row r="1656" customFormat="1" x14ac:dyDescent="0.3"/>
    <row r="1657" customFormat="1" x14ac:dyDescent="0.3"/>
    <row r="1658" customFormat="1" x14ac:dyDescent="0.3"/>
    <row r="1659" customFormat="1" x14ac:dyDescent="0.3"/>
    <row r="1660" customFormat="1" x14ac:dyDescent="0.3"/>
    <row r="1661" customFormat="1" x14ac:dyDescent="0.3"/>
    <row r="1662" customFormat="1" x14ac:dyDescent="0.3"/>
    <row r="1663" customFormat="1" x14ac:dyDescent="0.3"/>
    <row r="1664" customFormat="1" x14ac:dyDescent="0.3"/>
    <row r="1665" customFormat="1" x14ac:dyDescent="0.3"/>
    <row r="1666" customFormat="1" x14ac:dyDescent="0.3"/>
    <row r="1667" customFormat="1" x14ac:dyDescent="0.3"/>
    <row r="1668" customFormat="1" x14ac:dyDescent="0.3"/>
    <row r="1669" customFormat="1" x14ac:dyDescent="0.3"/>
    <row r="1670" customFormat="1" x14ac:dyDescent="0.3"/>
    <row r="1671" customFormat="1" x14ac:dyDescent="0.3"/>
    <row r="1672" customFormat="1" x14ac:dyDescent="0.3"/>
    <row r="1673" customFormat="1" x14ac:dyDescent="0.3"/>
    <row r="1674" customFormat="1" x14ac:dyDescent="0.3"/>
    <row r="1675" customFormat="1" x14ac:dyDescent="0.3"/>
    <row r="1676" customFormat="1" x14ac:dyDescent="0.3"/>
    <row r="1677" customFormat="1" x14ac:dyDescent="0.3"/>
    <row r="1678" customFormat="1" x14ac:dyDescent="0.3"/>
    <row r="1679" customFormat="1" x14ac:dyDescent="0.3"/>
    <row r="1680" customFormat="1" x14ac:dyDescent="0.3"/>
    <row r="1681" customFormat="1" x14ac:dyDescent="0.3"/>
    <row r="1682" customFormat="1" x14ac:dyDescent="0.3"/>
    <row r="1683" customFormat="1" x14ac:dyDescent="0.3"/>
    <row r="1684" customFormat="1" x14ac:dyDescent="0.3"/>
    <row r="1685" customFormat="1" x14ac:dyDescent="0.3"/>
    <row r="1686" customFormat="1" x14ac:dyDescent="0.3"/>
    <row r="1687" customFormat="1" x14ac:dyDescent="0.3"/>
    <row r="1688" customFormat="1" x14ac:dyDescent="0.3"/>
    <row r="1689" customFormat="1" x14ac:dyDescent="0.3"/>
    <row r="1690" customFormat="1" x14ac:dyDescent="0.3"/>
    <row r="1691" customFormat="1" x14ac:dyDescent="0.3"/>
    <row r="1692" customFormat="1" x14ac:dyDescent="0.3"/>
    <row r="1693" customFormat="1" x14ac:dyDescent="0.3"/>
    <row r="1694" customFormat="1" x14ac:dyDescent="0.3"/>
    <row r="1695" customFormat="1" x14ac:dyDescent="0.3"/>
    <row r="1696" customFormat="1" x14ac:dyDescent="0.3"/>
    <row r="1697" customFormat="1" x14ac:dyDescent="0.3"/>
    <row r="1698" customFormat="1" x14ac:dyDescent="0.3"/>
    <row r="1699" customFormat="1" x14ac:dyDescent="0.3"/>
    <row r="1700" customFormat="1" x14ac:dyDescent="0.3"/>
    <row r="1701" customFormat="1" x14ac:dyDescent="0.3"/>
    <row r="1702" customFormat="1" x14ac:dyDescent="0.3"/>
    <row r="1703" customFormat="1" x14ac:dyDescent="0.3"/>
    <row r="1704" customFormat="1" x14ac:dyDescent="0.3"/>
    <row r="1705" customFormat="1" x14ac:dyDescent="0.3"/>
    <row r="1706" customFormat="1" x14ac:dyDescent="0.3"/>
    <row r="1707" customFormat="1" x14ac:dyDescent="0.3"/>
    <row r="1708" customFormat="1" x14ac:dyDescent="0.3"/>
    <row r="1709" customFormat="1" x14ac:dyDescent="0.3"/>
    <row r="1710" customFormat="1" x14ac:dyDescent="0.3"/>
    <row r="1711" customFormat="1" x14ac:dyDescent="0.3"/>
    <row r="1712" customFormat="1" x14ac:dyDescent="0.3"/>
    <row r="1713" customFormat="1" x14ac:dyDescent="0.3"/>
    <row r="1714" customFormat="1" x14ac:dyDescent="0.3"/>
    <row r="1715" customFormat="1" x14ac:dyDescent="0.3"/>
    <row r="1716" customFormat="1" x14ac:dyDescent="0.3"/>
    <row r="1717" customFormat="1" x14ac:dyDescent="0.3"/>
    <row r="1718" customFormat="1" x14ac:dyDescent="0.3"/>
    <row r="1719" customFormat="1" x14ac:dyDescent="0.3"/>
    <row r="1720" customFormat="1" x14ac:dyDescent="0.3"/>
    <row r="1721" customFormat="1" x14ac:dyDescent="0.3"/>
    <row r="1722" customFormat="1" x14ac:dyDescent="0.3"/>
    <row r="1723" customFormat="1" x14ac:dyDescent="0.3"/>
    <row r="1724" customFormat="1" x14ac:dyDescent="0.3"/>
    <row r="1725" customFormat="1" x14ac:dyDescent="0.3"/>
    <row r="1726" customFormat="1" x14ac:dyDescent="0.3"/>
    <row r="1727" customFormat="1" x14ac:dyDescent="0.3"/>
    <row r="1728" customFormat="1" x14ac:dyDescent="0.3"/>
    <row r="1729" customFormat="1" x14ac:dyDescent="0.3"/>
    <row r="1730" customFormat="1" x14ac:dyDescent="0.3"/>
    <row r="1731" customFormat="1" x14ac:dyDescent="0.3"/>
    <row r="1732" customFormat="1" x14ac:dyDescent="0.3"/>
    <row r="1733" customFormat="1" x14ac:dyDescent="0.3"/>
    <row r="1734" customFormat="1" x14ac:dyDescent="0.3"/>
    <row r="1735" customFormat="1" x14ac:dyDescent="0.3"/>
    <row r="1736" customFormat="1" x14ac:dyDescent="0.3"/>
    <row r="1737" customFormat="1" x14ac:dyDescent="0.3"/>
    <row r="1738" customFormat="1" x14ac:dyDescent="0.3"/>
    <row r="1739" customFormat="1" x14ac:dyDescent="0.3"/>
    <row r="1740" customFormat="1" x14ac:dyDescent="0.3"/>
    <row r="1741" customFormat="1" x14ac:dyDescent="0.3"/>
    <row r="1742" customFormat="1" x14ac:dyDescent="0.3"/>
    <row r="1743" customFormat="1" x14ac:dyDescent="0.3"/>
    <row r="1744" customFormat="1" x14ac:dyDescent="0.3"/>
    <row r="1745" customFormat="1" x14ac:dyDescent="0.3"/>
    <row r="1746" customFormat="1" x14ac:dyDescent="0.3"/>
    <row r="1747" customFormat="1" x14ac:dyDescent="0.3"/>
    <row r="1748" customFormat="1" x14ac:dyDescent="0.3"/>
    <row r="1749" customFormat="1" x14ac:dyDescent="0.3"/>
    <row r="1750" customFormat="1" x14ac:dyDescent="0.3"/>
    <row r="1751" customFormat="1" x14ac:dyDescent="0.3"/>
    <row r="1752" customFormat="1" x14ac:dyDescent="0.3"/>
    <row r="1753" customFormat="1" x14ac:dyDescent="0.3"/>
    <row r="1754" customFormat="1" x14ac:dyDescent="0.3"/>
    <row r="1755" customFormat="1" x14ac:dyDescent="0.3"/>
    <row r="1756" customFormat="1" x14ac:dyDescent="0.3"/>
    <row r="1757" customFormat="1" x14ac:dyDescent="0.3"/>
    <row r="1758" customFormat="1" x14ac:dyDescent="0.3"/>
    <row r="1759" customFormat="1" x14ac:dyDescent="0.3"/>
    <row r="1760" customFormat="1" x14ac:dyDescent="0.3"/>
    <row r="1761" customFormat="1" x14ac:dyDescent="0.3"/>
    <row r="1762" customFormat="1" x14ac:dyDescent="0.3"/>
    <row r="1763" customFormat="1" x14ac:dyDescent="0.3"/>
    <row r="1764" customFormat="1" x14ac:dyDescent="0.3"/>
    <row r="1765" customFormat="1" x14ac:dyDescent="0.3"/>
    <row r="1766" customFormat="1" x14ac:dyDescent="0.3"/>
    <row r="1767" customFormat="1" x14ac:dyDescent="0.3"/>
    <row r="1768" customFormat="1" x14ac:dyDescent="0.3"/>
    <row r="1769" customFormat="1" x14ac:dyDescent="0.3"/>
    <row r="1770" customFormat="1" x14ac:dyDescent="0.3"/>
    <row r="1771" customFormat="1" x14ac:dyDescent="0.3"/>
    <row r="1772" customFormat="1" x14ac:dyDescent="0.3"/>
    <row r="1773" customFormat="1" x14ac:dyDescent="0.3"/>
    <row r="1774" customFormat="1" x14ac:dyDescent="0.3"/>
    <row r="1775" customFormat="1" x14ac:dyDescent="0.3"/>
    <row r="1776" customFormat="1" x14ac:dyDescent="0.3"/>
    <row r="1777" customFormat="1" x14ac:dyDescent="0.3"/>
    <row r="1778" customFormat="1" x14ac:dyDescent="0.3"/>
    <row r="1779" customFormat="1" x14ac:dyDescent="0.3"/>
    <row r="1780" customFormat="1" x14ac:dyDescent="0.3"/>
    <row r="1781" customFormat="1" x14ac:dyDescent="0.3"/>
    <row r="1782" customFormat="1" x14ac:dyDescent="0.3"/>
    <row r="1783" customFormat="1" x14ac:dyDescent="0.3"/>
    <row r="1784" customFormat="1" x14ac:dyDescent="0.3"/>
    <row r="1785" customFormat="1" x14ac:dyDescent="0.3"/>
    <row r="1786" customFormat="1" x14ac:dyDescent="0.3"/>
    <row r="1787" customFormat="1" x14ac:dyDescent="0.3"/>
    <row r="1788" customFormat="1" x14ac:dyDescent="0.3"/>
    <row r="1789" customFormat="1" x14ac:dyDescent="0.3"/>
    <row r="1790" customFormat="1" x14ac:dyDescent="0.3"/>
    <row r="1791" customFormat="1" x14ac:dyDescent="0.3"/>
    <row r="1792" customFormat="1" x14ac:dyDescent="0.3"/>
    <row r="1793" customFormat="1" x14ac:dyDescent="0.3"/>
    <row r="1794" customFormat="1" x14ac:dyDescent="0.3"/>
    <row r="1795" customFormat="1" x14ac:dyDescent="0.3"/>
    <row r="1796" customFormat="1" x14ac:dyDescent="0.3"/>
    <row r="1797" customFormat="1" x14ac:dyDescent="0.3"/>
    <row r="1798" customFormat="1" x14ac:dyDescent="0.3"/>
    <row r="1799" customFormat="1" x14ac:dyDescent="0.3"/>
    <row r="1800" customFormat="1" x14ac:dyDescent="0.3"/>
    <row r="1801" customFormat="1" x14ac:dyDescent="0.3"/>
    <row r="1802" customFormat="1" x14ac:dyDescent="0.3"/>
    <row r="1803" customFormat="1" x14ac:dyDescent="0.3"/>
    <row r="1804" customFormat="1" x14ac:dyDescent="0.3"/>
    <row r="1805" customFormat="1" x14ac:dyDescent="0.3"/>
    <row r="1806" customFormat="1" x14ac:dyDescent="0.3"/>
    <row r="1807" customFormat="1" x14ac:dyDescent="0.3"/>
    <row r="1808" customFormat="1" x14ac:dyDescent="0.3"/>
    <row r="1809" customFormat="1" x14ac:dyDescent="0.3"/>
    <row r="1810" customFormat="1" x14ac:dyDescent="0.3"/>
    <row r="1811" customFormat="1" x14ac:dyDescent="0.3"/>
    <row r="1812" customFormat="1" x14ac:dyDescent="0.3"/>
    <row r="1813" customFormat="1" x14ac:dyDescent="0.3"/>
    <row r="1814" customFormat="1" x14ac:dyDescent="0.3"/>
    <row r="1815" customFormat="1" x14ac:dyDescent="0.3"/>
    <row r="1816" customFormat="1" x14ac:dyDescent="0.3"/>
    <row r="1817" customFormat="1" x14ac:dyDescent="0.3"/>
    <row r="1818" customFormat="1" x14ac:dyDescent="0.3"/>
    <row r="1819" customFormat="1" x14ac:dyDescent="0.3"/>
    <row r="1820" customFormat="1" x14ac:dyDescent="0.3"/>
    <row r="1821" customFormat="1" x14ac:dyDescent="0.3"/>
    <row r="1822" customFormat="1" x14ac:dyDescent="0.3"/>
    <row r="1823" customFormat="1" x14ac:dyDescent="0.3"/>
    <row r="1824" customFormat="1" x14ac:dyDescent="0.3"/>
    <row r="1825" customFormat="1" x14ac:dyDescent="0.3"/>
    <row r="1826" customFormat="1" x14ac:dyDescent="0.3"/>
    <row r="1827" customFormat="1" x14ac:dyDescent="0.3"/>
    <row r="1828" customFormat="1" x14ac:dyDescent="0.3"/>
    <row r="1829" customFormat="1" x14ac:dyDescent="0.3"/>
    <row r="1830" customFormat="1" x14ac:dyDescent="0.3"/>
    <row r="1831" customFormat="1" x14ac:dyDescent="0.3"/>
    <row r="1832" customFormat="1" x14ac:dyDescent="0.3"/>
    <row r="1833" customFormat="1" x14ac:dyDescent="0.3"/>
    <row r="1834" customFormat="1" x14ac:dyDescent="0.3"/>
    <row r="1835" customFormat="1" x14ac:dyDescent="0.3"/>
    <row r="1836" customFormat="1" x14ac:dyDescent="0.3"/>
    <row r="1837" customFormat="1" x14ac:dyDescent="0.3"/>
    <row r="1838" customFormat="1" x14ac:dyDescent="0.3"/>
    <row r="1839" customFormat="1" x14ac:dyDescent="0.3"/>
    <row r="1840" customFormat="1" x14ac:dyDescent="0.3"/>
    <row r="1841" customFormat="1" x14ac:dyDescent="0.3"/>
    <row r="1842" customFormat="1" x14ac:dyDescent="0.3"/>
    <row r="1843" customFormat="1" x14ac:dyDescent="0.3"/>
    <row r="1844" customFormat="1" x14ac:dyDescent="0.3"/>
    <row r="1845" customFormat="1" x14ac:dyDescent="0.3"/>
    <row r="1846" customFormat="1" x14ac:dyDescent="0.3"/>
    <row r="1847" customFormat="1" x14ac:dyDescent="0.3"/>
    <row r="1848" customFormat="1" x14ac:dyDescent="0.3"/>
    <row r="1849" customFormat="1" x14ac:dyDescent="0.3"/>
    <row r="1850" customFormat="1" x14ac:dyDescent="0.3"/>
    <row r="1851" customFormat="1" x14ac:dyDescent="0.3"/>
    <row r="1852" customFormat="1" x14ac:dyDescent="0.3"/>
    <row r="1853" customFormat="1" x14ac:dyDescent="0.3"/>
    <row r="1854" customFormat="1" x14ac:dyDescent="0.3"/>
    <row r="1855" customFormat="1" x14ac:dyDescent="0.3"/>
    <row r="1856" customFormat="1" x14ac:dyDescent="0.3"/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x14ac:dyDescent="0.3"/>
    <row r="1890" customFormat="1" x14ac:dyDescent="0.3"/>
    <row r="1891" customFormat="1" x14ac:dyDescent="0.3"/>
    <row r="1892" customFormat="1" x14ac:dyDescent="0.3"/>
    <row r="1893" customFormat="1" x14ac:dyDescent="0.3"/>
    <row r="1894" customFormat="1" x14ac:dyDescent="0.3"/>
    <row r="1895" customFormat="1" x14ac:dyDescent="0.3"/>
    <row r="1896" customFormat="1" x14ac:dyDescent="0.3"/>
    <row r="1897" customFormat="1" x14ac:dyDescent="0.3"/>
    <row r="1898" customFormat="1" x14ac:dyDescent="0.3"/>
    <row r="1899" customFormat="1" x14ac:dyDescent="0.3"/>
    <row r="1900" customFormat="1" x14ac:dyDescent="0.3"/>
    <row r="1901" customFormat="1" x14ac:dyDescent="0.3"/>
    <row r="1902" customFormat="1" x14ac:dyDescent="0.3"/>
    <row r="1903" customFormat="1" x14ac:dyDescent="0.3"/>
    <row r="1904" customFormat="1" x14ac:dyDescent="0.3"/>
    <row r="1905" customFormat="1" x14ac:dyDescent="0.3"/>
    <row r="1906" customFormat="1" x14ac:dyDescent="0.3"/>
    <row r="1907" customFormat="1" x14ac:dyDescent="0.3"/>
    <row r="1908" customFormat="1" x14ac:dyDescent="0.3"/>
    <row r="1909" customFormat="1" x14ac:dyDescent="0.3"/>
    <row r="1910" customFormat="1" x14ac:dyDescent="0.3"/>
    <row r="1911" customFormat="1" x14ac:dyDescent="0.3"/>
    <row r="1912" customFormat="1" x14ac:dyDescent="0.3"/>
    <row r="1913" customFormat="1" x14ac:dyDescent="0.3"/>
    <row r="1914" customFormat="1" x14ac:dyDescent="0.3"/>
    <row r="1915" customFormat="1" x14ac:dyDescent="0.3"/>
    <row r="1916" customFormat="1" x14ac:dyDescent="0.3"/>
    <row r="1917" customFormat="1" x14ac:dyDescent="0.3"/>
    <row r="1918" customFormat="1" x14ac:dyDescent="0.3"/>
    <row r="1919" customFormat="1" x14ac:dyDescent="0.3"/>
    <row r="1920" customFormat="1" x14ac:dyDescent="0.3"/>
    <row r="1921" customFormat="1" x14ac:dyDescent="0.3"/>
    <row r="1922" customFormat="1" x14ac:dyDescent="0.3"/>
    <row r="1923" customFormat="1" x14ac:dyDescent="0.3"/>
    <row r="1924" customFormat="1" x14ac:dyDescent="0.3"/>
    <row r="1925" customFormat="1" x14ac:dyDescent="0.3"/>
    <row r="1926" customFormat="1" x14ac:dyDescent="0.3"/>
    <row r="1927" customFormat="1" x14ac:dyDescent="0.3"/>
    <row r="1928" customFormat="1" x14ac:dyDescent="0.3"/>
    <row r="1929" customFormat="1" x14ac:dyDescent="0.3"/>
    <row r="1930" customFormat="1" x14ac:dyDescent="0.3"/>
    <row r="1931" customFormat="1" x14ac:dyDescent="0.3"/>
    <row r="1932" customFormat="1" x14ac:dyDescent="0.3"/>
    <row r="1933" customFormat="1" x14ac:dyDescent="0.3"/>
    <row r="1934" customFormat="1" x14ac:dyDescent="0.3"/>
    <row r="1935" customFormat="1" x14ac:dyDescent="0.3"/>
    <row r="1936" customFormat="1" x14ac:dyDescent="0.3"/>
    <row r="1937" customFormat="1" x14ac:dyDescent="0.3"/>
    <row r="1938" customFormat="1" x14ac:dyDescent="0.3"/>
    <row r="1939" customFormat="1" x14ac:dyDescent="0.3"/>
    <row r="1940" customFormat="1" x14ac:dyDescent="0.3"/>
    <row r="1941" customFormat="1" x14ac:dyDescent="0.3"/>
    <row r="1942" customFormat="1" x14ac:dyDescent="0.3"/>
    <row r="1943" customFormat="1" x14ac:dyDescent="0.3"/>
    <row r="1944" customFormat="1" x14ac:dyDescent="0.3"/>
    <row r="1945" customFormat="1" x14ac:dyDescent="0.3"/>
    <row r="1946" customFormat="1" x14ac:dyDescent="0.3"/>
    <row r="1947" customFormat="1" x14ac:dyDescent="0.3"/>
    <row r="1948" customFormat="1" x14ac:dyDescent="0.3"/>
    <row r="1949" customFormat="1" x14ac:dyDescent="0.3"/>
    <row r="1950" customFormat="1" x14ac:dyDescent="0.3"/>
    <row r="1951" customFormat="1" x14ac:dyDescent="0.3"/>
    <row r="1952" customFormat="1" x14ac:dyDescent="0.3"/>
    <row r="1953" customFormat="1" x14ac:dyDescent="0.3"/>
    <row r="1954" customFormat="1" x14ac:dyDescent="0.3"/>
    <row r="1955" customFormat="1" x14ac:dyDescent="0.3"/>
    <row r="1956" customFormat="1" x14ac:dyDescent="0.3"/>
    <row r="1957" customFormat="1" x14ac:dyDescent="0.3"/>
    <row r="1958" customFormat="1" x14ac:dyDescent="0.3"/>
    <row r="1959" customFormat="1" x14ac:dyDescent="0.3"/>
    <row r="1960" customFormat="1" x14ac:dyDescent="0.3"/>
    <row r="1961" customFormat="1" x14ac:dyDescent="0.3"/>
    <row r="1962" customFormat="1" x14ac:dyDescent="0.3"/>
    <row r="1963" customFormat="1" x14ac:dyDescent="0.3"/>
    <row r="1964" customFormat="1" x14ac:dyDescent="0.3"/>
    <row r="1965" customFormat="1" x14ac:dyDescent="0.3"/>
    <row r="1966" customFormat="1" x14ac:dyDescent="0.3"/>
    <row r="1967" customFormat="1" x14ac:dyDescent="0.3"/>
    <row r="1968" customFormat="1" x14ac:dyDescent="0.3"/>
    <row r="1969" customFormat="1" x14ac:dyDescent="0.3"/>
    <row r="1970" customFormat="1" x14ac:dyDescent="0.3"/>
    <row r="1971" customFormat="1" x14ac:dyDescent="0.3"/>
    <row r="1972" customFormat="1" x14ac:dyDescent="0.3"/>
    <row r="1973" customFormat="1" x14ac:dyDescent="0.3"/>
    <row r="1974" customFormat="1" x14ac:dyDescent="0.3"/>
    <row r="1975" customFormat="1" x14ac:dyDescent="0.3"/>
    <row r="1976" customFormat="1" x14ac:dyDescent="0.3"/>
    <row r="1977" customFormat="1" x14ac:dyDescent="0.3"/>
    <row r="1978" customFormat="1" x14ac:dyDescent="0.3"/>
    <row r="1979" customFormat="1" x14ac:dyDescent="0.3"/>
    <row r="1980" customFormat="1" x14ac:dyDescent="0.3"/>
    <row r="1981" customFormat="1" x14ac:dyDescent="0.3"/>
    <row r="1982" customFormat="1" x14ac:dyDescent="0.3"/>
    <row r="1983" customFormat="1" x14ac:dyDescent="0.3"/>
    <row r="1984" customFormat="1" x14ac:dyDescent="0.3"/>
    <row r="1985" customFormat="1" x14ac:dyDescent="0.3"/>
    <row r="1986" customFormat="1" x14ac:dyDescent="0.3"/>
    <row r="1987" customFormat="1" x14ac:dyDescent="0.3"/>
    <row r="1988" customFormat="1" x14ac:dyDescent="0.3"/>
    <row r="1989" customFormat="1" x14ac:dyDescent="0.3"/>
    <row r="1990" customFormat="1" x14ac:dyDescent="0.3"/>
    <row r="1991" customFormat="1" x14ac:dyDescent="0.3"/>
    <row r="1992" customFormat="1" x14ac:dyDescent="0.3"/>
    <row r="1993" customFormat="1" x14ac:dyDescent="0.3"/>
    <row r="1994" customFormat="1" x14ac:dyDescent="0.3"/>
    <row r="1995" customFormat="1" x14ac:dyDescent="0.3"/>
    <row r="1996" customFormat="1" x14ac:dyDescent="0.3"/>
    <row r="1997" customFormat="1" x14ac:dyDescent="0.3"/>
    <row r="1998" customFormat="1" x14ac:dyDescent="0.3"/>
    <row r="1999" customFormat="1" x14ac:dyDescent="0.3"/>
    <row r="2000" customFormat="1" x14ac:dyDescent="0.3"/>
    <row r="2001" customFormat="1" x14ac:dyDescent="0.3"/>
    <row r="2002" customFormat="1" x14ac:dyDescent="0.3"/>
    <row r="2003" customFormat="1" x14ac:dyDescent="0.3"/>
    <row r="2004" customFormat="1" x14ac:dyDescent="0.3"/>
    <row r="2005" customFormat="1" x14ac:dyDescent="0.3"/>
    <row r="2006" customFormat="1" x14ac:dyDescent="0.3"/>
    <row r="2007" customFormat="1" x14ac:dyDescent="0.3"/>
    <row r="2008" customFormat="1" x14ac:dyDescent="0.3"/>
    <row r="2009" customFormat="1" x14ac:dyDescent="0.3"/>
    <row r="2010" customFormat="1" x14ac:dyDescent="0.3"/>
    <row r="2011" customFormat="1" x14ac:dyDescent="0.3"/>
    <row r="2012" customFormat="1" x14ac:dyDescent="0.3"/>
    <row r="2013" customFormat="1" x14ac:dyDescent="0.3"/>
    <row r="2014" customFormat="1" x14ac:dyDescent="0.3"/>
    <row r="2015" customFormat="1" x14ac:dyDescent="0.3"/>
    <row r="2016" customFormat="1" x14ac:dyDescent="0.3"/>
    <row r="2017" customFormat="1" x14ac:dyDescent="0.3"/>
    <row r="2018" customFormat="1" x14ac:dyDescent="0.3"/>
    <row r="2019" customFormat="1" x14ac:dyDescent="0.3"/>
    <row r="2020" customFormat="1" x14ac:dyDescent="0.3"/>
    <row r="2021" customFormat="1" x14ac:dyDescent="0.3"/>
    <row r="2022" customFormat="1" x14ac:dyDescent="0.3"/>
    <row r="2023" customFormat="1" x14ac:dyDescent="0.3"/>
    <row r="2024" customFormat="1" x14ac:dyDescent="0.3"/>
    <row r="2025" customFormat="1" x14ac:dyDescent="0.3"/>
    <row r="2026" customFormat="1" x14ac:dyDescent="0.3"/>
    <row r="2027" customFormat="1" x14ac:dyDescent="0.3"/>
    <row r="2028" customFormat="1" x14ac:dyDescent="0.3"/>
    <row r="2029" customFormat="1" x14ac:dyDescent="0.3"/>
    <row r="2030" customFormat="1" x14ac:dyDescent="0.3"/>
    <row r="2031" customFormat="1" x14ac:dyDescent="0.3"/>
    <row r="2032" customFormat="1" x14ac:dyDescent="0.3"/>
    <row r="2033" customFormat="1" x14ac:dyDescent="0.3"/>
    <row r="2034" customFormat="1" x14ac:dyDescent="0.3"/>
    <row r="2035" customFormat="1" x14ac:dyDescent="0.3"/>
    <row r="2036" customFormat="1" x14ac:dyDescent="0.3"/>
    <row r="2037" customFormat="1" x14ac:dyDescent="0.3"/>
    <row r="2038" customFormat="1" x14ac:dyDescent="0.3"/>
    <row r="2039" customFormat="1" x14ac:dyDescent="0.3"/>
    <row r="2040" customFormat="1" x14ac:dyDescent="0.3"/>
    <row r="2041" customFormat="1" x14ac:dyDescent="0.3"/>
    <row r="2042" customFormat="1" x14ac:dyDescent="0.3"/>
    <row r="2043" customFormat="1" x14ac:dyDescent="0.3"/>
    <row r="2044" customFormat="1" x14ac:dyDescent="0.3"/>
    <row r="2045" customFormat="1" x14ac:dyDescent="0.3"/>
    <row r="2046" customFormat="1" x14ac:dyDescent="0.3"/>
    <row r="2047" customFormat="1" x14ac:dyDescent="0.3"/>
    <row r="2048" customFormat="1" x14ac:dyDescent="0.3"/>
    <row r="2049" customFormat="1" x14ac:dyDescent="0.3"/>
    <row r="2050" customFormat="1" x14ac:dyDescent="0.3"/>
    <row r="2051" customFormat="1" x14ac:dyDescent="0.3"/>
    <row r="2052" customFormat="1" x14ac:dyDescent="0.3"/>
    <row r="2053" customFormat="1" x14ac:dyDescent="0.3"/>
    <row r="2054" customFormat="1" x14ac:dyDescent="0.3"/>
    <row r="2055" customFormat="1" x14ac:dyDescent="0.3"/>
    <row r="2056" customFormat="1" x14ac:dyDescent="0.3"/>
    <row r="2057" customFormat="1" x14ac:dyDescent="0.3"/>
    <row r="2058" customFormat="1" x14ac:dyDescent="0.3"/>
    <row r="2059" customFormat="1" x14ac:dyDescent="0.3"/>
    <row r="2060" customFormat="1" x14ac:dyDescent="0.3"/>
    <row r="2061" customFormat="1" x14ac:dyDescent="0.3"/>
    <row r="2062" customFormat="1" x14ac:dyDescent="0.3"/>
    <row r="2063" customFormat="1" x14ac:dyDescent="0.3"/>
    <row r="2064" customFormat="1" x14ac:dyDescent="0.3"/>
    <row r="2065" customFormat="1" x14ac:dyDescent="0.3"/>
    <row r="2066" customFormat="1" x14ac:dyDescent="0.3"/>
    <row r="2067" customFormat="1" x14ac:dyDescent="0.3"/>
    <row r="2068" customFormat="1" x14ac:dyDescent="0.3"/>
    <row r="2069" customFormat="1" x14ac:dyDescent="0.3"/>
    <row r="2070" customFormat="1" x14ac:dyDescent="0.3"/>
    <row r="2071" customFormat="1" x14ac:dyDescent="0.3"/>
    <row r="2072" customFormat="1" x14ac:dyDescent="0.3"/>
    <row r="2073" customFormat="1" x14ac:dyDescent="0.3"/>
    <row r="2074" customFormat="1" x14ac:dyDescent="0.3"/>
    <row r="2075" customFormat="1" x14ac:dyDescent="0.3"/>
    <row r="2076" customFormat="1" x14ac:dyDescent="0.3"/>
    <row r="2077" customFormat="1" x14ac:dyDescent="0.3"/>
    <row r="2078" customFormat="1" x14ac:dyDescent="0.3"/>
    <row r="2079" customFormat="1" x14ac:dyDescent="0.3"/>
    <row r="2080" customFormat="1" x14ac:dyDescent="0.3"/>
    <row r="2081" customFormat="1" x14ac:dyDescent="0.3"/>
    <row r="2082" customFormat="1" x14ac:dyDescent="0.3"/>
    <row r="2083" customFormat="1" x14ac:dyDescent="0.3"/>
    <row r="2084" customFormat="1" x14ac:dyDescent="0.3"/>
    <row r="2085" customFormat="1" x14ac:dyDescent="0.3"/>
    <row r="2086" customFormat="1" x14ac:dyDescent="0.3"/>
    <row r="2087" customFormat="1" x14ac:dyDescent="0.3"/>
    <row r="2088" customFormat="1" x14ac:dyDescent="0.3"/>
    <row r="2089" customFormat="1" x14ac:dyDescent="0.3"/>
    <row r="2090" customFormat="1" x14ac:dyDescent="0.3"/>
    <row r="2091" customFormat="1" x14ac:dyDescent="0.3"/>
    <row r="2092" customFormat="1" x14ac:dyDescent="0.3"/>
    <row r="2093" customFormat="1" x14ac:dyDescent="0.3"/>
    <row r="2094" customFormat="1" x14ac:dyDescent="0.3"/>
    <row r="2095" customFormat="1" x14ac:dyDescent="0.3"/>
    <row r="2096" customFormat="1" x14ac:dyDescent="0.3"/>
    <row r="2097" customFormat="1" x14ac:dyDescent="0.3"/>
    <row r="2098" customFormat="1" x14ac:dyDescent="0.3"/>
    <row r="2099" customFormat="1" x14ac:dyDescent="0.3"/>
    <row r="2100" customFormat="1" x14ac:dyDescent="0.3"/>
    <row r="2101" customFormat="1" x14ac:dyDescent="0.3"/>
    <row r="2102" customFormat="1" x14ac:dyDescent="0.3"/>
    <row r="2103" customFormat="1" x14ac:dyDescent="0.3"/>
    <row r="2104" customFormat="1" x14ac:dyDescent="0.3"/>
    <row r="2105" customFormat="1" x14ac:dyDescent="0.3"/>
    <row r="2106" customFormat="1" x14ac:dyDescent="0.3"/>
    <row r="2107" customFormat="1" x14ac:dyDescent="0.3"/>
    <row r="2108" customFormat="1" x14ac:dyDescent="0.3"/>
    <row r="2109" customFormat="1" x14ac:dyDescent="0.3"/>
    <row r="2110" customFormat="1" x14ac:dyDescent="0.3"/>
    <row r="2111" customFormat="1" x14ac:dyDescent="0.3"/>
    <row r="2112" customFormat="1" x14ac:dyDescent="0.3"/>
    <row r="2113" customFormat="1" x14ac:dyDescent="0.3"/>
    <row r="2114" customFormat="1" x14ac:dyDescent="0.3"/>
    <row r="2115" customFormat="1" x14ac:dyDescent="0.3"/>
    <row r="2116" customFormat="1" x14ac:dyDescent="0.3"/>
    <row r="2117" customFormat="1" x14ac:dyDescent="0.3"/>
    <row r="2118" customFormat="1" x14ac:dyDescent="0.3"/>
    <row r="2119" customFormat="1" x14ac:dyDescent="0.3"/>
    <row r="2120" customFormat="1" x14ac:dyDescent="0.3"/>
    <row r="2121" customFormat="1" x14ac:dyDescent="0.3"/>
    <row r="2122" customFormat="1" x14ac:dyDescent="0.3"/>
    <row r="2123" customFormat="1" x14ac:dyDescent="0.3"/>
    <row r="2124" customFormat="1" x14ac:dyDescent="0.3"/>
    <row r="2125" customFormat="1" x14ac:dyDescent="0.3"/>
    <row r="2126" customFormat="1" x14ac:dyDescent="0.3"/>
    <row r="2127" customFormat="1" x14ac:dyDescent="0.3"/>
    <row r="2128" customFormat="1" x14ac:dyDescent="0.3"/>
    <row r="2129" customFormat="1" x14ac:dyDescent="0.3"/>
    <row r="2130" customFormat="1" x14ac:dyDescent="0.3"/>
    <row r="2131" customFormat="1" x14ac:dyDescent="0.3"/>
    <row r="2132" customFormat="1" x14ac:dyDescent="0.3"/>
    <row r="2133" customFormat="1" x14ac:dyDescent="0.3"/>
    <row r="2134" customFormat="1" x14ac:dyDescent="0.3"/>
    <row r="2135" customFormat="1" x14ac:dyDescent="0.3"/>
    <row r="2136" customFormat="1" x14ac:dyDescent="0.3"/>
    <row r="2137" customFormat="1" x14ac:dyDescent="0.3"/>
    <row r="2138" customFormat="1" x14ac:dyDescent="0.3"/>
    <row r="2139" customFormat="1" x14ac:dyDescent="0.3"/>
    <row r="2140" customFormat="1" x14ac:dyDescent="0.3"/>
    <row r="2141" customFormat="1" x14ac:dyDescent="0.3"/>
    <row r="2142" customFormat="1" x14ac:dyDescent="0.3"/>
    <row r="2143" customFormat="1" x14ac:dyDescent="0.3"/>
    <row r="2144" customFormat="1" x14ac:dyDescent="0.3"/>
    <row r="2145" customFormat="1" x14ac:dyDescent="0.3"/>
    <row r="2146" customFormat="1" x14ac:dyDescent="0.3"/>
    <row r="2147" customFormat="1" x14ac:dyDescent="0.3"/>
    <row r="2148" customFormat="1" x14ac:dyDescent="0.3"/>
    <row r="2149" customFormat="1" x14ac:dyDescent="0.3"/>
    <row r="2150" customFormat="1" x14ac:dyDescent="0.3"/>
    <row r="2151" customFormat="1" x14ac:dyDescent="0.3"/>
    <row r="2152" customFormat="1" x14ac:dyDescent="0.3"/>
    <row r="2153" customFormat="1" x14ac:dyDescent="0.3"/>
    <row r="2154" customFormat="1" x14ac:dyDescent="0.3"/>
    <row r="2155" customFormat="1" x14ac:dyDescent="0.3"/>
    <row r="2156" customFormat="1" x14ac:dyDescent="0.3"/>
    <row r="2157" customFormat="1" x14ac:dyDescent="0.3"/>
    <row r="2158" customFormat="1" x14ac:dyDescent="0.3"/>
    <row r="2159" customFormat="1" x14ac:dyDescent="0.3"/>
    <row r="2160" customFormat="1" x14ac:dyDescent="0.3"/>
    <row r="2161" customFormat="1" x14ac:dyDescent="0.3"/>
    <row r="2162" customFormat="1" x14ac:dyDescent="0.3"/>
    <row r="2163" customFormat="1" x14ac:dyDescent="0.3"/>
    <row r="2164" customFormat="1" x14ac:dyDescent="0.3"/>
    <row r="2165" customFormat="1" x14ac:dyDescent="0.3"/>
    <row r="2166" customFormat="1" x14ac:dyDescent="0.3"/>
    <row r="2167" customFormat="1" x14ac:dyDescent="0.3"/>
    <row r="2168" customFormat="1" x14ac:dyDescent="0.3"/>
    <row r="2169" customFormat="1" x14ac:dyDescent="0.3"/>
    <row r="2170" customFormat="1" x14ac:dyDescent="0.3"/>
    <row r="2171" customFormat="1" x14ac:dyDescent="0.3"/>
    <row r="2172" customFormat="1" x14ac:dyDescent="0.3"/>
    <row r="2173" customFormat="1" x14ac:dyDescent="0.3"/>
    <row r="2174" customFormat="1" x14ac:dyDescent="0.3"/>
    <row r="2175" customFormat="1" x14ac:dyDescent="0.3"/>
    <row r="2176" customFormat="1" x14ac:dyDescent="0.3"/>
    <row r="2177" customFormat="1" x14ac:dyDescent="0.3"/>
    <row r="2178" customFormat="1" x14ac:dyDescent="0.3"/>
    <row r="2179" customFormat="1" x14ac:dyDescent="0.3"/>
    <row r="2180" customFormat="1" x14ac:dyDescent="0.3"/>
    <row r="2181" customFormat="1" x14ac:dyDescent="0.3"/>
    <row r="2182" customFormat="1" x14ac:dyDescent="0.3"/>
    <row r="2183" customFormat="1" x14ac:dyDescent="0.3"/>
    <row r="2184" customFormat="1" x14ac:dyDescent="0.3"/>
    <row r="2185" customFormat="1" x14ac:dyDescent="0.3"/>
    <row r="2186" customFormat="1" x14ac:dyDescent="0.3"/>
    <row r="2187" customFormat="1" x14ac:dyDescent="0.3"/>
    <row r="2188" customFormat="1" x14ac:dyDescent="0.3"/>
    <row r="2189" customFormat="1" x14ac:dyDescent="0.3"/>
    <row r="2190" customFormat="1" x14ac:dyDescent="0.3"/>
    <row r="2191" customFormat="1" x14ac:dyDescent="0.3"/>
    <row r="2192" customFormat="1" x14ac:dyDescent="0.3"/>
    <row r="2193" customFormat="1" x14ac:dyDescent="0.3"/>
    <row r="2194" customFormat="1" x14ac:dyDescent="0.3"/>
    <row r="2195" customFormat="1" x14ac:dyDescent="0.3"/>
    <row r="2196" customFormat="1" x14ac:dyDescent="0.3"/>
    <row r="2197" customFormat="1" x14ac:dyDescent="0.3"/>
    <row r="2198" customFormat="1" x14ac:dyDescent="0.3"/>
    <row r="2199" customFormat="1" x14ac:dyDescent="0.3"/>
    <row r="2200" customFormat="1" x14ac:dyDescent="0.3"/>
    <row r="2201" customFormat="1" x14ac:dyDescent="0.3"/>
    <row r="2202" customFormat="1" x14ac:dyDescent="0.3"/>
    <row r="2203" customFormat="1" x14ac:dyDescent="0.3"/>
    <row r="2204" customFormat="1" x14ac:dyDescent="0.3"/>
    <row r="2205" customFormat="1" x14ac:dyDescent="0.3"/>
    <row r="2206" customFormat="1" x14ac:dyDescent="0.3"/>
    <row r="2207" customFormat="1" x14ac:dyDescent="0.3"/>
    <row r="2208" customFormat="1" x14ac:dyDescent="0.3"/>
    <row r="2209" customFormat="1" x14ac:dyDescent="0.3"/>
    <row r="2210" customFormat="1" x14ac:dyDescent="0.3"/>
    <row r="2211" customFormat="1" x14ac:dyDescent="0.3"/>
    <row r="2212" customFormat="1" x14ac:dyDescent="0.3"/>
    <row r="2213" customFormat="1" x14ac:dyDescent="0.3"/>
    <row r="2214" customFormat="1" x14ac:dyDescent="0.3"/>
    <row r="2215" customFormat="1" x14ac:dyDescent="0.3"/>
    <row r="2216" customFormat="1" x14ac:dyDescent="0.3"/>
    <row r="2217" customFormat="1" x14ac:dyDescent="0.3"/>
    <row r="2218" customFormat="1" x14ac:dyDescent="0.3"/>
    <row r="2219" customFormat="1" x14ac:dyDescent="0.3"/>
    <row r="2220" customFormat="1" x14ac:dyDescent="0.3"/>
    <row r="2221" customFormat="1" x14ac:dyDescent="0.3"/>
    <row r="2222" customFormat="1" x14ac:dyDescent="0.3"/>
    <row r="2223" customFormat="1" x14ac:dyDescent="0.3"/>
    <row r="2224" customFormat="1" x14ac:dyDescent="0.3"/>
    <row r="2225" customFormat="1" x14ac:dyDescent="0.3"/>
    <row r="2226" customFormat="1" x14ac:dyDescent="0.3"/>
    <row r="2227" customFormat="1" x14ac:dyDescent="0.3"/>
    <row r="2228" customFormat="1" x14ac:dyDescent="0.3"/>
    <row r="2229" customFormat="1" x14ac:dyDescent="0.3"/>
    <row r="2230" customFormat="1" x14ac:dyDescent="0.3"/>
    <row r="2231" customFormat="1" x14ac:dyDescent="0.3"/>
    <row r="2232" customFormat="1" x14ac:dyDescent="0.3"/>
    <row r="2233" customFormat="1" x14ac:dyDescent="0.3"/>
    <row r="2234" customFormat="1" x14ac:dyDescent="0.3"/>
    <row r="2235" customFormat="1" x14ac:dyDescent="0.3"/>
    <row r="2236" customFormat="1" x14ac:dyDescent="0.3"/>
    <row r="2237" customFormat="1" x14ac:dyDescent="0.3"/>
    <row r="2238" customFormat="1" x14ac:dyDescent="0.3"/>
    <row r="2239" customFormat="1" x14ac:dyDescent="0.3"/>
    <row r="2240" customFormat="1" x14ac:dyDescent="0.3"/>
    <row r="2241" customFormat="1" x14ac:dyDescent="0.3"/>
    <row r="2242" customFormat="1" x14ac:dyDescent="0.3"/>
    <row r="2243" customFormat="1" x14ac:dyDescent="0.3"/>
    <row r="2244" customFormat="1" x14ac:dyDescent="0.3"/>
    <row r="2245" customFormat="1" x14ac:dyDescent="0.3"/>
    <row r="2246" customFormat="1" x14ac:dyDescent="0.3"/>
    <row r="2247" customFormat="1" x14ac:dyDescent="0.3"/>
    <row r="2248" customFormat="1" x14ac:dyDescent="0.3"/>
    <row r="2249" customFormat="1" x14ac:dyDescent="0.3"/>
    <row r="2250" customFormat="1" x14ac:dyDescent="0.3"/>
    <row r="2251" customFormat="1" x14ac:dyDescent="0.3"/>
    <row r="2252" customFormat="1" x14ac:dyDescent="0.3"/>
    <row r="2253" customFormat="1" x14ac:dyDescent="0.3"/>
    <row r="2254" customFormat="1" x14ac:dyDescent="0.3"/>
    <row r="2255" customFormat="1" x14ac:dyDescent="0.3"/>
    <row r="2256" customFormat="1" x14ac:dyDescent="0.3"/>
    <row r="2257" customFormat="1" x14ac:dyDescent="0.3"/>
    <row r="2258" customFormat="1" x14ac:dyDescent="0.3"/>
    <row r="2259" customFormat="1" x14ac:dyDescent="0.3"/>
    <row r="2260" customFormat="1" x14ac:dyDescent="0.3"/>
    <row r="2261" customFormat="1" x14ac:dyDescent="0.3"/>
    <row r="2262" customFormat="1" x14ac:dyDescent="0.3"/>
    <row r="2263" customFormat="1" x14ac:dyDescent="0.3"/>
    <row r="2264" customFormat="1" x14ac:dyDescent="0.3"/>
    <row r="2265" customFormat="1" x14ac:dyDescent="0.3"/>
    <row r="2266" customFormat="1" x14ac:dyDescent="0.3"/>
    <row r="2267" customFormat="1" x14ac:dyDescent="0.3"/>
    <row r="2268" customFormat="1" x14ac:dyDescent="0.3"/>
    <row r="2269" customFormat="1" x14ac:dyDescent="0.3"/>
    <row r="2270" customFormat="1" x14ac:dyDescent="0.3"/>
    <row r="2271" customFormat="1" x14ac:dyDescent="0.3"/>
    <row r="2272" customFormat="1" x14ac:dyDescent="0.3"/>
    <row r="2273" customFormat="1" x14ac:dyDescent="0.3"/>
    <row r="2274" customFormat="1" x14ac:dyDescent="0.3"/>
    <row r="2275" customFormat="1" x14ac:dyDescent="0.3"/>
    <row r="2276" customFormat="1" x14ac:dyDescent="0.3"/>
    <row r="2277" customFormat="1" x14ac:dyDescent="0.3"/>
    <row r="2278" customFormat="1" x14ac:dyDescent="0.3"/>
    <row r="2279" customFormat="1" x14ac:dyDescent="0.3"/>
    <row r="2280" customFormat="1" x14ac:dyDescent="0.3"/>
    <row r="2281" customFormat="1" x14ac:dyDescent="0.3"/>
    <row r="2282" customFormat="1" x14ac:dyDescent="0.3"/>
    <row r="2283" customFormat="1" x14ac:dyDescent="0.3"/>
    <row r="2284" customFormat="1" x14ac:dyDescent="0.3"/>
    <row r="2285" customFormat="1" x14ac:dyDescent="0.3"/>
    <row r="2286" customFormat="1" x14ac:dyDescent="0.3"/>
    <row r="2287" customFormat="1" x14ac:dyDescent="0.3"/>
    <row r="2288" customFormat="1" x14ac:dyDescent="0.3"/>
    <row r="2289" customFormat="1" x14ac:dyDescent="0.3"/>
    <row r="2290" customFormat="1" x14ac:dyDescent="0.3"/>
    <row r="2291" customFormat="1" x14ac:dyDescent="0.3"/>
    <row r="2292" customFormat="1" x14ac:dyDescent="0.3"/>
    <row r="2293" customFormat="1" x14ac:dyDescent="0.3"/>
    <row r="2294" customFormat="1" x14ac:dyDescent="0.3"/>
    <row r="2295" customFormat="1" x14ac:dyDescent="0.3"/>
    <row r="2296" customFormat="1" x14ac:dyDescent="0.3"/>
    <row r="2297" customFormat="1" x14ac:dyDescent="0.3"/>
    <row r="2298" customFormat="1" x14ac:dyDescent="0.3"/>
    <row r="2299" customFormat="1" x14ac:dyDescent="0.3"/>
    <row r="2300" customFormat="1" x14ac:dyDescent="0.3"/>
    <row r="2301" customFormat="1" x14ac:dyDescent="0.3"/>
    <row r="2302" customFormat="1" x14ac:dyDescent="0.3"/>
    <row r="2303" customFormat="1" x14ac:dyDescent="0.3"/>
    <row r="2304" customFormat="1" x14ac:dyDescent="0.3"/>
    <row r="2305" customFormat="1" x14ac:dyDescent="0.3"/>
    <row r="2306" customFormat="1" x14ac:dyDescent="0.3"/>
    <row r="2307" customFormat="1" x14ac:dyDescent="0.3"/>
    <row r="2308" customFormat="1" x14ac:dyDescent="0.3"/>
    <row r="2309" customFormat="1" x14ac:dyDescent="0.3"/>
    <row r="2310" customFormat="1" x14ac:dyDescent="0.3"/>
    <row r="2311" customFormat="1" x14ac:dyDescent="0.3"/>
    <row r="2312" customFormat="1" x14ac:dyDescent="0.3"/>
    <row r="2313" customFormat="1" x14ac:dyDescent="0.3"/>
    <row r="2314" customFormat="1" x14ac:dyDescent="0.3"/>
    <row r="2315" customFormat="1" x14ac:dyDescent="0.3"/>
    <row r="2316" customFormat="1" x14ac:dyDescent="0.3"/>
    <row r="2317" customFormat="1" x14ac:dyDescent="0.3"/>
    <row r="2318" customFormat="1" x14ac:dyDescent="0.3"/>
    <row r="2319" customFormat="1" x14ac:dyDescent="0.3"/>
    <row r="2320" customFormat="1" x14ac:dyDescent="0.3"/>
    <row r="2321" customFormat="1" x14ac:dyDescent="0.3"/>
    <row r="2322" customFormat="1" x14ac:dyDescent="0.3"/>
    <row r="2323" customFormat="1" x14ac:dyDescent="0.3"/>
    <row r="2324" customFormat="1" x14ac:dyDescent="0.3"/>
    <row r="2325" customFormat="1" x14ac:dyDescent="0.3"/>
    <row r="2326" customFormat="1" x14ac:dyDescent="0.3"/>
    <row r="2327" customFormat="1" x14ac:dyDescent="0.3"/>
    <row r="2328" customFormat="1" x14ac:dyDescent="0.3"/>
    <row r="2329" customFormat="1" x14ac:dyDescent="0.3"/>
    <row r="2330" customFormat="1" x14ac:dyDescent="0.3"/>
    <row r="2331" customFormat="1" x14ac:dyDescent="0.3"/>
    <row r="2332" customFormat="1" x14ac:dyDescent="0.3"/>
    <row r="2333" customFormat="1" x14ac:dyDescent="0.3"/>
    <row r="2334" customFormat="1" x14ac:dyDescent="0.3"/>
    <row r="2335" customFormat="1" x14ac:dyDescent="0.3"/>
    <row r="2336" customFormat="1" x14ac:dyDescent="0.3"/>
    <row r="2337" customFormat="1" x14ac:dyDescent="0.3"/>
    <row r="2338" customFormat="1" x14ac:dyDescent="0.3"/>
    <row r="2339" customFormat="1" x14ac:dyDescent="0.3"/>
    <row r="2340" customFormat="1" x14ac:dyDescent="0.3"/>
    <row r="2341" customFormat="1" x14ac:dyDescent="0.3"/>
    <row r="2342" customFormat="1" x14ac:dyDescent="0.3"/>
    <row r="2343" customFormat="1" x14ac:dyDescent="0.3"/>
    <row r="2344" customFormat="1" x14ac:dyDescent="0.3"/>
    <row r="2345" customFormat="1" x14ac:dyDescent="0.3"/>
    <row r="2346" customFormat="1" x14ac:dyDescent="0.3"/>
    <row r="2347" customFormat="1" x14ac:dyDescent="0.3"/>
    <row r="2348" customFormat="1" x14ac:dyDescent="0.3"/>
    <row r="2349" customFormat="1" x14ac:dyDescent="0.3"/>
    <row r="2350" customFormat="1" x14ac:dyDescent="0.3"/>
    <row r="2351" customFormat="1" x14ac:dyDescent="0.3"/>
    <row r="2352" customFormat="1" x14ac:dyDescent="0.3"/>
    <row r="2353" customFormat="1" x14ac:dyDescent="0.3"/>
    <row r="2354" customFormat="1" x14ac:dyDescent="0.3"/>
    <row r="2355" customFormat="1" x14ac:dyDescent="0.3"/>
    <row r="2356" customFormat="1" x14ac:dyDescent="0.3"/>
    <row r="2357" customFormat="1" x14ac:dyDescent="0.3"/>
    <row r="2358" customFormat="1" x14ac:dyDescent="0.3"/>
    <row r="2359" customFormat="1" x14ac:dyDescent="0.3"/>
    <row r="2360" customFormat="1" x14ac:dyDescent="0.3"/>
    <row r="2361" customFormat="1" x14ac:dyDescent="0.3"/>
    <row r="2362" customFormat="1" x14ac:dyDescent="0.3"/>
    <row r="2363" customFormat="1" x14ac:dyDescent="0.3"/>
    <row r="2364" customFormat="1" x14ac:dyDescent="0.3"/>
    <row r="2365" customFormat="1" x14ac:dyDescent="0.3"/>
    <row r="2366" customFormat="1" x14ac:dyDescent="0.3"/>
    <row r="2367" customFormat="1" x14ac:dyDescent="0.3"/>
    <row r="2368" customFormat="1" x14ac:dyDescent="0.3"/>
    <row r="2369" customFormat="1" x14ac:dyDescent="0.3"/>
    <row r="2370" customFormat="1" x14ac:dyDescent="0.3"/>
    <row r="2371" customFormat="1" x14ac:dyDescent="0.3"/>
    <row r="2372" customFormat="1" x14ac:dyDescent="0.3"/>
    <row r="2373" customFormat="1" x14ac:dyDescent="0.3"/>
    <row r="2374" customFormat="1" x14ac:dyDescent="0.3"/>
    <row r="2375" customFormat="1" x14ac:dyDescent="0.3"/>
    <row r="2376" customFormat="1" x14ac:dyDescent="0.3"/>
    <row r="2377" customFormat="1" x14ac:dyDescent="0.3"/>
    <row r="2378" customFormat="1" x14ac:dyDescent="0.3"/>
    <row r="2379" customFormat="1" x14ac:dyDescent="0.3"/>
    <row r="2380" customFormat="1" x14ac:dyDescent="0.3"/>
    <row r="2381" customFormat="1" x14ac:dyDescent="0.3"/>
    <row r="2382" customFormat="1" x14ac:dyDescent="0.3"/>
    <row r="2383" customFormat="1" x14ac:dyDescent="0.3"/>
    <row r="2384" customFormat="1" x14ac:dyDescent="0.3"/>
    <row r="2385" customFormat="1" x14ac:dyDescent="0.3"/>
    <row r="2386" customFormat="1" x14ac:dyDescent="0.3"/>
    <row r="2387" customFormat="1" x14ac:dyDescent="0.3"/>
    <row r="2388" customFormat="1" x14ac:dyDescent="0.3"/>
    <row r="2389" customFormat="1" x14ac:dyDescent="0.3"/>
    <row r="2390" customFormat="1" x14ac:dyDescent="0.3"/>
    <row r="2391" customFormat="1" x14ac:dyDescent="0.3"/>
    <row r="2392" customFormat="1" x14ac:dyDescent="0.3"/>
    <row r="2393" customFormat="1" x14ac:dyDescent="0.3"/>
    <row r="2394" customFormat="1" x14ac:dyDescent="0.3"/>
    <row r="2395" customFormat="1" x14ac:dyDescent="0.3"/>
    <row r="2396" customFormat="1" x14ac:dyDescent="0.3"/>
    <row r="2397" customFormat="1" x14ac:dyDescent="0.3"/>
    <row r="2398" customFormat="1" x14ac:dyDescent="0.3"/>
    <row r="2399" customFormat="1" x14ac:dyDescent="0.3"/>
    <row r="2400" customFormat="1" x14ac:dyDescent="0.3"/>
    <row r="2401" customFormat="1" x14ac:dyDescent="0.3"/>
    <row r="2402" customFormat="1" x14ac:dyDescent="0.3"/>
    <row r="2403" customFormat="1" x14ac:dyDescent="0.3"/>
    <row r="2404" customFormat="1" x14ac:dyDescent="0.3"/>
    <row r="2405" customFormat="1" x14ac:dyDescent="0.3"/>
    <row r="2406" customFormat="1" x14ac:dyDescent="0.3"/>
    <row r="2407" customFormat="1" x14ac:dyDescent="0.3"/>
    <row r="2408" customFormat="1" x14ac:dyDescent="0.3"/>
    <row r="2409" customFormat="1" x14ac:dyDescent="0.3"/>
    <row r="2410" customFormat="1" x14ac:dyDescent="0.3"/>
    <row r="2411" customFormat="1" x14ac:dyDescent="0.3"/>
    <row r="2412" customFormat="1" x14ac:dyDescent="0.3"/>
    <row r="2413" customFormat="1" x14ac:dyDescent="0.3"/>
    <row r="2414" customFormat="1" x14ac:dyDescent="0.3"/>
    <row r="2415" customFormat="1" x14ac:dyDescent="0.3"/>
    <row r="2416" customFormat="1" x14ac:dyDescent="0.3"/>
    <row r="2417" customFormat="1" x14ac:dyDescent="0.3"/>
    <row r="2418" customFormat="1" x14ac:dyDescent="0.3"/>
    <row r="2419" customFormat="1" x14ac:dyDescent="0.3"/>
    <row r="2420" customFormat="1" x14ac:dyDescent="0.3"/>
    <row r="2421" customFormat="1" x14ac:dyDescent="0.3"/>
    <row r="2422" customFormat="1" x14ac:dyDescent="0.3"/>
    <row r="2423" customFormat="1" x14ac:dyDescent="0.3"/>
    <row r="2424" customFormat="1" x14ac:dyDescent="0.3"/>
    <row r="2425" customFormat="1" x14ac:dyDescent="0.3"/>
    <row r="2426" customFormat="1" x14ac:dyDescent="0.3"/>
    <row r="2427" customFormat="1" x14ac:dyDescent="0.3"/>
    <row r="2428" customFormat="1" x14ac:dyDescent="0.3"/>
    <row r="2429" customFormat="1" x14ac:dyDescent="0.3"/>
    <row r="2430" customFormat="1" x14ac:dyDescent="0.3"/>
    <row r="2431" customFormat="1" x14ac:dyDescent="0.3"/>
    <row r="2432" customFormat="1" x14ac:dyDescent="0.3"/>
    <row r="2433" customFormat="1" x14ac:dyDescent="0.3"/>
    <row r="2434" customFormat="1" x14ac:dyDescent="0.3"/>
    <row r="2435" customFormat="1" x14ac:dyDescent="0.3"/>
    <row r="2436" customFormat="1" x14ac:dyDescent="0.3"/>
    <row r="2437" customFormat="1" x14ac:dyDescent="0.3"/>
    <row r="2438" customFormat="1" x14ac:dyDescent="0.3"/>
    <row r="2439" customFormat="1" x14ac:dyDescent="0.3"/>
    <row r="2440" customFormat="1" x14ac:dyDescent="0.3"/>
    <row r="2441" customFormat="1" x14ac:dyDescent="0.3"/>
    <row r="2442" customFormat="1" x14ac:dyDescent="0.3"/>
    <row r="2443" customFormat="1" x14ac:dyDescent="0.3"/>
    <row r="2444" customFormat="1" x14ac:dyDescent="0.3"/>
    <row r="2445" customFormat="1" x14ac:dyDescent="0.3"/>
    <row r="2446" customFormat="1" x14ac:dyDescent="0.3"/>
    <row r="2447" customFormat="1" x14ac:dyDescent="0.3"/>
    <row r="2448" customFormat="1" x14ac:dyDescent="0.3"/>
    <row r="2449" customFormat="1" x14ac:dyDescent="0.3"/>
    <row r="2450" customFormat="1" x14ac:dyDescent="0.3"/>
    <row r="2451" customFormat="1" x14ac:dyDescent="0.3"/>
    <row r="2452" customFormat="1" x14ac:dyDescent="0.3"/>
    <row r="2453" customFormat="1" x14ac:dyDescent="0.3"/>
    <row r="2454" customFormat="1" x14ac:dyDescent="0.3"/>
    <row r="2455" customFormat="1" x14ac:dyDescent="0.3"/>
    <row r="2456" customFormat="1" x14ac:dyDescent="0.3"/>
    <row r="2457" customFormat="1" x14ac:dyDescent="0.3"/>
    <row r="2458" customFormat="1" x14ac:dyDescent="0.3"/>
    <row r="2459" customFormat="1" x14ac:dyDescent="0.3"/>
    <row r="2460" customFormat="1" x14ac:dyDescent="0.3"/>
    <row r="2461" customFormat="1" x14ac:dyDescent="0.3"/>
    <row r="2462" customFormat="1" x14ac:dyDescent="0.3"/>
    <row r="2463" customFormat="1" x14ac:dyDescent="0.3"/>
    <row r="2464" customFormat="1" x14ac:dyDescent="0.3"/>
    <row r="2465" customFormat="1" x14ac:dyDescent="0.3"/>
    <row r="2466" customFormat="1" x14ac:dyDescent="0.3"/>
    <row r="2467" customFormat="1" x14ac:dyDescent="0.3"/>
    <row r="2468" customFormat="1" x14ac:dyDescent="0.3"/>
    <row r="2469" customFormat="1" x14ac:dyDescent="0.3"/>
    <row r="2470" customFormat="1" x14ac:dyDescent="0.3"/>
    <row r="2471" customFormat="1" x14ac:dyDescent="0.3"/>
    <row r="2472" customFormat="1" x14ac:dyDescent="0.3"/>
    <row r="2473" customFormat="1" x14ac:dyDescent="0.3"/>
    <row r="2474" customFormat="1" x14ac:dyDescent="0.3"/>
    <row r="2475" customFormat="1" x14ac:dyDescent="0.3"/>
    <row r="2476" customFormat="1" x14ac:dyDescent="0.3"/>
    <row r="2477" customFormat="1" x14ac:dyDescent="0.3"/>
    <row r="2478" customFormat="1" x14ac:dyDescent="0.3"/>
    <row r="2479" customFormat="1" x14ac:dyDescent="0.3"/>
    <row r="2480" customFormat="1" x14ac:dyDescent="0.3"/>
    <row r="2481" customFormat="1" x14ac:dyDescent="0.3"/>
    <row r="2482" customFormat="1" x14ac:dyDescent="0.3"/>
    <row r="2483" customFormat="1" x14ac:dyDescent="0.3"/>
    <row r="2484" customFormat="1" x14ac:dyDescent="0.3"/>
    <row r="2485" customFormat="1" x14ac:dyDescent="0.3"/>
    <row r="2486" customFormat="1" x14ac:dyDescent="0.3"/>
    <row r="2487" customFormat="1" x14ac:dyDescent="0.3"/>
    <row r="2488" customFormat="1" x14ac:dyDescent="0.3"/>
    <row r="2489" customFormat="1" x14ac:dyDescent="0.3"/>
    <row r="2490" customFormat="1" x14ac:dyDescent="0.3"/>
    <row r="2491" customFormat="1" x14ac:dyDescent="0.3"/>
    <row r="2492" customFormat="1" x14ac:dyDescent="0.3"/>
    <row r="2493" customFormat="1" x14ac:dyDescent="0.3"/>
    <row r="2494" customFormat="1" x14ac:dyDescent="0.3"/>
    <row r="2495" customFormat="1" x14ac:dyDescent="0.3"/>
    <row r="2496" customFormat="1" x14ac:dyDescent="0.3"/>
    <row r="2497" customFormat="1" x14ac:dyDescent="0.3"/>
    <row r="2498" customFormat="1" x14ac:dyDescent="0.3"/>
    <row r="2499" customFormat="1" x14ac:dyDescent="0.3"/>
    <row r="2500" customFormat="1" x14ac:dyDescent="0.3"/>
    <row r="2501" customFormat="1" x14ac:dyDescent="0.3"/>
    <row r="2502" customFormat="1" x14ac:dyDescent="0.3"/>
    <row r="2503" customFormat="1" x14ac:dyDescent="0.3"/>
    <row r="2504" customFormat="1" x14ac:dyDescent="0.3"/>
    <row r="2505" customFormat="1" x14ac:dyDescent="0.3"/>
    <row r="2506" customFormat="1" x14ac:dyDescent="0.3"/>
    <row r="2507" customFormat="1" x14ac:dyDescent="0.3"/>
    <row r="2508" customFormat="1" x14ac:dyDescent="0.3"/>
    <row r="2509" customFormat="1" x14ac:dyDescent="0.3"/>
    <row r="2510" customFormat="1" x14ac:dyDescent="0.3"/>
    <row r="2511" customFormat="1" x14ac:dyDescent="0.3"/>
    <row r="2512" customFormat="1" x14ac:dyDescent="0.3"/>
    <row r="2513" customFormat="1" x14ac:dyDescent="0.3"/>
    <row r="2514" customFormat="1" x14ac:dyDescent="0.3"/>
    <row r="2515" customFormat="1" x14ac:dyDescent="0.3"/>
    <row r="2516" customFormat="1" x14ac:dyDescent="0.3"/>
    <row r="2517" customFormat="1" x14ac:dyDescent="0.3"/>
    <row r="2518" customFormat="1" x14ac:dyDescent="0.3"/>
    <row r="2519" customFormat="1" x14ac:dyDescent="0.3"/>
    <row r="2520" customFormat="1" x14ac:dyDescent="0.3"/>
    <row r="2521" customFormat="1" x14ac:dyDescent="0.3"/>
    <row r="2522" customFormat="1" x14ac:dyDescent="0.3"/>
    <row r="2523" customFormat="1" x14ac:dyDescent="0.3"/>
    <row r="2524" customFormat="1" x14ac:dyDescent="0.3"/>
    <row r="2525" customFormat="1" x14ac:dyDescent="0.3"/>
    <row r="2526" customFormat="1" x14ac:dyDescent="0.3"/>
    <row r="2527" customFormat="1" x14ac:dyDescent="0.3"/>
    <row r="2528" customFormat="1" x14ac:dyDescent="0.3"/>
    <row r="2529" customFormat="1" x14ac:dyDescent="0.3"/>
    <row r="2530" customFormat="1" x14ac:dyDescent="0.3"/>
    <row r="2531" customFormat="1" x14ac:dyDescent="0.3"/>
    <row r="2532" customFormat="1" x14ac:dyDescent="0.3"/>
    <row r="2533" customFormat="1" x14ac:dyDescent="0.3"/>
    <row r="2534" customFormat="1" x14ac:dyDescent="0.3"/>
    <row r="2535" customFormat="1" x14ac:dyDescent="0.3"/>
    <row r="2536" customFormat="1" x14ac:dyDescent="0.3"/>
    <row r="2537" customFormat="1" x14ac:dyDescent="0.3"/>
    <row r="2538" customFormat="1" x14ac:dyDescent="0.3"/>
    <row r="2539" customFormat="1" x14ac:dyDescent="0.3"/>
    <row r="2540" customFormat="1" x14ac:dyDescent="0.3"/>
    <row r="2541" customFormat="1" x14ac:dyDescent="0.3"/>
    <row r="2542" customFormat="1" x14ac:dyDescent="0.3"/>
    <row r="2543" customFormat="1" x14ac:dyDescent="0.3"/>
    <row r="2544" customFormat="1" x14ac:dyDescent="0.3"/>
    <row r="2545" customFormat="1" x14ac:dyDescent="0.3"/>
    <row r="2546" customFormat="1" x14ac:dyDescent="0.3"/>
    <row r="2547" customFormat="1" x14ac:dyDescent="0.3"/>
    <row r="2548" customFormat="1" x14ac:dyDescent="0.3"/>
    <row r="2549" customFormat="1" x14ac:dyDescent="0.3"/>
    <row r="2550" customFormat="1" x14ac:dyDescent="0.3"/>
    <row r="2551" customFormat="1" x14ac:dyDescent="0.3"/>
    <row r="2552" customFormat="1" x14ac:dyDescent="0.3"/>
    <row r="2553" customFormat="1" x14ac:dyDescent="0.3"/>
    <row r="2554" customFormat="1" x14ac:dyDescent="0.3"/>
    <row r="2555" customFormat="1" x14ac:dyDescent="0.3"/>
    <row r="2556" customFormat="1" x14ac:dyDescent="0.3"/>
    <row r="2557" customFormat="1" x14ac:dyDescent="0.3"/>
    <row r="2558" customFormat="1" x14ac:dyDescent="0.3"/>
    <row r="2559" customFormat="1" x14ac:dyDescent="0.3"/>
    <row r="2560" customFormat="1" x14ac:dyDescent="0.3"/>
    <row r="2561" customFormat="1" x14ac:dyDescent="0.3"/>
    <row r="2562" customFormat="1" x14ac:dyDescent="0.3"/>
    <row r="2563" customFormat="1" x14ac:dyDescent="0.3"/>
    <row r="2564" customFormat="1" x14ac:dyDescent="0.3"/>
    <row r="2565" customFormat="1" x14ac:dyDescent="0.3"/>
    <row r="2566" customFormat="1" x14ac:dyDescent="0.3"/>
    <row r="2567" customFormat="1" x14ac:dyDescent="0.3"/>
    <row r="2568" customFormat="1" x14ac:dyDescent="0.3"/>
    <row r="2569" customFormat="1" x14ac:dyDescent="0.3"/>
    <row r="2570" customFormat="1" x14ac:dyDescent="0.3"/>
    <row r="2571" customFormat="1" x14ac:dyDescent="0.3"/>
    <row r="2572" customFormat="1" x14ac:dyDescent="0.3"/>
    <row r="2573" customFormat="1" x14ac:dyDescent="0.3"/>
    <row r="2574" customFormat="1" x14ac:dyDescent="0.3"/>
    <row r="2575" customFormat="1" x14ac:dyDescent="0.3"/>
    <row r="2576" customFormat="1" x14ac:dyDescent="0.3"/>
    <row r="2577" customFormat="1" x14ac:dyDescent="0.3"/>
    <row r="2578" customFormat="1" x14ac:dyDescent="0.3"/>
    <row r="2579" customFormat="1" x14ac:dyDescent="0.3"/>
    <row r="2580" customFormat="1" x14ac:dyDescent="0.3"/>
    <row r="2581" customFormat="1" x14ac:dyDescent="0.3"/>
    <row r="2582" customFormat="1" x14ac:dyDescent="0.3"/>
    <row r="2583" customFormat="1" x14ac:dyDescent="0.3"/>
    <row r="2584" customFormat="1" x14ac:dyDescent="0.3"/>
    <row r="2585" customFormat="1" x14ac:dyDescent="0.3"/>
    <row r="2586" customFormat="1" x14ac:dyDescent="0.3"/>
    <row r="2587" customFormat="1" x14ac:dyDescent="0.3"/>
    <row r="2588" customFormat="1" x14ac:dyDescent="0.3"/>
    <row r="2589" customFormat="1" x14ac:dyDescent="0.3"/>
    <row r="2590" customFormat="1" x14ac:dyDescent="0.3"/>
    <row r="2591" customFormat="1" x14ac:dyDescent="0.3"/>
    <row r="2592" customFormat="1" x14ac:dyDescent="0.3"/>
    <row r="2593" customFormat="1" x14ac:dyDescent="0.3"/>
    <row r="2594" customFormat="1" x14ac:dyDescent="0.3"/>
    <row r="2595" customFormat="1" x14ac:dyDescent="0.3"/>
    <row r="2596" customFormat="1" x14ac:dyDescent="0.3"/>
    <row r="2597" customFormat="1" x14ac:dyDescent="0.3"/>
    <row r="2598" customFormat="1" x14ac:dyDescent="0.3"/>
    <row r="2599" customFormat="1" x14ac:dyDescent="0.3"/>
    <row r="2600" customFormat="1" x14ac:dyDescent="0.3"/>
    <row r="2601" customFormat="1" x14ac:dyDescent="0.3"/>
    <row r="2602" customFormat="1" x14ac:dyDescent="0.3"/>
    <row r="2603" customFormat="1" x14ac:dyDescent="0.3"/>
    <row r="2604" customFormat="1" x14ac:dyDescent="0.3"/>
    <row r="2605" customFormat="1" x14ac:dyDescent="0.3"/>
    <row r="2606" customFormat="1" x14ac:dyDescent="0.3"/>
    <row r="2607" customFormat="1" x14ac:dyDescent="0.3"/>
    <row r="2608" customFormat="1" x14ac:dyDescent="0.3"/>
    <row r="2609" customFormat="1" x14ac:dyDescent="0.3"/>
    <row r="2610" customFormat="1" x14ac:dyDescent="0.3"/>
    <row r="2611" customFormat="1" x14ac:dyDescent="0.3"/>
    <row r="2612" customFormat="1" x14ac:dyDescent="0.3"/>
    <row r="2613" customFormat="1" x14ac:dyDescent="0.3"/>
    <row r="2614" customFormat="1" x14ac:dyDescent="0.3"/>
    <row r="2615" customFormat="1" x14ac:dyDescent="0.3"/>
    <row r="2616" customFormat="1" x14ac:dyDescent="0.3"/>
    <row r="2617" customFormat="1" x14ac:dyDescent="0.3"/>
    <row r="2618" customFormat="1" x14ac:dyDescent="0.3"/>
    <row r="2619" customFormat="1" x14ac:dyDescent="0.3"/>
    <row r="2620" customFormat="1" x14ac:dyDescent="0.3"/>
    <row r="2621" customFormat="1" x14ac:dyDescent="0.3"/>
    <row r="2622" customFormat="1" x14ac:dyDescent="0.3"/>
    <row r="2623" customFormat="1" x14ac:dyDescent="0.3"/>
    <row r="2624" customFormat="1" x14ac:dyDescent="0.3"/>
    <row r="2625" customFormat="1" x14ac:dyDescent="0.3"/>
    <row r="2626" customFormat="1" x14ac:dyDescent="0.3"/>
    <row r="2627" customFormat="1" x14ac:dyDescent="0.3"/>
    <row r="2628" customFormat="1" x14ac:dyDescent="0.3"/>
    <row r="2629" customFormat="1" x14ac:dyDescent="0.3"/>
    <row r="2630" customFormat="1" x14ac:dyDescent="0.3"/>
    <row r="2631" customFormat="1" x14ac:dyDescent="0.3"/>
    <row r="2632" customFormat="1" x14ac:dyDescent="0.3"/>
    <row r="2633" customFormat="1" x14ac:dyDescent="0.3"/>
    <row r="2634" customFormat="1" x14ac:dyDescent="0.3"/>
    <row r="2635" customFormat="1" x14ac:dyDescent="0.3"/>
    <row r="2636" customFormat="1" x14ac:dyDescent="0.3"/>
    <row r="2637" customFormat="1" x14ac:dyDescent="0.3"/>
    <row r="2638" customFormat="1" x14ac:dyDescent="0.3"/>
    <row r="2639" customFormat="1" x14ac:dyDescent="0.3"/>
    <row r="2640" customFormat="1" x14ac:dyDescent="0.3"/>
    <row r="2641" customFormat="1" x14ac:dyDescent="0.3"/>
    <row r="2642" customFormat="1" x14ac:dyDescent="0.3"/>
    <row r="2643" customFormat="1" x14ac:dyDescent="0.3"/>
    <row r="2644" customFormat="1" x14ac:dyDescent="0.3"/>
    <row r="2645" customFormat="1" x14ac:dyDescent="0.3"/>
    <row r="2646" customFormat="1" x14ac:dyDescent="0.3"/>
    <row r="2647" customFormat="1" x14ac:dyDescent="0.3"/>
    <row r="2648" customFormat="1" x14ac:dyDescent="0.3"/>
    <row r="2649" customFormat="1" x14ac:dyDescent="0.3"/>
    <row r="2650" customFormat="1" x14ac:dyDescent="0.3"/>
    <row r="2651" customFormat="1" x14ac:dyDescent="0.3"/>
    <row r="2652" customFormat="1" x14ac:dyDescent="0.3"/>
    <row r="2653" customFormat="1" x14ac:dyDescent="0.3"/>
    <row r="2654" customFormat="1" x14ac:dyDescent="0.3"/>
    <row r="2655" customFormat="1" x14ac:dyDescent="0.3"/>
    <row r="2656" customFormat="1" x14ac:dyDescent="0.3"/>
    <row r="2657" customFormat="1" x14ac:dyDescent="0.3"/>
    <row r="2658" customFormat="1" x14ac:dyDescent="0.3"/>
    <row r="2659" customFormat="1" x14ac:dyDescent="0.3"/>
    <row r="2660" customFormat="1" x14ac:dyDescent="0.3"/>
    <row r="2661" customFormat="1" x14ac:dyDescent="0.3"/>
    <row r="2662" customFormat="1" x14ac:dyDescent="0.3"/>
    <row r="2663" customFormat="1" x14ac:dyDescent="0.3"/>
    <row r="2664" customFormat="1" x14ac:dyDescent="0.3"/>
    <row r="2665" customFormat="1" x14ac:dyDescent="0.3"/>
    <row r="2666" customFormat="1" x14ac:dyDescent="0.3"/>
    <row r="2667" customFormat="1" x14ac:dyDescent="0.3"/>
    <row r="2668" customFormat="1" x14ac:dyDescent="0.3"/>
    <row r="2669" customFormat="1" x14ac:dyDescent="0.3"/>
    <row r="2670" customFormat="1" x14ac:dyDescent="0.3"/>
    <row r="2671" customFormat="1" x14ac:dyDescent="0.3"/>
    <row r="2672" customFormat="1" x14ac:dyDescent="0.3"/>
    <row r="2673" customFormat="1" x14ac:dyDescent="0.3"/>
    <row r="2674" customFormat="1" x14ac:dyDescent="0.3"/>
    <row r="2675" customFormat="1" x14ac:dyDescent="0.3"/>
    <row r="2676" customFormat="1" x14ac:dyDescent="0.3"/>
    <row r="2677" customFormat="1" x14ac:dyDescent="0.3"/>
    <row r="2678" customFormat="1" x14ac:dyDescent="0.3"/>
    <row r="2679" customFormat="1" x14ac:dyDescent="0.3"/>
    <row r="2680" customFormat="1" x14ac:dyDescent="0.3"/>
    <row r="2681" customFormat="1" x14ac:dyDescent="0.3"/>
    <row r="2682" customFormat="1" x14ac:dyDescent="0.3"/>
    <row r="2683" customFormat="1" x14ac:dyDescent="0.3"/>
    <row r="2684" customFormat="1" x14ac:dyDescent="0.3"/>
    <row r="2685" customFormat="1" x14ac:dyDescent="0.3"/>
    <row r="2686" customFormat="1" x14ac:dyDescent="0.3"/>
    <row r="2687" customFormat="1" x14ac:dyDescent="0.3"/>
    <row r="2688" customFormat="1" x14ac:dyDescent="0.3"/>
    <row r="2689" customFormat="1" x14ac:dyDescent="0.3"/>
    <row r="2690" customFormat="1" x14ac:dyDescent="0.3"/>
    <row r="2691" customFormat="1" x14ac:dyDescent="0.3"/>
    <row r="2692" customFormat="1" x14ac:dyDescent="0.3"/>
    <row r="2693" customFormat="1" x14ac:dyDescent="0.3"/>
    <row r="2694" customFormat="1" x14ac:dyDescent="0.3"/>
    <row r="2695" customFormat="1" x14ac:dyDescent="0.3"/>
    <row r="2696" customFormat="1" x14ac:dyDescent="0.3"/>
    <row r="2697" customFormat="1" x14ac:dyDescent="0.3"/>
    <row r="2698" customFormat="1" x14ac:dyDescent="0.3"/>
    <row r="2699" customFormat="1" x14ac:dyDescent="0.3"/>
    <row r="2700" customFormat="1" x14ac:dyDescent="0.3"/>
    <row r="2701" customFormat="1" x14ac:dyDescent="0.3"/>
    <row r="2702" customFormat="1" x14ac:dyDescent="0.3"/>
    <row r="2703" customFormat="1" x14ac:dyDescent="0.3"/>
    <row r="2704" customFormat="1" x14ac:dyDescent="0.3"/>
    <row r="2705" customFormat="1" x14ac:dyDescent="0.3"/>
    <row r="2706" customFormat="1" x14ac:dyDescent="0.3"/>
    <row r="2707" customFormat="1" x14ac:dyDescent="0.3"/>
    <row r="2708" customFormat="1" x14ac:dyDescent="0.3"/>
    <row r="2709" customFormat="1" x14ac:dyDescent="0.3"/>
    <row r="2710" customFormat="1" x14ac:dyDescent="0.3"/>
    <row r="2711" customFormat="1" x14ac:dyDescent="0.3"/>
    <row r="2712" customFormat="1" x14ac:dyDescent="0.3"/>
    <row r="2713" customFormat="1" x14ac:dyDescent="0.3"/>
    <row r="2714" customFormat="1" x14ac:dyDescent="0.3"/>
    <row r="2715" customFormat="1" x14ac:dyDescent="0.3"/>
    <row r="2716" customFormat="1" x14ac:dyDescent="0.3"/>
    <row r="2717" customFormat="1" x14ac:dyDescent="0.3"/>
    <row r="2718" customFormat="1" x14ac:dyDescent="0.3"/>
    <row r="2719" customFormat="1" x14ac:dyDescent="0.3"/>
    <row r="2720" customFormat="1" x14ac:dyDescent="0.3"/>
    <row r="2721" customFormat="1" x14ac:dyDescent="0.3"/>
    <row r="2722" customFormat="1" x14ac:dyDescent="0.3"/>
    <row r="2723" customFormat="1" x14ac:dyDescent="0.3"/>
    <row r="2724" customFormat="1" x14ac:dyDescent="0.3"/>
    <row r="2725" customFormat="1" x14ac:dyDescent="0.3"/>
    <row r="2726" customFormat="1" x14ac:dyDescent="0.3"/>
    <row r="2727" customFormat="1" x14ac:dyDescent="0.3"/>
    <row r="2728" customFormat="1" x14ac:dyDescent="0.3"/>
    <row r="2729" customFormat="1" x14ac:dyDescent="0.3"/>
    <row r="2730" customFormat="1" x14ac:dyDescent="0.3"/>
    <row r="2731" customFormat="1" x14ac:dyDescent="0.3"/>
    <row r="2732" customFormat="1" x14ac:dyDescent="0.3"/>
    <row r="2733" customFormat="1" x14ac:dyDescent="0.3"/>
    <row r="2734" customFormat="1" x14ac:dyDescent="0.3"/>
    <row r="2735" customFormat="1" x14ac:dyDescent="0.3"/>
    <row r="2736" customFormat="1" x14ac:dyDescent="0.3"/>
    <row r="2737" customFormat="1" x14ac:dyDescent="0.3"/>
    <row r="2738" customFormat="1" x14ac:dyDescent="0.3"/>
    <row r="2739" customFormat="1" x14ac:dyDescent="0.3"/>
    <row r="2740" customFormat="1" x14ac:dyDescent="0.3"/>
    <row r="2741" customFormat="1" x14ac:dyDescent="0.3"/>
    <row r="2742" customFormat="1" x14ac:dyDescent="0.3"/>
    <row r="2743" customFormat="1" x14ac:dyDescent="0.3"/>
    <row r="2744" customFormat="1" x14ac:dyDescent="0.3"/>
    <row r="2745" customFormat="1" x14ac:dyDescent="0.3"/>
    <row r="2746" customFormat="1" x14ac:dyDescent="0.3"/>
    <row r="2747" customFormat="1" x14ac:dyDescent="0.3"/>
    <row r="2748" customFormat="1" x14ac:dyDescent="0.3"/>
    <row r="2749" customFormat="1" x14ac:dyDescent="0.3"/>
    <row r="2750" customFormat="1" x14ac:dyDescent="0.3"/>
    <row r="2751" customFormat="1" x14ac:dyDescent="0.3"/>
    <row r="2752" customFormat="1" x14ac:dyDescent="0.3"/>
    <row r="2753" customFormat="1" x14ac:dyDescent="0.3"/>
    <row r="2754" customFormat="1" x14ac:dyDescent="0.3"/>
    <row r="2755" customFormat="1" x14ac:dyDescent="0.3"/>
    <row r="2756" customFormat="1" x14ac:dyDescent="0.3"/>
    <row r="2757" customFormat="1" x14ac:dyDescent="0.3"/>
    <row r="2758" customFormat="1" x14ac:dyDescent="0.3"/>
    <row r="2759" customFormat="1" x14ac:dyDescent="0.3"/>
    <row r="2760" customFormat="1" x14ac:dyDescent="0.3"/>
    <row r="2761" customFormat="1" x14ac:dyDescent="0.3"/>
    <row r="2762" customFormat="1" x14ac:dyDescent="0.3"/>
    <row r="2763" customFormat="1" x14ac:dyDescent="0.3"/>
    <row r="2764" customFormat="1" x14ac:dyDescent="0.3"/>
    <row r="2765" customFormat="1" x14ac:dyDescent="0.3"/>
    <row r="2766" customFormat="1" x14ac:dyDescent="0.3"/>
    <row r="2767" customFormat="1" x14ac:dyDescent="0.3"/>
    <row r="2768" customFormat="1" x14ac:dyDescent="0.3"/>
    <row r="2769" customFormat="1" x14ac:dyDescent="0.3"/>
    <row r="2770" customFormat="1" x14ac:dyDescent="0.3"/>
    <row r="2771" customFormat="1" x14ac:dyDescent="0.3"/>
    <row r="2772" customFormat="1" x14ac:dyDescent="0.3"/>
    <row r="2773" customFormat="1" x14ac:dyDescent="0.3"/>
    <row r="2774" customFormat="1" x14ac:dyDescent="0.3"/>
    <row r="2775" customFormat="1" x14ac:dyDescent="0.3"/>
    <row r="2776" customFormat="1" x14ac:dyDescent="0.3"/>
    <row r="2777" customFormat="1" x14ac:dyDescent="0.3"/>
    <row r="2778" customFormat="1" x14ac:dyDescent="0.3"/>
    <row r="2779" customFormat="1" x14ac:dyDescent="0.3"/>
    <row r="2780" customFormat="1" x14ac:dyDescent="0.3"/>
    <row r="2781" customFormat="1" x14ac:dyDescent="0.3"/>
    <row r="2782" customFormat="1" x14ac:dyDescent="0.3"/>
    <row r="2783" customFormat="1" x14ac:dyDescent="0.3"/>
    <row r="2784" customFormat="1" x14ac:dyDescent="0.3"/>
    <row r="2785" customFormat="1" x14ac:dyDescent="0.3"/>
    <row r="2786" customFormat="1" x14ac:dyDescent="0.3"/>
    <row r="2787" customFormat="1" x14ac:dyDescent="0.3"/>
    <row r="2788" customFormat="1" x14ac:dyDescent="0.3"/>
    <row r="2789" customFormat="1" x14ac:dyDescent="0.3"/>
    <row r="2790" customFormat="1" x14ac:dyDescent="0.3"/>
    <row r="2791" customFormat="1" x14ac:dyDescent="0.3"/>
    <row r="2792" customFormat="1" x14ac:dyDescent="0.3"/>
    <row r="2793" customFormat="1" x14ac:dyDescent="0.3"/>
    <row r="2794" customFormat="1" x14ac:dyDescent="0.3"/>
    <row r="2795" customFormat="1" x14ac:dyDescent="0.3"/>
    <row r="2796" customFormat="1" x14ac:dyDescent="0.3"/>
    <row r="2797" customFormat="1" x14ac:dyDescent="0.3"/>
    <row r="2798" customFormat="1" x14ac:dyDescent="0.3"/>
    <row r="2799" customFormat="1" x14ac:dyDescent="0.3"/>
    <row r="2800" customFormat="1" x14ac:dyDescent="0.3"/>
    <row r="2801" customFormat="1" x14ac:dyDescent="0.3"/>
    <row r="2802" customFormat="1" x14ac:dyDescent="0.3"/>
    <row r="2803" customFormat="1" x14ac:dyDescent="0.3"/>
    <row r="2804" customFormat="1" x14ac:dyDescent="0.3"/>
    <row r="2805" customFormat="1" x14ac:dyDescent="0.3"/>
    <row r="2806" customFormat="1" x14ac:dyDescent="0.3"/>
    <row r="2807" customFormat="1" x14ac:dyDescent="0.3"/>
    <row r="2808" customFormat="1" x14ac:dyDescent="0.3"/>
    <row r="2809" customFormat="1" x14ac:dyDescent="0.3"/>
    <row r="2810" customFormat="1" x14ac:dyDescent="0.3"/>
    <row r="2811" customFormat="1" x14ac:dyDescent="0.3"/>
    <row r="2812" customFormat="1" x14ac:dyDescent="0.3"/>
    <row r="2813" customFormat="1" x14ac:dyDescent="0.3"/>
    <row r="2814" customFormat="1" x14ac:dyDescent="0.3"/>
    <row r="2815" customFormat="1" x14ac:dyDescent="0.3"/>
    <row r="2816" customFormat="1" x14ac:dyDescent="0.3"/>
    <row r="2817" customFormat="1" x14ac:dyDescent="0.3"/>
    <row r="2818" customFormat="1" x14ac:dyDescent="0.3"/>
    <row r="2819" customFormat="1" x14ac:dyDescent="0.3"/>
    <row r="2820" customFormat="1" x14ac:dyDescent="0.3"/>
    <row r="2821" customFormat="1" x14ac:dyDescent="0.3"/>
    <row r="2822" customFormat="1" x14ac:dyDescent="0.3"/>
    <row r="2823" customFormat="1" x14ac:dyDescent="0.3"/>
    <row r="2824" customFormat="1" x14ac:dyDescent="0.3"/>
    <row r="2825" customFormat="1" x14ac:dyDescent="0.3"/>
    <row r="2826" customFormat="1" x14ac:dyDescent="0.3"/>
    <row r="2827" customFormat="1" x14ac:dyDescent="0.3"/>
    <row r="2828" customFormat="1" x14ac:dyDescent="0.3"/>
    <row r="2829" customFormat="1" x14ac:dyDescent="0.3"/>
    <row r="2830" customFormat="1" x14ac:dyDescent="0.3"/>
    <row r="2831" customFormat="1" x14ac:dyDescent="0.3"/>
    <row r="2832" customFormat="1" x14ac:dyDescent="0.3"/>
    <row r="2833" customFormat="1" x14ac:dyDescent="0.3"/>
    <row r="2834" customFormat="1" x14ac:dyDescent="0.3"/>
    <row r="2835" customFormat="1" x14ac:dyDescent="0.3"/>
    <row r="2836" customFormat="1" x14ac:dyDescent="0.3"/>
    <row r="2837" customFormat="1" x14ac:dyDescent="0.3"/>
    <row r="2838" customFormat="1" x14ac:dyDescent="0.3"/>
    <row r="2839" customFormat="1" x14ac:dyDescent="0.3"/>
    <row r="2840" customFormat="1" x14ac:dyDescent="0.3"/>
    <row r="2841" customFormat="1" x14ac:dyDescent="0.3"/>
    <row r="2842" customFormat="1" x14ac:dyDescent="0.3"/>
    <row r="2843" customFormat="1" x14ac:dyDescent="0.3"/>
    <row r="2844" customFormat="1" x14ac:dyDescent="0.3"/>
    <row r="2845" customFormat="1" x14ac:dyDescent="0.3"/>
    <row r="2846" customFormat="1" x14ac:dyDescent="0.3"/>
    <row r="2847" customFormat="1" x14ac:dyDescent="0.3"/>
    <row r="2848" customFormat="1" x14ac:dyDescent="0.3"/>
    <row r="2849" customFormat="1" x14ac:dyDescent="0.3"/>
    <row r="2850" customFormat="1" x14ac:dyDescent="0.3"/>
    <row r="2851" customFormat="1" x14ac:dyDescent="0.3"/>
    <row r="2852" customFormat="1" x14ac:dyDescent="0.3"/>
    <row r="2853" customFormat="1" x14ac:dyDescent="0.3"/>
    <row r="2854" customFormat="1" x14ac:dyDescent="0.3"/>
    <row r="2855" customFormat="1" x14ac:dyDescent="0.3"/>
    <row r="2856" customFormat="1" x14ac:dyDescent="0.3"/>
    <row r="2857" customFormat="1" x14ac:dyDescent="0.3"/>
    <row r="2858" customFormat="1" x14ac:dyDescent="0.3"/>
    <row r="2859" customFormat="1" x14ac:dyDescent="0.3"/>
    <row r="2860" customFormat="1" x14ac:dyDescent="0.3"/>
    <row r="2861" customFormat="1" x14ac:dyDescent="0.3"/>
    <row r="2862" customFormat="1" x14ac:dyDescent="0.3"/>
    <row r="2863" customFormat="1" x14ac:dyDescent="0.3"/>
    <row r="2864" customFormat="1" x14ac:dyDescent="0.3"/>
    <row r="2865" customFormat="1" x14ac:dyDescent="0.3"/>
    <row r="2866" customFormat="1" x14ac:dyDescent="0.3"/>
    <row r="2867" customFormat="1" x14ac:dyDescent="0.3"/>
    <row r="2868" customFormat="1" x14ac:dyDescent="0.3"/>
    <row r="2869" customFormat="1" x14ac:dyDescent="0.3"/>
    <row r="2870" customFormat="1" x14ac:dyDescent="0.3"/>
    <row r="2871" customFormat="1" x14ac:dyDescent="0.3"/>
    <row r="2872" customFormat="1" x14ac:dyDescent="0.3"/>
    <row r="2873" customFormat="1" x14ac:dyDescent="0.3"/>
    <row r="2874" customFormat="1" x14ac:dyDescent="0.3"/>
    <row r="2875" customFormat="1" x14ac:dyDescent="0.3"/>
    <row r="2876" customFormat="1" x14ac:dyDescent="0.3"/>
    <row r="2877" customFormat="1" x14ac:dyDescent="0.3"/>
    <row r="2878" customFormat="1" x14ac:dyDescent="0.3"/>
    <row r="2879" customFormat="1" x14ac:dyDescent="0.3"/>
    <row r="2880" customFormat="1" x14ac:dyDescent="0.3"/>
    <row r="2881" customFormat="1" x14ac:dyDescent="0.3"/>
    <row r="2882" customFormat="1" x14ac:dyDescent="0.3"/>
    <row r="2883" customFormat="1" x14ac:dyDescent="0.3"/>
    <row r="2884" customFormat="1" x14ac:dyDescent="0.3"/>
    <row r="2885" customFormat="1" x14ac:dyDescent="0.3"/>
    <row r="2886" customFormat="1" x14ac:dyDescent="0.3"/>
    <row r="2887" customFormat="1" x14ac:dyDescent="0.3"/>
    <row r="2888" customFormat="1" x14ac:dyDescent="0.3"/>
    <row r="2889" customFormat="1" x14ac:dyDescent="0.3"/>
    <row r="2890" customFormat="1" x14ac:dyDescent="0.3"/>
    <row r="2891" customFormat="1" x14ac:dyDescent="0.3"/>
    <row r="2892" customFormat="1" x14ac:dyDescent="0.3"/>
    <row r="2893" customFormat="1" x14ac:dyDescent="0.3"/>
    <row r="2894" customFormat="1" x14ac:dyDescent="0.3"/>
    <row r="2895" customFormat="1" x14ac:dyDescent="0.3"/>
    <row r="2896" customFormat="1" x14ac:dyDescent="0.3"/>
    <row r="2897" customFormat="1" x14ac:dyDescent="0.3"/>
    <row r="2898" customFormat="1" x14ac:dyDescent="0.3"/>
    <row r="2899" customFormat="1" x14ac:dyDescent="0.3"/>
    <row r="2900" customFormat="1" x14ac:dyDescent="0.3"/>
    <row r="2901" customFormat="1" x14ac:dyDescent="0.3"/>
    <row r="2902" customFormat="1" x14ac:dyDescent="0.3"/>
    <row r="2903" customFormat="1" x14ac:dyDescent="0.3"/>
    <row r="2904" customFormat="1" x14ac:dyDescent="0.3"/>
    <row r="2905" customFormat="1" x14ac:dyDescent="0.3"/>
    <row r="2906" customFormat="1" x14ac:dyDescent="0.3"/>
    <row r="2907" customFormat="1" x14ac:dyDescent="0.3"/>
    <row r="2908" customFormat="1" x14ac:dyDescent="0.3"/>
    <row r="2909" customFormat="1" x14ac:dyDescent="0.3"/>
    <row r="2910" customFormat="1" x14ac:dyDescent="0.3"/>
    <row r="2911" customFormat="1" x14ac:dyDescent="0.3"/>
    <row r="2912" customFormat="1" x14ac:dyDescent="0.3"/>
    <row r="2913" customFormat="1" x14ac:dyDescent="0.3"/>
    <row r="2914" customFormat="1" x14ac:dyDescent="0.3"/>
    <row r="2915" customFormat="1" x14ac:dyDescent="0.3"/>
    <row r="2916" customFormat="1" x14ac:dyDescent="0.3"/>
    <row r="2917" customFormat="1" x14ac:dyDescent="0.3"/>
    <row r="2918" customFormat="1" x14ac:dyDescent="0.3"/>
    <row r="2919" customFormat="1" x14ac:dyDescent="0.3"/>
    <row r="2920" customFormat="1" x14ac:dyDescent="0.3"/>
    <row r="2921" customFormat="1" x14ac:dyDescent="0.3"/>
    <row r="2922" customFormat="1" x14ac:dyDescent="0.3"/>
    <row r="2923" customFormat="1" x14ac:dyDescent="0.3"/>
    <row r="2924" customFormat="1" x14ac:dyDescent="0.3"/>
    <row r="2925" customFormat="1" x14ac:dyDescent="0.3"/>
    <row r="2926" customFormat="1" x14ac:dyDescent="0.3"/>
    <row r="2927" customFormat="1" x14ac:dyDescent="0.3"/>
    <row r="2928" customFormat="1" x14ac:dyDescent="0.3"/>
    <row r="2929" customFormat="1" x14ac:dyDescent="0.3"/>
    <row r="2930" customFormat="1" x14ac:dyDescent="0.3"/>
    <row r="2931" customFormat="1" x14ac:dyDescent="0.3"/>
    <row r="2932" customFormat="1" x14ac:dyDescent="0.3"/>
    <row r="2933" customFormat="1" x14ac:dyDescent="0.3"/>
    <row r="2934" customFormat="1" x14ac:dyDescent="0.3"/>
    <row r="2935" customFormat="1" x14ac:dyDescent="0.3"/>
    <row r="2936" customFormat="1" x14ac:dyDescent="0.3"/>
    <row r="2937" customFormat="1" x14ac:dyDescent="0.3"/>
    <row r="2938" customFormat="1" x14ac:dyDescent="0.3"/>
    <row r="2939" customFormat="1" x14ac:dyDescent="0.3"/>
    <row r="2940" customFormat="1" x14ac:dyDescent="0.3"/>
    <row r="2941" customFormat="1" x14ac:dyDescent="0.3"/>
    <row r="2942" customFormat="1" x14ac:dyDescent="0.3"/>
    <row r="2943" customFormat="1" x14ac:dyDescent="0.3"/>
    <row r="2944" customFormat="1" x14ac:dyDescent="0.3"/>
    <row r="2945" customFormat="1" x14ac:dyDescent="0.3"/>
    <row r="2946" customFormat="1" x14ac:dyDescent="0.3"/>
    <row r="2947" customFormat="1" x14ac:dyDescent="0.3"/>
    <row r="2948" customFormat="1" x14ac:dyDescent="0.3"/>
    <row r="2949" customFormat="1" x14ac:dyDescent="0.3"/>
    <row r="2950" customFormat="1" x14ac:dyDescent="0.3"/>
    <row r="2951" customFormat="1" x14ac:dyDescent="0.3"/>
    <row r="2952" customFormat="1" x14ac:dyDescent="0.3"/>
    <row r="2953" customFormat="1" x14ac:dyDescent="0.3"/>
    <row r="2954" customFormat="1" x14ac:dyDescent="0.3"/>
    <row r="2955" customFormat="1" x14ac:dyDescent="0.3"/>
    <row r="2956" customFormat="1" x14ac:dyDescent="0.3"/>
    <row r="2957" customFormat="1" x14ac:dyDescent="0.3"/>
    <row r="2958" customFormat="1" x14ac:dyDescent="0.3"/>
    <row r="2959" customFormat="1" x14ac:dyDescent="0.3"/>
    <row r="2960" customFormat="1" x14ac:dyDescent="0.3"/>
    <row r="2961" customFormat="1" x14ac:dyDescent="0.3"/>
    <row r="2962" customFormat="1" x14ac:dyDescent="0.3"/>
    <row r="2963" customFormat="1" x14ac:dyDescent="0.3"/>
    <row r="2964" customFormat="1" x14ac:dyDescent="0.3"/>
    <row r="2965" customFormat="1" x14ac:dyDescent="0.3"/>
    <row r="2966" customFormat="1" x14ac:dyDescent="0.3"/>
    <row r="2967" customFormat="1" x14ac:dyDescent="0.3"/>
    <row r="2968" customFormat="1" x14ac:dyDescent="0.3"/>
    <row r="2969" customFormat="1" x14ac:dyDescent="0.3"/>
    <row r="2970" customFormat="1" x14ac:dyDescent="0.3"/>
    <row r="2971" customFormat="1" x14ac:dyDescent="0.3"/>
    <row r="2972" customFormat="1" x14ac:dyDescent="0.3"/>
    <row r="2973" customFormat="1" x14ac:dyDescent="0.3"/>
    <row r="2974" customFormat="1" x14ac:dyDescent="0.3"/>
    <row r="2975" customFormat="1" x14ac:dyDescent="0.3"/>
    <row r="2976" customFormat="1" x14ac:dyDescent="0.3"/>
    <row r="2977" customFormat="1" x14ac:dyDescent="0.3"/>
    <row r="2978" customFormat="1" x14ac:dyDescent="0.3"/>
    <row r="2979" customFormat="1" x14ac:dyDescent="0.3"/>
    <row r="2980" customFormat="1" x14ac:dyDescent="0.3"/>
    <row r="2981" customFormat="1" x14ac:dyDescent="0.3"/>
    <row r="2982" customFormat="1" x14ac:dyDescent="0.3"/>
    <row r="2983" customFormat="1" x14ac:dyDescent="0.3"/>
    <row r="2984" customFormat="1" x14ac:dyDescent="0.3"/>
    <row r="2985" customFormat="1" x14ac:dyDescent="0.3"/>
    <row r="2986" customFormat="1" x14ac:dyDescent="0.3"/>
    <row r="2987" customFormat="1" x14ac:dyDescent="0.3"/>
    <row r="2988" customFormat="1" x14ac:dyDescent="0.3"/>
    <row r="2989" customFormat="1" x14ac:dyDescent="0.3"/>
    <row r="2990" customFormat="1" x14ac:dyDescent="0.3"/>
    <row r="2991" customFormat="1" x14ac:dyDescent="0.3"/>
    <row r="2992" customFormat="1" x14ac:dyDescent="0.3"/>
    <row r="2993" customFormat="1" x14ac:dyDescent="0.3"/>
    <row r="2994" customFormat="1" x14ac:dyDescent="0.3"/>
    <row r="2995" customFormat="1" x14ac:dyDescent="0.3"/>
    <row r="2996" customFormat="1" x14ac:dyDescent="0.3"/>
    <row r="2997" customFormat="1" x14ac:dyDescent="0.3"/>
    <row r="2998" customFormat="1" x14ac:dyDescent="0.3"/>
    <row r="2999" customFormat="1" x14ac:dyDescent="0.3"/>
    <row r="3000" customFormat="1" x14ac:dyDescent="0.3"/>
    <row r="3001" customFormat="1" x14ac:dyDescent="0.3"/>
    <row r="3002" customFormat="1" x14ac:dyDescent="0.3"/>
    <row r="3003" customFormat="1" x14ac:dyDescent="0.3"/>
    <row r="3004" customFormat="1" x14ac:dyDescent="0.3"/>
    <row r="3005" customFormat="1" x14ac:dyDescent="0.3"/>
    <row r="3006" customFormat="1" x14ac:dyDescent="0.3"/>
    <row r="3007" customFormat="1" x14ac:dyDescent="0.3"/>
    <row r="3008" customFormat="1" x14ac:dyDescent="0.3"/>
    <row r="3009" customFormat="1" x14ac:dyDescent="0.3"/>
    <row r="3010" customFormat="1" x14ac:dyDescent="0.3"/>
    <row r="3011" customFormat="1" x14ac:dyDescent="0.3"/>
    <row r="3012" customFormat="1" x14ac:dyDescent="0.3"/>
    <row r="3013" customFormat="1" x14ac:dyDescent="0.3"/>
    <row r="3014" customFormat="1" x14ac:dyDescent="0.3"/>
    <row r="3015" customFormat="1" x14ac:dyDescent="0.3"/>
    <row r="3016" customFormat="1" x14ac:dyDescent="0.3"/>
    <row r="3017" customFormat="1" x14ac:dyDescent="0.3"/>
    <row r="3018" customFormat="1" x14ac:dyDescent="0.3"/>
    <row r="3019" customFormat="1" x14ac:dyDescent="0.3"/>
    <row r="3020" customFormat="1" x14ac:dyDescent="0.3"/>
    <row r="3021" customFormat="1" x14ac:dyDescent="0.3"/>
    <row r="3022" customFormat="1" x14ac:dyDescent="0.3"/>
    <row r="3023" customFormat="1" x14ac:dyDescent="0.3"/>
    <row r="3024" customFormat="1" x14ac:dyDescent="0.3"/>
    <row r="3025" customFormat="1" x14ac:dyDescent="0.3"/>
    <row r="3026" customFormat="1" x14ac:dyDescent="0.3"/>
    <row r="3027" customFormat="1" x14ac:dyDescent="0.3"/>
    <row r="3028" customFormat="1" x14ac:dyDescent="0.3"/>
    <row r="3029" customFormat="1" x14ac:dyDescent="0.3"/>
    <row r="3030" customFormat="1" x14ac:dyDescent="0.3"/>
    <row r="3031" customFormat="1" x14ac:dyDescent="0.3"/>
    <row r="3032" customFormat="1" x14ac:dyDescent="0.3"/>
    <row r="3033" customFormat="1" x14ac:dyDescent="0.3"/>
    <row r="3034" customFormat="1" x14ac:dyDescent="0.3"/>
    <row r="3035" customFormat="1" x14ac:dyDescent="0.3"/>
    <row r="3036" customFormat="1" x14ac:dyDescent="0.3"/>
    <row r="3037" customFormat="1" x14ac:dyDescent="0.3"/>
    <row r="3038" customFormat="1" x14ac:dyDescent="0.3"/>
    <row r="3039" customFormat="1" x14ac:dyDescent="0.3"/>
    <row r="3040" customFormat="1" x14ac:dyDescent="0.3"/>
    <row r="3041" customFormat="1" x14ac:dyDescent="0.3"/>
    <row r="3042" customFormat="1" x14ac:dyDescent="0.3"/>
    <row r="3043" customFormat="1" x14ac:dyDescent="0.3"/>
    <row r="3044" customFormat="1" x14ac:dyDescent="0.3"/>
    <row r="3045" customFormat="1" x14ac:dyDescent="0.3"/>
    <row r="3046" customFormat="1" x14ac:dyDescent="0.3"/>
    <row r="3047" customFormat="1" x14ac:dyDescent="0.3"/>
    <row r="3048" customFormat="1" x14ac:dyDescent="0.3"/>
    <row r="3049" customFormat="1" x14ac:dyDescent="0.3"/>
    <row r="3050" customFormat="1" x14ac:dyDescent="0.3"/>
    <row r="3051" customFormat="1" x14ac:dyDescent="0.3"/>
    <row r="3052" customFormat="1" x14ac:dyDescent="0.3"/>
    <row r="3053" customFormat="1" x14ac:dyDescent="0.3"/>
    <row r="3054" customFormat="1" x14ac:dyDescent="0.3"/>
    <row r="3055" customFormat="1" x14ac:dyDescent="0.3"/>
    <row r="3056" customFormat="1" x14ac:dyDescent="0.3"/>
    <row r="3057" customFormat="1" x14ac:dyDescent="0.3"/>
    <row r="3058" customFormat="1" x14ac:dyDescent="0.3"/>
    <row r="3059" customFormat="1" x14ac:dyDescent="0.3"/>
    <row r="3060" customFormat="1" x14ac:dyDescent="0.3"/>
    <row r="3061" customFormat="1" x14ac:dyDescent="0.3"/>
    <row r="3062" customFormat="1" x14ac:dyDescent="0.3"/>
    <row r="3063" customFormat="1" x14ac:dyDescent="0.3"/>
    <row r="3064" customFormat="1" x14ac:dyDescent="0.3"/>
    <row r="3065" customFormat="1" x14ac:dyDescent="0.3"/>
    <row r="3066" customFormat="1" x14ac:dyDescent="0.3"/>
    <row r="3067" customFormat="1" x14ac:dyDescent="0.3"/>
    <row r="3068" customFormat="1" x14ac:dyDescent="0.3"/>
    <row r="3069" customFormat="1" x14ac:dyDescent="0.3"/>
    <row r="3070" customFormat="1" x14ac:dyDescent="0.3"/>
    <row r="3071" customFormat="1" x14ac:dyDescent="0.3"/>
    <row r="3072" customFormat="1" x14ac:dyDescent="0.3"/>
    <row r="3073" customFormat="1" x14ac:dyDescent="0.3"/>
    <row r="3074" customFormat="1" x14ac:dyDescent="0.3"/>
    <row r="3075" customFormat="1" x14ac:dyDescent="0.3"/>
    <row r="3076" customFormat="1" x14ac:dyDescent="0.3"/>
    <row r="3077" customFormat="1" x14ac:dyDescent="0.3"/>
    <row r="3078" customFormat="1" x14ac:dyDescent="0.3"/>
    <row r="3079" customFormat="1" x14ac:dyDescent="0.3"/>
    <row r="3080" customFormat="1" x14ac:dyDescent="0.3"/>
    <row r="3081" customFormat="1" x14ac:dyDescent="0.3"/>
    <row r="3082" customFormat="1" x14ac:dyDescent="0.3"/>
    <row r="3083" customFormat="1" x14ac:dyDescent="0.3"/>
    <row r="3084" customFormat="1" x14ac:dyDescent="0.3"/>
    <row r="3085" customFormat="1" x14ac:dyDescent="0.3"/>
    <row r="3086" customFormat="1" x14ac:dyDescent="0.3"/>
    <row r="3087" customFormat="1" x14ac:dyDescent="0.3"/>
    <row r="3088" customFormat="1" x14ac:dyDescent="0.3"/>
    <row r="3089" customFormat="1" x14ac:dyDescent="0.3"/>
    <row r="3090" customFormat="1" x14ac:dyDescent="0.3"/>
    <row r="3091" customFormat="1" x14ac:dyDescent="0.3"/>
    <row r="3092" customFormat="1" x14ac:dyDescent="0.3"/>
    <row r="3093" customFormat="1" x14ac:dyDescent="0.3"/>
    <row r="3094" customFormat="1" x14ac:dyDescent="0.3"/>
    <row r="3095" customFormat="1" x14ac:dyDescent="0.3"/>
    <row r="3096" customFormat="1" x14ac:dyDescent="0.3"/>
    <row r="3097" customFormat="1" x14ac:dyDescent="0.3"/>
    <row r="3098" customFormat="1" x14ac:dyDescent="0.3"/>
    <row r="3099" customFormat="1" x14ac:dyDescent="0.3"/>
    <row r="3100" customFormat="1" x14ac:dyDescent="0.3"/>
    <row r="3101" customFormat="1" x14ac:dyDescent="0.3"/>
    <row r="3102" customFormat="1" x14ac:dyDescent="0.3"/>
    <row r="3103" customFormat="1" x14ac:dyDescent="0.3"/>
    <row r="3104" customFormat="1" x14ac:dyDescent="0.3"/>
    <row r="3105" customFormat="1" x14ac:dyDescent="0.3"/>
    <row r="3106" customFormat="1" x14ac:dyDescent="0.3"/>
    <row r="3107" customFormat="1" x14ac:dyDescent="0.3"/>
    <row r="3108" customFormat="1" x14ac:dyDescent="0.3"/>
    <row r="3109" customFormat="1" x14ac:dyDescent="0.3"/>
    <row r="3110" customFormat="1" x14ac:dyDescent="0.3"/>
    <row r="3111" customFormat="1" x14ac:dyDescent="0.3"/>
    <row r="3112" customFormat="1" x14ac:dyDescent="0.3"/>
    <row r="3113" customFormat="1" x14ac:dyDescent="0.3"/>
    <row r="3114" customFormat="1" x14ac:dyDescent="0.3"/>
    <row r="3115" customFormat="1" x14ac:dyDescent="0.3"/>
    <row r="3116" customFormat="1" x14ac:dyDescent="0.3"/>
    <row r="3117" customFormat="1" x14ac:dyDescent="0.3"/>
    <row r="3118" customFormat="1" x14ac:dyDescent="0.3"/>
    <row r="3119" customFormat="1" x14ac:dyDescent="0.3"/>
    <row r="3120" customFormat="1" x14ac:dyDescent="0.3"/>
    <row r="3121" customFormat="1" x14ac:dyDescent="0.3"/>
    <row r="3122" customFormat="1" x14ac:dyDescent="0.3"/>
    <row r="3123" customFormat="1" x14ac:dyDescent="0.3"/>
    <row r="3124" customFormat="1" x14ac:dyDescent="0.3"/>
    <row r="3125" customFormat="1" x14ac:dyDescent="0.3"/>
    <row r="3126" customFormat="1" x14ac:dyDescent="0.3"/>
    <row r="3127" customFormat="1" x14ac:dyDescent="0.3"/>
    <row r="3128" customFormat="1" x14ac:dyDescent="0.3"/>
    <row r="3129" customFormat="1" x14ac:dyDescent="0.3"/>
    <row r="3130" customFormat="1" x14ac:dyDescent="0.3"/>
    <row r="3131" customFormat="1" x14ac:dyDescent="0.3"/>
    <row r="3132" customFormat="1" x14ac:dyDescent="0.3"/>
    <row r="3133" customFormat="1" x14ac:dyDescent="0.3"/>
    <row r="3134" customFormat="1" x14ac:dyDescent="0.3"/>
    <row r="3135" customFormat="1" x14ac:dyDescent="0.3"/>
    <row r="3136" customFormat="1" x14ac:dyDescent="0.3"/>
    <row r="3137" customFormat="1" x14ac:dyDescent="0.3"/>
    <row r="3138" customFormat="1" x14ac:dyDescent="0.3"/>
    <row r="3139" customFormat="1" x14ac:dyDescent="0.3"/>
    <row r="3140" customFormat="1" x14ac:dyDescent="0.3"/>
    <row r="3141" customFormat="1" x14ac:dyDescent="0.3"/>
    <row r="3142" customFormat="1" x14ac:dyDescent="0.3"/>
    <row r="3143" customFormat="1" x14ac:dyDescent="0.3"/>
    <row r="3144" customFormat="1" x14ac:dyDescent="0.3"/>
    <row r="3145" customFormat="1" x14ac:dyDescent="0.3"/>
    <row r="3146" customFormat="1" x14ac:dyDescent="0.3"/>
    <row r="3147" customFormat="1" x14ac:dyDescent="0.3"/>
    <row r="3148" customFormat="1" x14ac:dyDescent="0.3"/>
    <row r="3149" customFormat="1" x14ac:dyDescent="0.3"/>
    <row r="3150" customFormat="1" x14ac:dyDescent="0.3"/>
    <row r="3151" customFormat="1" x14ac:dyDescent="0.3"/>
    <row r="3152" customFormat="1" x14ac:dyDescent="0.3"/>
    <row r="3153" customFormat="1" x14ac:dyDescent="0.3"/>
    <row r="3154" customFormat="1" x14ac:dyDescent="0.3"/>
    <row r="3155" customFormat="1" x14ac:dyDescent="0.3"/>
    <row r="3156" customFormat="1" x14ac:dyDescent="0.3"/>
    <row r="3157" customFormat="1" x14ac:dyDescent="0.3"/>
    <row r="3158" customFormat="1" x14ac:dyDescent="0.3"/>
    <row r="3159" customFormat="1" x14ac:dyDescent="0.3"/>
    <row r="3160" customFormat="1" x14ac:dyDescent="0.3"/>
    <row r="3161" customFormat="1" x14ac:dyDescent="0.3"/>
    <row r="3162" customFormat="1" x14ac:dyDescent="0.3"/>
    <row r="3163" customFormat="1" x14ac:dyDescent="0.3"/>
    <row r="3164" customFormat="1" x14ac:dyDescent="0.3"/>
    <row r="3165" customFormat="1" x14ac:dyDescent="0.3"/>
    <row r="3166" customFormat="1" x14ac:dyDescent="0.3"/>
    <row r="3167" customFormat="1" x14ac:dyDescent="0.3"/>
    <row r="3168" customFormat="1" x14ac:dyDescent="0.3"/>
    <row r="3169" customFormat="1" x14ac:dyDescent="0.3"/>
    <row r="3170" customFormat="1" x14ac:dyDescent="0.3"/>
    <row r="3171" customFormat="1" x14ac:dyDescent="0.3"/>
    <row r="3172" customFormat="1" x14ac:dyDescent="0.3"/>
    <row r="3173" customFormat="1" x14ac:dyDescent="0.3"/>
    <row r="3174" customFormat="1" x14ac:dyDescent="0.3"/>
    <row r="3175" customFormat="1" x14ac:dyDescent="0.3"/>
    <row r="3176" customFormat="1" x14ac:dyDescent="0.3"/>
    <row r="3177" customFormat="1" x14ac:dyDescent="0.3"/>
    <row r="3178" customFormat="1" x14ac:dyDescent="0.3"/>
    <row r="3179" customFormat="1" x14ac:dyDescent="0.3"/>
    <row r="3180" customFormat="1" x14ac:dyDescent="0.3"/>
    <row r="3181" customFormat="1" x14ac:dyDescent="0.3"/>
    <row r="3182" customFormat="1" x14ac:dyDescent="0.3"/>
    <row r="3183" customFormat="1" x14ac:dyDescent="0.3"/>
    <row r="3184" customFormat="1" x14ac:dyDescent="0.3"/>
    <row r="3185" customFormat="1" x14ac:dyDescent="0.3"/>
    <row r="3186" customFormat="1" x14ac:dyDescent="0.3"/>
    <row r="3187" customFormat="1" x14ac:dyDescent="0.3"/>
    <row r="3188" customFormat="1" x14ac:dyDescent="0.3"/>
    <row r="3189" customFormat="1" x14ac:dyDescent="0.3"/>
    <row r="3190" customFormat="1" x14ac:dyDescent="0.3"/>
    <row r="3191" customFormat="1" x14ac:dyDescent="0.3"/>
    <row r="3192" customFormat="1" x14ac:dyDescent="0.3"/>
    <row r="3193" customFormat="1" x14ac:dyDescent="0.3"/>
    <row r="3194" customFormat="1" x14ac:dyDescent="0.3"/>
    <row r="3195" customFormat="1" x14ac:dyDescent="0.3"/>
    <row r="3196" customFormat="1" x14ac:dyDescent="0.3"/>
    <row r="3197" customFormat="1" x14ac:dyDescent="0.3"/>
    <row r="3198" customFormat="1" x14ac:dyDescent="0.3"/>
    <row r="3199" customFormat="1" x14ac:dyDescent="0.3"/>
    <row r="3200" customFormat="1" x14ac:dyDescent="0.3"/>
    <row r="3201" customFormat="1" x14ac:dyDescent="0.3"/>
    <row r="3202" customFormat="1" x14ac:dyDescent="0.3"/>
    <row r="3203" customFormat="1" x14ac:dyDescent="0.3"/>
    <row r="3204" customFormat="1" x14ac:dyDescent="0.3"/>
    <row r="3205" customFormat="1" x14ac:dyDescent="0.3"/>
    <row r="3206" customFormat="1" x14ac:dyDescent="0.3"/>
    <row r="3207" customFormat="1" x14ac:dyDescent="0.3"/>
    <row r="3208" customFormat="1" x14ac:dyDescent="0.3"/>
    <row r="3209" customFormat="1" x14ac:dyDescent="0.3"/>
    <row r="3210" customFormat="1" x14ac:dyDescent="0.3"/>
    <row r="3211" customFormat="1" x14ac:dyDescent="0.3"/>
    <row r="3212" customFormat="1" x14ac:dyDescent="0.3"/>
    <row r="3213" customFormat="1" x14ac:dyDescent="0.3"/>
    <row r="3214" customFormat="1" x14ac:dyDescent="0.3"/>
    <row r="3215" customFormat="1" x14ac:dyDescent="0.3"/>
    <row r="3216" customFormat="1" x14ac:dyDescent="0.3"/>
    <row r="3217" customFormat="1" x14ac:dyDescent="0.3"/>
    <row r="3218" customFormat="1" x14ac:dyDescent="0.3"/>
    <row r="3219" customFormat="1" x14ac:dyDescent="0.3"/>
    <row r="3220" customFormat="1" x14ac:dyDescent="0.3"/>
    <row r="3221" customFormat="1" x14ac:dyDescent="0.3"/>
    <row r="3222" customFormat="1" x14ac:dyDescent="0.3"/>
    <row r="3223" customFormat="1" x14ac:dyDescent="0.3"/>
    <row r="3224" customFormat="1" x14ac:dyDescent="0.3"/>
    <row r="3225" customFormat="1" x14ac:dyDescent="0.3"/>
    <row r="3226" customFormat="1" x14ac:dyDescent="0.3"/>
    <row r="3227" customFormat="1" x14ac:dyDescent="0.3"/>
    <row r="3228" customFormat="1" x14ac:dyDescent="0.3"/>
    <row r="3229" customFormat="1" x14ac:dyDescent="0.3"/>
    <row r="3230" customFormat="1" x14ac:dyDescent="0.3"/>
    <row r="3231" customFormat="1" x14ac:dyDescent="0.3"/>
    <row r="3232" customFormat="1" x14ac:dyDescent="0.3"/>
    <row r="3233" customFormat="1" x14ac:dyDescent="0.3"/>
    <row r="3234" customFormat="1" x14ac:dyDescent="0.3"/>
    <row r="3235" customFormat="1" x14ac:dyDescent="0.3"/>
    <row r="3236" customFormat="1" x14ac:dyDescent="0.3"/>
    <row r="3237" customFormat="1" x14ac:dyDescent="0.3"/>
    <row r="3238" customFormat="1" x14ac:dyDescent="0.3"/>
    <row r="3239" customFormat="1" x14ac:dyDescent="0.3"/>
    <row r="3240" customFormat="1" x14ac:dyDescent="0.3"/>
    <row r="3241" customFormat="1" x14ac:dyDescent="0.3"/>
    <row r="3242" customFormat="1" x14ac:dyDescent="0.3"/>
    <row r="3243" customFormat="1" x14ac:dyDescent="0.3"/>
    <row r="3244" customFormat="1" x14ac:dyDescent="0.3"/>
    <row r="3245" customFormat="1" x14ac:dyDescent="0.3"/>
    <row r="3246" customFormat="1" x14ac:dyDescent="0.3"/>
    <row r="3247" customFormat="1" x14ac:dyDescent="0.3"/>
    <row r="3248" customFormat="1" x14ac:dyDescent="0.3"/>
    <row r="3249" customFormat="1" x14ac:dyDescent="0.3"/>
    <row r="3250" customFormat="1" x14ac:dyDescent="0.3"/>
    <row r="3251" customFormat="1" x14ac:dyDescent="0.3"/>
    <row r="3252" customFormat="1" x14ac:dyDescent="0.3"/>
    <row r="3253" customFormat="1" x14ac:dyDescent="0.3"/>
    <row r="3254" customFormat="1" x14ac:dyDescent="0.3"/>
    <row r="3255" customFormat="1" x14ac:dyDescent="0.3"/>
    <row r="3256" customFormat="1" x14ac:dyDescent="0.3"/>
    <row r="3257" customFormat="1" x14ac:dyDescent="0.3"/>
    <row r="3258" customFormat="1" x14ac:dyDescent="0.3"/>
    <row r="3259" customFormat="1" x14ac:dyDescent="0.3"/>
    <row r="3260" customFormat="1" x14ac:dyDescent="0.3"/>
    <row r="3261" customFormat="1" x14ac:dyDescent="0.3"/>
    <row r="3262" customFormat="1" x14ac:dyDescent="0.3"/>
    <row r="3263" customFormat="1" x14ac:dyDescent="0.3"/>
    <row r="3264" customFormat="1" x14ac:dyDescent="0.3"/>
    <row r="3265" customFormat="1" x14ac:dyDescent="0.3"/>
    <row r="3266" customFormat="1" x14ac:dyDescent="0.3"/>
    <row r="3267" customFormat="1" x14ac:dyDescent="0.3"/>
    <row r="3268" customFormat="1" x14ac:dyDescent="0.3"/>
    <row r="3269" customFormat="1" x14ac:dyDescent="0.3"/>
    <row r="3270" customFormat="1" x14ac:dyDescent="0.3"/>
    <row r="3271" customFormat="1" x14ac:dyDescent="0.3"/>
    <row r="3272" customFormat="1" x14ac:dyDescent="0.3"/>
    <row r="3273" customFormat="1" x14ac:dyDescent="0.3"/>
    <row r="3274" customFormat="1" x14ac:dyDescent="0.3"/>
    <row r="3275" customFormat="1" x14ac:dyDescent="0.3"/>
    <row r="3276" customFormat="1" x14ac:dyDescent="0.3"/>
    <row r="3277" customFormat="1" x14ac:dyDescent="0.3"/>
    <row r="3278" customFormat="1" x14ac:dyDescent="0.3"/>
    <row r="3279" customFormat="1" x14ac:dyDescent="0.3"/>
    <row r="3280" customFormat="1" x14ac:dyDescent="0.3"/>
    <row r="3281" customFormat="1" x14ac:dyDescent="0.3"/>
    <row r="3282" customFormat="1" x14ac:dyDescent="0.3"/>
    <row r="3283" customFormat="1" x14ac:dyDescent="0.3"/>
    <row r="3284" customFormat="1" x14ac:dyDescent="0.3"/>
    <row r="3285" customFormat="1" x14ac:dyDescent="0.3"/>
    <row r="3286" customFormat="1" x14ac:dyDescent="0.3"/>
    <row r="3287" customFormat="1" x14ac:dyDescent="0.3"/>
    <row r="3288" customFormat="1" x14ac:dyDescent="0.3"/>
    <row r="3289" customFormat="1" x14ac:dyDescent="0.3"/>
    <row r="3290" customFormat="1" x14ac:dyDescent="0.3"/>
    <row r="3291" customFormat="1" x14ac:dyDescent="0.3"/>
    <row r="3292" customFormat="1" x14ac:dyDescent="0.3"/>
    <row r="3293" customFormat="1" x14ac:dyDescent="0.3"/>
    <row r="3294" customFormat="1" x14ac:dyDescent="0.3"/>
    <row r="3295" customFormat="1" x14ac:dyDescent="0.3"/>
    <row r="3296" customFormat="1" x14ac:dyDescent="0.3"/>
    <row r="3297" customFormat="1" x14ac:dyDescent="0.3"/>
    <row r="3298" customFormat="1" x14ac:dyDescent="0.3"/>
    <row r="3299" customFormat="1" x14ac:dyDescent="0.3"/>
    <row r="3300" customFormat="1" x14ac:dyDescent="0.3"/>
    <row r="3301" customFormat="1" x14ac:dyDescent="0.3"/>
    <row r="3302" customFormat="1" x14ac:dyDescent="0.3"/>
    <row r="3303" customFormat="1" x14ac:dyDescent="0.3"/>
    <row r="3304" customFormat="1" x14ac:dyDescent="0.3"/>
    <row r="3305" customFormat="1" x14ac:dyDescent="0.3"/>
    <row r="3306" customFormat="1" x14ac:dyDescent="0.3"/>
    <row r="3307" customFormat="1" x14ac:dyDescent="0.3"/>
    <row r="3308" customFormat="1" x14ac:dyDescent="0.3"/>
    <row r="3309" customFormat="1" x14ac:dyDescent="0.3"/>
    <row r="3310" customFormat="1" x14ac:dyDescent="0.3"/>
    <row r="3311" customFormat="1" x14ac:dyDescent="0.3"/>
    <row r="3312" customFormat="1" x14ac:dyDescent="0.3"/>
    <row r="3313" customFormat="1" x14ac:dyDescent="0.3"/>
    <row r="3314" customFormat="1" x14ac:dyDescent="0.3"/>
    <row r="3315" customFormat="1" x14ac:dyDescent="0.3"/>
    <row r="3316" customFormat="1" x14ac:dyDescent="0.3"/>
    <row r="3317" customFormat="1" x14ac:dyDescent="0.3"/>
    <row r="3318" customFormat="1" x14ac:dyDescent="0.3"/>
    <row r="3319" customFormat="1" x14ac:dyDescent="0.3"/>
    <row r="3320" customFormat="1" x14ac:dyDescent="0.3"/>
    <row r="3321" customFormat="1" x14ac:dyDescent="0.3"/>
    <row r="3322" customFormat="1" x14ac:dyDescent="0.3"/>
    <row r="3323" customFormat="1" x14ac:dyDescent="0.3"/>
    <row r="3324" customFormat="1" x14ac:dyDescent="0.3"/>
    <row r="3325" customFormat="1" x14ac:dyDescent="0.3"/>
    <row r="3326" customFormat="1" x14ac:dyDescent="0.3"/>
    <row r="3327" customFormat="1" x14ac:dyDescent="0.3"/>
    <row r="3328" customFormat="1" x14ac:dyDescent="0.3"/>
    <row r="3329" customFormat="1" x14ac:dyDescent="0.3"/>
    <row r="3330" customFormat="1" x14ac:dyDescent="0.3"/>
    <row r="3331" customFormat="1" x14ac:dyDescent="0.3"/>
    <row r="3332" customFormat="1" x14ac:dyDescent="0.3"/>
    <row r="3333" customFormat="1" x14ac:dyDescent="0.3"/>
    <row r="3334" customFormat="1" x14ac:dyDescent="0.3"/>
    <row r="3335" customFormat="1" x14ac:dyDescent="0.3"/>
    <row r="3336" customFormat="1" x14ac:dyDescent="0.3"/>
    <row r="3337" customFormat="1" x14ac:dyDescent="0.3"/>
    <row r="3338" customFormat="1" x14ac:dyDescent="0.3"/>
    <row r="3339" customFormat="1" x14ac:dyDescent="0.3"/>
    <row r="3340" customFormat="1" x14ac:dyDescent="0.3"/>
    <row r="3341" customFormat="1" x14ac:dyDescent="0.3"/>
    <row r="3342" customFormat="1" x14ac:dyDescent="0.3"/>
    <row r="3343" customFormat="1" x14ac:dyDescent="0.3"/>
    <row r="3344" customFormat="1" x14ac:dyDescent="0.3"/>
    <row r="3345" customFormat="1" x14ac:dyDescent="0.3"/>
    <row r="3346" customFormat="1" x14ac:dyDescent="0.3"/>
    <row r="3347" customFormat="1" x14ac:dyDescent="0.3"/>
    <row r="3348" customFormat="1" x14ac:dyDescent="0.3"/>
    <row r="3349" customFormat="1" x14ac:dyDescent="0.3"/>
    <row r="3350" customFormat="1" x14ac:dyDescent="0.3"/>
    <row r="3351" customFormat="1" x14ac:dyDescent="0.3"/>
    <row r="3352" customFormat="1" x14ac:dyDescent="0.3"/>
    <row r="3353" customFormat="1" x14ac:dyDescent="0.3"/>
    <row r="3354" customFormat="1" x14ac:dyDescent="0.3"/>
    <row r="3355" customFormat="1" x14ac:dyDescent="0.3"/>
    <row r="3356" customFormat="1" x14ac:dyDescent="0.3"/>
    <row r="3357" customFormat="1" x14ac:dyDescent="0.3"/>
    <row r="3358" customFormat="1" x14ac:dyDescent="0.3"/>
    <row r="3359" customFormat="1" x14ac:dyDescent="0.3"/>
    <row r="3360" customFormat="1" x14ac:dyDescent="0.3"/>
    <row r="3361" customFormat="1" x14ac:dyDescent="0.3"/>
    <row r="3362" customFormat="1" x14ac:dyDescent="0.3"/>
    <row r="3363" customFormat="1" x14ac:dyDescent="0.3"/>
    <row r="3364" customFormat="1" x14ac:dyDescent="0.3"/>
    <row r="3365" customFormat="1" x14ac:dyDescent="0.3"/>
    <row r="3366" customFormat="1" x14ac:dyDescent="0.3"/>
    <row r="3367" customFormat="1" x14ac:dyDescent="0.3"/>
    <row r="3368" customFormat="1" x14ac:dyDescent="0.3"/>
    <row r="3369" customFormat="1" x14ac:dyDescent="0.3"/>
    <row r="3370" customFormat="1" x14ac:dyDescent="0.3"/>
    <row r="3371" customFormat="1" x14ac:dyDescent="0.3"/>
    <row r="3372" customFormat="1" x14ac:dyDescent="0.3"/>
    <row r="3373" customFormat="1" x14ac:dyDescent="0.3"/>
    <row r="3374" customFormat="1" x14ac:dyDescent="0.3"/>
    <row r="3375" customFormat="1" x14ac:dyDescent="0.3"/>
    <row r="3376" customFormat="1" x14ac:dyDescent="0.3"/>
    <row r="3377" customFormat="1" x14ac:dyDescent="0.3"/>
    <row r="3378" customFormat="1" x14ac:dyDescent="0.3"/>
    <row r="3379" customFormat="1" x14ac:dyDescent="0.3"/>
    <row r="3380" customFormat="1" x14ac:dyDescent="0.3"/>
    <row r="3381" customFormat="1" x14ac:dyDescent="0.3"/>
    <row r="3382" customFormat="1" x14ac:dyDescent="0.3"/>
    <row r="3383" customFormat="1" x14ac:dyDescent="0.3"/>
    <row r="3384" customFormat="1" x14ac:dyDescent="0.3"/>
    <row r="3385" customFormat="1" x14ac:dyDescent="0.3"/>
    <row r="3386" customFormat="1" x14ac:dyDescent="0.3"/>
    <row r="3387" customFormat="1" x14ac:dyDescent="0.3"/>
    <row r="3388" customFormat="1" x14ac:dyDescent="0.3"/>
    <row r="3389" customFormat="1" x14ac:dyDescent="0.3"/>
    <row r="3390" customFormat="1" x14ac:dyDescent="0.3"/>
    <row r="3391" customFormat="1" x14ac:dyDescent="0.3"/>
    <row r="3392" customFormat="1" x14ac:dyDescent="0.3"/>
    <row r="3393" customFormat="1" x14ac:dyDescent="0.3"/>
    <row r="3394" customFormat="1" x14ac:dyDescent="0.3"/>
    <row r="3395" customFormat="1" x14ac:dyDescent="0.3"/>
    <row r="3396" customFormat="1" x14ac:dyDescent="0.3"/>
    <row r="3397" customFormat="1" x14ac:dyDescent="0.3"/>
    <row r="3398" customFormat="1" x14ac:dyDescent="0.3"/>
    <row r="3399" customFormat="1" x14ac:dyDescent="0.3"/>
    <row r="3400" customFormat="1" x14ac:dyDescent="0.3"/>
    <row r="3401" customFormat="1" x14ac:dyDescent="0.3"/>
    <row r="3402" customFormat="1" x14ac:dyDescent="0.3"/>
    <row r="3403" customFormat="1" x14ac:dyDescent="0.3"/>
    <row r="3404" customFormat="1" x14ac:dyDescent="0.3"/>
    <row r="3405" customFormat="1" x14ac:dyDescent="0.3"/>
    <row r="3406" customFormat="1" x14ac:dyDescent="0.3"/>
    <row r="3407" customFormat="1" x14ac:dyDescent="0.3"/>
    <row r="3408" customFormat="1" x14ac:dyDescent="0.3"/>
    <row r="3409" customFormat="1" x14ac:dyDescent="0.3"/>
    <row r="3410" customFormat="1" x14ac:dyDescent="0.3"/>
    <row r="3411" customFormat="1" x14ac:dyDescent="0.3"/>
    <row r="3412" customFormat="1" x14ac:dyDescent="0.3"/>
    <row r="3413" customFormat="1" x14ac:dyDescent="0.3"/>
    <row r="3414" customFormat="1" x14ac:dyDescent="0.3"/>
    <row r="3415" customFormat="1" x14ac:dyDescent="0.3"/>
    <row r="3416" customFormat="1" x14ac:dyDescent="0.3"/>
    <row r="3417" customFormat="1" x14ac:dyDescent="0.3"/>
    <row r="3418" customFormat="1" x14ac:dyDescent="0.3"/>
    <row r="3419" customFormat="1" x14ac:dyDescent="0.3"/>
    <row r="3420" customFormat="1" x14ac:dyDescent="0.3"/>
    <row r="3421" customFormat="1" x14ac:dyDescent="0.3"/>
    <row r="3422" customFormat="1" x14ac:dyDescent="0.3"/>
    <row r="3423" customFormat="1" x14ac:dyDescent="0.3"/>
    <row r="3424" customFormat="1" x14ac:dyDescent="0.3"/>
    <row r="3425" customFormat="1" x14ac:dyDescent="0.3"/>
    <row r="3426" customFormat="1" x14ac:dyDescent="0.3"/>
    <row r="3427" customFormat="1" x14ac:dyDescent="0.3"/>
    <row r="3428" customFormat="1" x14ac:dyDescent="0.3"/>
    <row r="3429" customFormat="1" x14ac:dyDescent="0.3"/>
    <row r="3430" customFormat="1" x14ac:dyDescent="0.3"/>
    <row r="3431" customFormat="1" x14ac:dyDescent="0.3"/>
    <row r="3432" customFormat="1" x14ac:dyDescent="0.3"/>
    <row r="3433" customFormat="1" x14ac:dyDescent="0.3"/>
    <row r="3434" customFormat="1" x14ac:dyDescent="0.3"/>
    <row r="3435" customFormat="1" x14ac:dyDescent="0.3"/>
    <row r="3436" customFormat="1" x14ac:dyDescent="0.3"/>
    <row r="3437" customFormat="1" x14ac:dyDescent="0.3"/>
    <row r="3438" customFormat="1" x14ac:dyDescent="0.3"/>
    <row r="3439" customFormat="1" x14ac:dyDescent="0.3"/>
    <row r="3440" customFormat="1" x14ac:dyDescent="0.3"/>
    <row r="3441" customFormat="1" x14ac:dyDescent="0.3"/>
    <row r="3442" customFormat="1" x14ac:dyDescent="0.3"/>
    <row r="3443" customFormat="1" x14ac:dyDescent="0.3"/>
    <row r="3444" customFormat="1" x14ac:dyDescent="0.3"/>
    <row r="3445" customFormat="1" x14ac:dyDescent="0.3"/>
    <row r="3446" customFormat="1" x14ac:dyDescent="0.3"/>
    <row r="3447" customFormat="1" x14ac:dyDescent="0.3"/>
    <row r="3448" customFormat="1" x14ac:dyDescent="0.3"/>
    <row r="3449" customFormat="1" x14ac:dyDescent="0.3"/>
    <row r="3450" customFormat="1" x14ac:dyDescent="0.3"/>
    <row r="3451" customFormat="1" x14ac:dyDescent="0.3"/>
    <row r="3452" customFormat="1" x14ac:dyDescent="0.3"/>
    <row r="3453" customFormat="1" x14ac:dyDescent="0.3"/>
    <row r="3454" customFormat="1" x14ac:dyDescent="0.3"/>
    <row r="3455" customFormat="1" x14ac:dyDescent="0.3"/>
    <row r="3456" customFormat="1" x14ac:dyDescent="0.3"/>
    <row r="3457" customFormat="1" x14ac:dyDescent="0.3"/>
    <row r="3458" customFormat="1" x14ac:dyDescent="0.3"/>
    <row r="3459" customFormat="1" x14ac:dyDescent="0.3"/>
    <row r="3460" customFormat="1" x14ac:dyDescent="0.3"/>
    <row r="3461" customFormat="1" x14ac:dyDescent="0.3"/>
    <row r="3462" customFormat="1" x14ac:dyDescent="0.3"/>
    <row r="3463" customFormat="1" x14ac:dyDescent="0.3"/>
    <row r="3464" customFormat="1" x14ac:dyDescent="0.3"/>
    <row r="3465" customFormat="1" x14ac:dyDescent="0.3"/>
    <row r="3466" customFormat="1" x14ac:dyDescent="0.3"/>
    <row r="3467" customFormat="1" x14ac:dyDescent="0.3"/>
    <row r="3468" customFormat="1" x14ac:dyDescent="0.3"/>
    <row r="3469" customFormat="1" x14ac:dyDescent="0.3"/>
    <row r="3470" customFormat="1" x14ac:dyDescent="0.3"/>
    <row r="3471" customFormat="1" x14ac:dyDescent="0.3"/>
    <row r="3472" customFormat="1" x14ac:dyDescent="0.3"/>
    <row r="3473" customFormat="1" x14ac:dyDescent="0.3"/>
    <row r="3474" customFormat="1" x14ac:dyDescent="0.3"/>
    <row r="3475" customFormat="1" x14ac:dyDescent="0.3"/>
    <row r="3476" customFormat="1" x14ac:dyDescent="0.3"/>
    <row r="3477" customFormat="1" x14ac:dyDescent="0.3"/>
    <row r="3478" customFormat="1" x14ac:dyDescent="0.3"/>
    <row r="3479" customFormat="1" x14ac:dyDescent="0.3"/>
    <row r="3480" customFormat="1" x14ac:dyDescent="0.3"/>
    <row r="3481" customFormat="1" x14ac:dyDescent="0.3"/>
    <row r="3482" customFormat="1" x14ac:dyDescent="0.3"/>
    <row r="3483" customFormat="1" x14ac:dyDescent="0.3"/>
    <row r="3484" customFormat="1" x14ac:dyDescent="0.3"/>
    <row r="3485" customFormat="1" x14ac:dyDescent="0.3"/>
    <row r="3486" customFormat="1" x14ac:dyDescent="0.3"/>
    <row r="3487" customFormat="1" x14ac:dyDescent="0.3"/>
    <row r="3488" customFormat="1" x14ac:dyDescent="0.3"/>
    <row r="3489" customFormat="1" x14ac:dyDescent="0.3"/>
    <row r="3490" customFormat="1" x14ac:dyDescent="0.3"/>
    <row r="3491" customFormat="1" x14ac:dyDescent="0.3"/>
    <row r="3492" customFormat="1" x14ac:dyDescent="0.3"/>
    <row r="3493" customFormat="1" x14ac:dyDescent="0.3"/>
    <row r="3494" customFormat="1" x14ac:dyDescent="0.3"/>
    <row r="3495" customFormat="1" x14ac:dyDescent="0.3"/>
    <row r="3496" customFormat="1" x14ac:dyDescent="0.3"/>
    <row r="3497" customFormat="1" x14ac:dyDescent="0.3"/>
    <row r="3498" customFormat="1" x14ac:dyDescent="0.3"/>
    <row r="3499" customFormat="1" x14ac:dyDescent="0.3"/>
    <row r="3500" customFormat="1" x14ac:dyDescent="0.3"/>
    <row r="3501" customFormat="1" x14ac:dyDescent="0.3"/>
    <row r="3502" customFormat="1" x14ac:dyDescent="0.3"/>
    <row r="3503" customFormat="1" x14ac:dyDescent="0.3"/>
    <row r="3504" customFormat="1" x14ac:dyDescent="0.3"/>
    <row r="3505" customFormat="1" x14ac:dyDescent="0.3"/>
    <row r="3506" customFormat="1" x14ac:dyDescent="0.3"/>
    <row r="3507" customFormat="1" x14ac:dyDescent="0.3"/>
    <row r="3508" customFormat="1" x14ac:dyDescent="0.3"/>
    <row r="3509" customFormat="1" x14ac:dyDescent="0.3"/>
    <row r="3510" customFormat="1" x14ac:dyDescent="0.3"/>
    <row r="3511" customFormat="1" x14ac:dyDescent="0.3"/>
    <row r="3512" customFormat="1" x14ac:dyDescent="0.3"/>
    <row r="3513" customFormat="1" x14ac:dyDescent="0.3"/>
    <row r="3514" customFormat="1" x14ac:dyDescent="0.3"/>
    <row r="3515" customFormat="1" x14ac:dyDescent="0.3"/>
    <row r="3516" customFormat="1" x14ac:dyDescent="0.3"/>
    <row r="3517" customFormat="1" x14ac:dyDescent="0.3"/>
    <row r="3518" customFormat="1" x14ac:dyDescent="0.3"/>
    <row r="3519" customFormat="1" x14ac:dyDescent="0.3"/>
    <row r="3520" customFormat="1" x14ac:dyDescent="0.3"/>
    <row r="3521" customFormat="1" x14ac:dyDescent="0.3"/>
    <row r="3522" customFormat="1" x14ac:dyDescent="0.3"/>
    <row r="3523" customFormat="1" x14ac:dyDescent="0.3"/>
    <row r="3524" customFormat="1" x14ac:dyDescent="0.3"/>
    <row r="3525" customFormat="1" x14ac:dyDescent="0.3"/>
    <row r="3526" customFormat="1" x14ac:dyDescent="0.3"/>
    <row r="3527" customFormat="1" x14ac:dyDescent="0.3"/>
    <row r="3528" customFormat="1" x14ac:dyDescent="0.3"/>
    <row r="3529" customFormat="1" x14ac:dyDescent="0.3"/>
    <row r="3530" customFormat="1" x14ac:dyDescent="0.3"/>
    <row r="3531" customFormat="1" x14ac:dyDescent="0.3"/>
    <row r="3532" customFormat="1" x14ac:dyDescent="0.3"/>
    <row r="3533" customFormat="1" x14ac:dyDescent="0.3"/>
    <row r="3534" customFormat="1" x14ac:dyDescent="0.3"/>
    <row r="3535" customFormat="1" x14ac:dyDescent="0.3"/>
    <row r="3536" customFormat="1" x14ac:dyDescent="0.3"/>
    <row r="3537" customFormat="1" x14ac:dyDescent="0.3"/>
    <row r="3538" customFormat="1" x14ac:dyDescent="0.3"/>
    <row r="3539" customFormat="1" x14ac:dyDescent="0.3"/>
    <row r="3540" customFormat="1" x14ac:dyDescent="0.3"/>
    <row r="3541" customFormat="1" x14ac:dyDescent="0.3"/>
    <row r="3542" customFormat="1" x14ac:dyDescent="0.3"/>
    <row r="3543" customFormat="1" x14ac:dyDescent="0.3"/>
    <row r="3544" customFormat="1" x14ac:dyDescent="0.3"/>
    <row r="3545" customFormat="1" x14ac:dyDescent="0.3"/>
    <row r="3546" customFormat="1" x14ac:dyDescent="0.3"/>
    <row r="3547" customFormat="1" x14ac:dyDescent="0.3"/>
    <row r="3548" customFormat="1" x14ac:dyDescent="0.3"/>
    <row r="3549" customFormat="1" x14ac:dyDescent="0.3"/>
    <row r="3550" customFormat="1" x14ac:dyDescent="0.3"/>
    <row r="3551" customFormat="1" x14ac:dyDescent="0.3"/>
    <row r="3552" customFormat="1" x14ac:dyDescent="0.3"/>
    <row r="3553" customFormat="1" x14ac:dyDescent="0.3"/>
    <row r="3554" customFormat="1" x14ac:dyDescent="0.3"/>
    <row r="3555" customFormat="1" x14ac:dyDescent="0.3"/>
    <row r="3556" customFormat="1" x14ac:dyDescent="0.3"/>
    <row r="3557" customFormat="1" x14ac:dyDescent="0.3"/>
    <row r="3558" customFormat="1" x14ac:dyDescent="0.3"/>
    <row r="3559" customFormat="1" x14ac:dyDescent="0.3"/>
    <row r="3560" customFormat="1" x14ac:dyDescent="0.3"/>
    <row r="3561" customFormat="1" x14ac:dyDescent="0.3"/>
    <row r="3562" customFormat="1" x14ac:dyDescent="0.3"/>
    <row r="3563" customFormat="1" x14ac:dyDescent="0.3"/>
    <row r="3564" customFormat="1" x14ac:dyDescent="0.3"/>
    <row r="3565" customFormat="1" x14ac:dyDescent="0.3"/>
    <row r="3566" customFormat="1" x14ac:dyDescent="0.3"/>
    <row r="3567" customFormat="1" x14ac:dyDescent="0.3"/>
    <row r="3568" customFormat="1" x14ac:dyDescent="0.3"/>
    <row r="3569" customFormat="1" x14ac:dyDescent="0.3"/>
    <row r="3570" customFormat="1" x14ac:dyDescent="0.3"/>
    <row r="3571" customFormat="1" x14ac:dyDescent="0.3"/>
    <row r="3572" customFormat="1" x14ac:dyDescent="0.3"/>
    <row r="3573" customFormat="1" x14ac:dyDescent="0.3"/>
    <row r="3574" customFormat="1" x14ac:dyDescent="0.3"/>
    <row r="3575" customFormat="1" x14ac:dyDescent="0.3"/>
    <row r="3576" customFormat="1" x14ac:dyDescent="0.3"/>
    <row r="3577" customFormat="1" x14ac:dyDescent="0.3"/>
    <row r="3578" customFormat="1" x14ac:dyDescent="0.3"/>
    <row r="3579" customFormat="1" x14ac:dyDescent="0.3"/>
    <row r="3580" customFormat="1" x14ac:dyDescent="0.3"/>
    <row r="3581" customFormat="1" x14ac:dyDescent="0.3"/>
    <row r="3582" customFormat="1" x14ac:dyDescent="0.3"/>
    <row r="3583" customFormat="1" x14ac:dyDescent="0.3"/>
    <row r="3584" customFormat="1" x14ac:dyDescent="0.3"/>
    <row r="3585" customFormat="1" x14ac:dyDescent="0.3"/>
    <row r="3586" customFormat="1" x14ac:dyDescent="0.3"/>
    <row r="3587" customFormat="1" x14ac:dyDescent="0.3"/>
    <row r="3588" customFormat="1" x14ac:dyDescent="0.3"/>
    <row r="3589" customFormat="1" x14ac:dyDescent="0.3"/>
    <row r="3590" customFormat="1" x14ac:dyDescent="0.3"/>
    <row r="3591" customFormat="1" x14ac:dyDescent="0.3"/>
    <row r="3592" customFormat="1" x14ac:dyDescent="0.3"/>
    <row r="3593" customFormat="1" x14ac:dyDescent="0.3"/>
    <row r="3594" customFormat="1" x14ac:dyDescent="0.3"/>
    <row r="3595" customFormat="1" x14ac:dyDescent="0.3"/>
    <row r="3596" customFormat="1" x14ac:dyDescent="0.3"/>
    <row r="3597" customFormat="1" x14ac:dyDescent="0.3"/>
    <row r="3598" customFormat="1" x14ac:dyDescent="0.3"/>
    <row r="3599" customFormat="1" x14ac:dyDescent="0.3"/>
    <row r="3600" customFormat="1" x14ac:dyDescent="0.3"/>
    <row r="3601" customFormat="1" x14ac:dyDescent="0.3"/>
    <row r="3602" customFormat="1" x14ac:dyDescent="0.3"/>
    <row r="3603" customFormat="1" x14ac:dyDescent="0.3"/>
    <row r="3604" customFormat="1" x14ac:dyDescent="0.3"/>
    <row r="3605" customFormat="1" x14ac:dyDescent="0.3"/>
    <row r="3606" customFormat="1" x14ac:dyDescent="0.3"/>
    <row r="3607" customFormat="1" x14ac:dyDescent="0.3"/>
    <row r="3608" customFormat="1" x14ac:dyDescent="0.3"/>
    <row r="3609" customFormat="1" x14ac:dyDescent="0.3"/>
    <row r="3610" customFormat="1" x14ac:dyDescent="0.3"/>
    <row r="3611" customFormat="1" x14ac:dyDescent="0.3"/>
    <row r="3612" customFormat="1" x14ac:dyDescent="0.3"/>
    <row r="3613" customFormat="1" x14ac:dyDescent="0.3"/>
    <row r="3614" customFormat="1" x14ac:dyDescent="0.3"/>
    <row r="3615" customFormat="1" x14ac:dyDescent="0.3"/>
    <row r="3616" customFormat="1" x14ac:dyDescent="0.3"/>
    <row r="3617" customFormat="1" x14ac:dyDescent="0.3"/>
    <row r="3618" customFormat="1" x14ac:dyDescent="0.3"/>
    <row r="3619" customFormat="1" x14ac:dyDescent="0.3"/>
    <row r="3620" customFormat="1" x14ac:dyDescent="0.3"/>
    <row r="3621" customFormat="1" x14ac:dyDescent="0.3"/>
    <row r="3622" customFormat="1" x14ac:dyDescent="0.3"/>
    <row r="3623" customFormat="1" x14ac:dyDescent="0.3"/>
    <row r="3624" customFormat="1" x14ac:dyDescent="0.3"/>
    <row r="3625" customFormat="1" x14ac:dyDescent="0.3"/>
    <row r="3626" customFormat="1" x14ac:dyDescent="0.3"/>
    <row r="3627" customFormat="1" x14ac:dyDescent="0.3"/>
    <row r="3628" customFormat="1" x14ac:dyDescent="0.3"/>
    <row r="3629" customFormat="1" x14ac:dyDescent="0.3"/>
    <row r="3630" customFormat="1" x14ac:dyDescent="0.3"/>
    <row r="3631" customFormat="1" x14ac:dyDescent="0.3"/>
    <row r="3632" customFormat="1" x14ac:dyDescent="0.3"/>
    <row r="3633" customFormat="1" x14ac:dyDescent="0.3"/>
    <row r="3634" customFormat="1" x14ac:dyDescent="0.3"/>
    <row r="3635" customFormat="1" x14ac:dyDescent="0.3"/>
    <row r="3636" customFormat="1" x14ac:dyDescent="0.3"/>
    <row r="3637" customFormat="1" x14ac:dyDescent="0.3"/>
    <row r="3638" customFormat="1" x14ac:dyDescent="0.3"/>
    <row r="3639" customFormat="1" x14ac:dyDescent="0.3"/>
    <row r="3640" customFormat="1" x14ac:dyDescent="0.3"/>
    <row r="3641" customFormat="1" x14ac:dyDescent="0.3"/>
    <row r="3642" customFormat="1" x14ac:dyDescent="0.3"/>
    <row r="3643" customFormat="1" x14ac:dyDescent="0.3"/>
    <row r="3644" customFormat="1" x14ac:dyDescent="0.3"/>
    <row r="3645" customFormat="1" x14ac:dyDescent="0.3"/>
    <row r="3646" customFormat="1" x14ac:dyDescent="0.3"/>
    <row r="3647" customFormat="1" x14ac:dyDescent="0.3"/>
    <row r="3648" customFormat="1" x14ac:dyDescent="0.3"/>
    <row r="3649" customFormat="1" x14ac:dyDescent="0.3"/>
    <row r="3650" customFormat="1" x14ac:dyDescent="0.3"/>
    <row r="3651" customFormat="1" x14ac:dyDescent="0.3"/>
    <row r="3652" customFormat="1" x14ac:dyDescent="0.3"/>
    <row r="3653" customFormat="1" x14ac:dyDescent="0.3"/>
    <row r="3654" customFormat="1" x14ac:dyDescent="0.3"/>
    <row r="3655" customFormat="1" x14ac:dyDescent="0.3"/>
    <row r="3656" customFormat="1" x14ac:dyDescent="0.3"/>
    <row r="3657" customFormat="1" x14ac:dyDescent="0.3"/>
    <row r="3658" customFormat="1" x14ac:dyDescent="0.3"/>
    <row r="3659" customFormat="1" x14ac:dyDescent="0.3"/>
    <row r="3660" customFormat="1" x14ac:dyDescent="0.3"/>
    <row r="3661" customFormat="1" x14ac:dyDescent="0.3"/>
    <row r="3662" customFormat="1" x14ac:dyDescent="0.3"/>
    <row r="3663" customFormat="1" x14ac:dyDescent="0.3"/>
    <row r="3664" customFormat="1" x14ac:dyDescent="0.3"/>
    <row r="3665" customFormat="1" x14ac:dyDescent="0.3"/>
    <row r="3666" customFormat="1" x14ac:dyDescent="0.3"/>
    <row r="3667" customFormat="1" x14ac:dyDescent="0.3"/>
    <row r="3668" customFormat="1" x14ac:dyDescent="0.3"/>
    <row r="3669" customFormat="1" x14ac:dyDescent="0.3"/>
    <row r="3670" customFormat="1" x14ac:dyDescent="0.3"/>
    <row r="3671" customFormat="1" x14ac:dyDescent="0.3"/>
    <row r="3672" customFormat="1" x14ac:dyDescent="0.3"/>
    <row r="3673" customFormat="1" x14ac:dyDescent="0.3"/>
    <row r="3674" customFormat="1" x14ac:dyDescent="0.3"/>
    <row r="3675" customFormat="1" x14ac:dyDescent="0.3"/>
    <row r="3676" customFormat="1" x14ac:dyDescent="0.3"/>
    <row r="3677" customFormat="1" x14ac:dyDescent="0.3"/>
    <row r="3678" customFormat="1" x14ac:dyDescent="0.3"/>
    <row r="3679" customFormat="1" x14ac:dyDescent="0.3"/>
    <row r="3680" customFormat="1" x14ac:dyDescent="0.3"/>
    <row r="3681" customFormat="1" x14ac:dyDescent="0.3"/>
    <row r="3682" customFormat="1" x14ac:dyDescent="0.3"/>
    <row r="3683" customFormat="1" x14ac:dyDescent="0.3"/>
    <row r="3684" customFormat="1" x14ac:dyDescent="0.3"/>
    <row r="3685" customFormat="1" x14ac:dyDescent="0.3"/>
    <row r="3686" customFormat="1" x14ac:dyDescent="0.3"/>
    <row r="3687" customFormat="1" x14ac:dyDescent="0.3"/>
    <row r="3688" customFormat="1" x14ac:dyDescent="0.3"/>
    <row r="3689" customFormat="1" x14ac:dyDescent="0.3"/>
    <row r="3690" customFormat="1" x14ac:dyDescent="0.3"/>
    <row r="3691" customFormat="1" x14ac:dyDescent="0.3"/>
    <row r="3692" customFormat="1" x14ac:dyDescent="0.3"/>
    <row r="3693" customFormat="1" x14ac:dyDescent="0.3"/>
    <row r="3694" customFormat="1" x14ac:dyDescent="0.3"/>
    <row r="3695" customFormat="1" x14ac:dyDescent="0.3"/>
    <row r="3696" customFormat="1" x14ac:dyDescent="0.3"/>
    <row r="3697" customFormat="1" x14ac:dyDescent="0.3"/>
    <row r="3698" customFormat="1" x14ac:dyDescent="0.3"/>
    <row r="3699" customFormat="1" x14ac:dyDescent="0.3"/>
    <row r="3700" customFormat="1" x14ac:dyDescent="0.3"/>
    <row r="3701" customFormat="1" x14ac:dyDescent="0.3"/>
    <row r="3702" customFormat="1" x14ac:dyDescent="0.3"/>
    <row r="3703" customFormat="1" x14ac:dyDescent="0.3"/>
    <row r="3704" customFormat="1" x14ac:dyDescent="0.3"/>
    <row r="3705" customFormat="1" x14ac:dyDescent="0.3"/>
    <row r="3706" customFormat="1" x14ac:dyDescent="0.3"/>
    <row r="3707" customFormat="1" x14ac:dyDescent="0.3"/>
    <row r="3708" customFormat="1" x14ac:dyDescent="0.3"/>
    <row r="3709" customFormat="1" x14ac:dyDescent="0.3"/>
    <row r="3710" customFormat="1" x14ac:dyDescent="0.3"/>
    <row r="3711" customFormat="1" x14ac:dyDescent="0.3"/>
    <row r="3712" customFormat="1" x14ac:dyDescent="0.3"/>
    <row r="3713" customFormat="1" x14ac:dyDescent="0.3"/>
    <row r="3714" customFormat="1" x14ac:dyDescent="0.3"/>
    <row r="3715" customFormat="1" x14ac:dyDescent="0.3"/>
    <row r="3716" customFormat="1" x14ac:dyDescent="0.3"/>
    <row r="3717" customFormat="1" x14ac:dyDescent="0.3"/>
    <row r="3718" customFormat="1" x14ac:dyDescent="0.3"/>
    <row r="3719" customFormat="1" x14ac:dyDescent="0.3"/>
    <row r="3720" customFormat="1" x14ac:dyDescent="0.3"/>
    <row r="3721" customFormat="1" x14ac:dyDescent="0.3"/>
    <row r="3722" customFormat="1" x14ac:dyDescent="0.3"/>
    <row r="3723" customFormat="1" x14ac:dyDescent="0.3"/>
    <row r="3724" customFormat="1" x14ac:dyDescent="0.3"/>
    <row r="3725" customFormat="1" x14ac:dyDescent="0.3"/>
    <row r="3726" customFormat="1" x14ac:dyDescent="0.3"/>
    <row r="3727" customFormat="1" x14ac:dyDescent="0.3"/>
    <row r="3728" customFormat="1" x14ac:dyDescent="0.3"/>
    <row r="3729" customFormat="1" x14ac:dyDescent="0.3"/>
    <row r="3730" customFormat="1" x14ac:dyDescent="0.3"/>
    <row r="3731" customFormat="1" x14ac:dyDescent="0.3"/>
    <row r="3732" customFormat="1" x14ac:dyDescent="0.3"/>
    <row r="3733" customFormat="1" x14ac:dyDescent="0.3"/>
    <row r="3734" customFormat="1" x14ac:dyDescent="0.3"/>
    <row r="3735" customFormat="1" x14ac:dyDescent="0.3"/>
    <row r="3736" customFormat="1" x14ac:dyDescent="0.3"/>
    <row r="3737" customFormat="1" x14ac:dyDescent="0.3"/>
    <row r="3738" customFormat="1" x14ac:dyDescent="0.3"/>
    <row r="3739" customFormat="1" x14ac:dyDescent="0.3"/>
    <row r="3740" customFormat="1" x14ac:dyDescent="0.3"/>
    <row r="3741" customFormat="1" x14ac:dyDescent="0.3"/>
    <row r="3742" customFormat="1" x14ac:dyDescent="0.3"/>
    <row r="3743" customFormat="1" x14ac:dyDescent="0.3"/>
    <row r="3744" customFormat="1" x14ac:dyDescent="0.3"/>
    <row r="3745" customFormat="1" x14ac:dyDescent="0.3"/>
    <row r="3746" customFormat="1" x14ac:dyDescent="0.3"/>
    <row r="3747" customFormat="1" x14ac:dyDescent="0.3"/>
    <row r="3748" customFormat="1" x14ac:dyDescent="0.3"/>
    <row r="3749" customFormat="1" x14ac:dyDescent="0.3"/>
    <row r="3750" customFormat="1" x14ac:dyDescent="0.3"/>
    <row r="3751" customFormat="1" x14ac:dyDescent="0.3"/>
    <row r="3752" customFormat="1" x14ac:dyDescent="0.3"/>
    <row r="3753" customFormat="1" x14ac:dyDescent="0.3"/>
    <row r="3754" customFormat="1" x14ac:dyDescent="0.3"/>
    <row r="3755" customFormat="1" x14ac:dyDescent="0.3"/>
    <row r="3756" customFormat="1" x14ac:dyDescent="0.3"/>
    <row r="3757" customFormat="1" x14ac:dyDescent="0.3"/>
    <row r="3758" customFormat="1" x14ac:dyDescent="0.3"/>
    <row r="3759" customFormat="1" x14ac:dyDescent="0.3"/>
    <row r="3760" customFormat="1" x14ac:dyDescent="0.3"/>
    <row r="3761" customFormat="1" x14ac:dyDescent="0.3"/>
    <row r="3762" customFormat="1" x14ac:dyDescent="0.3"/>
    <row r="3763" customFormat="1" x14ac:dyDescent="0.3"/>
    <row r="3764" customFormat="1" x14ac:dyDescent="0.3"/>
    <row r="3765" customFormat="1" x14ac:dyDescent="0.3"/>
    <row r="3766" customFormat="1" x14ac:dyDescent="0.3"/>
    <row r="3767" customFormat="1" x14ac:dyDescent="0.3"/>
    <row r="3768" customFormat="1" x14ac:dyDescent="0.3"/>
    <row r="3769" customFormat="1" x14ac:dyDescent="0.3"/>
    <row r="3770" customFormat="1" x14ac:dyDescent="0.3"/>
    <row r="3771" customFormat="1" x14ac:dyDescent="0.3"/>
    <row r="3772" customFormat="1" x14ac:dyDescent="0.3"/>
    <row r="3773" customFormat="1" x14ac:dyDescent="0.3"/>
    <row r="3774" customFormat="1" x14ac:dyDescent="0.3"/>
    <row r="3775" customFormat="1" x14ac:dyDescent="0.3"/>
    <row r="3776" customFormat="1" x14ac:dyDescent="0.3"/>
    <row r="3777" customFormat="1" x14ac:dyDescent="0.3"/>
    <row r="3778" customFormat="1" x14ac:dyDescent="0.3"/>
    <row r="3779" customFormat="1" x14ac:dyDescent="0.3"/>
    <row r="3780" customFormat="1" x14ac:dyDescent="0.3"/>
    <row r="3781" customFormat="1" x14ac:dyDescent="0.3"/>
    <row r="3782" customFormat="1" x14ac:dyDescent="0.3"/>
    <row r="3783" customFormat="1" x14ac:dyDescent="0.3"/>
    <row r="3784" customFormat="1" x14ac:dyDescent="0.3"/>
    <row r="3785" customFormat="1" x14ac:dyDescent="0.3"/>
    <row r="3786" customFormat="1" x14ac:dyDescent="0.3"/>
    <row r="3787" customFormat="1" x14ac:dyDescent="0.3"/>
    <row r="3788" customFormat="1" x14ac:dyDescent="0.3"/>
    <row r="3789" customFormat="1" x14ac:dyDescent="0.3"/>
    <row r="3790" customFormat="1" x14ac:dyDescent="0.3"/>
    <row r="3791" customFormat="1" x14ac:dyDescent="0.3"/>
    <row r="3792" customFormat="1" x14ac:dyDescent="0.3"/>
    <row r="3793" customFormat="1" x14ac:dyDescent="0.3"/>
    <row r="3794" customFormat="1" x14ac:dyDescent="0.3"/>
    <row r="3795" customFormat="1" x14ac:dyDescent="0.3"/>
    <row r="3796" customFormat="1" x14ac:dyDescent="0.3"/>
    <row r="3797" customFormat="1" x14ac:dyDescent="0.3"/>
    <row r="3798" customFormat="1" x14ac:dyDescent="0.3"/>
    <row r="3799" customFormat="1" x14ac:dyDescent="0.3"/>
    <row r="3800" customFormat="1" x14ac:dyDescent="0.3"/>
    <row r="3801" customFormat="1" x14ac:dyDescent="0.3"/>
    <row r="3802" customFormat="1" x14ac:dyDescent="0.3"/>
    <row r="3803" customFormat="1" x14ac:dyDescent="0.3"/>
    <row r="3804" customFormat="1" x14ac:dyDescent="0.3"/>
    <row r="3805" customFormat="1" x14ac:dyDescent="0.3"/>
    <row r="3806" customFormat="1" x14ac:dyDescent="0.3"/>
    <row r="3807" customFormat="1" x14ac:dyDescent="0.3"/>
    <row r="3808" customFormat="1" x14ac:dyDescent="0.3"/>
    <row r="3809" customFormat="1" x14ac:dyDescent="0.3"/>
    <row r="3810" customFormat="1" x14ac:dyDescent="0.3"/>
    <row r="3811" customFormat="1" x14ac:dyDescent="0.3"/>
    <row r="3812" customFormat="1" x14ac:dyDescent="0.3"/>
    <row r="3813" customFormat="1" x14ac:dyDescent="0.3"/>
    <row r="3814" customFormat="1" x14ac:dyDescent="0.3"/>
    <row r="3815" customFormat="1" x14ac:dyDescent="0.3"/>
    <row r="3816" customFormat="1" x14ac:dyDescent="0.3"/>
    <row r="3817" customFormat="1" x14ac:dyDescent="0.3"/>
    <row r="3818" customFormat="1" x14ac:dyDescent="0.3"/>
    <row r="3819" customFormat="1" x14ac:dyDescent="0.3"/>
    <row r="3820" customFormat="1" x14ac:dyDescent="0.3"/>
    <row r="3821" customFormat="1" x14ac:dyDescent="0.3"/>
    <row r="3822" customFormat="1" x14ac:dyDescent="0.3"/>
    <row r="3823" customFormat="1" x14ac:dyDescent="0.3"/>
    <row r="3824" customFormat="1" x14ac:dyDescent="0.3"/>
    <row r="3825" customFormat="1" x14ac:dyDescent="0.3"/>
    <row r="3826" customFormat="1" x14ac:dyDescent="0.3"/>
    <row r="3827" customFormat="1" x14ac:dyDescent="0.3"/>
    <row r="3828" customFormat="1" x14ac:dyDescent="0.3"/>
    <row r="3829" customFormat="1" x14ac:dyDescent="0.3"/>
    <row r="3830" customFormat="1" x14ac:dyDescent="0.3"/>
    <row r="3831" customFormat="1" x14ac:dyDescent="0.3"/>
    <row r="3832" customFormat="1" x14ac:dyDescent="0.3"/>
    <row r="3833" customFormat="1" x14ac:dyDescent="0.3"/>
    <row r="3834" customFormat="1" x14ac:dyDescent="0.3"/>
    <row r="3835" customFormat="1" x14ac:dyDescent="0.3"/>
    <row r="3836" customFormat="1" x14ac:dyDescent="0.3"/>
    <row r="3837" customFormat="1" x14ac:dyDescent="0.3"/>
    <row r="3838" customFormat="1" x14ac:dyDescent="0.3"/>
    <row r="3839" customFormat="1" x14ac:dyDescent="0.3"/>
    <row r="3840" customFormat="1" x14ac:dyDescent="0.3"/>
    <row r="3841" customFormat="1" x14ac:dyDescent="0.3"/>
    <row r="3842" customFormat="1" x14ac:dyDescent="0.3"/>
    <row r="3843" customFormat="1" x14ac:dyDescent="0.3"/>
    <row r="3844" customFormat="1" x14ac:dyDescent="0.3"/>
    <row r="3845" customFormat="1" x14ac:dyDescent="0.3"/>
    <row r="3846" customFormat="1" x14ac:dyDescent="0.3"/>
    <row r="3847" customFormat="1" x14ac:dyDescent="0.3"/>
    <row r="3848" customFormat="1" x14ac:dyDescent="0.3"/>
    <row r="3849" customFormat="1" x14ac:dyDescent="0.3"/>
    <row r="3850" customFormat="1" x14ac:dyDescent="0.3"/>
    <row r="3851" customFormat="1" x14ac:dyDescent="0.3"/>
    <row r="3852" customFormat="1" x14ac:dyDescent="0.3"/>
    <row r="3853" customFormat="1" x14ac:dyDescent="0.3"/>
    <row r="3854" customFormat="1" x14ac:dyDescent="0.3"/>
    <row r="3855" customFormat="1" x14ac:dyDescent="0.3"/>
    <row r="3856" customFormat="1" x14ac:dyDescent="0.3"/>
    <row r="3857" customFormat="1" x14ac:dyDescent="0.3"/>
    <row r="3858" customFormat="1" x14ac:dyDescent="0.3"/>
    <row r="3859" customFormat="1" x14ac:dyDescent="0.3"/>
    <row r="3860" customFormat="1" x14ac:dyDescent="0.3"/>
    <row r="3861" customFormat="1" x14ac:dyDescent="0.3"/>
    <row r="3862" customFormat="1" x14ac:dyDescent="0.3"/>
    <row r="3863" customFormat="1" x14ac:dyDescent="0.3"/>
    <row r="3864" customFormat="1" x14ac:dyDescent="0.3"/>
    <row r="3865" customFormat="1" x14ac:dyDescent="0.3"/>
    <row r="3866" customFormat="1" x14ac:dyDescent="0.3"/>
    <row r="3867" customFormat="1" x14ac:dyDescent="0.3"/>
    <row r="3868" customFormat="1" x14ac:dyDescent="0.3"/>
    <row r="3869" customFormat="1" x14ac:dyDescent="0.3"/>
    <row r="3870" customFormat="1" x14ac:dyDescent="0.3"/>
    <row r="3871" customFormat="1" x14ac:dyDescent="0.3"/>
    <row r="3872" customFormat="1" x14ac:dyDescent="0.3"/>
    <row r="3873" customFormat="1" x14ac:dyDescent="0.3"/>
    <row r="3874" customFormat="1" x14ac:dyDescent="0.3"/>
    <row r="3875" customFormat="1" x14ac:dyDescent="0.3"/>
    <row r="3876" customFormat="1" x14ac:dyDescent="0.3"/>
    <row r="3877" customFormat="1" x14ac:dyDescent="0.3"/>
    <row r="3878" customFormat="1" x14ac:dyDescent="0.3"/>
    <row r="3879" customFormat="1" x14ac:dyDescent="0.3"/>
    <row r="3880" customFormat="1" x14ac:dyDescent="0.3"/>
    <row r="3881" customFormat="1" x14ac:dyDescent="0.3"/>
    <row r="3882" customFormat="1" x14ac:dyDescent="0.3"/>
    <row r="3883" customFormat="1" x14ac:dyDescent="0.3"/>
    <row r="3884" customFormat="1" x14ac:dyDescent="0.3"/>
    <row r="3885" customFormat="1" x14ac:dyDescent="0.3"/>
    <row r="3886" customFormat="1" x14ac:dyDescent="0.3"/>
    <row r="3887" customFormat="1" x14ac:dyDescent="0.3"/>
    <row r="3888" customFormat="1" x14ac:dyDescent="0.3"/>
    <row r="3889" customFormat="1" x14ac:dyDescent="0.3"/>
    <row r="3890" customFormat="1" x14ac:dyDescent="0.3"/>
    <row r="3891" customFormat="1" x14ac:dyDescent="0.3"/>
    <row r="3892" customFormat="1" x14ac:dyDescent="0.3"/>
    <row r="3893" customFormat="1" x14ac:dyDescent="0.3"/>
    <row r="3894" customFormat="1" x14ac:dyDescent="0.3"/>
    <row r="3895" customFormat="1" x14ac:dyDescent="0.3"/>
    <row r="3896" customFormat="1" x14ac:dyDescent="0.3"/>
    <row r="3897" customFormat="1" x14ac:dyDescent="0.3"/>
    <row r="3898" customFormat="1" x14ac:dyDescent="0.3"/>
    <row r="3899" customFormat="1" x14ac:dyDescent="0.3"/>
    <row r="3900" customFormat="1" x14ac:dyDescent="0.3"/>
    <row r="3901" customFormat="1" x14ac:dyDescent="0.3"/>
    <row r="3902" customFormat="1" x14ac:dyDescent="0.3"/>
    <row r="3903" customFormat="1" x14ac:dyDescent="0.3"/>
    <row r="3904" customFormat="1" x14ac:dyDescent="0.3"/>
    <row r="3905" customFormat="1" x14ac:dyDescent="0.3"/>
    <row r="3906" customFormat="1" x14ac:dyDescent="0.3"/>
    <row r="3907" customFormat="1" x14ac:dyDescent="0.3"/>
    <row r="3908" customFormat="1" x14ac:dyDescent="0.3"/>
    <row r="3909" customFormat="1" x14ac:dyDescent="0.3"/>
    <row r="3910" customFormat="1" x14ac:dyDescent="0.3"/>
    <row r="3911" customFormat="1" x14ac:dyDescent="0.3"/>
    <row r="3912" customFormat="1" x14ac:dyDescent="0.3"/>
    <row r="3913" customFormat="1" x14ac:dyDescent="0.3"/>
    <row r="3914" customFormat="1" x14ac:dyDescent="0.3"/>
    <row r="3915" customFormat="1" x14ac:dyDescent="0.3"/>
    <row r="3916" customFormat="1" x14ac:dyDescent="0.3"/>
    <row r="3917" customFormat="1" x14ac:dyDescent="0.3"/>
    <row r="3918" customFormat="1" x14ac:dyDescent="0.3"/>
    <row r="3919" customFormat="1" x14ac:dyDescent="0.3"/>
    <row r="3920" customFormat="1" x14ac:dyDescent="0.3"/>
    <row r="3921" customFormat="1" x14ac:dyDescent="0.3"/>
    <row r="3922" customFormat="1" x14ac:dyDescent="0.3"/>
    <row r="3923" customFormat="1" x14ac:dyDescent="0.3"/>
    <row r="3924" customFormat="1" x14ac:dyDescent="0.3"/>
    <row r="3925" customFormat="1" x14ac:dyDescent="0.3"/>
    <row r="3926" customFormat="1" x14ac:dyDescent="0.3"/>
    <row r="3927" customFormat="1" x14ac:dyDescent="0.3"/>
    <row r="3928" customFormat="1" x14ac:dyDescent="0.3"/>
    <row r="3929" customFormat="1" x14ac:dyDescent="0.3"/>
    <row r="3930" customFormat="1" x14ac:dyDescent="0.3"/>
    <row r="3931" customFormat="1" x14ac:dyDescent="0.3"/>
    <row r="3932" customFormat="1" x14ac:dyDescent="0.3"/>
    <row r="3933" customFormat="1" x14ac:dyDescent="0.3"/>
    <row r="3934" customFormat="1" x14ac:dyDescent="0.3"/>
    <row r="3935" customFormat="1" x14ac:dyDescent="0.3"/>
    <row r="3936" customFormat="1" x14ac:dyDescent="0.3"/>
    <row r="3937" customFormat="1" x14ac:dyDescent="0.3"/>
    <row r="3938" customFormat="1" x14ac:dyDescent="0.3"/>
    <row r="3939" customFormat="1" x14ac:dyDescent="0.3"/>
    <row r="3940" customFormat="1" x14ac:dyDescent="0.3"/>
    <row r="3941" customFormat="1" x14ac:dyDescent="0.3"/>
    <row r="3942" customFormat="1" x14ac:dyDescent="0.3"/>
    <row r="3943" customFormat="1" x14ac:dyDescent="0.3"/>
    <row r="3944" customFormat="1" x14ac:dyDescent="0.3"/>
    <row r="3945" customFormat="1" x14ac:dyDescent="0.3"/>
    <row r="3946" customFormat="1" x14ac:dyDescent="0.3"/>
    <row r="3947" customFormat="1" x14ac:dyDescent="0.3"/>
    <row r="3948" customFormat="1" x14ac:dyDescent="0.3"/>
    <row r="3949" customFormat="1" x14ac:dyDescent="0.3"/>
    <row r="3950" customFormat="1" x14ac:dyDescent="0.3"/>
    <row r="3951" customFormat="1" x14ac:dyDescent="0.3"/>
    <row r="3952" customFormat="1" x14ac:dyDescent="0.3"/>
    <row r="3953" customFormat="1" x14ac:dyDescent="0.3"/>
    <row r="3954" customFormat="1" x14ac:dyDescent="0.3"/>
    <row r="3955" customFormat="1" x14ac:dyDescent="0.3"/>
    <row r="3956" customFormat="1" x14ac:dyDescent="0.3"/>
    <row r="3957" customFormat="1" x14ac:dyDescent="0.3"/>
    <row r="3958" customFormat="1" x14ac:dyDescent="0.3"/>
    <row r="3959" customFormat="1" x14ac:dyDescent="0.3"/>
    <row r="3960" customFormat="1" x14ac:dyDescent="0.3"/>
    <row r="3961" customFormat="1" x14ac:dyDescent="0.3"/>
    <row r="3962" customFormat="1" x14ac:dyDescent="0.3"/>
    <row r="3963" customFormat="1" x14ac:dyDescent="0.3"/>
    <row r="3964" customFormat="1" x14ac:dyDescent="0.3"/>
    <row r="3965" customFormat="1" x14ac:dyDescent="0.3"/>
    <row r="3966" customFormat="1" x14ac:dyDescent="0.3"/>
    <row r="3967" customFormat="1" x14ac:dyDescent="0.3"/>
    <row r="3968" customFormat="1" x14ac:dyDescent="0.3"/>
    <row r="3969" customFormat="1" x14ac:dyDescent="0.3"/>
    <row r="3970" customFormat="1" x14ac:dyDescent="0.3"/>
    <row r="3971" customFormat="1" x14ac:dyDescent="0.3"/>
    <row r="3972" customFormat="1" x14ac:dyDescent="0.3"/>
    <row r="3973" customFormat="1" x14ac:dyDescent="0.3"/>
    <row r="3974" customFormat="1" x14ac:dyDescent="0.3"/>
    <row r="3975" customFormat="1" x14ac:dyDescent="0.3"/>
    <row r="3976" customFormat="1" x14ac:dyDescent="0.3"/>
    <row r="3977" customFormat="1" x14ac:dyDescent="0.3"/>
    <row r="3978" customFormat="1" x14ac:dyDescent="0.3"/>
    <row r="3979" customFormat="1" x14ac:dyDescent="0.3"/>
    <row r="3980" customFormat="1" x14ac:dyDescent="0.3"/>
    <row r="3981" customFormat="1" x14ac:dyDescent="0.3"/>
    <row r="3982" customFormat="1" x14ac:dyDescent="0.3"/>
    <row r="3983" customFormat="1" x14ac:dyDescent="0.3"/>
    <row r="3984" customFormat="1" x14ac:dyDescent="0.3"/>
    <row r="3985" customFormat="1" x14ac:dyDescent="0.3"/>
    <row r="3986" customFormat="1" x14ac:dyDescent="0.3"/>
    <row r="3987" customFormat="1" x14ac:dyDescent="0.3"/>
    <row r="3988" customFormat="1" x14ac:dyDescent="0.3"/>
    <row r="3989" customFormat="1" x14ac:dyDescent="0.3"/>
    <row r="3990" customFormat="1" x14ac:dyDescent="0.3"/>
    <row r="3991" customFormat="1" x14ac:dyDescent="0.3"/>
    <row r="3992" customFormat="1" x14ac:dyDescent="0.3"/>
    <row r="3993" customFormat="1" x14ac:dyDescent="0.3"/>
    <row r="3994" customFormat="1" x14ac:dyDescent="0.3"/>
    <row r="3995" customFormat="1" x14ac:dyDescent="0.3"/>
    <row r="3996" customFormat="1" x14ac:dyDescent="0.3"/>
    <row r="3997" customFormat="1" x14ac:dyDescent="0.3"/>
    <row r="3998" customFormat="1" x14ac:dyDescent="0.3"/>
    <row r="3999" customFormat="1" x14ac:dyDescent="0.3"/>
    <row r="4000" customFormat="1" x14ac:dyDescent="0.3"/>
    <row r="4001" customFormat="1" x14ac:dyDescent="0.3"/>
    <row r="4002" customFormat="1" x14ac:dyDescent="0.3"/>
    <row r="4003" customFormat="1" x14ac:dyDescent="0.3"/>
    <row r="4004" customFormat="1" x14ac:dyDescent="0.3"/>
    <row r="4005" customFormat="1" x14ac:dyDescent="0.3"/>
    <row r="4006" customFormat="1" x14ac:dyDescent="0.3"/>
    <row r="4007" customFormat="1" x14ac:dyDescent="0.3"/>
    <row r="4008" customFormat="1" x14ac:dyDescent="0.3"/>
    <row r="4009" customFormat="1" x14ac:dyDescent="0.3"/>
    <row r="4010" customFormat="1" x14ac:dyDescent="0.3"/>
    <row r="4011" customFormat="1" x14ac:dyDescent="0.3"/>
    <row r="4012" customFormat="1" x14ac:dyDescent="0.3"/>
    <row r="4013" customFormat="1" x14ac:dyDescent="0.3"/>
    <row r="4014" customFormat="1" x14ac:dyDescent="0.3"/>
    <row r="4015" customFormat="1" x14ac:dyDescent="0.3"/>
    <row r="4016" customFormat="1" x14ac:dyDescent="0.3"/>
    <row r="4017" customFormat="1" x14ac:dyDescent="0.3"/>
    <row r="4018" customFormat="1" x14ac:dyDescent="0.3"/>
    <row r="4019" customFormat="1" x14ac:dyDescent="0.3"/>
    <row r="4020" customFormat="1" x14ac:dyDescent="0.3"/>
    <row r="4021" customFormat="1" x14ac:dyDescent="0.3"/>
    <row r="4022" customFormat="1" x14ac:dyDescent="0.3"/>
    <row r="4023" customFormat="1" x14ac:dyDescent="0.3"/>
    <row r="4024" customFormat="1" x14ac:dyDescent="0.3"/>
    <row r="4025" customFormat="1" x14ac:dyDescent="0.3"/>
    <row r="4026" customFormat="1" x14ac:dyDescent="0.3"/>
    <row r="4027" customFormat="1" x14ac:dyDescent="0.3"/>
    <row r="4028" customFormat="1" x14ac:dyDescent="0.3"/>
    <row r="4029" customFormat="1" x14ac:dyDescent="0.3"/>
    <row r="4030" customFormat="1" x14ac:dyDescent="0.3"/>
    <row r="4031" customFormat="1" x14ac:dyDescent="0.3"/>
    <row r="4032" customFormat="1" x14ac:dyDescent="0.3"/>
    <row r="4033" customFormat="1" x14ac:dyDescent="0.3"/>
    <row r="4034" customFormat="1" x14ac:dyDescent="0.3"/>
    <row r="4035" customFormat="1" x14ac:dyDescent="0.3"/>
    <row r="4036" customFormat="1" x14ac:dyDescent="0.3"/>
    <row r="4037" customFormat="1" x14ac:dyDescent="0.3"/>
    <row r="4038" customFormat="1" x14ac:dyDescent="0.3"/>
    <row r="4039" customFormat="1" x14ac:dyDescent="0.3"/>
    <row r="4040" customFormat="1" x14ac:dyDescent="0.3"/>
    <row r="4041" customFormat="1" x14ac:dyDescent="0.3"/>
    <row r="4042" customFormat="1" x14ac:dyDescent="0.3"/>
    <row r="4043" customFormat="1" x14ac:dyDescent="0.3"/>
    <row r="4044" customFormat="1" x14ac:dyDescent="0.3"/>
    <row r="4045" customFormat="1" x14ac:dyDescent="0.3"/>
    <row r="4046" customFormat="1" x14ac:dyDescent="0.3"/>
    <row r="4047" customFormat="1" x14ac:dyDescent="0.3"/>
    <row r="4048" customFormat="1" x14ac:dyDescent="0.3"/>
    <row r="4049" customFormat="1" x14ac:dyDescent="0.3"/>
    <row r="4050" customFormat="1" x14ac:dyDescent="0.3"/>
    <row r="4051" customFormat="1" x14ac:dyDescent="0.3"/>
    <row r="4052" customFormat="1" x14ac:dyDescent="0.3"/>
    <row r="4053" customFormat="1" x14ac:dyDescent="0.3"/>
    <row r="4054" customFormat="1" x14ac:dyDescent="0.3"/>
    <row r="4055" customFormat="1" x14ac:dyDescent="0.3"/>
    <row r="4056" customFormat="1" x14ac:dyDescent="0.3"/>
    <row r="4057" customFormat="1" x14ac:dyDescent="0.3"/>
    <row r="4058" customFormat="1" x14ac:dyDescent="0.3"/>
    <row r="4059" customFormat="1" x14ac:dyDescent="0.3"/>
    <row r="4060" customFormat="1" x14ac:dyDescent="0.3"/>
    <row r="4061" customFormat="1" x14ac:dyDescent="0.3"/>
    <row r="4062" customFormat="1" x14ac:dyDescent="0.3"/>
    <row r="4063" customFormat="1" x14ac:dyDescent="0.3"/>
    <row r="4064" customFormat="1" x14ac:dyDescent="0.3"/>
    <row r="4065" customFormat="1" x14ac:dyDescent="0.3"/>
    <row r="4066" customFormat="1" x14ac:dyDescent="0.3"/>
    <row r="4067" customFormat="1" x14ac:dyDescent="0.3"/>
    <row r="4068" customFormat="1" x14ac:dyDescent="0.3"/>
    <row r="4069" customFormat="1" x14ac:dyDescent="0.3"/>
    <row r="4070" customFormat="1" x14ac:dyDescent="0.3"/>
    <row r="4071" customFormat="1" x14ac:dyDescent="0.3"/>
    <row r="4072" customFormat="1" x14ac:dyDescent="0.3"/>
    <row r="4073" customFormat="1" x14ac:dyDescent="0.3"/>
    <row r="4074" customFormat="1" x14ac:dyDescent="0.3"/>
    <row r="4075" customFormat="1" x14ac:dyDescent="0.3"/>
    <row r="4076" customFormat="1" x14ac:dyDescent="0.3"/>
    <row r="4077" customFormat="1" x14ac:dyDescent="0.3"/>
    <row r="4078" customFormat="1" x14ac:dyDescent="0.3"/>
    <row r="4079" customFormat="1" x14ac:dyDescent="0.3"/>
    <row r="4080" customFormat="1" x14ac:dyDescent="0.3"/>
    <row r="4081" customFormat="1" x14ac:dyDescent="0.3"/>
    <row r="4082" customFormat="1" x14ac:dyDescent="0.3"/>
    <row r="4083" customFormat="1" x14ac:dyDescent="0.3"/>
    <row r="4084" customFormat="1" x14ac:dyDescent="0.3"/>
    <row r="4085" customFormat="1" x14ac:dyDescent="0.3"/>
    <row r="4086" customFormat="1" x14ac:dyDescent="0.3"/>
    <row r="4087" customFormat="1" x14ac:dyDescent="0.3"/>
    <row r="4088" customFormat="1" x14ac:dyDescent="0.3"/>
    <row r="4089" customFormat="1" x14ac:dyDescent="0.3"/>
    <row r="4090" customFormat="1" x14ac:dyDescent="0.3"/>
    <row r="4091" customFormat="1" x14ac:dyDescent="0.3"/>
    <row r="4092" customFormat="1" x14ac:dyDescent="0.3"/>
    <row r="4093" customFormat="1" x14ac:dyDescent="0.3"/>
    <row r="4094" customFormat="1" x14ac:dyDescent="0.3"/>
    <row r="4095" customFormat="1" x14ac:dyDescent="0.3"/>
    <row r="4096" customFormat="1" x14ac:dyDescent="0.3"/>
    <row r="4097" customFormat="1" x14ac:dyDescent="0.3"/>
    <row r="4098" customFormat="1" x14ac:dyDescent="0.3"/>
    <row r="4099" customFormat="1" x14ac:dyDescent="0.3"/>
    <row r="4100" customFormat="1" x14ac:dyDescent="0.3"/>
    <row r="4101" customFormat="1" x14ac:dyDescent="0.3"/>
    <row r="4102" customFormat="1" x14ac:dyDescent="0.3"/>
    <row r="4103" customFormat="1" x14ac:dyDescent="0.3"/>
    <row r="4104" customFormat="1" x14ac:dyDescent="0.3"/>
    <row r="4105" customFormat="1" x14ac:dyDescent="0.3"/>
    <row r="4106" customFormat="1" x14ac:dyDescent="0.3"/>
    <row r="4107" customFormat="1" x14ac:dyDescent="0.3"/>
    <row r="4108" customFormat="1" x14ac:dyDescent="0.3"/>
    <row r="4109" customFormat="1" x14ac:dyDescent="0.3"/>
    <row r="4110" customFormat="1" x14ac:dyDescent="0.3"/>
    <row r="4111" customFormat="1" x14ac:dyDescent="0.3"/>
    <row r="4112" customFormat="1" x14ac:dyDescent="0.3"/>
    <row r="4113" customFormat="1" x14ac:dyDescent="0.3"/>
    <row r="4114" customFormat="1" x14ac:dyDescent="0.3"/>
    <row r="4115" customFormat="1" x14ac:dyDescent="0.3"/>
    <row r="4116" customFormat="1" x14ac:dyDescent="0.3"/>
    <row r="4117" customFormat="1" x14ac:dyDescent="0.3"/>
    <row r="4118" customFormat="1" x14ac:dyDescent="0.3"/>
    <row r="4119" customFormat="1" x14ac:dyDescent="0.3"/>
    <row r="4120" customFormat="1" x14ac:dyDescent="0.3"/>
    <row r="4121" customFormat="1" x14ac:dyDescent="0.3"/>
    <row r="4122" customFormat="1" x14ac:dyDescent="0.3"/>
    <row r="4123" customFormat="1" x14ac:dyDescent="0.3"/>
    <row r="4124" customFormat="1" x14ac:dyDescent="0.3"/>
    <row r="4125" customFormat="1" x14ac:dyDescent="0.3"/>
    <row r="4126" customFormat="1" x14ac:dyDescent="0.3"/>
    <row r="4127" customFormat="1" x14ac:dyDescent="0.3"/>
    <row r="4128" customFormat="1" x14ac:dyDescent="0.3"/>
    <row r="4129" customFormat="1" x14ac:dyDescent="0.3"/>
    <row r="4130" customFormat="1" x14ac:dyDescent="0.3"/>
    <row r="4131" customFormat="1" x14ac:dyDescent="0.3"/>
    <row r="4132" customFormat="1" x14ac:dyDescent="0.3"/>
    <row r="4133" customFormat="1" x14ac:dyDescent="0.3"/>
    <row r="4134" customFormat="1" x14ac:dyDescent="0.3"/>
    <row r="4135" customFormat="1" x14ac:dyDescent="0.3"/>
    <row r="4136" customFormat="1" x14ac:dyDescent="0.3"/>
    <row r="4137" customFormat="1" x14ac:dyDescent="0.3"/>
    <row r="4138" customFormat="1" x14ac:dyDescent="0.3"/>
    <row r="4139" customFormat="1" x14ac:dyDescent="0.3"/>
    <row r="4140" customFormat="1" x14ac:dyDescent="0.3"/>
    <row r="4141" customFormat="1" x14ac:dyDescent="0.3"/>
    <row r="4142" customFormat="1" x14ac:dyDescent="0.3"/>
    <row r="4143" customFormat="1" x14ac:dyDescent="0.3"/>
    <row r="4144" customFormat="1" x14ac:dyDescent="0.3"/>
    <row r="4145" customFormat="1" x14ac:dyDescent="0.3"/>
    <row r="4146" customFormat="1" x14ac:dyDescent="0.3"/>
    <row r="4147" customFormat="1" x14ac:dyDescent="0.3"/>
    <row r="4148" customFormat="1" x14ac:dyDescent="0.3"/>
    <row r="4149" customFormat="1" x14ac:dyDescent="0.3"/>
    <row r="4150" customFormat="1" x14ac:dyDescent="0.3"/>
    <row r="4151" customFormat="1" x14ac:dyDescent="0.3"/>
    <row r="4152" customFormat="1" x14ac:dyDescent="0.3"/>
    <row r="4153" customFormat="1" x14ac:dyDescent="0.3"/>
    <row r="4154" customFormat="1" x14ac:dyDescent="0.3"/>
    <row r="4155" customFormat="1" x14ac:dyDescent="0.3"/>
    <row r="4156" customFormat="1" x14ac:dyDescent="0.3"/>
    <row r="4157" customFormat="1" x14ac:dyDescent="0.3"/>
    <row r="4158" customFormat="1" x14ac:dyDescent="0.3"/>
    <row r="4159" customFormat="1" x14ac:dyDescent="0.3"/>
    <row r="4160" customFormat="1" x14ac:dyDescent="0.3"/>
    <row r="4161" customFormat="1" x14ac:dyDescent="0.3"/>
    <row r="4162" customFormat="1" x14ac:dyDescent="0.3"/>
    <row r="4163" customFormat="1" x14ac:dyDescent="0.3"/>
    <row r="4164" customFormat="1" x14ac:dyDescent="0.3"/>
    <row r="4165" customFormat="1" x14ac:dyDescent="0.3"/>
    <row r="4166" customFormat="1" x14ac:dyDescent="0.3"/>
    <row r="4167" customFormat="1" x14ac:dyDescent="0.3"/>
    <row r="4168" customFormat="1" x14ac:dyDescent="0.3"/>
    <row r="4169" customFormat="1" x14ac:dyDescent="0.3"/>
    <row r="4170" customFormat="1" x14ac:dyDescent="0.3"/>
    <row r="4171" customFormat="1" x14ac:dyDescent="0.3"/>
    <row r="4172" customFormat="1" x14ac:dyDescent="0.3"/>
    <row r="4173" customFormat="1" x14ac:dyDescent="0.3"/>
    <row r="4174" customFormat="1" x14ac:dyDescent="0.3"/>
    <row r="4175" customFormat="1" x14ac:dyDescent="0.3"/>
    <row r="4176" customFormat="1" x14ac:dyDescent="0.3"/>
    <row r="4177" customFormat="1" x14ac:dyDescent="0.3"/>
    <row r="4178" customFormat="1" x14ac:dyDescent="0.3"/>
    <row r="4179" customFormat="1" x14ac:dyDescent="0.3"/>
    <row r="4180" customFormat="1" x14ac:dyDescent="0.3"/>
    <row r="4181" customFormat="1" x14ac:dyDescent="0.3"/>
    <row r="4182" customFormat="1" x14ac:dyDescent="0.3"/>
    <row r="4183" customFormat="1" x14ac:dyDescent="0.3"/>
    <row r="4184" customFormat="1" x14ac:dyDescent="0.3"/>
    <row r="4185" customFormat="1" x14ac:dyDescent="0.3"/>
    <row r="4186" customFormat="1" x14ac:dyDescent="0.3"/>
    <row r="4187" customFormat="1" x14ac:dyDescent="0.3"/>
    <row r="4188" customFormat="1" x14ac:dyDescent="0.3"/>
    <row r="4189" customFormat="1" x14ac:dyDescent="0.3"/>
    <row r="4190" customFormat="1" x14ac:dyDescent="0.3"/>
    <row r="4191" customFormat="1" x14ac:dyDescent="0.3"/>
    <row r="4192" customFormat="1" x14ac:dyDescent="0.3"/>
    <row r="4193" customFormat="1" x14ac:dyDescent="0.3"/>
    <row r="4194" customFormat="1" x14ac:dyDescent="0.3"/>
    <row r="4195" customFormat="1" x14ac:dyDescent="0.3"/>
    <row r="4196" customFormat="1" x14ac:dyDescent="0.3"/>
    <row r="4197" customFormat="1" x14ac:dyDescent="0.3"/>
    <row r="4198" customFormat="1" x14ac:dyDescent="0.3"/>
    <row r="4199" customFormat="1" x14ac:dyDescent="0.3"/>
    <row r="4200" customFormat="1" x14ac:dyDescent="0.3"/>
    <row r="4201" customFormat="1" x14ac:dyDescent="0.3"/>
    <row r="4202" customFormat="1" x14ac:dyDescent="0.3"/>
    <row r="4203" customFormat="1" x14ac:dyDescent="0.3"/>
    <row r="4204" customFormat="1" x14ac:dyDescent="0.3"/>
    <row r="4205" customFormat="1" x14ac:dyDescent="0.3"/>
    <row r="4206" customFormat="1" x14ac:dyDescent="0.3"/>
    <row r="4207" customFormat="1" x14ac:dyDescent="0.3"/>
    <row r="4208" customFormat="1" x14ac:dyDescent="0.3"/>
    <row r="4209" customFormat="1" x14ac:dyDescent="0.3"/>
    <row r="4210" customFormat="1" x14ac:dyDescent="0.3"/>
    <row r="4211" customFormat="1" x14ac:dyDescent="0.3"/>
    <row r="4212" customFormat="1" x14ac:dyDescent="0.3"/>
    <row r="4213" customFormat="1" x14ac:dyDescent="0.3"/>
    <row r="4214" customFormat="1" x14ac:dyDescent="0.3"/>
    <row r="4215" customFormat="1" x14ac:dyDescent="0.3"/>
    <row r="4216" customFormat="1" x14ac:dyDescent="0.3"/>
    <row r="4217" customFormat="1" x14ac:dyDescent="0.3"/>
    <row r="4218" customFormat="1" x14ac:dyDescent="0.3"/>
    <row r="4219" customFormat="1" x14ac:dyDescent="0.3"/>
    <row r="4220" customFormat="1" x14ac:dyDescent="0.3"/>
    <row r="4221" customFormat="1" x14ac:dyDescent="0.3"/>
    <row r="4222" customFormat="1" x14ac:dyDescent="0.3"/>
    <row r="4223" customFormat="1" x14ac:dyDescent="0.3"/>
    <row r="4224" customFormat="1" x14ac:dyDescent="0.3"/>
    <row r="4225" customFormat="1" x14ac:dyDescent="0.3"/>
    <row r="4226" customFormat="1" x14ac:dyDescent="0.3"/>
    <row r="4227" customFormat="1" x14ac:dyDescent="0.3"/>
    <row r="4228" customFormat="1" x14ac:dyDescent="0.3"/>
    <row r="4229" customFormat="1" x14ac:dyDescent="0.3"/>
    <row r="4230" customFormat="1" x14ac:dyDescent="0.3"/>
    <row r="4231" customFormat="1" x14ac:dyDescent="0.3"/>
    <row r="4232" customFormat="1" x14ac:dyDescent="0.3"/>
    <row r="4233" customFormat="1" x14ac:dyDescent="0.3"/>
    <row r="4234" customFormat="1" x14ac:dyDescent="0.3"/>
    <row r="4235" customFormat="1" x14ac:dyDescent="0.3"/>
    <row r="4236" customFormat="1" x14ac:dyDescent="0.3"/>
    <row r="4237" customFormat="1" x14ac:dyDescent="0.3"/>
    <row r="4238" customFormat="1" x14ac:dyDescent="0.3"/>
    <row r="4239" customFormat="1" x14ac:dyDescent="0.3"/>
    <row r="4240" customFormat="1" x14ac:dyDescent="0.3"/>
    <row r="4241" customFormat="1" x14ac:dyDescent="0.3"/>
    <row r="4242" customFormat="1" x14ac:dyDescent="0.3"/>
    <row r="4243" customFormat="1" x14ac:dyDescent="0.3"/>
    <row r="4244" customFormat="1" x14ac:dyDescent="0.3"/>
    <row r="4245" customFormat="1" x14ac:dyDescent="0.3"/>
    <row r="4246" customFormat="1" x14ac:dyDescent="0.3"/>
    <row r="4247" customFormat="1" x14ac:dyDescent="0.3"/>
    <row r="4248" customFormat="1" x14ac:dyDescent="0.3"/>
    <row r="4249" customFormat="1" x14ac:dyDescent="0.3"/>
    <row r="4250" customFormat="1" x14ac:dyDescent="0.3"/>
    <row r="4251" customFormat="1" x14ac:dyDescent="0.3"/>
    <row r="4252" customFormat="1" x14ac:dyDescent="0.3"/>
    <row r="4253" customFormat="1" x14ac:dyDescent="0.3"/>
    <row r="4254" customFormat="1" x14ac:dyDescent="0.3"/>
    <row r="4255" customFormat="1" x14ac:dyDescent="0.3"/>
    <row r="4256" customFormat="1" x14ac:dyDescent="0.3"/>
    <row r="4257" customFormat="1" x14ac:dyDescent="0.3"/>
    <row r="4258" customFormat="1" x14ac:dyDescent="0.3"/>
    <row r="4259" customFormat="1" x14ac:dyDescent="0.3"/>
    <row r="4260" customFormat="1" x14ac:dyDescent="0.3"/>
    <row r="4261" customFormat="1" x14ac:dyDescent="0.3"/>
    <row r="4262" customFormat="1" x14ac:dyDescent="0.3"/>
    <row r="4263" customFormat="1" x14ac:dyDescent="0.3"/>
    <row r="4264" customFormat="1" x14ac:dyDescent="0.3"/>
    <row r="4265" customFormat="1" x14ac:dyDescent="0.3"/>
    <row r="4266" customFormat="1" x14ac:dyDescent="0.3"/>
    <row r="4267" customFormat="1" x14ac:dyDescent="0.3"/>
    <row r="4268" customFormat="1" x14ac:dyDescent="0.3"/>
    <row r="4269" customFormat="1" x14ac:dyDescent="0.3"/>
    <row r="4270" customFormat="1" x14ac:dyDescent="0.3"/>
    <row r="4271" customFormat="1" x14ac:dyDescent="0.3"/>
    <row r="4272" customFormat="1" x14ac:dyDescent="0.3"/>
    <row r="4273" customFormat="1" x14ac:dyDescent="0.3"/>
    <row r="4274" customFormat="1" x14ac:dyDescent="0.3"/>
    <row r="4275" customFormat="1" x14ac:dyDescent="0.3"/>
    <row r="4276" customFormat="1" x14ac:dyDescent="0.3"/>
    <row r="4277" customFormat="1" x14ac:dyDescent="0.3"/>
    <row r="4278" customFormat="1" x14ac:dyDescent="0.3"/>
    <row r="4279" customFormat="1" x14ac:dyDescent="0.3"/>
    <row r="4280" customFormat="1" x14ac:dyDescent="0.3"/>
    <row r="4281" customFormat="1" x14ac:dyDescent="0.3"/>
    <row r="4282" customFormat="1" x14ac:dyDescent="0.3"/>
    <row r="4283" customFormat="1" x14ac:dyDescent="0.3"/>
    <row r="4284" customFormat="1" x14ac:dyDescent="0.3"/>
    <row r="4285" customFormat="1" x14ac:dyDescent="0.3"/>
    <row r="4286" customFormat="1" x14ac:dyDescent="0.3"/>
    <row r="4287" customFormat="1" x14ac:dyDescent="0.3"/>
    <row r="4288" customFormat="1" x14ac:dyDescent="0.3"/>
    <row r="4289" customFormat="1" x14ac:dyDescent="0.3"/>
    <row r="4290" customFormat="1" x14ac:dyDescent="0.3"/>
    <row r="4291" customFormat="1" x14ac:dyDescent="0.3"/>
    <row r="4292" customFormat="1" x14ac:dyDescent="0.3"/>
    <row r="4293" customFormat="1" x14ac:dyDescent="0.3"/>
    <row r="4294" customFormat="1" x14ac:dyDescent="0.3"/>
    <row r="4295" customFormat="1" x14ac:dyDescent="0.3"/>
    <row r="4296" customFormat="1" x14ac:dyDescent="0.3"/>
    <row r="4297" customFormat="1" x14ac:dyDescent="0.3"/>
    <row r="4298" customFormat="1" x14ac:dyDescent="0.3"/>
    <row r="4299" customFormat="1" x14ac:dyDescent="0.3"/>
    <row r="4300" customFormat="1" x14ac:dyDescent="0.3"/>
    <row r="4301" customFormat="1" x14ac:dyDescent="0.3"/>
    <row r="4302" customFormat="1" x14ac:dyDescent="0.3"/>
    <row r="4303" customFormat="1" x14ac:dyDescent="0.3"/>
    <row r="4304" customFormat="1" x14ac:dyDescent="0.3"/>
    <row r="4305" customFormat="1" x14ac:dyDescent="0.3"/>
    <row r="4306" customFormat="1" x14ac:dyDescent="0.3"/>
    <row r="4307" customFormat="1" x14ac:dyDescent="0.3"/>
    <row r="4308" customFormat="1" x14ac:dyDescent="0.3"/>
    <row r="4309" customFormat="1" x14ac:dyDescent="0.3"/>
    <row r="4310" customFormat="1" x14ac:dyDescent="0.3"/>
    <row r="4311" customFormat="1" x14ac:dyDescent="0.3"/>
    <row r="4312" customFormat="1" x14ac:dyDescent="0.3"/>
    <row r="4313" customFormat="1" x14ac:dyDescent="0.3"/>
    <row r="4314" customFormat="1" x14ac:dyDescent="0.3"/>
    <row r="4315" customFormat="1" x14ac:dyDescent="0.3"/>
    <row r="4316" customFormat="1" x14ac:dyDescent="0.3"/>
    <row r="4317" customFormat="1" x14ac:dyDescent="0.3"/>
    <row r="4318" customFormat="1" x14ac:dyDescent="0.3"/>
    <row r="4319" customFormat="1" x14ac:dyDescent="0.3"/>
    <row r="4320" customFormat="1" x14ac:dyDescent="0.3"/>
    <row r="4321" customFormat="1" x14ac:dyDescent="0.3"/>
    <row r="4322" customFormat="1" x14ac:dyDescent="0.3"/>
    <row r="4323" customFormat="1" x14ac:dyDescent="0.3"/>
    <row r="4324" customFormat="1" x14ac:dyDescent="0.3"/>
    <row r="4325" customFormat="1" x14ac:dyDescent="0.3"/>
    <row r="4326" customFormat="1" x14ac:dyDescent="0.3"/>
    <row r="4327" customFormat="1" x14ac:dyDescent="0.3"/>
    <row r="4328" customFormat="1" x14ac:dyDescent="0.3"/>
    <row r="4329" customFormat="1" x14ac:dyDescent="0.3"/>
    <row r="4330" customFormat="1" x14ac:dyDescent="0.3"/>
    <row r="4331" customFormat="1" x14ac:dyDescent="0.3"/>
    <row r="4332" customFormat="1" x14ac:dyDescent="0.3"/>
    <row r="4333" customFormat="1" x14ac:dyDescent="0.3"/>
    <row r="4334" customFormat="1" x14ac:dyDescent="0.3"/>
    <row r="4335" customFormat="1" x14ac:dyDescent="0.3"/>
    <row r="4336" customFormat="1" x14ac:dyDescent="0.3"/>
    <row r="4337" customFormat="1" x14ac:dyDescent="0.3"/>
    <row r="4338" customFormat="1" x14ac:dyDescent="0.3"/>
    <row r="4339" customFormat="1" x14ac:dyDescent="0.3"/>
    <row r="4340" customFormat="1" x14ac:dyDescent="0.3"/>
    <row r="4341" customFormat="1" x14ac:dyDescent="0.3"/>
    <row r="4342" customFormat="1" x14ac:dyDescent="0.3"/>
    <row r="4343" customFormat="1" x14ac:dyDescent="0.3"/>
    <row r="4344" customFormat="1" x14ac:dyDescent="0.3"/>
    <row r="4345" customFormat="1" x14ac:dyDescent="0.3"/>
    <row r="4346" customFormat="1" x14ac:dyDescent="0.3"/>
    <row r="4347" customFormat="1" x14ac:dyDescent="0.3"/>
    <row r="4348" customFormat="1" x14ac:dyDescent="0.3"/>
    <row r="4349" customFormat="1" x14ac:dyDescent="0.3"/>
    <row r="4350" customFormat="1" x14ac:dyDescent="0.3"/>
    <row r="4351" customFormat="1" x14ac:dyDescent="0.3"/>
    <row r="4352" customFormat="1" x14ac:dyDescent="0.3"/>
    <row r="4353" customFormat="1" x14ac:dyDescent="0.3"/>
    <row r="4354" customFormat="1" x14ac:dyDescent="0.3"/>
    <row r="4355" customFormat="1" x14ac:dyDescent="0.3"/>
    <row r="4356" customFormat="1" x14ac:dyDescent="0.3"/>
    <row r="4357" customFormat="1" x14ac:dyDescent="0.3"/>
    <row r="4358" customFormat="1" x14ac:dyDescent="0.3"/>
    <row r="4359" customFormat="1" x14ac:dyDescent="0.3"/>
    <row r="4360" customFormat="1" x14ac:dyDescent="0.3"/>
    <row r="4361" customFormat="1" x14ac:dyDescent="0.3"/>
    <row r="4362" customFormat="1" x14ac:dyDescent="0.3"/>
    <row r="4363" customFormat="1" x14ac:dyDescent="0.3"/>
    <row r="4364" customFormat="1" x14ac:dyDescent="0.3"/>
    <row r="4365" customFormat="1" x14ac:dyDescent="0.3"/>
    <row r="4366" customFormat="1" x14ac:dyDescent="0.3"/>
    <row r="4367" customFormat="1" x14ac:dyDescent="0.3"/>
    <row r="4368" customFormat="1" x14ac:dyDescent="0.3"/>
    <row r="4369" customFormat="1" x14ac:dyDescent="0.3"/>
    <row r="4370" customFormat="1" x14ac:dyDescent="0.3"/>
    <row r="4371" customFormat="1" x14ac:dyDescent="0.3"/>
    <row r="4372" customFormat="1" x14ac:dyDescent="0.3"/>
    <row r="4373" customFormat="1" x14ac:dyDescent="0.3"/>
    <row r="4374" customFormat="1" x14ac:dyDescent="0.3"/>
    <row r="4375" customFormat="1" x14ac:dyDescent="0.3"/>
    <row r="4376" customFormat="1" x14ac:dyDescent="0.3"/>
    <row r="4377" customFormat="1" x14ac:dyDescent="0.3"/>
    <row r="4378" customFormat="1" x14ac:dyDescent="0.3"/>
    <row r="4379" customFormat="1" x14ac:dyDescent="0.3"/>
    <row r="4380" customFormat="1" x14ac:dyDescent="0.3"/>
    <row r="4381" customFormat="1" x14ac:dyDescent="0.3"/>
    <row r="4382" customFormat="1" x14ac:dyDescent="0.3"/>
    <row r="4383" customFormat="1" x14ac:dyDescent="0.3"/>
    <row r="4384" customFormat="1" x14ac:dyDescent="0.3"/>
    <row r="4385" customFormat="1" x14ac:dyDescent="0.3"/>
    <row r="4386" customFormat="1" x14ac:dyDescent="0.3"/>
    <row r="4387" customFormat="1" x14ac:dyDescent="0.3"/>
    <row r="4388" customFormat="1" x14ac:dyDescent="0.3"/>
    <row r="4389" customFormat="1" x14ac:dyDescent="0.3"/>
    <row r="4390" customFormat="1" x14ac:dyDescent="0.3"/>
    <row r="4391" customFormat="1" x14ac:dyDescent="0.3"/>
    <row r="4392" customFormat="1" x14ac:dyDescent="0.3"/>
    <row r="4393" customFormat="1" x14ac:dyDescent="0.3"/>
    <row r="4394" customFormat="1" x14ac:dyDescent="0.3"/>
    <row r="4395" customFormat="1" x14ac:dyDescent="0.3"/>
    <row r="4396" customFormat="1" x14ac:dyDescent="0.3"/>
    <row r="4397" customFormat="1" x14ac:dyDescent="0.3"/>
    <row r="4398" customFormat="1" x14ac:dyDescent="0.3"/>
    <row r="4399" customFormat="1" x14ac:dyDescent="0.3"/>
    <row r="4400" customFormat="1" x14ac:dyDescent="0.3"/>
    <row r="4401" customFormat="1" x14ac:dyDescent="0.3"/>
    <row r="4402" customFormat="1" x14ac:dyDescent="0.3"/>
    <row r="4403" customFormat="1" x14ac:dyDescent="0.3"/>
    <row r="4404" customFormat="1" x14ac:dyDescent="0.3"/>
    <row r="4405" customFormat="1" x14ac:dyDescent="0.3"/>
    <row r="4406" customFormat="1" x14ac:dyDescent="0.3"/>
    <row r="4407" customFormat="1" x14ac:dyDescent="0.3"/>
    <row r="4408" customFormat="1" x14ac:dyDescent="0.3"/>
    <row r="4409" customFormat="1" x14ac:dyDescent="0.3"/>
    <row r="4410" customFormat="1" x14ac:dyDescent="0.3"/>
    <row r="4411" customFormat="1" x14ac:dyDescent="0.3"/>
    <row r="4412" customFormat="1" x14ac:dyDescent="0.3"/>
    <row r="4413" customFormat="1" x14ac:dyDescent="0.3"/>
    <row r="4414" customFormat="1" x14ac:dyDescent="0.3"/>
    <row r="4415" customFormat="1" x14ac:dyDescent="0.3"/>
    <row r="4416" customFormat="1" x14ac:dyDescent="0.3"/>
    <row r="4417" customFormat="1" x14ac:dyDescent="0.3"/>
    <row r="4418" customFormat="1" x14ac:dyDescent="0.3"/>
    <row r="4419" customFormat="1" x14ac:dyDescent="0.3"/>
    <row r="4420" customFormat="1" x14ac:dyDescent="0.3"/>
    <row r="4421" customFormat="1" x14ac:dyDescent="0.3"/>
    <row r="4422" customFormat="1" x14ac:dyDescent="0.3"/>
    <row r="4423" customFormat="1" x14ac:dyDescent="0.3"/>
    <row r="4424" customFormat="1" x14ac:dyDescent="0.3"/>
    <row r="4425" customFormat="1" x14ac:dyDescent="0.3"/>
    <row r="4426" customFormat="1" x14ac:dyDescent="0.3"/>
    <row r="4427" customFormat="1" x14ac:dyDescent="0.3"/>
    <row r="4428" customFormat="1" x14ac:dyDescent="0.3"/>
    <row r="4429" customFormat="1" x14ac:dyDescent="0.3"/>
    <row r="4430" customFormat="1" x14ac:dyDescent="0.3"/>
    <row r="4431" customFormat="1" x14ac:dyDescent="0.3"/>
    <row r="4432" customFormat="1" x14ac:dyDescent="0.3"/>
    <row r="4433" customFormat="1" x14ac:dyDescent="0.3"/>
    <row r="4434" customFormat="1" x14ac:dyDescent="0.3"/>
    <row r="4435" customFormat="1" x14ac:dyDescent="0.3"/>
    <row r="4436" customFormat="1" x14ac:dyDescent="0.3"/>
    <row r="4437" customFormat="1" x14ac:dyDescent="0.3"/>
    <row r="4438" customFormat="1" x14ac:dyDescent="0.3"/>
    <row r="4439" customFormat="1" x14ac:dyDescent="0.3"/>
    <row r="4440" customFormat="1" x14ac:dyDescent="0.3"/>
    <row r="4441" customFormat="1" x14ac:dyDescent="0.3"/>
    <row r="4442" customFormat="1" x14ac:dyDescent="0.3"/>
    <row r="4443" customFormat="1" x14ac:dyDescent="0.3"/>
    <row r="4444" customFormat="1" x14ac:dyDescent="0.3"/>
    <row r="4445" customFormat="1" x14ac:dyDescent="0.3"/>
    <row r="4446" customFormat="1" x14ac:dyDescent="0.3"/>
    <row r="4447" customFormat="1" x14ac:dyDescent="0.3"/>
    <row r="4448" customFormat="1" x14ac:dyDescent="0.3"/>
    <row r="4449" customFormat="1" x14ac:dyDescent="0.3"/>
    <row r="4450" customFormat="1" x14ac:dyDescent="0.3"/>
    <row r="4451" customFormat="1" x14ac:dyDescent="0.3"/>
    <row r="4452" customFormat="1" x14ac:dyDescent="0.3"/>
    <row r="4453" customFormat="1" x14ac:dyDescent="0.3"/>
    <row r="4454" customFormat="1" x14ac:dyDescent="0.3"/>
    <row r="4455" customFormat="1" x14ac:dyDescent="0.3"/>
    <row r="4456" customFormat="1" x14ac:dyDescent="0.3"/>
    <row r="4457" customFormat="1" x14ac:dyDescent="0.3"/>
    <row r="4458" customFormat="1" x14ac:dyDescent="0.3"/>
    <row r="4459" customFormat="1" x14ac:dyDescent="0.3"/>
    <row r="4460" customFormat="1" x14ac:dyDescent="0.3"/>
    <row r="4461" customFormat="1" x14ac:dyDescent="0.3"/>
    <row r="4462" customFormat="1" x14ac:dyDescent="0.3"/>
    <row r="4463" customFormat="1" x14ac:dyDescent="0.3"/>
    <row r="4464" customFormat="1" x14ac:dyDescent="0.3"/>
    <row r="4465" customFormat="1" x14ac:dyDescent="0.3"/>
    <row r="4466" customFormat="1" x14ac:dyDescent="0.3"/>
    <row r="4467" customFormat="1" x14ac:dyDescent="0.3"/>
    <row r="4468" customFormat="1" x14ac:dyDescent="0.3"/>
    <row r="4469" customFormat="1" x14ac:dyDescent="0.3"/>
    <row r="4470" customFormat="1" x14ac:dyDescent="0.3"/>
    <row r="4471" customFormat="1" x14ac:dyDescent="0.3"/>
    <row r="4472" customFormat="1" x14ac:dyDescent="0.3"/>
    <row r="4473" customFormat="1" x14ac:dyDescent="0.3"/>
    <row r="4474" customFormat="1" x14ac:dyDescent="0.3"/>
    <row r="4475" customFormat="1" x14ac:dyDescent="0.3"/>
    <row r="4476" customFormat="1" x14ac:dyDescent="0.3"/>
    <row r="4477" customFormat="1" x14ac:dyDescent="0.3"/>
    <row r="4478" customFormat="1" x14ac:dyDescent="0.3"/>
    <row r="4479" customFormat="1" x14ac:dyDescent="0.3"/>
    <row r="4480" customFormat="1" x14ac:dyDescent="0.3"/>
    <row r="4481" customFormat="1" x14ac:dyDescent="0.3"/>
    <row r="4482" customFormat="1" x14ac:dyDescent="0.3"/>
    <row r="4483" customFormat="1" x14ac:dyDescent="0.3"/>
    <row r="4484" customFormat="1" x14ac:dyDescent="0.3"/>
    <row r="4485" customFormat="1" x14ac:dyDescent="0.3"/>
    <row r="4486" customFormat="1" x14ac:dyDescent="0.3"/>
    <row r="4487" customFormat="1" x14ac:dyDescent="0.3"/>
    <row r="4488" customFormat="1" x14ac:dyDescent="0.3"/>
    <row r="4489" customFormat="1" x14ac:dyDescent="0.3"/>
    <row r="4490" customFormat="1" x14ac:dyDescent="0.3"/>
    <row r="4491" customFormat="1" x14ac:dyDescent="0.3"/>
    <row r="4492" customFormat="1" x14ac:dyDescent="0.3"/>
    <row r="4493" customFormat="1" x14ac:dyDescent="0.3"/>
    <row r="4494" customFormat="1" x14ac:dyDescent="0.3"/>
    <row r="4495" customFormat="1" x14ac:dyDescent="0.3"/>
    <row r="4496" customFormat="1" x14ac:dyDescent="0.3"/>
    <row r="4497" customFormat="1" x14ac:dyDescent="0.3"/>
    <row r="4498" customFormat="1" x14ac:dyDescent="0.3"/>
    <row r="4499" customFormat="1" x14ac:dyDescent="0.3"/>
    <row r="4500" customFormat="1" x14ac:dyDescent="0.3"/>
    <row r="4501" customFormat="1" x14ac:dyDescent="0.3"/>
    <row r="4502" customFormat="1" x14ac:dyDescent="0.3"/>
    <row r="4503" customFormat="1" x14ac:dyDescent="0.3"/>
    <row r="4504" customFormat="1" x14ac:dyDescent="0.3"/>
    <row r="4505" customFormat="1" x14ac:dyDescent="0.3"/>
    <row r="4506" customFormat="1" x14ac:dyDescent="0.3"/>
    <row r="4507" customFormat="1" x14ac:dyDescent="0.3"/>
    <row r="4508" customFormat="1" x14ac:dyDescent="0.3"/>
    <row r="4509" customFormat="1" x14ac:dyDescent="0.3"/>
    <row r="4510" customFormat="1" x14ac:dyDescent="0.3"/>
    <row r="4511" customFormat="1" x14ac:dyDescent="0.3"/>
    <row r="4512" customFormat="1" x14ac:dyDescent="0.3"/>
    <row r="4513" customFormat="1" x14ac:dyDescent="0.3"/>
    <row r="4514" customFormat="1" x14ac:dyDescent="0.3"/>
    <row r="4515" customFormat="1" x14ac:dyDescent="0.3"/>
    <row r="4516" customFormat="1" x14ac:dyDescent="0.3"/>
    <row r="4517" customFormat="1" x14ac:dyDescent="0.3"/>
    <row r="4518" customFormat="1" x14ac:dyDescent="0.3"/>
    <row r="4519" customFormat="1" x14ac:dyDescent="0.3"/>
    <row r="4520" customFormat="1" x14ac:dyDescent="0.3"/>
    <row r="4521" customFormat="1" x14ac:dyDescent="0.3"/>
    <row r="4522" customFormat="1" x14ac:dyDescent="0.3"/>
    <row r="4523" customFormat="1" x14ac:dyDescent="0.3"/>
    <row r="4524" customFormat="1" x14ac:dyDescent="0.3"/>
    <row r="4525" customFormat="1" x14ac:dyDescent="0.3"/>
    <row r="4526" customFormat="1" x14ac:dyDescent="0.3"/>
    <row r="4527" customFormat="1" x14ac:dyDescent="0.3"/>
    <row r="4528" customFormat="1" x14ac:dyDescent="0.3"/>
    <row r="4529" customFormat="1" x14ac:dyDescent="0.3"/>
    <row r="4530" customFormat="1" x14ac:dyDescent="0.3"/>
    <row r="4531" customFormat="1" x14ac:dyDescent="0.3"/>
    <row r="4532" customFormat="1" x14ac:dyDescent="0.3"/>
    <row r="4533" customFormat="1" x14ac:dyDescent="0.3"/>
    <row r="4534" customFormat="1" x14ac:dyDescent="0.3"/>
    <row r="4535" customFormat="1" x14ac:dyDescent="0.3"/>
    <row r="4536" customFormat="1" x14ac:dyDescent="0.3"/>
    <row r="4537" customFormat="1" x14ac:dyDescent="0.3"/>
    <row r="4538" customFormat="1" x14ac:dyDescent="0.3"/>
    <row r="4539" customFormat="1" x14ac:dyDescent="0.3"/>
    <row r="4540" customFormat="1" x14ac:dyDescent="0.3"/>
    <row r="4541" customFormat="1" x14ac:dyDescent="0.3"/>
    <row r="4542" customFormat="1" x14ac:dyDescent="0.3"/>
    <row r="4543" customFormat="1" x14ac:dyDescent="0.3"/>
    <row r="4544" customFormat="1" x14ac:dyDescent="0.3"/>
    <row r="4545" customFormat="1" x14ac:dyDescent="0.3"/>
    <row r="4546" customFormat="1" x14ac:dyDescent="0.3"/>
    <row r="4547" customFormat="1" x14ac:dyDescent="0.3"/>
    <row r="4548" customFormat="1" x14ac:dyDescent="0.3"/>
    <row r="4549" customFormat="1" x14ac:dyDescent="0.3"/>
    <row r="4550" customFormat="1" x14ac:dyDescent="0.3"/>
    <row r="4551" customFormat="1" x14ac:dyDescent="0.3"/>
    <row r="4552" customFormat="1" x14ac:dyDescent="0.3"/>
    <row r="4553" customFormat="1" x14ac:dyDescent="0.3"/>
    <row r="4554" customFormat="1" x14ac:dyDescent="0.3"/>
    <row r="4555" customFormat="1" x14ac:dyDescent="0.3"/>
    <row r="4556" customFormat="1" x14ac:dyDescent="0.3"/>
    <row r="4557" customFormat="1" x14ac:dyDescent="0.3"/>
    <row r="4558" customFormat="1" x14ac:dyDescent="0.3"/>
    <row r="4559" customFormat="1" x14ac:dyDescent="0.3"/>
    <row r="4560" customFormat="1" x14ac:dyDescent="0.3"/>
    <row r="4561" customFormat="1" x14ac:dyDescent="0.3"/>
    <row r="4562" customFormat="1" x14ac:dyDescent="0.3"/>
    <row r="4563" customFormat="1" x14ac:dyDescent="0.3"/>
    <row r="4564" customFormat="1" x14ac:dyDescent="0.3"/>
    <row r="4565" customFormat="1" x14ac:dyDescent="0.3"/>
    <row r="4566" customFormat="1" x14ac:dyDescent="0.3"/>
    <row r="4567" customFormat="1" x14ac:dyDescent="0.3"/>
    <row r="4568" customFormat="1" x14ac:dyDescent="0.3"/>
    <row r="4569" customFormat="1" x14ac:dyDescent="0.3"/>
    <row r="4570" customFormat="1" x14ac:dyDescent="0.3"/>
    <row r="4571" customFormat="1" x14ac:dyDescent="0.3"/>
    <row r="4572" customFormat="1" x14ac:dyDescent="0.3"/>
    <row r="4573" customFormat="1" x14ac:dyDescent="0.3"/>
    <row r="4574" customFormat="1" x14ac:dyDescent="0.3"/>
    <row r="4575" customFormat="1" x14ac:dyDescent="0.3"/>
    <row r="4576" customFormat="1" x14ac:dyDescent="0.3"/>
    <row r="4577" customFormat="1" x14ac:dyDescent="0.3"/>
    <row r="4578" customFormat="1" x14ac:dyDescent="0.3"/>
    <row r="4579" customFormat="1" x14ac:dyDescent="0.3"/>
    <row r="4580" customFormat="1" x14ac:dyDescent="0.3"/>
    <row r="4581" customFormat="1" x14ac:dyDescent="0.3"/>
    <row r="4582" customFormat="1" x14ac:dyDescent="0.3"/>
    <row r="4583" customFormat="1" x14ac:dyDescent="0.3"/>
    <row r="4584" customFormat="1" x14ac:dyDescent="0.3"/>
    <row r="4585" customFormat="1" x14ac:dyDescent="0.3"/>
    <row r="4586" customFormat="1" x14ac:dyDescent="0.3"/>
    <row r="4587" customFormat="1" x14ac:dyDescent="0.3"/>
    <row r="4588" customFormat="1" x14ac:dyDescent="0.3"/>
    <row r="4589" customFormat="1" x14ac:dyDescent="0.3"/>
    <row r="4590" customFormat="1" x14ac:dyDescent="0.3"/>
    <row r="4591" customFormat="1" x14ac:dyDescent="0.3"/>
    <row r="4592" customFormat="1" x14ac:dyDescent="0.3"/>
    <row r="4593" customFormat="1" x14ac:dyDescent="0.3"/>
    <row r="4594" customFormat="1" x14ac:dyDescent="0.3"/>
    <row r="4595" customFormat="1" x14ac:dyDescent="0.3"/>
    <row r="4596" customFormat="1" x14ac:dyDescent="0.3"/>
    <row r="4597" customFormat="1" x14ac:dyDescent="0.3"/>
    <row r="4598" customFormat="1" x14ac:dyDescent="0.3"/>
    <row r="4599" customFormat="1" x14ac:dyDescent="0.3"/>
    <row r="4600" customFormat="1" x14ac:dyDescent="0.3"/>
    <row r="4601" customFormat="1" x14ac:dyDescent="0.3"/>
    <row r="4602" customFormat="1" x14ac:dyDescent="0.3"/>
    <row r="4603" customFormat="1" x14ac:dyDescent="0.3"/>
    <row r="4604" customFormat="1" x14ac:dyDescent="0.3"/>
    <row r="4605" customFormat="1" x14ac:dyDescent="0.3"/>
    <row r="4606" customFormat="1" x14ac:dyDescent="0.3"/>
    <row r="4607" customFormat="1" x14ac:dyDescent="0.3"/>
    <row r="4608" customFormat="1" x14ac:dyDescent="0.3"/>
    <row r="4609" customFormat="1" x14ac:dyDescent="0.3"/>
    <row r="4610" customFormat="1" x14ac:dyDescent="0.3"/>
    <row r="4611" customFormat="1" x14ac:dyDescent="0.3"/>
    <row r="4612" customFormat="1" x14ac:dyDescent="0.3"/>
    <row r="4613" customFormat="1" x14ac:dyDescent="0.3"/>
    <row r="4614" customFormat="1" x14ac:dyDescent="0.3"/>
    <row r="4615" customFormat="1" x14ac:dyDescent="0.3"/>
    <row r="4616" customFormat="1" x14ac:dyDescent="0.3"/>
    <row r="4617" customFormat="1" x14ac:dyDescent="0.3"/>
    <row r="4618" customFormat="1" x14ac:dyDescent="0.3"/>
    <row r="4619" customFormat="1" x14ac:dyDescent="0.3"/>
    <row r="4620" customFormat="1" x14ac:dyDescent="0.3"/>
    <row r="4621" customFormat="1" x14ac:dyDescent="0.3"/>
    <row r="4622" customFormat="1" x14ac:dyDescent="0.3"/>
    <row r="4623" customFormat="1" x14ac:dyDescent="0.3"/>
    <row r="4624" customFormat="1" x14ac:dyDescent="0.3"/>
    <row r="4625" customFormat="1" x14ac:dyDescent="0.3"/>
    <row r="4626" customFormat="1" x14ac:dyDescent="0.3"/>
    <row r="4627" customFormat="1" x14ac:dyDescent="0.3"/>
    <row r="4628" customFormat="1" x14ac:dyDescent="0.3"/>
    <row r="4629" customFormat="1" x14ac:dyDescent="0.3"/>
    <row r="4630" customFormat="1" x14ac:dyDescent="0.3"/>
    <row r="4631" customFormat="1" x14ac:dyDescent="0.3"/>
    <row r="4632" customFormat="1" x14ac:dyDescent="0.3"/>
    <row r="4633" customFormat="1" x14ac:dyDescent="0.3"/>
    <row r="4634" customFormat="1" x14ac:dyDescent="0.3"/>
    <row r="4635" customFormat="1" x14ac:dyDescent="0.3"/>
    <row r="4636" customFormat="1" x14ac:dyDescent="0.3"/>
    <row r="4637" customFormat="1" x14ac:dyDescent="0.3"/>
    <row r="4638" customFormat="1" x14ac:dyDescent="0.3"/>
    <row r="4639" customFormat="1" x14ac:dyDescent="0.3"/>
    <row r="4640" customFormat="1" x14ac:dyDescent="0.3"/>
    <row r="4641" customFormat="1" x14ac:dyDescent="0.3"/>
    <row r="4642" customFormat="1" x14ac:dyDescent="0.3"/>
    <row r="4643" customFormat="1" x14ac:dyDescent="0.3"/>
    <row r="4644" customFormat="1" x14ac:dyDescent="0.3"/>
    <row r="4645" customFormat="1" x14ac:dyDescent="0.3"/>
    <row r="4646" customFormat="1" x14ac:dyDescent="0.3"/>
    <row r="4647" customFormat="1" x14ac:dyDescent="0.3"/>
    <row r="4648" customFormat="1" x14ac:dyDescent="0.3"/>
    <row r="4649" customFormat="1" x14ac:dyDescent="0.3"/>
    <row r="4650" customFormat="1" x14ac:dyDescent="0.3"/>
    <row r="4651" customFormat="1" x14ac:dyDescent="0.3"/>
    <row r="4652" customFormat="1" x14ac:dyDescent="0.3"/>
    <row r="4653" customFormat="1" x14ac:dyDescent="0.3"/>
    <row r="4654" customFormat="1" x14ac:dyDescent="0.3"/>
    <row r="4655" customFormat="1" x14ac:dyDescent="0.3"/>
    <row r="4656" customFormat="1" x14ac:dyDescent="0.3"/>
    <row r="4657" customFormat="1" x14ac:dyDescent="0.3"/>
    <row r="4658" customFormat="1" x14ac:dyDescent="0.3"/>
    <row r="4659" customFormat="1" x14ac:dyDescent="0.3"/>
    <row r="4660" customFormat="1" x14ac:dyDescent="0.3"/>
    <row r="4661" customFormat="1" x14ac:dyDescent="0.3"/>
    <row r="4662" customFormat="1" x14ac:dyDescent="0.3"/>
    <row r="4663" customFormat="1" x14ac:dyDescent="0.3"/>
    <row r="4664" customFormat="1" x14ac:dyDescent="0.3"/>
    <row r="4665" customFormat="1" x14ac:dyDescent="0.3"/>
    <row r="4666" customFormat="1" x14ac:dyDescent="0.3"/>
    <row r="4667" customFormat="1" x14ac:dyDescent="0.3"/>
    <row r="4668" customFormat="1" x14ac:dyDescent="0.3"/>
    <row r="4669" customFormat="1" x14ac:dyDescent="0.3"/>
    <row r="4670" customFormat="1" x14ac:dyDescent="0.3"/>
    <row r="4671" customFormat="1" x14ac:dyDescent="0.3"/>
    <row r="4672" customFormat="1" x14ac:dyDescent="0.3"/>
    <row r="4673" customFormat="1" x14ac:dyDescent="0.3"/>
    <row r="4674" customFormat="1" x14ac:dyDescent="0.3"/>
    <row r="4675" customFormat="1" x14ac:dyDescent="0.3"/>
    <row r="4676" customFormat="1" x14ac:dyDescent="0.3"/>
    <row r="4677" customFormat="1" x14ac:dyDescent="0.3"/>
    <row r="4678" customFormat="1" x14ac:dyDescent="0.3"/>
    <row r="4679" customFormat="1" x14ac:dyDescent="0.3"/>
    <row r="4680" customFormat="1" x14ac:dyDescent="0.3"/>
    <row r="4681" customFormat="1" x14ac:dyDescent="0.3"/>
    <row r="4682" customFormat="1" x14ac:dyDescent="0.3"/>
    <row r="4683" customFormat="1" x14ac:dyDescent="0.3"/>
    <row r="4684" customFormat="1" x14ac:dyDescent="0.3"/>
    <row r="4685" customFormat="1" x14ac:dyDescent="0.3"/>
    <row r="4686" customFormat="1" x14ac:dyDescent="0.3"/>
    <row r="4687" customFormat="1" x14ac:dyDescent="0.3"/>
    <row r="4688" customFormat="1" x14ac:dyDescent="0.3"/>
    <row r="4689" customFormat="1" x14ac:dyDescent="0.3"/>
    <row r="4690" customFormat="1" x14ac:dyDescent="0.3"/>
    <row r="4691" customFormat="1" x14ac:dyDescent="0.3"/>
    <row r="4692" customFormat="1" x14ac:dyDescent="0.3"/>
    <row r="4693" customFormat="1" x14ac:dyDescent="0.3"/>
    <row r="4694" customFormat="1" x14ac:dyDescent="0.3"/>
    <row r="4695" customFormat="1" x14ac:dyDescent="0.3"/>
    <row r="4696" customFormat="1" x14ac:dyDescent="0.3"/>
    <row r="4697" customFormat="1" x14ac:dyDescent="0.3"/>
    <row r="4698" customFormat="1" x14ac:dyDescent="0.3"/>
    <row r="4699" customFormat="1" x14ac:dyDescent="0.3"/>
    <row r="4700" customFormat="1" x14ac:dyDescent="0.3"/>
    <row r="4701" customFormat="1" x14ac:dyDescent="0.3"/>
    <row r="4702" customFormat="1" x14ac:dyDescent="0.3"/>
    <row r="4703" customFormat="1" x14ac:dyDescent="0.3"/>
    <row r="4704" customFormat="1" x14ac:dyDescent="0.3"/>
    <row r="4705" customFormat="1" x14ac:dyDescent="0.3"/>
    <row r="4706" customFormat="1" x14ac:dyDescent="0.3"/>
    <row r="4707" customFormat="1" x14ac:dyDescent="0.3"/>
    <row r="4708" customFormat="1" x14ac:dyDescent="0.3"/>
    <row r="4709" customFormat="1" x14ac:dyDescent="0.3"/>
    <row r="4710" customFormat="1" x14ac:dyDescent="0.3"/>
    <row r="4711" customFormat="1" x14ac:dyDescent="0.3"/>
    <row r="4712" customFormat="1" x14ac:dyDescent="0.3"/>
    <row r="4713" customFormat="1" x14ac:dyDescent="0.3"/>
    <row r="4714" customFormat="1" x14ac:dyDescent="0.3"/>
    <row r="4715" customFormat="1" x14ac:dyDescent="0.3"/>
    <row r="4716" customFormat="1" x14ac:dyDescent="0.3"/>
    <row r="4717" customFormat="1" x14ac:dyDescent="0.3"/>
    <row r="4718" customFormat="1" x14ac:dyDescent="0.3"/>
    <row r="4719" customFormat="1" x14ac:dyDescent="0.3"/>
    <row r="4720" customFormat="1" x14ac:dyDescent="0.3"/>
    <row r="4721" customFormat="1" x14ac:dyDescent="0.3"/>
    <row r="4722" customFormat="1" x14ac:dyDescent="0.3"/>
    <row r="4723" customFormat="1" x14ac:dyDescent="0.3"/>
    <row r="4724" customFormat="1" x14ac:dyDescent="0.3"/>
    <row r="4725" customFormat="1" x14ac:dyDescent="0.3"/>
    <row r="4726" customFormat="1" x14ac:dyDescent="0.3"/>
    <row r="4727" customFormat="1" x14ac:dyDescent="0.3"/>
    <row r="4728" customFormat="1" x14ac:dyDescent="0.3"/>
    <row r="4729" customFormat="1" x14ac:dyDescent="0.3"/>
    <row r="4730" customFormat="1" x14ac:dyDescent="0.3"/>
    <row r="4731" customFormat="1" x14ac:dyDescent="0.3"/>
    <row r="4732" customFormat="1" x14ac:dyDescent="0.3"/>
    <row r="4733" customFormat="1" x14ac:dyDescent="0.3"/>
    <row r="4734" customFormat="1" x14ac:dyDescent="0.3"/>
    <row r="4735" customFormat="1" x14ac:dyDescent="0.3"/>
    <row r="4736" customFormat="1" x14ac:dyDescent="0.3"/>
    <row r="4737" customFormat="1" x14ac:dyDescent="0.3"/>
    <row r="4738" customFormat="1" x14ac:dyDescent="0.3"/>
    <row r="4739" customFormat="1" x14ac:dyDescent="0.3"/>
    <row r="4740" customFormat="1" x14ac:dyDescent="0.3"/>
    <row r="4741" customFormat="1" x14ac:dyDescent="0.3"/>
    <row r="4742" customFormat="1" x14ac:dyDescent="0.3"/>
    <row r="4743" customFormat="1" x14ac:dyDescent="0.3"/>
    <row r="4744" customFormat="1" x14ac:dyDescent="0.3"/>
    <row r="4745" customFormat="1" x14ac:dyDescent="0.3"/>
    <row r="4746" customFormat="1" x14ac:dyDescent="0.3"/>
    <row r="4747" customFormat="1" x14ac:dyDescent="0.3"/>
    <row r="4748" customFormat="1" x14ac:dyDescent="0.3"/>
    <row r="4749" customFormat="1" x14ac:dyDescent="0.3"/>
    <row r="4750" customFormat="1" x14ac:dyDescent="0.3"/>
    <row r="4751" customFormat="1" x14ac:dyDescent="0.3"/>
    <row r="4752" customFormat="1" x14ac:dyDescent="0.3"/>
    <row r="4753" customFormat="1" x14ac:dyDescent="0.3"/>
    <row r="4754" customFormat="1" x14ac:dyDescent="0.3"/>
    <row r="4755" customFormat="1" x14ac:dyDescent="0.3"/>
    <row r="4756" customFormat="1" x14ac:dyDescent="0.3"/>
    <row r="4757" customFormat="1" x14ac:dyDescent="0.3"/>
    <row r="4758" customFormat="1" x14ac:dyDescent="0.3"/>
    <row r="4759" customFormat="1" x14ac:dyDescent="0.3"/>
    <row r="4760" customFormat="1" x14ac:dyDescent="0.3"/>
    <row r="4761" customFormat="1" x14ac:dyDescent="0.3"/>
    <row r="4762" customFormat="1" x14ac:dyDescent="0.3"/>
    <row r="4763" customFormat="1" x14ac:dyDescent="0.3"/>
    <row r="4764" customFormat="1" x14ac:dyDescent="0.3"/>
    <row r="4765" customFormat="1" x14ac:dyDescent="0.3"/>
    <row r="4766" customFormat="1" x14ac:dyDescent="0.3"/>
    <row r="4767" customFormat="1" x14ac:dyDescent="0.3"/>
    <row r="4768" customFormat="1" x14ac:dyDescent="0.3"/>
    <row r="4769" customFormat="1" x14ac:dyDescent="0.3"/>
    <row r="4770" customFormat="1" x14ac:dyDescent="0.3"/>
    <row r="4771" customFormat="1" x14ac:dyDescent="0.3"/>
    <row r="4772" customFormat="1" x14ac:dyDescent="0.3"/>
    <row r="4773" customFormat="1" x14ac:dyDescent="0.3"/>
    <row r="4774" customFormat="1" x14ac:dyDescent="0.3"/>
    <row r="4775" customFormat="1" x14ac:dyDescent="0.3"/>
    <row r="4776" customFormat="1" x14ac:dyDescent="0.3"/>
    <row r="4777" customFormat="1" x14ac:dyDescent="0.3"/>
    <row r="4778" customFormat="1" x14ac:dyDescent="0.3"/>
    <row r="4779" customFormat="1" x14ac:dyDescent="0.3"/>
    <row r="4780" customFormat="1" x14ac:dyDescent="0.3"/>
    <row r="4781" customFormat="1" x14ac:dyDescent="0.3"/>
    <row r="4782" customFormat="1" x14ac:dyDescent="0.3"/>
    <row r="4783" customFormat="1" x14ac:dyDescent="0.3"/>
    <row r="4784" customFormat="1" x14ac:dyDescent="0.3"/>
    <row r="4785" customFormat="1" x14ac:dyDescent="0.3"/>
    <row r="4786" customFormat="1" x14ac:dyDescent="0.3"/>
    <row r="4787" customFormat="1" x14ac:dyDescent="0.3"/>
    <row r="4788" customFormat="1" x14ac:dyDescent="0.3"/>
    <row r="4789" customFormat="1" x14ac:dyDescent="0.3"/>
    <row r="4790" customFormat="1" x14ac:dyDescent="0.3"/>
    <row r="4791" customFormat="1" x14ac:dyDescent="0.3"/>
    <row r="4792" customFormat="1" x14ac:dyDescent="0.3"/>
    <row r="4793" customFormat="1" x14ac:dyDescent="0.3"/>
    <row r="4794" customFormat="1" x14ac:dyDescent="0.3"/>
    <row r="4795" customFormat="1" x14ac:dyDescent="0.3"/>
    <row r="4796" customFormat="1" x14ac:dyDescent="0.3"/>
    <row r="4797" customFormat="1" x14ac:dyDescent="0.3"/>
    <row r="4798" customFormat="1" x14ac:dyDescent="0.3"/>
    <row r="4799" customFormat="1" x14ac:dyDescent="0.3"/>
    <row r="4800" customFormat="1" x14ac:dyDescent="0.3"/>
    <row r="4801" customFormat="1" x14ac:dyDescent="0.3"/>
    <row r="4802" customFormat="1" x14ac:dyDescent="0.3"/>
    <row r="4803" customFormat="1" x14ac:dyDescent="0.3"/>
    <row r="4804" customFormat="1" x14ac:dyDescent="0.3"/>
    <row r="4805" customFormat="1" x14ac:dyDescent="0.3"/>
    <row r="4806" customFormat="1" x14ac:dyDescent="0.3"/>
    <row r="4807" customFormat="1" x14ac:dyDescent="0.3"/>
    <row r="4808" customFormat="1" x14ac:dyDescent="0.3"/>
    <row r="4809" customFormat="1" x14ac:dyDescent="0.3"/>
    <row r="4810" customFormat="1" x14ac:dyDescent="0.3"/>
    <row r="4811" customFormat="1" x14ac:dyDescent="0.3"/>
    <row r="4812" customFormat="1" x14ac:dyDescent="0.3"/>
    <row r="4813" customFormat="1" x14ac:dyDescent="0.3"/>
    <row r="4814" customFormat="1" x14ac:dyDescent="0.3"/>
    <row r="4815" customFormat="1" x14ac:dyDescent="0.3"/>
    <row r="4816" customFormat="1" x14ac:dyDescent="0.3"/>
    <row r="4817" customFormat="1" x14ac:dyDescent="0.3"/>
    <row r="4818" customFormat="1" x14ac:dyDescent="0.3"/>
    <row r="4819" customFormat="1" x14ac:dyDescent="0.3"/>
    <row r="4820" customFormat="1" x14ac:dyDescent="0.3"/>
    <row r="4821" customFormat="1" x14ac:dyDescent="0.3"/>
    <row r="4822" customFormat="1" x14ac:dyDescent="0.3"/>
    <row r="4823" customFormat="1" x14ac:dyDescent="0.3"/>
    <row r="4824" customFormat="1" x14ac:dyDescent="0.3"/>
    <row r="4825" customFormat="1" x14ac:dyDescent="0.3"/>
    <row r="4826" customFormat="1" x14ac:dyDescent="0.3"/>
    <row r="4827" customFormat="1" x14ac:dyDescent="0.3"/>
    <row r="4828" customFormat="1" x14ac:dyDescent="0.3"/>
    <row r="4829" customFormat="1" x14ac:dyDescent="0.3"/>
    <row r="4830" customFormat="1" x14ac:dyDescent="0.3"/>
    <row r="4831" customFormat="1" x14ac:dyDescent="0.3"/>
    <row r="4832" customFormat="1" x14ac:dyDescent="0.3"/>
    <row r="4833" customFormat="1" x14ac:dyDescent="0.3"/>
    <row r="4834" customFormat="1" x14ac:dyDescent="0.3"/>
    <row r="4835" customFormat="1" x14ac:dyDescent="0.3"/>
    <row r="4836" customFormat="1" x14ac:dyDescent="0.3"/>
    <row r="4837" customFormat="1" x14ac:dyDescent="0.3"/>
    <row r="4838" customFormat="1" x14ac:dyDescent="0.3"/>
    <row r="4839" customFormat="1" x14ac:dyDescent="0.3"/>
    <row r="4840" customFormat="1" x14ac:dyDescent="0.3"/>
    <row r="4841" customFormat="1" x14ac:dyDescent="0.3"/>
    <row r="4842" customFormat="1" x14ac:dyDescent="0.3"/>
    <row r="4843" customFormat="1" x14ac:dyDescent="0.3"/>
    <row r="4844" customFormat="1" x14ac:dyDescent="0.3"/>
    <row r="4845" customFormat="1" x14ac:dyDescent="0.3"/>
    <row r="4846" customFormat="1" x14ac:dyDescent="0.3"/>
    <row r="4847" customFormat="1" x14ac:dyDescent="0.3"/>
    <row r="4848" customFormat="1" x14ac:dyDescent="0.3"/>
    <row r="4849" customFormat="1" x14ac:dyDescent="0.3"/>
    <row r="4850" customFormat="1" x14ac:dyDescent="0.3"/>
    <row r="4851" customFormat="1" x14ac:dyDescent="0.3"/>
    <row r="4852" customFormat="1" x14ac:dyDescent="0.3"/>
    <row r="4853" customFormat="1" x14ac:dyDescent="0.3"/>
    <row r="4854" customFormat="1" x14ac:dyDescent="0.3"/>
    <row r="4855" customFormat="1" x14ac:dyDescent="0.3"/>
    <row r="4856" customFormat="1" x14ac:dyDescent="0.3"/>
    <row r="4857" customFormat="1" x14ac:dyDescent="0.3"/>
    <row r="4858" customFormat="1" x14ac:dyDescent="0.3"/>
    <row r="4859" customFormat="1" x14ac:dyDescent="0.3"/>
    <row r="4860" customFormat="1" x14ac:dyDescent="0.3"/>
    <row r="4861" customFormat="1" x14ac:dyDescent="0.3"/>
    <row r="4862" customFormat="1" x14ac:dyDescent="0.3"/>
    <row r="4863" customFormat="1" x14ac:dyDescent="0.3"/>
    <row r="4864" customFormat="1" x14ac:dyDescent="0.3"/>
    <row r="4865" customFormat="1" x14ac:dyDescent="0.3"/>
    <row r="4866" customFormat="1" x14ac:dyDescent="0.3"/>
    <row r="4867" customFormat="1" x14ac:dyDescent="0.3"/>
    <row r="4868" customFormat="1" x14ac:dyDescent="0.3"/>
    <row r="4869" customFormat="1" x14ac:dyDescent="0.3"/>
    <row r="4870" customFormat="1" x14ac:dyDescent="0.3"/>
    <row r="4871" customFormat="1" x14ac:dyDescent="0.3"/>
    <row r="4872" customFormat="1" x14ac:dyDescent="0.3"/>
    <row r="4873" customFormat="1" x14ac:dyDescent="0.3"/>
    <row r="4874" customFormat="1" x14ac:dyDescent="0.3"/>
    <row r="4875" customFormat="1" x14ac:dyDescent="0.3"/>
    <row r="4876" customFormat="1" x14ac:dyDescent="0.3"/>
    <row r="4877" customFormat="1" x14ac:dyDescent="0.3"/>
    <row r="4878" customFormat="1" x14ac:dyDescent="0.3"/>
    <row r="4879" customFormat="1" x14ac:dyDescent="0.3"/>
    <row r="4880" customFormat="1" x14ac:dyDescent="0.3"/>
    <row r="4881" customFormat="1" x14ac:dyDescent="0.3"/>
    <row r="4882" customFormat="1" x14ac:dyDescent="0.3"/>
    <row r="4883" customFormat="1" x14ac:dyDescent="0.3"/>
    <row r="4884" customFormat="1" x14ac:dyDescent="0.3"/>
    <row r="4885" customFormat="1" x14ac:dyDescent="0.3"/>
    <row r="4886" customFormat="1" x14ac:dyDescent="0.3"/>
    <row r="4887" customFormat="1" x14ac:dyDescent="0.3"/>
    <row r="4888" customFormat="1" x14ac:dyDescent="0.3"/>
    <row r="4889" customFormat="1" x14ac:dyDescent="0.3"/>
    <row r="4890" customFormat="1" x14ac:dyDescent="0.3"/>
    <row r="4891" customFormat="1" x14ac:dyDescent="0.3"/>
    <row r="4892" customFormat="1" x14ac:dyDescent="0.3"/>
    <row r="4893" customFormat="1" x14ac:dyDescent="0.3"/>
    <row r="4894" customFormat="1" x14ac:dyDescent="0.3"/>
    <row r="4895" customFormat="1" x14ac:dyDescent="0.3"/>
    <row r="4896" customFormat="1" x14ac:dyDescent="0.3"/>
    <row r="4897" customFormat="1" x14ac:dyDescent="0.3"/>
    <row r="4898" customFormat="1" x14ac:dyDescent="0.3"/>
    <row r="4899" customFormat="1" x14ac:dyDescent="0.3"/>
    <row r="4900" customFormat="1" x14ac:dyDescent="0.3"/>
    <row r="4901" customFormat="1" x14ac:dyDescent="0.3"/>
    <row r="4902" customFormat="1" x14ac:dyDescent="0.3"/>
    <row r="4903" customFormat="1" x14ac:dyDescent="0.3"/>
    <row r="4904" customFormat="1" x14ac:dyDescent="0.3"/>
    <row r="4905" customFormat="1" x14ac:dyDescent="0.3"/>
    <row r="4906" customFormat="1" x14ac:dyDescent="0.3"/>
    <row r="4907" customFormat="1" x14ac:dyDescent="0.3"/>
    <row r="4908" customFormat="1" x14ac:dyDescent="0.3"/>
    <row r="4909" customFormat="1" x14ac:dyDescent="0.3"/>
    <row r="4910" customFormat="1" x14ac:dyDescent="0.3"/>
    <row r="4911" customFormat="1" x14ac:dyDescent="0.3"/>
    <row r="4912" customFormat="1" x14ac:dyDescent="0.3"/>
    <row r="4913" customFormat="1" x14ac:dyDescent="0.3"/>
    <row r="4914" customFormat="1" x14ac:dyDescent="0.3"/>
    <row r="4915" customFormat="1" x14ac:dyDescent="0.3"/>
    <row r="4916" customFormat="1" x14ac:dyDescent="0.3"/>
    <row r="4917" customFormat="1" x14ac:dyDescent="0.3"/>
    <row r="4918" customFormat="1" x14ac:dyDescent="0.3"/>
    <row r="4919" customFormat="1" x14ac:dyDescent="0.3"/>
    <row r="4920" customFormat="1" x14ac:dyDescent="0.3"/>
    <row r="4921" customFormat="1" x14ac:dyDescent="0.3"/>
    <row r="4922" customFormat="1" x14ac:dyDescent="0.3"/>
    <row r="4923" customFormat="1" x14ac:dyDescent="0.3"/>
    <row r="4924" customFormat="1" x14ac:dyDescent="0.3"/>
    <row r="4925" customFormat="1" x14ac:dyDescent="0.3"/>
    <row r="4926" customFormat="1" x14ac:dyDescent="0.3"/>
    <row r="4927" customFormat="1" x14ac:dyDescent="0.3"/>
    <row r="4928" customFormat="1" x14ac:dyDescent="0.3"/>
    <row r="4929" customFormat="1" x14ac:dyDescent="0.3"/>
    <row r="4930" customFormat="1" x14ac:dyDescent="0.3"/>
    <row r="4931" customFormat="1" x14ac:dyDescent="0.3"/>
    <row r="4932" customFormat="1" x14ac:dyDescent="0.3"/>
    <row r="4933" customFormat="1" x14ac:dyDescent="0.3"/>
    <row r="4934" customFormat="1" x14ac:dyDescent="0.3"/>
    <row r="4935" customFormat="1" x14ac:dyDescent="0.3"/>
    <row r="4936" customFormat="1" x14ac:dyDescent="0.3"/>
    <row r="4937" customFormat="1" x14ac:dyDescent="0.3"/>
    <row r="4938" customFormat="1" x14ac:dyDescent="0.3"/>
    <row r="4939" customFormat="1" x14ac:dyDescent="0.3"/>
    <row r="4940" customFormat="1" x14ac:dyDescent="0.3"/>
    <row r="4941" customFormat="1" x14ac:dyDescent="0.3"/>
    <row r="4942" customFormat="1" x14ac:dyDescent="0.3"/>
    <row r="4943" customFormat="1" x14ac:dyDescent="0.3"/>
    <row r="4944" customFormat="1" x14ac:dyDescent="0.3"/>
    <row r="4945" customFormat="1" x14ac:dyDescent="0.3"/>
    <row r="4946" customFormat="1" x14ac:dyDescent="0.3"/>
    <row r="4947" customFormat="1" x14ac:dyDescent="0.3"/>
    <row r="4948" customFormat="1" x14ac:dyDescent="0.3"/>
    <row r="4949" customFormat="1" x14ac:dyDescent="0.3"/>
    <row r="4950" customFormat="1" x14ac:dyDescent="0.3"/>
    <row r="4951" customFormat="1" x14ac:dyDescent="0.3"/>
    <row r="4952" customFormat="1" x14ac:dyDescent="0.3"/>
    <row r="4953" customFormat="1" x14ac:dyDescent="0.3"/>
    <row r="4954" customFormat="1" x14ac:dyDescent="0.3"/>
    <row r="4955" customFormat="1" x14ac:dyDescent="0.3"/>
    <row r="4956" customFormat="1" x14ac:dyDescent="0.3"/>
    <row r="4957" customFormat="1" x14ac:dyDescent="0.3"/>
    <row r="4958" customFormat="1" x14ac:dyDescent="0.3"/>
    <row r="4959" customFormat="1" x14ac:dyDescent="0.3"/>
    <row r="4960" customFormat="1" x14ac:dyDescent="0.3"/>
    <row r="4961" customFormat="1" x14ac:dyDescent="0.3"/>
    <row r="4962" customFormat="1" x14ac:dyDescent="0.3"/>
    <row r="4963" customFormat="1" x14ac:dyDescent="0.3"/>
    <row r="4964" customFormat="1" x14ac:dyDescent="0.3"/>
    <row r="4965" customFormat="1" x14ac:dyDescent="0.3"/>
    <row r="4966" customFormat="1" x14ac:dyDescent="0.3"/>
    <row r="4967" customFormat="1" x14ac:dyDescent="0.3"/>
    <row r="4968" customFormat="1" x14ac:dyDescent="0.3"/>
    <row r="4969" customFormat="1" x14ac:dyDescent="0.3"/>
    <row r="4970" customFormat="1" x14ac:dyDescent="0.3"/>
    <row r="4971" customFormat="1" x14ac:dyDescent="0.3"/>
    <row r="4972" customFormat="1" x14ac:dyDescent="0.3"/>
    <row r="4973" customFormat="1" x14ac:dyDescent="0.3"/>
    <row r="4974" customFormat="1" x14ac:dyDescent="0.3"/>
    <row r="4975" customFormat="1" x14ac:dyDescent="0.3"/>
    <row r="4976" customFormat="1" x14ac:dyDescent="0.3"/>
    <row r="4977" customFormat="1" x14ac:dyDescent="0.3"/>
    <row r="4978" customFormat="1" x14ac:dyDescent="0.3"/>
    <row r="4979" customFormat="1" x14ac:dyDescent="0.3"/>
    <row r="4980" customFormat="1" x14ac:dyDescent="0.3"/>
    <row r="4981" customFormat="1" x14ac:dyDescent="0.3"/>
    <row r="4982" customFormat="1" x14ac:dyDescent="0.3"/>
    <row r="4983" customFormat="1" x14ac:dyDescent="0.3"/>
    <row r="4984" customFormat="1" x14ac:dyDescent="0.3"/>
    <row r="4985" customFormat="1" x14ac:dyDescent="0.3"/>
    <row r="4986" customFormat="1" x14ac:dyDescent="0.3"/>
    <row r="4987" customFormat="1" x14ac:dyDescent="0.3"/>
    <row r="4988" customFormat="1" x14ac:dyDescent="0.3"/>
    <row r="4989" customFormat="1" x14ac:dyDescent="0.3"/>
    <row r="4990" customFormat="1" x14ac:dyDescent="0.3"/>
    <row r="4991" customFormat="1" x14ac:dyDescent="0.3"/>
    <row r="4992" customFormat="1" x14ac:dyDescent="0.3"/>
    <row r="4993" customFormat="1" x14ac:dyDescent="0.3"/>
    <row r="4994" customFormat="1" x14ac:dyDescent="0.3"/>
    <row r="4995" customFormat="1" x14ac:dyDescent="0.3"/>
    <row r="4996" customFormat="1" x14ac:dyDescent="0.3"/>
    <row r="4997" customFormat="1" x14ac:dyDescent="0.3"/>
    <row r="4998" customFormat="1" x14ac:dyDescent="0.3"/>
    <row r="4999" customFormat="1" x14ac:dyDescent="0.3"/>
    <row r="5000" customFormat="1" x14ac:dyDescent="0.3"/>
    <row r="5001" customFormat="1" x14ac:dyDescent="0.3"/>
    <row r="5002" customFormat="1" x14ac:dyDescent="0.3"/>
    <row r="5003" customFormat="1" x14ac:dyDescent="0.3"/>
    <row r="5004" customFormat="1" x14ac:dyDescent="0.3"/>
    <row r="5005" customFormat="1" x14ac:dyDescent="0.3"/>
    <row r="5006" customFormat="1" x14ac:dyDescent="0.3"/>
    <row r="5007" customFormat="1" x14ac:dyDescent="0.3"/>
    <row r="5008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</sheetData>
  <sheetProtection algorithmName="SHA-512" hashValue="Q+9pDX1kZfZBmjg7zVQJpt+wOFyBowF1gjBXVwhnuXXnbye0XvmHlFkCQr1kbx2vnHuH5qDAXPxtp0lAbS226A==" saltValue="TaL0nfUVPehsuIAjP19ixw==" spinCount="100000" sheet="1" objects="1" scenarios="1"/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8"/>
  <dimension ref="A1:H28"/>
  <sheetViews>
    <sheetView zoomScale="125" workbookViewId="0">
      <selection activeCell="E9" sqref="E9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.15234375" customWidth="1"/>
    <col min="6" max="6" width="19.84375" customWidth="1"/>
    <col min="7" max="7" width="20" customWidth="1"/>
    <col min="8" max="8" width="20.4609375" customWidth="1"/>
  </cols>
  <sheetData>
    <row r="1" spans="1:8" x14ac:dyDescent="0.3">
      <c r="A1" s="3" t="s">
        <v>138</v>
      </c>
      <c r="D1" s="1"/>
    </row>
    <row r="2" spans="1:8" x14ac:dyDescent="0.3">
      <c r="A2" s="9"/>
      <c r="B2" s="9"/>
      <c r="C2" s="9"/>
      <c r="D2" s="9"/>
      <c r="E2" s="9"/>
      <c r="F2" s="9"/>
      <c r="G2" s="9"/>
      <c r="H2" s="9"/>
    </row>
    <row r="3" spans="1:8" x14ac:dyDescent="0.3">
      <c r="A3" s="4" t="s">
        <v>286</v>
      </c>
      <c r="B3" s="5"/>
      <c r="C3" s="5"/>
      <c r="D3" s="6"/>
      <c r="E3" s="5"/>
      <c r="F3" s="5"/>
      <c r="G3" s="5"/>
      <c r="H3" s="5"/>
    </row>
    <row r="4" spans="1:8" x14ac:dyDescent="0.3">
      <c r="D4" s="7"/>
      <c r="E4" s="8" t="s">
        <v>289</v>
      </c>
    </row>
    <row r="5" spans="1:8" x14ac:dyDescent="0.3">
      <c r="D5" s="7"/>
    </row>
    <row r="6" spans="1:8" x14ac:dyDescent="0.3">
      <c r="A6" s="12" t="s">
        <v>78</v>
      </c>
      <c r="D6" s="7"/>
      <c r="E6" s="11" t="s">
        <v>104</v>
      </c>
      <c r="F6" s="11" t="s">
        <v>143</v>
      </c>
      <c r="G6" s="11" t="s">
        <v>230</v>
      </c>
      <c r="H6" s="11" t="s">
        <v>140</v>
      </c>
    </row>
    <row r="7" spans="1:8" x14ac:dyDescent="0.3">
      <c r="A7" t="s">
        <v>290</v>
      </c>
      <c r="D7" s="7"/>
      <c r="E7" s="13">
        <v>0</v>
      </c>
      <c r="F7" s="13">
        <v>300</v>
      </c>
      <c r="G7" s="13">
        <v>1750</v>
      </c>
      <c r="H7" s="13">
        <v>1750</v>
      </c>
    </row>
    <row r="8" spans="1:8" x14ac:dyDescent="0.3">
      <c r="A8" t="s">
        <v>266</v>
      </c>
      <c r="D8" s="7"/>
      <c r="E8">
        <v>28.8508</v>
      </c>
      <c r="F8">
        <v>28.8508</v>
      </c>
      <c r="G8">
        <v>22.66</v>
      </c>
      <c r="H8">
        <v>24.035</v>
      </c>
    </row>
    <row r="9" spans="1:8" x14ac:dyDescent="0.3">
      <c r="A9" t="s">
        <v>268</v>
      </c>
      <c r="D9" s="7"/>
      <c r="E9">
        <v>0</v>
      </c>
      <c r="F9">
        <v>27.394400000000001</v>
      </c>
      <c r="G9">
        <v>32.01</v>
      </c>
      <c r="H9">
        <v>26.609000000000002</v>
      </c>
    </row>
    <row r="10" spans="1:8" x14ac:dyDescent="0.3">
      <c r="A10" t="s">
        <v>269</v>
      </c>
      <c r="D10" s="7"/>
      <c r="E10">
        <v>107.8044</v>
      </c>
      <c r="F10">
        <v>72.277699999999996</v>
      </c>
      <c r="G10">
        <v>52.8</v>
      </c>
      <c r="H10">
        <v>65.834999999999994</v>
      </c>
    </row>
    <row r="11" spans="1:8" x14ac:dyDescent="0.3">
      <c r="D11" s="7"/>
    </row>
    <row r="12" spans="1:8" x14ac:dyDescent="0.3">
      <c r="D12" s="7"/>
    </row>
    <row r="13" spans="1:8" x14ac:dyDescent="0.3">
      <c r="A13" s="12" t="s">
        <v>270</v>
      </c>
      <c r="D13" s="7"/>
      <c r="E13" s="11" t="s">
        <v>104</v>
      </c>
      <c r="F13" s="11" t="s">
        <v>143</v>
      </c>
      <c r="G13" s="11" t="s">
        <v>230</v>
      </c>
      <c r="H13" s="11" t="s">
        <v>140</v>
      </c>
    </row>
    <row r="14" spans="1:8" x14ac:dyDescent="0.3">
      <c r="A14" t="s">
        <v>290</v>
      </c>
      <c r="D14" s="7"/>
      <c r="E14" s="13">
        <v>0</v>
      </c>
      <c r="F14" s="13">
        <v>300</v>
      </c>
      <c r="G14" s="13">
        <v>1750</v>
      </c>
      <c r="H14" s="13">
        <v>1750</v>
      </c>
    </row>
    <row r="15" spans="1:8" x14ac:dyDescent="0.3">
      <c r="A15" t="s">
        <v>266</v>
      </c>
      <c r="D15" s="7"/>
      <c r="E15">
        <v>28.8508</v>
      </c>
      <c r="F15">
        <v>28.8508</v>
      </c>
      <c r="G15">
        <v>22.66</v>
      </c>
      <c r="H15">
        <v>24.035</v>
      </c>
    </row>
    <row r="16" spans="1:8" x14ac:dyDescent="0.3">
      <c r="A16" t="s">
        <v>268</v>
      </c>
      <c r="D16" s="7"/>
      <c r="E16">
        <v>0</v>
      </c>
      <c r="F16">
        <v>27.394400000000001</v>
      </c>
      <c r="G16">
        <v>32.01</v>
      </c>
      <c r="H16">
        <v>26.609000000000002</v>
      </c>
    </row>
    <row r="17" spans="1:8" x14ac:dyDescent="0.3">
      <c r="A17" t="s">
        <v>271</v>
      </c>
      <c r="D17" s="7"/>
      <c r="E17">
        <v>11</v>
      </c>
      <c r="F17">
        <v>11</v>
      </c>
      <c r="G17">
        <v>9.02</v>
      </c>
      <c r="H17">
        <v>8.0079999999999991</v>
      </c>
    </row>
    <row r="18" spans="1:8" x14ac:dyDescent="0.3">
      <c r="A18" t="s">
        <v>269</v>
      </c>
      <c r="D18" s="7"/>
      <c r="E18">
        <v>116.9333</v>
      </c>
      <c r="F18">
        <v>78.250699999999995</v>
      </c>
      <c r="G18">
        <v>52.8</v>
      </c>
      <c r="H18">
        <v>70.894999999999996</v>
      </c>
    </row>
    <row r="19" spans="1:8" x14ac:dyDescent="0.3">
      <c r="D19" s="7"/>
    </row>
    <row r="20" spans="1:8" x14ac:dyDescent="0.3">
      <c r="D20" s="7"/>
    </row>
    <row r="21" spans="1:8" x14ac:dyDescent="0.3">
      <c r="A21" s="12" t="s">
        <v>94</v>
      </c>
      <c r="D21" s="7"/>
      <c r="E21" s="11" t="s">
        <v>104</v>
      </c>
      <c r="F21" s="11" t="s">
        <v>143</v>
      </c>
      <c r="G21" s="11" t="s">
        <v>230</v>
      </c>
      <c r="H21" s="11" t="s">
        <v>140</v>
      </c>
    </row>
    <row r="22" spans="1:8" x14ac:dyDescent="0.3">
      <c r="A22" t="s">
        <v>290</v>
      </c>
      <c r="D22" s="7"/>
      <c r="E22" s="207">
        <v>0</v>
      </c>
      <c r="F22" s="208" t="s">
        <v>129</v>
      </c>
      <c r="G22" s="207">
        <v>0</v>
      </c>
      <c r="H22" s="207">
        <v>0</v>
      </c>
    </row>
    <row r="23" spans="1:8" x14ac:dyDescent="0.3">
      <c r="A23" t="s">
        <v>272</v>
      </c>
      <c r="C23" s="2"/>
      <c r="D23" s="7"/>
      <c r="E23" s="209">
        <v>31.070599999999999</v>
      </c>
      <c r="F23" s="210" t="s">
        <v>129</v>
      </c>
      <c r="G23" s="209">
        <v>44.66</v>
      </c>
      <c r="H23" s="209">
        <v>35.002000000000002</v>
      </c>
    </row>
    <row r="24" spans="1:8" x14ac:dyDescent="0.3">
      <c r="A24" t="s">
        <v>284</v>
      </c>
      <c r="D24" s="7"/>
      <c r="E24" s="211">
        <v>31.070599999999999</v>
      </c>
      <c r="F24" s="210" t="s">
        <v>129</v>
      </c>
      <c r="G24" s="211">
        <v>18.04</v>
      </c>
      <c r="H24" s="211">
        <v>27.225000000000001</v>
      </c>
    </row>
    <row r="25" spans="1:8" x14ac:dyDescent="0.3">
      <c r="A25" t="s">
        <v>271</v>
      </c>
      <c r="D25" s="7"/>
      <c r="E25" s="205">
        <v>15.5573</v>
      </c>
      <c r="F25" s="210" t="s">
        <v>129</v>
      </c>
      <c r="G25" s="205">
        <v>10.56</v>
      </c>
      <c r="H25" s="205">
        <v>13.122999999999999</v>
      </c>
    </row>
    <row r="26" spans="1:8" x14ac:dyDescent="0.3">
      <c r="A26" t="s">
        <v>269</v>
      </c>
      <c r="D26" s="7"/>
      <c r="E26" s="205">
        <v>139.22149999999999</v>
      </c>
      <c r="F26" s="210" t="s">
        <v>129</v>
      </c>
      <c r="G26" s="205">
        <v>64.900000000000006</v>
      </c>
      <c r="H26" s="205">
        <v>86.096999999999994</v>
      </c>
    </row>
    <row r="27" spans="1:8" x14ac:dyDescent="0.3">
      <c r="D27" s="7"/>
    </row>
    <row r="28" spans="1:8" x14ac:dyDescent="0.3">
      <c r="A28" s="17"/>
      <c r="B28" s="17"/>
      <c r="C28" s="17"/>
      <c r="D28" s="17"/>
      <c r="E28" s="17"/>
      <c r="F28" s="17"/>
      <c r="G28" s="17"/>
      <c r="H28" s="17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49"/>
  <dimension ref="A1:H28"/>
  <sheetViews>
    <sheetView zoomScale="125" workbookViewId="0">
      <selection activeCell="E16" sqref="E16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" customWidth="1"/>
    <col min="6" max="6" width="19.84375" customWidth="1"/>
    <col min="7" max="7" width="20" customWidth="1"/>
    <col min="8" max="8" width="20.4609375" customWidth="1"/>
  </cols>
  <sheetData>
    <row r="1" spans="1:8" x14ac:dyDescent="0.3">
      <c r="A1" s="3" t="s">
        <v>138</v>
      </c>
      <c r="D1" s="1"/>
    </row>
    <row r="2" spans="1:8" x14ac:dyDescent="0.3">
      <c r="A2" s="10"/>
      <c r="B2" s="10"/>
      <c r="C2" s="10"/>
      <c r="D2" s="10"/>
      <c r="E2" s="10"/>
      <c r="F2" s="10"/>
      <c r="G2" s="10"/>
      <c r="H2" s="10"/>
    </row>
    <row r="3" spans="1:8" x14ac:dyDescent="0.3">
      <c r="A3" s="4" t="s">
        <v>286</v>
      </c>
      <c r="B3" s="5"/>
      <c r="C3" s="5"/>
      <c r="D3" s="6"/>
      <c r="E3" s="5"/>
      <c r="F3" s="5"/>
      <c r="G3" s="5"/>
      <c r="H3" s="5"/>
    </row>
    <row r="4" spans="1:8" x14ac:dyDescent="0.3">
      <c r="D4" s="7"/>
      <c r="E4" s="8" t="s">
        <v>291</v>
      </c>
    </row>
    <row r="5" spans="1:8" x14ac:dyDescent="0.3">
      <c r="D5" s="7"/>
    </row>
    <row r="6" spans="1:8" x14ac:dyDescent="0.3">
      <c r="A6" s="12" t="s">
        <v>78</v>
      </c>
      <c r="D6" s="7"/>
      <c r="E6" s="11" t="s">
        <v>145</v>
      </c>
      <c r="F6" s="11" t="s">
        <v>146</v>
      </c>
      <c r="G6" s="11" t="s">
        <v>112</v>
      </c>
      <c r="H6" s="11" t="s">
        <v>147</v>
      </c>
    </row>
    <row r="7" spans="1:8" x14ac:dyDescent="0.3">
      <c r="A7" t="s">
        <v>290</v>
      </c>
      <c r="D7" s="7"/>
      <c r="E7" s="13">
        <v>0</v>
      </c>
      <c r="F7" s="13">
        <v>300</v>
      </c>
      <c r="G7" s="13">
        <v>1750</v>
      </c>
      <c r="H7" s="13">
        <v>1750</v>
      </c>
    </row>
    <row r="8" spans="1:8" x14ac:dyDescent="0.3">
      <c r="A8" t="s">
        <v>266</v>
      </c>
      <c r="D8" s="7"/>
      <c r="E8">
        <v>24.334199999999999</v>
      </c>
      <c r="F8">
        <v>24.334199999999999</v>
      </c>
      <c r="G8">
        <v>19.085000000000001</v>
      </c>
      <c r="H8">
        <v>20.823</v>
      </c>
    </row>
    <row r="9" spans="1:8" x14ac:dyDescent="0.3">
      <c r="A9" t="s">
        <v>268</v>
      </c>
      <c r="D9" s="7"/>
      <c r="E9">
        <v>0</v>
      </c>
      <c r="F9">
        <v>23.105499999999999</v>
      </c>
      <c r="G9">
        <v>28.05</v>
      </c>
      <c r="H9">
        <v>23.056000000000001</v>
      </c>
    </row>
    <row r="10" spans="1:8" x14ac:dyDescent="0.3">
      <c r="A10" t="s">
        <v>269</v>
      </c>
      <c r="D10" s="7"/>
      <c r="E10">
        <v>90.926000000000002</v>
      </c>
      <c r="F10">
        <v>60.962000000000003</v>
      </c>
      <c r="G10">
        <v>47.3</v>
      </c>
      <c r="H10">
        <v>57.2</v>
      </c>
    </row>
    <row r="11" spans="1:8" x14ac:dyDescent="0.3">
      <c r="D11" s="7"/>
    </row>
    <row r="12" spans="1:8" x14ac:dyDescent="0.3">
      <c r="D12" s="7"/>
    </row>
    <row r="13" spans="1:8" x14ac:dyDescent="0.3">
      <c r="A13" s="12" t="s">
        <v>270</v>
      </c>
      <c r="D13" s="7"/>
      <c r="E13" s="11" t="s">
        <v>145</v>
      </c>
      <c r="F13" s="11" t="s">
        <v>146</v>
      </c>
      <c r="G13" s="11" t="s">
        <v>112</v>
      </c>
      <c r="H13" s="11" t="s">
        <v>292</v>
      </c>
    </row>
    <row r="14" spans="1:8" x14ac:dyDescent="0.3">
      <c r="A14" t="s">
        <v>290</v>
      </c>
      <c r="D14" s="7"/>
      <c r="E14" s="13">
        <v>0</v>
      </c>
      <c r="F14" s="13">
        <v>300</v>
      </c>
      <c r="G14" s="13">
        <v>1750</v>
      </c>
      <c r="H14" s="13">
        <v>1750</v>
      </c>
    </row>
    <row r="15" spans="1:8" x14ac:dyDescent="0.3">
      <c r="A15" t="s">
        <v>266</v>
      </c>
      <c r="D15" s="7"/>
      <c r="E15">
        <v>24.334199999999999</v>
      </c>
      <c r="F15">
        <v>24.334199999999999</v>
      </c>
      <c r="G15">
        <v>19.085000000000001</v>
      </c>
      <c r="H15">
        <v>20.823</v>
      </c>
    </row>
    <row r="16" spans="1:8" x14ac:dyDescent="0.3">
      <c r="A16" t="s">
        <v>268</v>
      </c>
      <c r="D16" s="7"/>
      <c r="E16">
        <v>0</v>
      </c>
      <c r="F16">
        <v>23.105499999999999</v>
      </c>
      <c r="G16">
        <v>28.05</v>
      </c>
      <c r="H16">
        <v>23.056000000000001</v>
      </c>
    </row>
    <row r="17" spans="1:8" x14ac:dyDescent="0.3">
      <c r="A17" t="s">
        <v>271</v>
      </c>
      <c r="D17" s="7"/>
      <c r="E17">
        <v>9.2774000000000001</v>
      </c>
      <c r="F17">
        <v>9.2774000000000001</v>
      </c>
      <c r="G17">
        <v>8.36</v>
      </c>
      <c r="H17">
        <v>6.9409999999999998</v>
      </c>
    </row>
    <row r="18" spans="1:8" x14ac:dyDescent="0.3">
      <c r="A18" t="s">
        <v>269</v>
      </c>
      <c r="D18" s="7"/>
      <c r="E18">
        <v>98.626000000000005</v>
      </c>
      <c r="F18">
        <v>66</v>
      </c>
      <c r="G18">
        <v>47.3</v>
      </c>
      <c r="H18">
        <v>61.6</v>
      </c>
    </row>
    <row r="19" spans="1:8" x14ac:dyDescent="0.3">
      <c r="D19" s="7"/>
    </row>
    <row r="20" spans="1:8" x14ac:dyDescent="0.3">
      <c r="D20" s="7"/>
    </row>
    <row r="21" spans="1:8" x14ac:dyDescent="0.3">
      <c r="A21" s="12" t="s">
        <v>94</v>
      </c>
      <c r="D21" s="7"/>
      <c r="E21" s="11" t="s">
        <v>145</v>
      </c>
      <c r="F21" s="11" t="s">
        <v>146</v>
      </c>
      <c r="G21" s="11" t="s">
        <v>112</v>
      </c>
      <c r="H21" s="11" t="s">
        <v>292</v>
      </c>
    </row>
    <row r="22" spans="1:8" x14ac:dyDescent="0.3">
      <c r="A22" t="s">
        <v>290</v>
      </c>
      <c r="D22" s="7"/>
      <c r="E22" s="207">
        <v>0</v>
      </c>
      <c r="F22" s="20" t="s">
        <v>129</v>
      </c>
      <c r="G22" s="207">
        <v>0</v>
      </c>
      <c r="H22" s="207">
        <v>0</v>
      </c>
    </row>
    <row r="23" spans="1:8" x14ac:dyDescent="0.3">
      <c r="A23" t="s">
        <v>272</v>
      </c>
      <c r="C23" s="2"/>
      <c r="D23" s="7"/>
      <c r="E23" s="209">
        <v>26.206399999999999</v>
      </c>
      <c r="F23" s="210" t="s">
        <v>129</v>
      </c>
      <c r="G23" s="209">
        <v>40.26</v>
      </c>
      <c r="H23" s="209">
        <v>30.327000000000002</v>
      </c>
    </row>
    <row r="24" spans="1:8" x14ac:dyDescent="0.3">
      <c r="A24" t="s">
        <v>284</v>
      </c>
      <c r="D24" s="7"/>
      <c r="E24" s="211">
        <v>26.206399999999999</v>
      </c>
      <c r="F24" s="210" t="s">
        <v>129</v>
      </c>
      <c r="G24" s="211">
        <v>14.96</v>
      </c>
      <c r="H24" s="211">
        <v>23.584</v>
      </c>
    </row>
    <row r="25" spans="1:8" x14ac:dyDescent="0.3">
      <c r="A25" t="s">
        <v>271</v>
      </c>
      <c r="D25" s="7"/>
      <c r="E25" s="205">
        <v>13.1219</v>
      </c>
      <c r="F25" s="210" t="s">
        <v>129</v>
      </c>
      <c r="G25" s="205">
        <v>8.8000000000000007</v>
      </c>
      <c r="H25" s="205">
        <v>11.374000000000001</v>
      </c>
    </row>
    <row r="26" spans="1:8" x14ac:dyDescent="0.3">
      <c r="A26" t="s">
        <v>269</v>
      </c>
      <c r="D26" s="7"/>
      <c r="E26" s="205">
        <v>117.425</v>
      </c>
      <c r="F26" s="210" t="s">
        <v>129</v>
      </c>
      <c r="G26" s="205">
        <v>52.8</v>
      </c>
      <c r="H26" s="205">
        <v>74.8</v>
      </c>
    </row>
    <row r="27" spans="1:8" x14ac:dyDescent="0.3">
      <c r="D27" s="7"/>
    </row>
    <row r="28" spans="1:8" x14ac:dyDescent="0.3">
      <c r="A28" s="18"/>
      <c r="B28" s="19"/>
      <c r="C28" s="19"/>
      <c r="D28" s="19"/>
      <c r="E28" s="19"/>
      <c r="F28" s="19"/>
      <c r="G28" s="19"/>
      <c r="H28" s="19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50"/>
  <dimension ref="A1:H28"/>
  <sheetViews>
    <sheetView zoomScale="125" workbookViewId="0">
      <selection activeCell="E16" sqref="E16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.15234375" customWidth="1"/>
    <col min="6" max="6" width="19.84375" customWidth="1"/>
    <col min="7" max="7" width="20.15234375" customWidth="1"/>
    <col min="8" max="8" width="20.69140625" customWidth="1"/>
  </cols>
  <sheetData>
    <row r="1" spans="1:8" x14ac:dyDescent="0.3">
      <c r="A1" s="3" t="s">
        <v>138</v>
      </c>
      <c r="D1" s="1"/>
    </row>
    <row r="2" spans="1:8" x14ac:dyDescent="0.3">
      <c r="A2" s="24"/>
      <c r="B2" s="24"/>
      <c r="C2" s="24"/>
      <c r="D2" s="24"/>
      <c r="E2" s="24"/>
      <c r="F2" s="24"/>
      <c r="G2" s="24"/>
      <c r="H2" s="24"/>
    </row>
    <row r="3" spans="1:8" x14ac:dyDescent="0.3">
      <c r="A3" s="4" t="s">
        <v>286</v>
      </c>
      <c r="B3" s="5"/>
      <c r="C3" s="5"/>
      <c r="D3" s="6"/>
      <c r="E3" s="5"/>
      <c r="F3" s="5"/>
      <c r="G3" s="5"/>
      <c r="H3" s="5"/>
    </row>
    <row r="4" spans="1:8" x14ac:dyDescent="0.3">
      <c r="D4" s="7"/>
      <c r="E4" s="8" t="s">
        <v>293</v>
      </c>
    </row>
    <row r="5" spans="1:8" x14ac:dyDescent="0.3">
      <c r="D5" s="7"/>
    </row>
    <row r="6" spans="1:8" x14ac:dyDescent="0.3">
      <c r="A6" s="12" t="s">
        <v>78</v>
      </c>
      <c r="D6" s="7"/>
      <c r="E6" s="11" t="s">
        <v>145</v>
      </c>
      <c r="F6" s="11" t="s">
        <v>146</v>
      </c>
      <c r="G6" s="11" t="s">
        <v>112</v>
      </c>
      <c r="H6" s="11" t="s">
        <v>147</v>
      </c>
    </row>
    <row r="7" spans="1:8" x14ac:dyDescent="0.3">
      <c r="A7" t="s">
        <v>290</v>
      </c>
      <c r="D7" s="7"/>
      <c r="E7" s="13">
        <v>0</v>
      </c>
      <c r="F7" s="13">
        <v>300</v>
      </c>
      <c r="G7" s="13">
        <v>1750</v>
      </c>
      <c r="H7" s="13">
        <v>1750</v>
      </c>
    </row>
    <row r="8" spans="1:8" x14ac:dyDescent="0.3">
      <c r="A8" t="s">
        <v>266</v>
      </c>
      <c r="D8" s="7"/>
      <c r="E8">
        <v>21.582000000000001</v>
      </c>
      <c r="F8">
        <v>21.582000000000001</v>
      </c>
      <c r="G8">
        <v>17.16</v>
      </c>
      <c r="H8">
        <v>19.524999999999999</v>
      </c>
    </row>
    <row r="9" spans="1:8" x14ac:dyDescent="0.3">
      <c r="A9" t="s">
        <v>268</v>
      </c>
      <c r="D9" s="7"/>
      <c r="E9">
        <v>0</v>
      </c>
      <c r="F9">
        <v>20.492999999999999</v>
      </c>
      <c r="G9">
        <v>25.41</v>
      </c>
      <c r="H9">
        <v>21.285</v>
      </c>
    </row>
    <row r="10" spans="1:8" x14ac:dyDescent="0.3">
      <c r="A10" t="s">
        <v>269</v>
      </c>
      <c r="D10" s="7"/>
      <c r="E10">
        <v>80.641000000000005</v>
      </c>
      <c r="F10">
        <v>54.064999999999998</v>
      </c>
      <c r="G10">
        <v>42.9</v>
      </c>
      <c r="H10">
        <v>52.8</v>
      </c>
    </row>
    <row r="11" spans="1:8" x14ac:dyDescent="0.3">
      <c r="D11" s="7"/>
    </row>
    <row r="12" spans="1:8" x14ac:dyDescent="0.3">
      <c r="D12" s="7"/>
    </row>
    <row r="13" spans="1:8" x14ac:dyDescent="0.3">
      <c r="A13" s="12" t="s">
        <v>270</v>
      </c>
      <c r="D13" s="7"/>
      <c r="E13" s="11" t="s">
        <v>145</v>
      </c>
      <c r="F13" s="11" t="s">
        <v>146</v>
      </c>
      <c r="G13" s="11" t="s">
        <v>112</v>
      </c>
      <c r="H13" s="11" t="s">
        <v>292</v>
      </c>
    </row>
    <row r="14" spans="1:8" x14ac:dyDescent="0.3">
      <c r="A14" t="s">
        <v>290</v>
      </c>
      <c r="D14" s="7"/>
      <c r="E14" s="13">
        <v>0</v>
      </c>
      <c r="F14" s="13">
        <v>300</v>
      </c>
      <c r="G14" s="13">
        <v>1750</v>
      </c>
      <c r="H14" s="13">
        <v>1750</v>
      </c>
    </row>
    <row r="15" spans="1:8" x14ac:dyDescent="0.3">
      <c r="A15" t="s">
        <v>266</v>
      </c>
      <c r="D15" s="7"/>
      <c r="E15">
        <v>21.582000000000001</v>
      </c>
      <c r="F15">
        <v>21.582000000000001</v>
      </c>
      <c r="G15">
        <v>17.16</v>
      </c>
      <c r="H15">
        <v>19.524999999999999</v>
      </c>
    </row>
    <row r="16" spans="1:8" x14ac:dyDescent="0.3">
      <c r="A16" t="s">
        <v>268</v>
      </c>
      <c r="D16" s="7"/>
      <c r="E16">
        <v>0</v>
      </c>
      <c r="F16">
        <v>20.492999999999999</v>
      </c>
      <c r="G16">
        <v>25.41</v>
      </c>
      <c r="H16">
        <v>21.285</v>
      </c>
    </row>
    <row r="17" spans="1:8" x14ac:dyDescent="0.3">
      <c r="A17" t="s">
        <v>271</v>
      </c>
      <c r="D17" s="7"/>
      <c r="E17">
        <v>8.2279999999999998</v>
      </c>
      <c r="F17">
        <v>8.2279999999999998</v>
      </c>
      <c r="G17">
        <v>7.37</v>
      </c>
      <c r="H17">
        <v>6.93</v>
      </c>
    </row>
    <row r="18" spans="1:8" x14ac:dyDescent="0.3">
      <c r="A18" t="s">
        <v>269</v>
      </c>
      <c r="D18" s="7"/>
      <c r="E18">
        <v>87.471999999999994</v>
      </c>
      <c r="F18">
        <v>58.530999999999999</v>
      </c>
      <c r="G18">
        <v>42.9</v>
      </c>
      <c r="H18">
        <v>56.1</v>
      </c>
    </row>
    <row r="19" spans="1:8" x14ac:dyDescent="0.3">
      <c r="D19" s="7"/>
    </row>
    <row r="20" spans="1:8" x14ac:dyDescent="0.3">
      <c r="D20" s="7"/>
    </row>
    <row r="21" spans="1:8" x14ac:dyDescent="0.3">
      <c r="A21" s="12" t="s">
        <v>94</v>
      </c>
      <c r="D21" s="7"/>
      <c r="E21" s="11" t="s">
        <v>145</v>
      </c>
      <c r="F21" s="11" t="s">
        <v>146</v>
      </c>
      <c r="G21" s="11" t="s">
        <v>112</v>
      </c>
      <c r="H21" s="11" t="s">
        <v>292</v>
      </c>
    </row>
    <row r="22" spans="1:8" x14ac:dyDescent="0.3">
      <c r="A22" t="s">
        <v>290</v>
      </c>
      <c r="D22" s="7"/>
      <c r="E22" s="207">
        <v>0</v>
      </c>
      <c r="F22" s="20" t="s">
        <v>129</v>
      </c>
      <c r="G22" s="207">
        <v>0</v>
      </c>
      <c r="H22" s="14">
        <v>0</v>
      </c>
    </row>
    <row r="23" spans="1:8" x14ac:dyDescent="0.3">
      <c r="A23" t="s">
        <v>272</v>
      </c>
      <c r="C23" s="2"/>
      <c r="D23" s="7"/>
      <c r="E23" s="209">
        <v>23.242999999999999</v>
      </c>
      <c r="F23" s="210" t="s">
        <v>129</v>
      </c>
      <c r="G23" s="209">
        <v>35.64</v>
      </c>
      <c r="H23" s="209">
        <v>27.797000000000001</v>
      </c>
    </row>
    <row r="24" spans="1:8" x14ac:dyDescent="0.3">
      <c r="A24" t="s">
        <v>284</v>
      </c>
      <c r="D24" s="7"/>
      <c r="E24" s="211">
        <v>23.242999999999999</v>
      </c>
      <c r="F24" s="210" t="s">
        <v>129</v>
      </c>
      <c r="G24" s="211">
        <v>14.08</v>
      </c>
      <c r="H24" s="211">
        <v>22.373999999999999</v>
      </c>
    </row>
    <row r="25" spans="1:8" x14ac:dyDescent="0.3">
      <c r="A25" t="s">
        <v>271</v>
      </c>
      <c r="D25" s="7"/>
      <c r="E25" s="205">
        <v>11.638</v>
      </c>
      <c r="F25" s="210" t="s">
        <v>129</v>
      </c>
      <c r="G25" s="205">
        <v>8.14</v>
      </c>
      <c r="H25" s="205">
        <v>10.692</v>
      </c>
    </row>
    <row r="26" spans="1:8" x14ac:dyDescent="0.3">
      <c r="A26" t="s">
        <v>269</v>
      </c>
      <c r="D26" s="7"/>
      <c r="E26" s="205">
        <v>104.148</v>
      </c>
      <c r="F26" s="210" t="s">
        <v>129</v>
      </c>
      <c r="G26" s="205">
        <v>46.2</v>
      </c>
      <c r="H26" s="205">
        <v>67.099999999999994</v>
      </c>
    </row>
    <row r="27" spans="1:8" x14ac:dyDescent="0.3">
      <c r="D27" s="7"/>
    </row>
    <row r="28" spans="1:8" x14ac:dyDescent="0.3">
      <c r="A28" s="23"/>
      <c r="B28" s="23"/>
      <c r="C28" s="23"/>
      <c r="D28" s="23"/>
      <c r="E28" s="23"/>
      <c r="F28" s="23"/>
      <c r="G28" s="23"/>
      <c r="H28" s="23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1"/>
  <dimension ref="A1:H28"/>
  <sheetViews>
    <sheetView zoomScale="125" workbookViewId="0">
      <selection activeCell="E16" sqref="E16"/>
    </sheetView>
  </sheetViews>
  <sheetFormatPr defaultColWidth="11" defaultRowHeight="13.5" x14ac:dyDescent="0.3"/>
  <cols>
    <col min="1" max="1" width="11.4609375" customWidth="1"/>
    <col min="2" max="2" width="8.15234375" customWidth="1"/>
    <col min="3" max="3" width="7.4609375" customWidth="1"/>
    <col min="4" max="4" width="1.69140625" customWidth="1"/>
    <col min="5" max="5" width="20.15234375" customWidth="1"/>
    <col min="6" max="6" width="19.84375" customWidth="1"/>
    <col min="7" max="7" width="20.15234375" customWidth="1"/>
    <col min="8" max="8" width="20.69140625" customWidth="1"/>
  </cols>
  <sheetData>
    <row r="1" spans="1:8" x14ac:dyDescent="0.3">
      <c r="A1" s="3" t="s">
        <v>138</v>
      </c>
      <c r="D1" s="1"/>
    </row>
    <row r="2" spans="1:8" x14ac:dyDescent="0.3">
      <c r="A2" s="21"/>
      <c r="B2" s="21"/>
      <c r="C2" s="21"/>
      <c r="D2" s="21"/>
      <c r="E2" s="21"/>
      <c r="F2" s="21"/>
      <c r="G2" s="21"/>
      <c r="H2" s="21"/>
    </row>
    <row r="3" spans="1:8" x14ac:dyDescent="0.3">
      <c r="A3" s="4" t="s">
        <v>286</v>
      </c>
      <c r="B3" s="5"/>
      <c r="C3" s="5"/>
      <c r="D3" s="6"/>
      <c r="E3" s="5"/>
      <c r="F3" s="5"/>
      <c r="G3" s="5"/>
      <c r="H3" s="5"/>
    </row>
    <row r="4" spans="1:8" x14ac:dyDescent="0.3">
      <c r="D4" s="7"/>
      <c r="E4" s="8" t="s">
        <v>294</v>
      </c>
    </row>
    <row r="5" spans="1:8" x14ac:dyDescent="0.3">
      <c r="D5" s="7"/>
    </row>
    <row r="6" spans="1:8" x14ac:dyDescent="0.3">
      <c r="A6" s="12" t="s">
        <v>78</v>
      </c>
      <c r="D6" s="7"/>
      <c r="E6" s="11" t="s">
        <v>145</v>
      </c>
      <c r="F6" s="11" t="s">
        <v>146</v>
      </c>
      <c r="G6" s="11" t="s">
        <v>112</v>
      </c>
      <c r="H6" s="11" t="s">
        <v>147</v>
      </c>
    </row>
    <row r="7" spans="1:8" x14ac:dyDescent="0.3">
      <c r="A7" t="s">
        <v>290</v>
      </c>
      <c r="D7" s="7"/>
      <c r="E7" s="13">
        <v>0</v>
      </c>
      <c r="F7" s="13">
        <v>300</v>
      </c>
      <c r="G7" s="13">
        <v>1750</v>
      </c>
      <c r="H7" s="13">
        <v>1750</v>
      </c>
    </row>
    <row r="8" spans="1:8" x14ac:dyDescent="0.3">
      <c r="A8" t="s">
        <v>266</v>
      </c>
      <c r="D8" s="7"/>
      <c r="E8">
        <v>17.963000000000001</v>
      </c>
      <c r="F8">
        <v>17.963000000000001</v>
      </c>
      <c r="G8">
        <v>13.97</v>
      </c>
      <c r="H8">
        <v>16.082000000000001</v>
      </c>
    </row>
    <row r="9" spans="1:8" x14ac:dyDescent="0.3">
      <c r="A9" t="s">
        <v>268</v>
      </c>
      <c r="D9" s="7"/>
      <c r="E9">
        <v>0</v>
      </c>
      <c r="F9">
        <v>17.05</v>
      </c>
      <c r="G9">
        <v>20.844999999999999</v>
      </c>
      <c r="H9">
        <v>17.324999999999999</v>
      </c>
    </row>
    <row r="10" spans="1:8" x14ac:dyDescent="0.3">
      <c r="A10" t="s">
        <v>269</v>
      </c>
      <c r="D10" s="7"/>
      <c r="E10">
        <v>67.099999999999994</v>
      </c>
      <c r="F10">
        <v>44.99</v>
      </c>
      <c r="G10">
        <v>37.4</v>
      </c>
      <c r="H10">
        <v>43.981850000000001</v>
      </c>
    </row>
    <row r="11" spans="1:8" x14ac:dyDescent="0.3">
      <c r="D11" s="7"/>
    </row>
    <row r="12" spans="1:8" x14ac:dyDescent="0.3">
      <c r="D12" s="7"/>
    </row>
    <row r="13" spans="1:8" x14ac:dyDescent="0.3">
      <c r="A13" s="12" t="s">
        <v>270</v>
      </c>
      <c r="D13" s="7"/>
      <c r="E13" s="11" t="s">
        <v>145</v>
      </c>
      <c r="F13" s="11" t="s">
        <v>146</v>
      </c>
      <c r="G13" s="11" t="s">
        <v>112</v>
      </c>
      <c r="H13" s="11" t="s">
        <v>292</v>
      </c>
    </row>
    <row r="14" spans="1:8" x14ac:dyDescent="0.3">
      <c r="A14" t="s">
        <v>290</v>
      </c>
      <c r="D14" s="7"/>
      <c r="E14" s="13">
        <v>0</v>
      </c>
      <c r="F14" s="13">
        <v>300</v>
      </c>
      <c r="G14" s="13">
        <v>1750</v>
      </c>
      <c r="H14" s="13">
        <v>1750</v>
      </c>
    </row>
    <row r="15" spans="1:8" x14ac:dyDescent="0.3">
      <c r="A15" t="s">
        <v>266</v>
      </c>
      <c r="D15" s="7"/>
      <c r="E15">
        <v>17.963000000000001</v>
      </c>
      <c r="F15">
        <v>17.963000000000001</v>
      </c>
      <c r="G15">
        <v>13.97</v>
      </c>
      <c r="H15">
        <v>16.082000000000001</v>
      </c>
    </row>
    <row r="16" spans="1:8" x14ac:dyDescent="0.3">
      <c r="A16" t="s">
        <v>268</v>
      </c>
      <c r="D16" s="7"/>
      <c r="E16">
        <v>0</v>
      </c>
      <c r="F16">
        <v>17.05</v>
      </c>
      <c r="G16">
        <v>20.844999999999999</v>
      </c>
      <c r="H16">
        <v>17.324999999999999</v>
      </c>
    </row>
    <row r="17" spans="1:8" x14ac:dyDescent="0.3">
      <c r="A17" t="s">
        <v>271</v>
      </c>
      <c r="D17" s="7"/>
      <c r="E17">
        <v>6.8419999999999996</v>
      </c>
      <c r="F17">
        <v>6.8419999999999996</v>
      </c>
      <c r="G17">
        <v>5.83</v>
      </c>
      <c r="H17">
        <v>6.0940000000000003</v>
      </c>
    </row>
    <row r="18" spans="1:8" x14ac:dyDescent="0.3">
      <c r="A18" t="s">
        <v>269</v>
      </c>
      <c r="D18" s="7"/>
      <c r="E18">
        <v>72.787000000000006</v>
      </c>
      <c r="F18">
        <v>48.707999999999998</v>
      </c>
      <c r="G18">
        <v>37.4</v>
      </c>
      <c r="H18">
        <v>46.181849999999997</v>
      </c>
    </row>
    <row r="19" spans="1:8" x14ac:dyDescent="0.3">
      <c r="D19" s="7"/>
    </row>
    <row r="20" spans="1:8" x14ac:dyDescent="0.3">
      <c r="D20" s="7"/>
    </row>
    <row r="21" spans="1:8" x14ac:dyDescent="0.3">
      <c r="A21" s="12" t="s">
        <v>94</v>
      </c>
      <c r="D21" s="7"/>
      <c r="E21" s="11" t="s">
        <v>145</v>
      </c>
      <c r="F21" s="11" t="s">
        <v>146</v>
      </c>
      <c r="G21" s="11" t="s">
        <v>112</v>
      </c>
      <c r="H21" s="11" t="s">
        <v>292</v>
      </c>
    </row>
    <row r="22" spans="1:8" x14ac:dyDescent="0.3">
      <c r="A22" t="s">
        <v>290</v>
      </c>
      <c r="D22" s="7"/>
      <c r="E22" s="207">
        <v>0</v>
      </c>
      <c r="F22" s="20" t="s">
        <v>129</v>
      </c>
      <c r="G22" s="14">
        <v>0</v>
      </c>
      <c r="H22" s="14">
        <v>0</v>
      </c>
    </row>
    <row r="23" spans="1:8" x14ac:dyDescent="0.3">
      <c r="A23" t="s">
        <v>272</v>
      </c>
      <c r="C23" s="2"/>
      <c r="D23" s="7"/>
      <c r="E23" s="209">
        <v>19.338000000000001</v>
      </c>
      <c r="F23" s="210" t="s">
        <v>129</v>
      </c>
      <c r="G23" s="15">
        <v>30.25</v>
      </c>
      <c r="H23" s="15">
        <v>22.055</v>
      </c>
    </row>
    <row r="24" spans="1:8" x14ac:dyDescent="0.3">
      <c r="A24" t="s">
        <v>284</v>
      </c>
      <c r="D24" s="7"/>
      <c r="E24" s="211">
        <v>19.338000000000001</v>
      </c>
      <c r="F24" s="210" t="s">
        <v>129</v>
      </c>
      <c r="G24" s="211">
        <v>10.89</v>
      </c>
      <c r="H24" s="211">
        <v>17.841999999999999</v>
      </c>
    </row>
    <row r="25" spans="1:8" x14ac:dyDescent="0.3">
      <c r="A25" t="s">
        <v>271</v>
      </c>
      <c r="D25" s="7"/>
      <c r="E25" s="205">
        <v>9.68</v>
      </c>
      <c r="F25" s="210" t="s">
        <v>129</v>
      </c>
      <c r="G25" s="16">
        <v>6.05</v>
      </c>
      <c r="H25" s="16">
        <v>8.6790000000000003</v>
      </c>
    </row>
    <row r="26" spans="1:8" x14ac:dyDescent="0.3">
      <c r="A26" t="s">
        <v>269</v>
      </c>
      <c r="D26" s="7"/>
      <c r="E26" s="205">
        <v>86.658000000000001</v>
      </c>
      <c r="F26" s="210" t="s">
        <v>129</v>
      </c>
      <c r="G26" s="16">
        <v>37.4</v>
      </c>
      <c r="H26" s="205">
        <v>54.963810000000002</v>
      </c>
    </row>
    <row r="27" spans="1:8" x14ac:dyDescent="0.3">
      <c r="D27" s="7"/>
    </row>
    <row r="28" spans="1:8" x14ac:dyDescent="0.3">
      <c r="A28" s="22"/>
      <c r="B28" s="22"/>
      <c r="C28" s="22"/>
      <c r="D28" s="22"/>
      <c r="E28" s="22"/>
      <c r="F28" s="22"/>
      <c r="G28" s="22"/>
      <c r="H28" s="22"/>
    </row>
  </sheetData>
  <sheetProtection password="CC31" sheet="1" objects="1" scenarios="1"/>
  <phoneticPr fontId="5" type="noConversion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6130D-9950-934D-B286-964FDDF43B20}">
  <sheetPr codeName="Sheet54"/>
  <dimension ref="A1:AYR1583"/>
  <sheetViews>
    <sheetView zoomScaleNormal="100" workbookViewId="0">
      <selection activeCell="I8" sqref="I8:I31"/>
    </sheetView>
  </sheetViews>
  <sheetFormatPr defaultColWidth="10.84375" defaultRowHeight="13.5" x14ac:dyDescent="0.3"/>
  <cols>
    <col min="1" max="1" width="19.3046875" style="263" customWidth="1"/>
    <col min="2" max="2" width="11.4609375" style="263" customWidth="1"/>
    <col min="3" max="9" width="12.15234375" style="263" customWidth="1"/>
    <col min="1345" max="16384" width="10.84375" style="263"/>
  </cols>
  <sheetData>
    <row r="1" spans="1:33" customFormat="1" x14ac:dyDescent="0.3">
      <c r="A1" s="325" t="s">
        <v>76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</row>
    <row r="2" spans="1:33" customFormat="1" x14ac:dyDescent="0.3">
      <c r="A2" s="326" t="s">
        <v>101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</row>
    <row r="3" spans="1:33" customFormat="1" ht="14" thickBot="1" x14ac:dyDescent="0.35">
      <c r="A3" s="325"/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</row>
    <row r="4" spans="1:33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</row>
    <row r="5" spans="1:33" ht="14" x14ac:dyDescent="0.3">
      <c r="A5" s="92" t="s">
        <v>79</v>
      </c>
      <c r="B5" s="93"/>
      <c r="C5" s="168">
        <v>1500</v>
      </c>
      <c r="D5" s="93"/>
      <c r="E5" s="93"/>
      <c r="F5" s="93"/>
      <c r="G5" s="93"/>
      <c r="H5" s="93"/>
      <c r="I5" s="178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</row>
    <row r="6" spans="1:33" ht="14" x14ac:dyDescent="0.3">
      <c r="A6" s="92"/>
      <c r="B6" s="93"/>
      <c r="C6" s="93"/>
      <c r="D6" s="93"/>
      <c r="E6" s="93"/>
      <c r="F6" s="93"/>
      <c r="G6" s="93"/>
      <c r="H6" s="93"/>
      <c r="I6" s="178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</row>
    <row r="7" spans="1:33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</row>
    <row r="8" spans="1:33" x14ac:dyDescent="0.3">
      <c r="A8" s="179" t="str">
        <f>'END Jul 2021'!K2</f>
        <v>AGL</v>
      </c>
      <c r="B8" s="180">
        <f>'END Jul 2021'!G2</f>
        <v>42928</v>
      </c>
      <c r="C8" s="181">
        <f>91*'END Jul 2021'!M2/100</f>
        <v>85.846090909090904</v>
      </c>
      <c r="D8" s="181">
        <f>$C$5*'END Jul 2021'!N2/100</f>
        <v>342.27272727272725</v>
      </c>
      <c r="E8" s="182">
        <v>0</v>
      </c>
      <c r="F8" s="181">
        <v>0</v>
      </c>
      <c r="G8" s="181">
        <v>0</v>
      </c>
      <c r="H8" s="183">
        <f t="shared" ref="H8:H29" si="0">SUM(C8:G8)</f>
        <v>428.11881818181814</v>
      </c>
      <c r="I8" s="202">
        <f t="shared" ref="I8:I29" si="1">(H8*4)*1.1</f>
        <v>1883.7228</v>
      </c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</row>
    <row r="9" spans="1:33" x14ac:dyDescent="0.3">
      <c r="A9" s="179" t="str">
        <f>'END Jul 2021'!K3</f>
        <v>Alinta Energy</v>
      </c>
      <c r="B9" s="180">
        <f>'END Jul 2021'!G3</f>
        <v>42916</v>
      </c>
      <c r="C9" s="181">
        <f>91*'END Jul 2021'!M3/100</f>
        <v>75.529999999999987</v>
      </c>
      <c r="D9" s="181">
        <f>$C$5*'END Jul 2021'!N3/100</f>
        <v>354.5454545454545</v>
      </c>
      <c r="E9" s="182">
        <v>0</v>
      </c>
      <c r="F9" s="181">
        <v>0</v>
      </c>
      <c r="G9" s="181">
        <v>0</v>
      </c>
      <c r="H9" s="183">
        <f t="shared" si="0"/>
        <v>430.07545454545448</v>
      </c>
      <c r="I9" s="202">
        <f t="shared" si="1"/>
        <v>1892.3319999999999</v>
      </c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</row>
    <row r="10" spans="1:33" x14ac:dyDescent="0.3">
      <c r="A10" s="179" t="str">
        <f>'END Jul 2021'!K4</f>
        <v>CovaU</v>
      </c>
      <c r="B10" s="180">
        <f>'END Jul 2021'!G4</f>
        <v>42916</v>
      </c>
      <c r="C10" s="181">
        <f>91*'END Jul 2021'!M4/100</f>
        <v>54.599999999999994</v>
      </c>
      <c r="D10" s="181">
        <f>$C$5*'END Jul 2021'!N4/100</f>
        <v>376.7727272727272</v>
      </c>
      <c r="E10" s="182">
        <v>0</v>
      </c>
      <c r="F10" s="181">
        <v>0</v>
      </c>
      <c r="G10" s="181">
        <v>0</v>
      </c>
      <c r="H10" s="183">
        <f t="shared" si="0"/>
        <v>431.37272727272716</v>
      </c>
      <c r="I10" s="202">
        <f t="shared" si="1"/>
        <v>1898.0399999999997</v>
      </c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</row>
    <row r="11" spans="1:33" x14ac:dyDescent="0.3">
      <c r="A11" s="179" t="str">
        <f>'END Jul 2021'!K5</f>
        <v>Diamond Energy</v>
      </c>
      <c r="B11" s="180">
        <f>'END Jul 2021'!G5</f>
        <v>42916</v>
      </c>
      <c r="C11" s="181">
        <f>91*'END Jul 2021'!M5/100</f>
        <v>72.8</v>
      </c>
      <c r="D11" s="181">
        <f>$C$5*'END Jul 2021'!N5/100</f>
        <v>354</v>
      </c>
      <c r="E11" s="182">
        <v>0</v>
      </c>
      <c r="F11" s="181">
        <v>0</v>
      </c>
      <c r="G11" s="181">
        <v>0</v>
      </c>
      <c r="H11" s="183">
        <f t="shared" si="0"/>
        <v>426.8</v>
      </c>
      <c r="I11" s="202">
        <f t="shared" si="1"/>
        <v>1877.9200000000003</v>
      </c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</row>
    <row r="12" spans="1:33" x14ac:dyDescent="0.3">
      <c r="A12" s="179" t="str">
        <f>'END Jul 2021'!K6</f>
        <v>Dodo Power &amp; Gas</v>
      </c>
      <c r="B12" s="180">
        <f>'END Jul 2021'!G6</f>
        <v>42916</v>
      </c>
      <c r="C12" s="181">
        <f>91*'END Jul 2021'!M6/100</f>
        <v>95.549999999999983</v>
      </c>
      <c r="D12" s="181">
        <f>$C$5*'END Jul 2021'!N6/100</f>
        <v>322.49999999999994</v>
      </c>
      <c r="E12" s="182">
        <v>0</v>
      </c>
      <c r="F12" s="181">
        <v>0</v>
      </c>
      <c r="G12" s="181">
        <v>0</v>
      </c>
      <c r="H12" s="183">
        <f t="shared" si="0"/>
        <v>418.04999999999995</v>
      </c>
      <c r="I12" s="202">
        <f t="shared" si="1"/>
        <v>1839.4199999999998</v>
      </c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</row>
    <row r="13" spans="1:33" x14ac:dyDescent="0.3">
      <c r="A13" s="179" t="str">
        <f>'END Jul 2021'!K7</f>
        <v>EnergyAustralia</v>
      </c>
      <c r="B13" s="180">
        <f>'END Jul 2021'!G7</f>
        <v>42916</v>
      </c>
      <c r="C13" s="181">
        <f>91*'END Jul 2021'!M7/100</f>
        <v>71.89</v>
      </c>
      <c r="D13" s="181">
        <f>$C$5*'END Jul 2021'!N7/100</f>
        <v>359.45454545454544</v>
      </c>
      <c r="E13" s="182">
        <v>0</v>
      </c>
      <c r="F13" s="181">
        <v>0</v>
      </c>
      <c r="G13" s="181">
        <v>0</v>
      </c>
      <c r="H13" s="183">
        <f t="shared" si="0"/>
        <v>431.34454545454543</v>
      </c>
      <c r="I13" s="202">
        <f t="shared" si="1"/>
        <v>1897.9159999999999</v>
      </c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</row>
    <row r="14" spans="1:33" x14ac:dyDescent="0.3">
      <c r="A14" s="179" t="str">
        <f>'END Jul 2021'!K8</f>
        <v>Mojo Power</v>
      </c>
      <c r="B14" s="180">
        <f>'END Jul 2021'!G8</f>
        <v>42916</v>
      </c>
      <c r="C14" s="181">
        <f>91*'END Jul 2021'!M8/100</f>
        <v>87.757090909090891</v>
      </c>
      <c r="D14" s="181">
        <f>$C$5*'END Jul 2021'!N8/100</f>
        <v>339.95454545454544</v>
      </c>
      <c r="E14" s="182">
        <v>0</v>
      </c>
      <c r="F14" s="181">
        <v>0</v>
      </c>
      <c r="G14" s="181">
        <v>0</v>
      </c>
      <c r="H14" s="183">
        <f t="shared" si="0"/>
        <v>427.71163636363633</v>
      </c>
      <c r="I14" s="202">
        <f t="shared" si="1"/>
        <v>1881.9312</v>
      </c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</row>
    <row r="15" spans="1:33" x14ac:dyDescent="0.3">
      <c r="A15" s="179" t="str">
        <f>'END Jul 2021'!K9</f>
        <v>Momentum Energy</v>
      </c>
      <c r="B15" s="180">
        <f>'END Jul 2021'!G9</f>
        <v>42916</v>
      </c>
      <c r="C15" s="181">
        <f>91*'END Jul 2021'!M9/100</f>
        <v>88.063181818181818</v>
      </c>
      <c r="D15" s="181">
        <f>$C$5*'END Jul 2021'!N9/100</f>
        <v>339.5454545454545</v>
      </c>
      <c r="E15" s="182">
        <v>0</v>
      </c>
      <c r="F15" s="181">
        <v>0</v>
      </c>
      <c r="G15" s="181">
        <v>0</v>
      </c>
      <c r="H15" s="183">
        <f t="shared" si="0"/>
        <v>427.60863636363632</v>
      </c>
      <c r="I15" s="202">
        <f t="shared" si="1"/>
        <v>1881.4780000000001</v>
      </c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</row>
    <row r="16" spans="1:33" x14ac:dyDescent="0.3">
      <c r="A16" s="179" t="str">
        <f>'END Jul 2021'!K10</f>
        <v>Origin Energy</v>
      </c>
      <c r="B16" s="180">
        <f>'END Jul 2021'!G10</f>
        <v>42916</v>
      </c>
      <c r="C16" s="181">
        <f>91*'END Jul 2021'!M10/100</f>
        <v>75.484499999999997</v>
      </c>
      <c r="D16" s="181">
        <f>$C$5*'END Jul 2021'!N10/100</f>
        <v>355.05</v>
      </c>
      <c r="E16" s="182">
        <v>0</v>
      </c>
      <c r="F16" s="181">
        <v>0</v>
      </c>
      <c r="G16" s="181">
        <v>0</v>
      </c>
      <c r="H16" s="183">
        <f t="shared" si="0"/>
        <v>430.53449999999998</v>
      </c>
      <c r="I16" s="202">
        <f t="shared" si="1"/>
        <v>1894.3518000000001</v>
      </c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</row>
    <row r="17" spans="1:33" x14ac:dyDescent="0.3">
      <c r="A17" s="179" t="str">
        <f>'END Jul 2021'!K11</f>
        <v>Powerdirect</v>
      </c>
      <c r="B17" s="180">
        <f>'END Jul 2021'!G11</f>
        <v>42916</v>
      </c>
      <c r="C17" s="181">
        <f>91*'END Jul 2021'!M11/100</f>
        <v>85.846090909090904</v>
      </c>
      <c r="D17" s="181">
        <f>$C$5*'END Jul 2021'!N11/100</f>
        <v>342.27272727272725</v>
      </c>
      <c r="E17" s="182">
        <v>0</v>
      </c>
      <c r="F17" s="181">
        <v>0</v>
      </c>
      <c r="G17" s="181">
        <v>0</v>
      </c>
      <c r="H17" s="183">
        <f t="shared" si="0"/>
        <v>428.11881818181814</v>
      </c>
      <c r="I17" s="202">
        <f t="shared" si="1"/>
        <v>1883.7228</v>
      </c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</row>
    <row r="18" spans="1:33" x14ac:dyDescent="0.3">
      <c r="A18" s="179" t="str">
        <f>'END Jul 2021'!K12</f>
        <v>Powershop</v>
      </c>
      <c r="B18" s="180">
        <f>'END Jul 2021'!G12</f>
        <v>42916</v>
      </c>
      <c r="C18" s="181">
        <f>91*'END Jul 2021'!M12/100</f>
        <v>95.549999999999983</v>
      </c>
      <c r="D18" s="181">
        <f>$C$5*'END Jul 2021'!N12/100</f>
        <v>329.99999999999994</v>
      </c>
      <c r="E18" s="182">
        <v>0</v>
      </c>
      <c r="F18" s="181">
        <v>0</v>
      </c>
      <c r="G18" s="181">
        <v>0</v>
      </c>
      <c r="H18" s="183">
        <f t="shared" si="0"/>
        <v>425.54999999999995</v>
      </c>
      <c r="I18" s="202">
        <f t="shared" si="1"/>
        <v>1872.4199999999998</v>
      </c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</row>
    <row r="19" spans="1:33" x14ac:dyDescent="0.3">
      <c r="A19" s="179" t="str">
        <f>'END Jul 2021'!K13</f>
        <v>Red Energy</v>
      </c>
      <c r="B19" s="180">
        <f>'END Jul 2021'!G13</f>
        <v>42916</v>
      </c>
      <c r="C19" s="181">
        <f>91*'END Jul 2021'!M13/100</f>
        <v>81.991</v>
      </c>
      <c r="D19" s="181">
        <f>$C$5*'END Jul 2021'!N13/100</f>
        <v>341.99999999999994</v>
      </c>
      <c r="E19" s="182">
        <v>0</v>
      </c>
      <c r="F19" s="181">
        <v>0</v>
      </c>
      <c r="G19" s="181">
        <v>0</v>
      </c>
      <c r="H19" s="183">
        <f t="shared" si="0"/>
        <v>423.99099999999993</v>
      </c>
      <c r="I19" s="202">
        <f t="shared" si="1"/>
        <v>1865.5603999999998</v>
      </c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</row>
    <row r="20" spans="1:33" x14ac:dyDescent="0.3">
      <c r="A20" s="179" t="str">
        <f>'END Jul 2021'!K14</f>
        <v>Simply Energy</v>
      </c>
      <c r="B20" s="180">
        <f>'END Jul 2021'!G14</f>
        <v>42916</v>
      </c>
      <c r="C20" s="181">
        <f>91*'END Jul 2021'!M14/100</f>
        <v>74.611727272727265</v>
      </c>
      <c r="D20" s="181">
        <f>IF($C$5&lt;='END Jul 2021'!P14,($C$5*'END Jul 2021'!N14/100),('END Jul 2021'!P14*'END Jul 2021'!N14/100))</f>
        <v>302.40127272727273</v>
      </c>
      <c r="E20" s="182">
        <v>0</v>
      </c>
      <c r="F20" s="181">
        <v>0</v>
      </c>
      <c r="G20" s="181">
        <f>IF(($C$5&lt;'END Jul 2021'!R14),(0),($C$5-'END Jul 2021'!R14)*'END Jul 2021'!S14/100)</f>
        <v>56.499999999999993</v>
      </c>
      <c r="H20" s="183">
        <f t="shared" si="0"/>
        <v>433.51299999999998</v>
      </c>
      <c r="I20" s="202">
        <f t="shared" si="1"/>
        <v>1907.4572000000001</v>
      </c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</row>
    <row r="21" spans="1:33" x14ac:dyDescent="0.3">
      <c r="A21" s="179" t="str">
        <f>'END Jul 2021'!K15</f>
        <v>1st Energy</v>
      </c>
      <c r="B21" s="180">
        <f>'END Jul 2021'!G15</f>
        <v>42916</v>
      </c>
      <c r="C21" s="181">
        <f>91*'END Jul 2021'!M15/100</f>
        <v>90.999999999999986</v>
      </c>
      <c r="D21" s="181">
        <f>IF($C$5&lt;='END Jul 2021'!P15,($C$5*'END Jul 2021'!N15/100),('END Jul 2021'!P15*'END Jul 2021'!N15/100))</f>
        <v>301.7863636363636</v>
      </c>
      <c r="E21" s="182">
        <v>0</v>
      </c>
      <c r="F21" s="181">
        <v>0</v>
      </c>
      <c r="G21" s="181">
        <f>IF(($C$5&lt;'END Jul 2021'!R15),(0),($C$5-'END Jul 2021'!R15)*'END Jul 2021'!S15/100)</f>
        <v>39.15</v>
      </c>
      <c r="H21" s="183">
        <f t="shared" si="0"/>
        <v>431.93636363636358</v>
      </c>
      <c r="I21" s="202">
        <f t="shared" si="1"/>
        <v>1900.52</v>
      </c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</row>
    <row r="22" spans="1:33" x14ac:dyDescent="0.3">
      <c r="A22" s="179" t="str">
        <f>'END Jul 2021'!K16</f>
        <v>ReAmped Energy</v>
      </c>
      <c r="B22" s="180">
        <f>'END Jul 2021'!G16</f>
        <v>42916</v>
      </c>
      <c r="C22" s="181">
        <f>91*'END Jul 2021'!M16/100</f>
        <v>104.64999999999998</v>
      </c>
      <c r="D22" s="181">
        <f>$C$5*'END Jul 2021'!N16/100</f>
        <v>316.49999999999994</v>
      </c>
      <c r="E22" s="182">
        <v>0</v>
      </c>
      <c r="F22" s="181">
        <v>0</v>
      </c>
      <c r="G22" s="181">
        <v>0</v>
      </c>
      <c r="H22" s="183">
        <f t="shared" si="0"/>
        <v>421.14999999999992</v>
      </c>
      <c r="I22" s="202">
        <f t="shared" si="1"/>
        <v>1853.0599999999997</v>
      </c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</row>
    <row r="23" spans="1:33" x14ac:dyDescent="0.3">
      <c r="A23" s="179" t="str">
        <f>'END Jul 2021'!K17</f>
        <v>Enova Energy</v>
      </c>
      <c r="B23" s="180">
        <f>'END Jul 2021'!G17</f>
        <v>42978</v>
      </c>
      <c r="C23" s="181">
        <f>91*'END Jul 2021'!M17/100</f>
        <v>73.627272727272725</v>
      </c>
      <c r="D23" s="181">
        <f>$C$5*'END Jul 2021'!N17/100</f>
        <v>357.27272727272725</v>
      </c>
      <c r="E23" s="182">
        <v>0</v>
      </c>
      <c r="F23" s="181">
        <v>0</v>
      </c>
      <c r="G23" s="181">
        <v>0</v>
      </c>
      <c r="H23" s="183">
        <f t="shared" si="0"/>
        <v>430.9</v>
      </c>
      <c r="I23" s="202">
        <f t="shared" si="1"/>
        <v>1895.96</v>
      </c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</row>
    <row r="24" spans="1:33" x14ac:dyDescent="0.3">
      <c r="A24" s="179" t="str">
        <f>'END Jul 2021'!K18</f>
        <v>Discover Energy</v>
      </c>
      <c r="B24" s="180">
        <f>'END Jul 2021'!G18</f>
        <v>42916</v>
      </c>
      <c r="C24" s="181">
        <f>91*'END Jul 2021'!M18/100</f>
        <v>58.802545454545445</v>
      </c>
      <c r="D24" s="181">
        <f>$C$5*'END Jul 2021'!N18/100</f>
        <v>371.72727272727275</v>
      </c>
      <c r="E24" s="182">
        <v>0</v>
      </c>
      <c r="F24" s="181">
        <v>0</v>
      </c>
      <c r="G24" s="181">
        <v>0</v>
      </c>
      <c r="H24" s="183">
        <f t="shared" si="0"/>
        <v>430.5298181818182</v>
      </c>
      <c r="I24" s="202">
        <f t="shared" si="1"/>
        <v>1894.3312000000003</v>
      </c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</row>
    <row r="25" spans="1:33" x14ac:dyDescent="0.3">
      <c r="A25" s="179" t="str">
        <f>'END Jul 2021'!K19</f>
        <v>Future X Power</v>
      </c>
      <c r="B25" s="180">
        <f>'END Jul 2021'!G19</f>
        <v>42916</v>
      </c>
      <c r="C25" s="181">
        <f>91*'END Jul 2021'!M19/100</f>
        <v>83.662090909090892</v>
      </c>
      <c r="D25" s="181">
        <f>$C$5*'END Jul 2021'!N19/100</f>
        <v>344.72727272727275</v>
      </c>
      <c r="E25" s="182">
        <v>0</v>
      </c>
      <c r="F25" s="181">
        <v>0</v>
      </c>
      <c r="G25" s="181">
        <v>0</v>
      </c>
      <c r="H25" s="183">
        <f t="shared" si="0"/>
        <v>428.38936363636367</v>
      </c>
      <c r="I25" s="202">
        <f t="shared" si="1"/>
        <v>1884.9132000000002</v>
      </c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</row>
    <row r="26" spans="1:33" x14ac:dyDescent="0.3">
      <c r="A26" s="179" t="str">
        <f>'END Jul 2021'!K20</f>
        <v>Nectr</v>
      </c>
      <c r="B26" s="180">
        <f>'END Jul 2021'!G20</f>
        <v>42936</v>
      </c>
      <c r="C26" s="181">
        <f>91*'END Jul 2021'!M20/100</f>
        <v>72.526999999999987</v>
      </c>
      <c r="D26" s="181">
        <f>$C$5*'END Jul 2021'!N20/100</f>
        <v>358.5</v>
      </c>
      <c r="E26" s="182">
        <v>0</v>
      </c>
      <c r="F26" s="181">
        <v>0</v>
      </c>
      <c r="G26" s="181">
        <v>0</v>
      </c>
      <c r="H26" s="183">
        <f t="shared" si="0"/>
        <v>431.02699999999999</v>
      </c>
      <c r="I26" s="202">
        <f t="shared" si="1"/>
        <v>1896.5188000000001</v>
      </c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</row>
    <row r="27" spans="1:33" x14ac:dyDescent="0.3">
      <c r="A27" s="179" t="str">
        <f>'END Jul 2021'!K21</f>
        <v>OVO Energy</v>
      </c>
      <c r="B27" s="180">
        <f>'END Jul 2021'!G21</f>
        <v>42916</v>
      </c>
      <c r="C27" s="181">
        <f>91*'END Jul 2021'!M21/100</f>
        <v>76.530999999999992</v>
      </c>
      <c r="D27" s="181">
        <f>$C$5*'END Jul 2021'!N21/100</f>
        <v>345.13636363636351</v>
      </c>
      <c r="E27" s="182">
        <v>0</v>
      </c>
      <c r="F27" s="181">
        <v>0</v>
      </c>
      <c r="G27" s="181">
        <v>0</v>
      </c>
      <c r="H27" s="183">
        <f t="shared" si="0"/>
        <v>421.66736363636352</v>
      </c>
      <c r="I27" s="202">
        <f t="shared" si="1"/>
        <v>1855.3363999999997</v>
      </c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</row>
    <row r="28" spans="1:33" x14ac:dyDescent="0.3">
      <c r="A28" s="179" t="str">
        <f>'END Jul 2021'!K22</f>
        <v>Sumo Power</v>
      </c>
      <c r="B28" s="180">
        <f>'END Jul 2021'!G22</f>
        <v>43007</v>
      </c>
      <c r="C28" s="181">
        <f>91*'END Jul 2021'!M22/100</f>
        <v>78.259999999999991</v>
      </c>
      <c r="D28" s="181">
        <f>$C$5*'END Jul 2021'!N22/100</f>
        <v>286.50000000000006</v>
      </c>
      <c r="E28" s="182">
        <v>0</v>
      </c>
      <c r="F28" s="181">
        <v>0</v>
      </c>
      <c r="G28" s="181">
        <v>0</v>
      </c>
      <c r="H28" s="183">
        <f t="shared" si="0"/>
        <v>364.76000000000005</v>
      </c>
      <c r="I28" s="202">
        <f t="shared" si="1"/>
        <v>1604.9440000000004</v>
      </c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</row>
    <row r="29" spans="1:33" x14ac:dyDescent="0.3">
      <c r="A29" s="179" t="str">
        <f>'END Jul 2021'!K23</f>
        <v>Tango Energy</v>
      </c>
      <c r="B29" s="180">
        <f>'END Jul 2021'!G23</f>
        <v>42916</v>
      </c>
      <c r="C29" s="181">
        <f>91*'END Jul 2021'!M23/100</f>
        <v>83.628999999999991</v>
      </c>
      <c r="D29" s="181">
        <f>$C$5*'END Jul 2021'!N23/100</f>
        <v>345</v>
      </c>
      <c r="E29" s="182">
        <v>0</v>
      </c>
      <c r="F29" s="181">
        <v>0</v>
      </c>
      <c r="G29" s="181">
        <v>0</v>
      </c>
      <c r="H29" s="183">
        <f t="shared" si="0"/>
        <v>428.62900000000002</v>
      </c>
      <c r="I29" s="202">
        <f t="shared" si="1"/>
        <v>1885.9676000000002</v>
      </c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</row>
    <row r="30" spans="1:33" x14ac:dyDescent="0.3">
      <c r="A30" s="179" t="str">
        <f>'END Jul 2021'!K24</f>
        <v>GloBird</v>
      </c>
      <c r="B30" s="180">
        <f>'END Jul 2021'!G24</f>
        <v>42915</v>
      </c>
      <c r="C30" s="181">
        <f>91*'END Jul 2021'!M24/100</f>
        <v>109.19999999999999</v>
      </c>
      <c r="D30" s="181">
        <f>IF($C$5&lt;='END Jul 2021'!P24,($C$5*'END Jul 2021'!N24/100),('END Jul 2021'!P24*'END Jul 2021'!N24/100))</f>
        <v>313.49999999999994</v>
      </c>
      <c r="E30" s="182">
        <v>0</v>
      </c>
      <c r="F30" s="181">
        <v>0</v>
      </c>
      <c r="G30" s="181">
        <f>IF(($C$5&lt;'END Jul 2021'!R24),(0),($C$5-'END Jul 2021'!R24)*'END Jul 2021'!S24/100)</f>
        <v>0</v>
      </c>
      <c r="H30" s="183">
        <f t="shared" ref="H30:H31" si="2">SUM(C30:G30)</f>
        <v>422.69999999999993</v>
      </c>
      <c r="I30" s="202">
        <f t="shared" ref="I30:I31" si="3">(H30*4)*1.1</f>
        <v>1859.8799999999999</v>
      </c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</row>
    <row r="31" spans="1:33" ht="14" thickBot="1" x14ac:dyDescent="0.35">
      <c r="A31" s="184" t="str">
        <f>'END Jul 2021'!K25</f>
        <v>Social Energy</v>
      </c>
      <c r="B31" s="185">
        <f>'END Jul 2021'!G25</f>
        <v>42973</v>
      </c>
      <c r="C31" s="186">
        <f>91*'END Jul 2021'!M25/100</f>
        <v>72.8</v>
      </c>
      <c r="D31" s="186">
        <f>$C$5*'END Jul 2021'!N25/100</f>
        <v>316.77272727272725</v>
      </c>
      <c r="E31" s="187">
        <v>0</v>
      </c>
      <c r="F31" s="186">
        <v>0</v>
      </c>
      <c r="G31" s="186">
        <v>0</v>
      </c>
      <c r="H31" s="188">
        <f t="shared" si="2"/>
        <v>389.57272727272726</v>
      </c>
      <c r="I31" s="203">
        <f t="shared" si="3"/>
        <v>1714.1200000000001</v>
      </c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</row>
    <row r="32" spans="1:33" customFormat="1" x14ac:dyDescent="0.3">
      <c r="A32" s="325"/>
      <c r="B32" s="325"/>
      <c r="C32" s="325"/>
      <c r="D32" s="325"/>
      <c r="E32" s="325"/>
      <c r="F32" s="325"/>
      <c r="G32" s="325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</row>
    <row r="33" spans="1:33" customFormat="1" ht="14" thickBot="1" x14ac:dyDescent="0.35">
      <c r="A33" s="325"/>
      <c r="B33" s="325"/>
      <c r="C33" s="325"/>
      <c r="D33" s="325"/>
      <c r="E33" s="325"/>
      <c r="F33" s="325"/>
      <c r="G33" s="325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</row>
    <row r="34" spans="1:33" ht="14" x14ac:dyDescent="0.3">
      <c r="A34" s="176" t="s">
        <v>89</v>
      </c>
      <c r="B34" s="91"/>
      <c r="C34" s="91"/>
      <c r="D34" s="91"/>
      <c r="E34" s="91"/>
      <c r="F34" s="91"/>
      <c r="G34" s="91"/>
      <c r="H34" s="91"/>
      <c r="I34" s="177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</row>
    <row r="35" spans="1:33" ht="14" x14ac:dyDescent="0.3">
      <c r="A35" s="92" t="s">
        <v>79</v>
      </c>
      <c r="B35" s="93"/>
      <c r="C35" s="168">
        <v>2000</v>
      </c>
      <c r="D35" s="93"/>
      <c r="E35" s="93"/>
      <c r="F35" s="93"/>
      <c r="G35" s="93"/>
      <c r="H35" s="93"/>
      <c r="I35" s="178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</row>
    <row r="36" spans="1:33" ht="14" x14ac:dyDescent="0.3">
      <c r="A36" s="92" t="s">
        <v>91</v>
      </c>
      <c r="B36" s="93"/>
      <c r="C36" s="257">
        <v>0.7</v>
      </c>
      <c r="D36" s="93"/>
      <c r="E36" s="93"/>
      <c r="F36" s="93"/>
      <c r="G36" s="93"/>
      <c r="H36" s="93"/>
      <c r="I36" s="178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  <c r="AA36" s="325"/>
      <c r="AB36" s="325"/>
      <c r="AC36" s="325"/>
      <c r="AD36" s="325"/>
      <c r="AE36" s="325"/>
      <c r="AF36" s="325"/>
      <c r="AG36" s="325"/>
    </row>
    <row r="37" spans="1:33" ht="14" x14ac:dyDescent="0.3">
      <c r="A37" s="92" t="s">
        <v>92</v>
      </c>
      <c r="B37" s="93"/>
      <c r="C37" s="257">
        <v>0.3</v>
      </c>
      <c r="D37" s="93"/>
      <c r="E37" s="93"/>
      <c r="F37" s="93"/>
      <c r="G37" s="93"/>
      <c r="H37" s="93"/>
      <c r="I37" s="178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A37" s="325"/>
      <c r="AB37" s="325"/>
      <c r="AC37" s="325"/>
      <c r="AD37" s="325"/>
      <c r="AE37" s="325"/>
      <c r="AF37" s="325"/>
      <c r="AG37" s="325"/>
    </row>
    <row r="38" spans="1:33" ht="14" x14ac:dyDescent="0.3">
      <c r="A38" s="92"/>
      <c r="B38" s="93"/>
      <c r="C38" s="93"/>
      <c r="D38" s="93"/>
      <c r="E38" s="93"/>
      <c r="F38" s="93"/>
      <c r="G38" s="93"/>
      <c r="H38" s="93"/>
      <c r="I38" s="178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5"/>
      <c r="AC38" s="325"/>
      <c r="AD38" s="325"/>
      <c r="AE38" s="325"/>
      <c r="AF38" s="325"/>
      <c r="AG38" s="325"/>
    </row>
    <row r="39" spans="1:33" ht="28" x14ac:dyDescent="0.3">
      <c r="A39" s="301" t="s">
        <v>80</v>
      </c>
      <c r="B39" s="298" t="s">
        <v>81</v>
      </c>
      <c r="C39" s="298" t="s">
        <v>82</v>
      </c>
      <c r="D39" s="298" t="s">
        <v>83</v>
      </c>
      <c r="E39" s="298" t="s">
        <v>84</v>
      </c>
      <c r="F39" s="298" t="s">
        <v>86</v>
      </c>
      <c r="G39" s="298" t="s">
        <v>93</v>
      </c>
      <c r="H39" s="298" t="s">
        <v>87</v>
      </c>
      <c r="I39" s="300" t="s">
        <v>88</v>
      </c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325"/>
      <c r="AE39" s="325"/>
      <c r="AF39" s="325"/>
      <c r="AG39" s="325"/>
    </row>
    <row r="40" spans="1:33" x14ac:dyDescent="0.3">
      <c r="A40" s="179" t="str">
        <f>'END Jul 2021'!K26</f>
        <v>AGL</v>
      </c>
      <c r="B40" s="180">
        <f>'END Jul 2021'!G26</f>
        <v>42928</v>
      </c>
      <c r="C40" s="181">
        <f>91*'END Jul 2021'!M26/100</f>
        <v>91.306090909090912</v>
      </c>
      <c r="D40" s="181">
        <f>($C$35*$C$36)*'END Jul 2021'!N26/100</f>
        <v>319.45454545454544</v>
      </c>
      <c r="E40" s="182">
        <v>0</v>
      </c>
      <c r="F40" s="181">
        <v>0</v>
      </c>
      <c r="G40" s="181">
        <f>($C$35*$C$37)*'END Jul 2021'!AE26/100</f>
        <v>75.218181818181804</v>
      </c>
      <c r="H40" s="183">
        <f t="shared" ref="H40:H60" si="4">SUM(C40:G40)</f>
        <v>485.97881818181816</v>
      </c>
      <c r="I40" s="202">
        <f t="shared" ref="I40:I60" si="5">(H40*4)*1.1</f>
        <v>2138.3067999999998</v>
      </c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  <c r="AA40" s="325"/>
      <c r="AB40" s="325"/>
      <c r="AC40" s="325"/>
      <c r="AD40" s="325"/>
      <c r="AE40" s="325"/>
      <c r="AF40" s="325"/>
      <c r="AG40" s="325"/>
    </row>
    <row r="41" spans="1:33" x14ac:dyDescent="0.3">
      <c r="A41" s="179" t="str">
        <f>'END Jul 2021'!K27</f>
        <v>Alinta Energy</v>
      </c>
      <c r="B41" s="180">
        <f>'END Jul 2021'!G27</f>
        <v>42916</v>
      </c>
      <c r="C41" s="181">
        <f>91*'END Jul 2021'!M27/100</f>
        <v>81.114090909090905</v>
      </c>
      <c r="D41" s="181">
        <f>($C$35*$C$36)*'END Jul 2021'!N27/100</f>
        <v>330.90909090909088</v>
      </c>
      <c r="E41" s="182">
        <v>0</v>
      </c>
      <c r="F41" s="181">
        <v>0</v>
      </c>
      <c r="G41" s="181">
        <f>($C$35*$C$37)*'END Jul 2021'!AE27/100</f>
        <v>63.927272727272729</v>
      </c>
      <c r="H41" s="183">
        <f t="shared" si="4"/>
        <v>475.95045454545453</v>
      </c>
      <c r="I41" s="202">
        <f t="shared" si="5"/>
        <v>2094.1820000000002</v>
      </c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</row>
    <row r="42" spans="1:33" x14ac:dyDescent="0.3">
      <c r="A42" s="179" t="str">
        <f>'END Jul 2021'!K28</f>
        <v>CovaU</v>
      </c>
      <c r="B42" s="180">
        <f>'END Jul 2021'!G28</f>
        <v>42916</v>
      </c>
      <c r="C42" s="181">
        <f>91*'END Jul 2021'!M28/100</f>
        <v>59.15</v>
      </c>
      <c r="D42" s="181">
        <f>($C$35*$C$36)*'END Jul 2021'!N28/100</f>
        <v>351.65454545454537</v>
      </c>
      <c r="E42" s="182">
        <v>0</v>
      </c>
      <c r="F42" s="181">
        <v>0</v>
      </c>
      <c r="G42" s="181">
        <f>($C$35*$C$37)*'END Jul 2021'!AE28/100</f>
        <v>65.999999999999986</v>
      </c>
      <c r="H42" s="183">
        <f t="shared" si="4"/>
        <v>476.80454545454535</v>
      </c>
      <c r="I42" s="202">
        <f t="shared" si="5"/>
        <v>2097.9399999999996</v>
      </c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</row>
    <row r="43" spans="1:33" x14ac:dyDescent="0.3">
      <c r="A43" s="179" t="str">
        <f>'END Jul 2021'!K29</f>
        <v>Diamond Energy</v>
      </c>
      <c r="B43" s="180">
        <f>'END Jul 2021'!G29</f>
        <v>42916</v>
      </c>
      <c r="C43" s="181">
        <f>91*'END Jul 2021'!M29/100</f>
        <v>76.894999999999996</v>
      </c>
      <c r="D43" s="181">
        <f>($C$35*$C$36)*'END Jul 2021'!N29/100</f>
        <v>330.4</v>
      </c>
      <c r="E43" s="182">
        <v>0</v>
      </c>
      <c r="F43" s="181">
        <v>0</v>
      </c>
      <c r="G43" s="181">
        <f>($C$35*$C$37)*'END Jul 2021'!AE29/100</f>
        <v>74.72727272727272</v>
      </c>
      <c r="H43" s="183">
        <f t="shared" si="4"/>
        <v>482.02227272727271</v>
      </c>
      <c r="I43" s="202">
        <f t="shared" si="5"/>
        <v>2120.8980000000001</v>
      </c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</row>
    <row r="44" spans="1:33" x14ac:dyDescent="0.3">
      <c r="A44" s="179" t="str">
        <f>'END Jul 2021'!K30</f>
        <v>Dodo Power &amp; Gas</v>
      </c>
      <c r="B44" s="180">
        <f>'END Jul 2021'!G30</f>
        <v>42916</v>
      </c>
      <c r="C44" s="181">
        <f>91*'END Jul 2021'!M30/100</f>
        <v>95.549999999999983</v>
      </c>
      <c r="D44" s="181">
        <f>($C$35*$C$36)*'END Jul 2021'!N30/100</f>
        <v>300.99999999999994</v>
      </c>
      <c r="E44" s="182">
        <v>0</v>
      </c>
      <c r="F44" s="181">
        <v>0</v>
      </c>
      <c r="G44" s="181">
        <f>($C$35*$C$37)*'END Jul 2021'!AE30/100</f>
        <v>89.127272727272725</v>
      </c>
      <c r="H44" s="183">
        <f t="shared" si="4"/>
        <v>485.67727272727268</v>
      </c>
      <c r="I44" s="202">
        <f t="shared" si="5"/>
        <v>2136.98</v>
      </c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</row>
    <row r="45" spans="1:33" x14ac:dyDescent="0.3">
      <c r="A45" s="179" t="str">
        <f>'END Jul 2021'!K31</f>
        <v>EnergyAustralia</v>
      </c>
      <c r="B45" s="180">
        <f>'END Jul 2021'!G31</f>
        <v>42916</v>
      </c>
      <c r="C45" s="181">
        <f>91*'END Jul 2021'!M31/100</f>
        <v>73.709999999999994</v>
      </c>
      <c r="D45" s="181">
        <f>($C$35*$C$36)*'END Jul 2021'!N31/100</f>
        <v>335.49090909090904</v>
      </c>
      <c r="E45" s="182">
        <v>0</v>
      </c>
      <c r="F45" s="181">
        <v>0</v>
      </c>
      <c r="G45" s="181">
        <f>($C$35*$C$37)*'END Jul 2021'!AE31/100</f>
        <v>70.418181818181822</v>
      </c>
      <c r="H45" s="183">
        <f t="shared" si="4"/>
        <v>479.61909090909086</v>
      </c>
      <c r="I45" s="202">
        <f t="shared" si="5"/>
        <v>2110.3240000000001</v>
      </c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5"/>
      <c r="AC45" s="325"/>
      <c r="AD45" s="325"/>
      <c r="AE45" s="325"/>
      <c r="AF45" s="325"/>
      <c r="AG45" s="325"/>
    </row>
    <row r="46" spans="1:33" x14ac:dyDescent="0.3">
      <c r="A46" s="179" t="str">
        <f>'END Jul 2021'!K32</f>
        <v>Mojo Power</v>
      </c>
      <c r="B46" s="180">
        <f>'END Jul 2021'!G32</f>
        <v>42916</v>
      </c>
      <c r="C46" s="181">
        <f>91*'END Jul 2021'!M32/100</f>
        <v>91.148909090909086</v>
      </c>
      <c r="D46" s="181">
        <f>($C$35*$C$36)*'END Jul 2021'!N32/100</f>
        <v>295.39999999999998</v>
      </c>
      <c r="E46" s="182">
        <v>0</v>
      </c>
      <c r="F46" s="181">
        <v>0</v>
      </c>
      <c r="G46" s="181">
        <f>($C$35*$C$37)*'END Jul 2021'!AE32/100</f>
        <v>100.25454545454544</v>
      </c>
      <c r="H46" s="183">
        <f t="shared" si="4"/>
        <v>486.80345454545454</v>
      </c>
      <c r="I46" s="202">
        <f t="shared" si="5"/>
        <v>2141.9352000000003</v>
      </c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</row>
    <row r="47" spans="1:33" x14ac:dyDescent="0.3">
      <c r="A47" s="179" t="str">
        <f>'END Jul 2021'!K33</f>
        <v>Momentum Energy</v>
      </c>
      <c r="B47" s="180">
        <f>'END Jul 2021'!G33</f>
        <v>42916</v>
      </c>
      <c r="C47" s="181">
        <f>91*'END Jul 2021'!M33/100</f>
        <v>91.355727272727279</v>
      </c>
      <c r="D47" s="181">
        <f>($C$35*$C$36)*'END Jul 2021'!N33/100</f>
        <v>322.89090909090908</v>
      </c>
      <c r="E47" s="182">
        <v>0</v>
      </c>
      <c r="F47" s="181">
        <v>0</v>
      </c>
      <c r="G47" s="181">
        <f>($C$35*$C$37)*'END Jul 2021'!AE33/100</f>
        <v>72.218181818181804</v>
      </c>
      <c r="H47" s="183">
        <f t="shared" si="4"/>
        <v>486.46481818181815</v>
      </c>
      <c r="I47" s="202">
        <f t="shared" si="5"/>
        <v>2140.4452000000001</v>
      </c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</row>
    <row r="48" spans="1:33" x14ac:dyDescent="0.3">
      <c r="A48" s="179" t="str">
        <f>'END Jul 2021'!K34</f>
        <v>Origin Energy</v>
      </c>
      <c r="B48" s="180">
        <f>'END Jul 2021'!G34</f>
        <v>42916</v>
      </c>
      <c r="C48" s="181">
        <f>91*'END Jul 2021'!M34/100</f>
        <v>81.24645454545454</v>
      </c>
      <c r="D48" s="181">
        <f>($C$35*$C$36)*'END Jul 2021'!N34/100</f>
        <v>331.38</v>
      </c>
      <c r="E48" s="182">
        <v>0</v>
      </c>
      <c r="F48" s="181">
        <v>0</v>
      </c>
      <c r="G48" s="181">
        <f>($C$35*$C$37)*'END Jul 2021'!AE34/100</f>
        <v>74.7</v>
      </c>
      <c r="H48" s="183">
        <f t="shared" si="4"/>
        <v>487.32645454545451</v>
      </c>
      <c r="I48" s="202">
        <f t="shared" si="5"/>
        <v>2144.2364000000002</v>
      </c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</row>
    <row r="49" spans="1:1344" x14ac:dyDescent="0.3">
      <c r="A49" s="179" t="str">
        <f>'END Jul 2021'!K35</f>
        <v>Powerdirect</v>
      </c>
      <c r="B49" s="180">
        <f>'END Jul 2021'!G35</f>
        <v>42916</v>
      </c>
      <c r="C49" s="181">
        <f>91*'END Jul 2021'!M35/100</f>
        <v>91.306090909090912</v>
      </c>
      <c r="D49" s="181">
        <f>($C$35*$C$36)*'END Jul 2021'!N35/100</f>
        <v>319.45454545454544</v>
      </c>
      <c r="E49" s="182">
        <v>0</v>
      </c>
      <c r="F49" s="181">
        <v>0</v>
      </c>
      <c r="G49" s="181">
        <f>($C$35*$C$37)*'END Jul 2021'!AE35/100</f>
        <v>75.218181818181804</v>
      </c>
      <c r="H49" s="183">
        <f t="shared" si="4"/>
        <v>485.97881818181816</v>
      </c>
      <c r="I49" s="202">
        <f t="shared" si="5"/>
        <v>2138.3067999999998</v>
      </c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325"/>
      <c r="AE49" s="325"/>
      <c r="AF49" s="325"/>
      <c r="AG49" s="325"/>
    </row>
    <row r="50" spans="1:1344" x14ac:dyDescent="0.3">
      <c r="A50" s="179" t="str">
        <f>'END Jul 2021'!K36</f>
        <v>Powershop</v>
      </c>
      <c r="B50" s="180">
        <f>'END Jul 2021'!G36</f>
        <v>42916</v>
      </c>
      <c r="C50" s="181">
        <f>91*'END Jul 2021'!M36/100</f>
        <v>101.00999999999998</v>
      </c>
      <c r="D50" s="181">
        <f>($C$35*$C$36)*'END Jul 2021'!N36/100</f>
        <v>307.99999999999994</v>
      </c>
      <c r="E50" s="182">
        <v>0</v>
      </c>
      <c r="F50" s="181">
        <v>0</v>
      </c>
      <c r="G50" s="181">
        <f>($C$35*$C$37)*'END Jul 2021'!AE36/100</f>
        <v>71.999999999999986</v>
      </c>
      <c r="H50" s="183">
        <f t="shared" si="4"/>
        <v>481.00999999999993</v>
      </c>
      <c r="I50" s="202">
        <f t="shared" si="5"/>
        <v>2116.444</v>
      </c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C50" s="325"/>
      <c r="AD50" s="325"/>
      <c r="AE50" s="325"/>
      <c r="AF50" s="325"/>
      <c r="AG50" s="325"/>
    </row>
    <row r="51" spans="1:1344" x14ac:dyDescent="0.3">
      <c r="A51" s="179" t="str">
        <f>'END Jul 2021'!K37</f>
        <v>Red Energy</v>
      </c>
      <c r="B51" s="180">
        <f>'END Jul 2021'!G37</f>
        <v>42916</v>
      </c>
      <c r="C51" s="181">
        <f>91*'END Jul 2021'!M37/100</f>
        <v>81.991</v>
      </c>
      <c r="D51" s="181">
        <f>($C$35*$C$36)*'END Jul 2021'!N37/100</f>
        <v>319.2</v>
      </c>
      <c r="E51" s="182">
        <v>0</v>
      </c>
      <c r="F51" s="181">
        <v>0</v>
      </c>
      <c r="G51" s="181">
        <f>($C$35*$C$37)*'END Jul 2021'!AE37/100</f>
        <v>84</v>
      </c>
      <c r="H51" s="183">
        <f t="shared" si="4"/>
        <v>485.19099999999997</v>
      </c>
      <c r="I51" s="202">
        <f t="shared" si="5"/>
        <v>2134.8404</v>
      </c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5"/>
      <c r="AG51" s="325"/>
    </row>
    <row r="52" spans="1:1344" x14ac:dyDescent="0.3">
      <c r="A52" s="179" t="str">
        <f>'END Jul 2021'!K38</f>
        <v>Simply Energy</v>
      </c>
      <c r="B52" s="180">
        <f>'END Jul 2021'!G38</f>
        <v>42916</v>
      </c>
      <c r="C52" s="181">
        <f>91*'END Jul 2021'!M38/100</f>
        <v>77.796727272727267</v>
      </c>
      <c r="D52" s="181">
        <f>IF($C$35*$C$36&gt;='END Jul 2021'!P38,('END Jul 2021'!P38*'END Jul 2021'!N38/100),(($C$35*$C$36)*'END Jul 2021'!N38/100))</f>
        <v>302.40127272727273</v>
      </c>
      <c r="E52" s="182">
        <v>0</v>
      </c>
      <c r="F52" s="181">
        <f>IF(($C$35*$C$36&lt;'END Jul 2021'!R38),(0),($C$35*$C$36-'END Jul 2021'!R38)*'END Jul 2021'!S38/100)</f>
        <v>31.499999999999996</v>
      </c>
      <c r="G52" s="181">
        <f>($C$35*$C$37)*'END Jul 2021'!AE38/100</f>
        <v>77.236363636363635</v>
      </c>
      <c r="H52" s="183">
        <f t="shared" si="4"/>
        <v>488.93436363636363</v>
      </c>
      <c r="I52" s="202">
        <f t="shared" si="5"/>
        <v>2151.3112000000001</v>
      </c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</row>
    <row r="53" spans="1:1344" x14ac:dyDescent="0.3">
      <c r="A53" s="179" t="str">
        <f>'END Jul 2021'!K39</f>
        <v>1st Energy</v>
      </c>
      <c r="B53" s="180">
        <f>'END Jul 2021'!G39</f>
        <v>42916</v>
      </c>
      <c r="C53" s="181">
        <f>91*'END Jul 2021'!M39/100</f>
        <v>95.549999999999983</v>
      </c>
      <c r="D53" s="181">
        <f>IF($C$35*$C$36&gt;='END Jul 2021'!P39,('END Jul 2021'!P39*'END Jul 2021'!N39/100),(($C$35*$C$36)*'END Jul 2021'!N39/100))</f>
        <v>301.7863636363636</v>
      </c>
      <c r="E53" s="182">
        <v>0</v>
      </c>
      <c r="F53" s="181">
        <f>IF(($C$35*$C$36&lt;'END Jul 2021'!R39),(0),($C$35*$C$36-'END Jul 2021'!R39)*'END Jul 2021'!S39/100)</f>
        <v>13.05</v>
      </c>
      <c r="G53" s="181">
        <f>($C$35*$C$37)*'END Jul 2021'!AE39/100</f>
        <v>67.8</v>
      </c>
      <c r="H53" s="183">
        <f t="shared" si="4"/>
        <v>478.18636363636358</v>
      </c>
      <c r="I53" s="202">
        <f t="shared" si="5"/>
        <v>2104.02</v>
      </c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</row>
    <row r="54" spans="1:1344" x14ac:dyDescent="0.3">
      <c r="A54" s="179" t="str">
        <f>'END Jul 2021'!K40</f>
        <v>ReAmped Energy</v>
      </c>
      <c r="B54" s="180">
        <f>'END Jul 2021'!G40</f>
        <v>42916</v>
      </c>
      <c r="C54" s="181">
        <f>91*'END Jul 2021'!M40/100</f>
        <v>87.417909090909092</v>
      </c>
      <c r="D54" s="181">
        <f>($C$35*$C$36)*'END Jul 2021'!N40/100</f>
        <v>295.39999999999998</v>
      </c>
      <c r="E54" s="182">
        <v>0</v>
      </c>
      <c r="F54" s="181">
        <v>0</v>
      </c>
      <c r="G54" s="181">
        <f>($C$35*$C$37)*'END Jul 2021'!AE40/100</f>
        <v>101.99999999999999</v>
      </c>
      <c r="H54" s="183">
        <f t="shared" si="4"/>
        <v>484.8179090909091</v>
      </c>
      <c r="I54" s="202">
        <f t="shared" si="5"/>
        <v>2133.1988000000001</v>
      </c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</row>
    <row r="55" spans="1:1344" x14ac:dyDescent="0.3">
      <c r="A55" s="179" t="str">
        <f>'END Jul 2021'!K41</f>
        <v>Enova Energy</v>
      </c>
      <c r="B55" s="180">
        <f>'END Jul 2021'!G41</f>
        <v>42978</v>
      </c>
      <c r="C55" s="181">
        <f>91*'END Jul 2021'!M41/100</f>
        <v>73.627272727272725</v>
      </c>
      <c r="D55" s="181">
        <f>($C$35*$C$36)*'END Jul 2021'!N41/100</f>
        <v>333.45454545454544</v>
      </c>
      <c r="E55" s="182">
        <v>0</v>
      </c>
      <c r="F55" s="181">
        <v>0</v>
      </c>
      <c r="G55" s="181">
        <f>($C$35*$C$37)*'END Jul 2021'!AE41/100</f>
        <v>81.818181818181813</v>
      </c>
      <c r="H55" s="183">
        <f t="shared" si="4"/>
        <v>488.9</v>
      </c>
      <c r="I55" s="202">
        <f t="shared" si="5"/>
        <v>2151.16</v>
      </c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</row>
    <row r="56" spans="1:1344" x14ac:dyDescent="0.3">
      <c r="A56" s="179" t="str">
        <f>'END Jul 2021'!K42</f>
        <v>Discover Energy</v>
      </c>
      <c r="B56" s="180">
        <f>'END Jul 2021'!G42</f>
        <v>42916</v>
      </c>
      <c r="C56" s="181">
        <f>91*'END Jul 2021'!M42/100</f>
        <v>63.824090909090913</v>
      </c>
      <c r="D56" s="181">
        <f>($C$35*$C$36)*'END Jul 2021'!N42/100</f>
        <v>346.94545454545454</v>
      </c>
      <c r="E56" s="182">
        <v>0</v>
      </c>
      <c r="F56" s="181">
        <v>0</v>
      </c>
      <c r="G56" s="181">
        <f>($C$35*$C$37)*'END Jul 2021'!AE42/100</f>
        <v>74.563636363636348</v>
      </c>
      <c r="H56" s="183">
        <f t="shared" si="4"/>
        <v>485.3331818181818</v>
      </c>
      <c r="I56" s="202">
        <f t="shared" si="5"/>
        <v>2135.4659999999999</v>
      </c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</row>
    <row r="57" spans="1:1344" x14ac:dyDescent="0.3">
      <c r="A57" s="179" t="str">
        <f>'END Jul 2021'!K43</f>
        <v>Future X Power</v>
      </c>
      <c r="B57" s="180">
        <f>'END Jul 2021'!G43</f>
        <v>42916</v>
      </c>
      <c r="C57" s="181">
        <f>91*'END Jul 2021'!M43/100</f>
        <v>90.296818181818182</v>
      </c>
      <c r="D57" s="181">
        <f>($C$35*$C$36)*'END Jul 2021'!N43/100</f>
        <v>321.74545454545455</v>
      </c>
      <c r="E57" s="182">
        <v>0</v>
      </c>
      <c r="F57" s="181">
        <v>0</v>
      </c>
      <c r="G57" s="181">
        <f>($C$35*$C$37)*'END Jul 2021'!AE43/100</f>
        <v>80.781818181818181</v>
      </c>
      <c r="H57" s="183">
        <f t="shared" si="4"/>
        <v>492.82409090909096</v>
      </c>
      <c r="I57" s="202">
        <f t="shared" si="5"/>
        <v>2168.4260000000004</v>
      </c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</row>
    <row r="58" spans="1:1344" x14ac:dyDescent="0.3">
      <c r="A58" s="179" t="str">
        <f>'END Jul 2021'!K44</f>
        <v>Nectr</v>
      </c>
      <c r="B58" s="180">
        <f>'END Jul 2021'!G44</f>
        <v>42936</v>
      </c>
      <c r="C58" s="181">
        <f>91*'END Jul 2021'!M44/100</f>
        <v>72.526999999999987</v>
      </c>
      <c r="D58" s="181">
        <f>($C$35*$C$36)*'END Jul 2021'!N44/100</f>
        <v>334.6</v>
      </c>
      <c r="E58" s="182">
        <v>0</v>
      </c>
      <c r="F58" s="181">
        <v>0</v>
      </c>
      <c r="G58" s="181">
        <f>($C$35*$C$37)*'END Jul 2021'!AE44/100</f>
        <v>80.999999999999986</v>
      </c>
      <c r="H58" s="183">
        <f t="shared" si="4"/>
        <v>488.12700000000001</v>
      </c>
      <c r="I58" s="202">
        <f t="shared" si="5"/>
        <v>2147.7588000000001</v>
      </c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</row>
    <row r="59" spans="1:1344" x14ac:dyDescent="0.3">
      <c r="A59" s="179" t="str">
        <f>'END Jul 2021'!K45</f>
        <v>Sumo Power</v>
      </c>
      <c r="B59" s="180">
        <f>'END Jul 2021'!G45</f>
        <v>42973</v>
      </c>
      <c r="C59" s="181">
        <f>91*'END Jul 2021'!M45/100</f>
        <v>101.92</v>
      </c>
      <c r="D59" s="181">
        <f>($C$35*$C$36)*'END Jul 2021'!N45/100</f>
        <v>300.99999999999994</v>
      </c>
      <c r="E59" s="182">
        <v>0</v>
      </c>
      <c r="F59" s="181">
        <v>0</v>
      </c>
      <c r="G59" s="181">
        <f>($C$35*$C$37)*'END Jul 2021'!AE45/100</f>
        <v>82.8</v>
      </c>
      <c r="H59" s="183">
        <f t="shared" si="4"/>
        <v>485.71999999999997</v>
      </c>
      <c r="I59" s="202">
        <f t="shared" si="5"/>
        <v>2137.1680000000001</v>
      </c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</row>
    <row r="60" spans="1:1344" s="266" customFormat="1" x14ac:dyDescent="0.3">
      <c r="A60" s="179" t="str">
        <f>'END Jul 2021'!K46</f>
        <v>Tango Energy</v>
      </c>
      <c r="B60" s="180">
        <f>'END Jul 2021'!G46</f>
        <v>42916</v>
      </c>
      <c r="C60" s="181">
        <f>91*'END Jul 2021'!M46/100</f>
        <v>82.354999999999976</v>
      </c>
      <c r="D60" s="181">
        <f>($C$35*$C$36)*'END Jul 2021'!N46/100</f>
        <v>314.99999999999994</v>
      </c>
      <c r="E60" s="181">
        <v>0</v>
      </c>
      <c r="F60" s="181">
        <v>0</v>
      </c>
      <c r="G60" s="181">
        <f>($C$35*$C$37)*'END Jul 2021'!AE46/100</f>
        <v>89.999999999999986</v>
      </c>
      <c r="H60" s="183">
        <f t="shared" si="4"/>
        <v>487.3549999999999</v>
      </c>
      <c r="I60" s="202">
        <f t="shared" si="5"/>
        <v>2144.3619999999996</v>
      </c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</row>
    <row r="61" spans="1:1344" s="266" customFormat="1" x14ac:dyDescent="0.3">
      <c r="A61" s="179" t="str">
        <f>'END Jul 2021'!K47</f>
        <v>GloBird</v>
      </c>
      <c r="B61" s="180">
        <f>'END Jul 2021'!G47</f>
        <v>42915</v>
      </c>
      <c r="C61" s="181">
        <f>91*'END Jul 2021'!M47/100</f>
        <v>109.19999999999999</v>
      </c>
      <c r="D61" s="181">
        <f>IF($C$35*$C$36&gt;='END Jul 2021'!P47,('END Jul 2021'!P47*'END Jul 2021'!N47/100),(($C$35*$C$36)*'END Jul 2021'!N47/100))</f>
        <v>292.59999999999997</v>
      </c>
      <c r="E61" s="182">
        <v>0</v>
      </c>
      <c r="F61" s="181">
        <f>IF(($C$35*$C$36&lt;'END Jul 2021'!R47),(0),($C$35*$C$36-'END Jul 2021'!R47)*'END Jul 2021'!S47/100)</f>
        <v>0</v>
      </c>
      <c r="G61" s="181">
        <f>($C$35*$C$37)*'END Jul 2021'!AE47/100</f>
        <v>83.4</v>
      </c>
      <c r="H61" s="183">
        <f t="shared" ref="H61:H62" si="6">SUM(C61:G61)</f>
        <v>485.19999999999993</v>
      </c>
      <c r="I61" s="202">
        <f t="shared" ref="I61:I62" si="7">(H61*4)*1.1</f>
        <v>2134.8799999999997</v>
      </c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</row>
    <row r="62" spans="1:1344" s="266" customFormat="1" ht="14" thickBot="1" x14ac:dyDescent="0.35">
      <c r="A62" s="184" t="str">
        <f>'END Jul 2021'!K48</f>
        <v>Social Energy</v>
      </c>
      <c r="B62" s="185">
        <f>'END Jul 2021'!G48</f>
        <v>42973</v>
      </c>
      <c r="C62" s="186">
        <f>91*'END Jul 2021'!M48/100</f>
        <v>78.624000000000009</v>
      </c>
      <c r="D62" s="186">
        <f>($C$35*$C$36)*'END Jul 2021'!N48/100</f>
        <v>295.65454545454543</v>
      </c>
      <c r="E62" s="186">
        <v>0</v>
      </c>
      <c r="F62" s="186">
        <v>0</v>
      </c>
      <c r="G62" s="186">
        <f>($C$35*$C$37)*'END Jul 2021'!AE48/100</f>
        <v>89.999999999999986</v>
      </c>
      <c r="H62" s="188">
        <f t="shared" si="6"/>
        <v>464.27854545454545</v>
      </c>
      <c r="I62" s="203">
        <f t="shared" si="7"/>
        <v>2042.8256000000001</v>
      </c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</row>
    <row r="63" spans="1:1344" customFormat="1" x14ac:dyDescent="0.3">
      <c r="A63" s="325"/>
      <c r="B63" s="325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5"/>
      <c r="AD63" s="325"/>
      <c r="AE63" s="325"/>
      <c r="AF63" s="325"/>
      <c r="AG63" s="325"/>
    </row>
    <row r="64" spans="1:1344" customFormat="1" ht="14" thickBot="1" x14ac:dyDescent="0.35">
      <c r="A64" s="325"/>
      <c r="B64" s="325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5"/>
      <c r="AD64" s="325"/>
      <c r="AE64" s="325"/>
      <c r="AF64" s="325"/>
      <c r="AG64" s="325"/>
    </row>
    <row r="65" spans="1:33" ht="14" x14ac:dyDescent="0.3">
      <c r="A65" s="176" t="s">
        <v>94</v>
      </c>
      <c r="B65" s="91"/>
      <c r="C65" s="91"/>
      <c r="D65" s="91"/>
      <c r="E65" s="91"/>
      <c r="F65" s="91"/>
      <c r="G65" s="91"/>
      <c r="H65" s="91"/>
      <c r="I65" s="177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325"/>
      <c r="AF65" s="325"/>
      <c r="AG65" s="325"/>
    </row>
    <row r="66" spans="1:33" ht="14" x14ac:dyDescent="0.3">
      <c r="A66" s="92" t="s">
        <v>79</v>
      </c>
      <c r="B66" s="93"/>
      <c r="C66" s="168">
        <v>2000</v>
      </c>
      <c r="D66" s="93"/>
      <c r="E66" s="93"/>
      <c r="F66" s="93"/>
      <c r="G66" s="93"/>
      <c r="H66" s="93"/>
      <c r="I66" s="178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325"/>
      <c r="AF66" s="325"/>
      <c r="AG66" s="325"/>
    </row>
    <row r="67" spans="1:33" ht="14" x14ac:dyDescent="0.3">
      <c r="A67" s="92" t="s">
        <v>91</v>
      </c>
      <c r="B67" s="93"/>
      <c r="C67" s="257">
        <v>0.2</v>
      </c>
      <c r="D67" s="93"/>
      <c r="E67" s="93"/>
      <c r="F67" s="93"/>
      <c r="G67" s="93"/>
      <c r="H67" s="93"/>
      <c r="I67" s="178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  <c r="AG67" s="325"/>
    </row>
    <row r="68" spans="1:33" ht="14" x14ac:dyDescent="0.3">
      <c r="A68" s="92" t="s">
        <v>95</v>
      </c>
      <c r="B68" s="93"/>
      <c r="C68" s="257">
        <v>0.5</v>
      </c>
      <c r="D68" s="93"/>
      <c r="E68" s="93"/>
      <c r="F68" s="93"/>
      <c r="G68" s="93"/>
      <c r="H68" s="93"/>
      <c r="I68" s="178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  <c r="AG68" s="325"/>
    </row>
    <row r="69" spans="1:33" ht="14" x14ac:dyDescent="0.3">
      <c r="A69" s="92" t="s">
        <v>92</v>
      </c>
      <c r="B69" s="93"/>
      <c r="C69" s="257">
        <v>0.3</v>
      </c>
      <c r="D69" s="93"/>
      <c r="E69" s="93"/>
      <c r="F69" s="93"/>
      <c r="G69" s="93"/>
      <c r="H69" s="93"/>
      <c r="I69" s="178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</row>
    <row r="70" spans="1:33" ht="14" x14ac:dyDescent="0.3">
      <c r="A70" s="92"/>
      <c r="B70" s="93"/>
      <c r="C70" s="93"/>
      <c r="D70" s="93"/>
      <c r="E70" s="93"/>
      <c r="F70" s="93"/>
      <c r="G70" s="93"/>
      <c r="H70" s="93"/>
      <c r="I70" s="178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  <c r="AG70" s="325"/>
    </row>
    <row r="71" spans="1:33" ht="28" x14ac:dyDescent="0.3">
      <c r="A71" s="301" t="s">
        <v>80</v>
      </c>
      <c r="B71" s="298" t="s">
        <v>81</v>
      </c>
      <c r="C71" s="298" t="s">
        <v>82</v>
      </c>
      <c r="D71" s="298" t="s">
        <v>96</v>
      </c>
      <c r="E71" s="298" t="s">
        <v>86</v>
      </c>
      <c r="F71" s="298" t="s">
        <v>97</v>
      </c>
      <c r="G71" s="298" t="s">
        <v>98</v>
      </c>
      <c r="H71" s="298" t="s">
        <v>87</v>
      </c>
      <c r="I71" s="300" t="s">
        <v>88</v>
      </c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  <c r="AG71" s="325"/>
    </row>
    <row r="72" spans="1:33" x14ac:dyDescent="0.3">
      <c r="A72" s="179" t="str">
        <f>'END Jul 2021'!K49</f>
        <v>AGL</v>
      </c>
      <c r="B72" s="180">
        <f>'END Jul 2021'!G49</f>
        <v>42928</v>
      </c>
      <c r="C72" s="181">
        <f>91*'END Jul 2021'!M49/100</f>
        <v>87.715727272727278</v>
      </c>
      <c r="D72" s="181">
        <f>($C$66*$C$67)*'END Jul 2021'!N49/100</f>
        <v>136.72727272727272</v>
      </c>
      <c r="E72" s="181">
        <v>0</v>
      </c>
      <c r="F72" s="181">
        <f>($C$66*$C$68)*'END Jul 2021'!AH49/100</f>
        <v>288.36363636363632</v>
      </c>
      <c r="G72" s="181">
        <f>($C$66*$C$69)*'END Jul 2021'!W49/100</f>
        <v>87.545454545454547</v>
      </c>
      <c r="H72" s="183">
        <f t="shared" ref="H72:H84" si="8">SUM(C72:G72)</f>
        <v>600.35209090909075</v>
      </c>
      <c r="I72" s="202">
        <f t="shared" ref="I72:I84" si="9">(H72*4)*1.1</f>
        <v>2641.5491999999995</v>
      </c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</row>
    <row r="73" spans="1:33" x14ac:dyDescent="0.3">
      <c r="A73" s="179" t="str">
        <f>'END Jul 2021'!K50</f>
        <v>Alinta Energy</v>
      </c>
      <c r="B73" s="180">
        <f>'END Jul 2021'!G50</f>
        <v>42916</v>
      </c>
      <c r="C73" s="181">
        <f>91*'END Jul 2021'!M50/100</f>
        <v>87.359999999999985</v>
      </c>
      <c r="D73" s="181">
        <f>($C$66*$C$67)*'END Jul 2021'!N50/100</f>
        <v>113.09090909090909</v>
      </c>
      <c r="E73" s="181">
        <v>0</v>
      </c>
      <c r="F73" s="181">
        <f>($C$66*$C$68)*'END Jul 2021'!AH50/100</f>
        <v>241.72727272727272</v>
      </c>
      <c r="G73" s="181">
        <f>($C$66*$C$69)*'END Jul 2021'!W50/100</f>
        <v>95.781818181818167</v>
      </c>
      <c r="H73" s="183">
        <f t="shared" si="8"/>
        <v>537.95999999999992</v>
      </c>
      <c r="I73" s="202">
        <f t="shared" si="9"/>
        <v>2367.0239999999999</v>
      </c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</row>
    <row r="74" spans="1:33" x14ac:dyDescent="0.3">
      <c r="A74" s="179" t="str">
        <f>'END Jul 2021'!K51</f>
        <v>CovaU</v>
      </c>
      <c r="B74" s="180">
        <f>'END Jul 2021'!G51</f>
        <v>42916</v>
      </c>
      <c r="C74" s="181">
        <f>91*'END Jul 2021'!M51/100</f>
        <v>81.899999999999991</v>
      </c>
      <c r="D74" s="181">
        <f>($C$66*$C$67)*'END Jul 2021'!N51/100</f>
        <v>112.4</v>
      </c>
      <c r="E74" s="181">
        <v>0</v>
      </c>
      <c r="F74" s="181">
        <f>($C$66*$C$68)*'END Jul 2021'!AH51/100</f>
        <v>228.09090909090909</v>
      </c>
      <c r="G74" s="181">
        <f>($C$66*$C$69)*'END Jul 2021'!W51/100</f>
        <v>123.98181818181818</v>
      </c>
      <c r="H74" s="183">
        <f t="shared" si="8"/>
        <v>546.37272727272727</v>
      </c>
      <c r="I74" s="202">
        <f t="shared" si="9"/>
        <v>2404.0400000000004</v>
      </c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</row>
    <row r="75" spans="1:33" x14ac:dyDescent="0.3">
      <c r="A75" s="179" t="str">
        <f>'END Jul 2021'!K52</f>
        <v>Diamond Energy</v>
      </c>
      <c r="B75" s="180">
        <f>'END Jul 2021'!G52</f>
        <v>42916</v>
      </c>
      <c r="C75" s="181">
        <f>91*'END Jul 2021'!M52/100</f>
        <v>95.549999999999983</v>
      </c>
      <c r="D75" s="182">
        <f>IF($C$66*$C$67&gt;='END Jul 2021'!P52,('END Jul 2021'!P52*'END Jul 2021'!N52/100),(($C$66*$C$67)*'END Jul 2021'!N52/100))</f>
        <v>131.99999999999997</v>
      </c>
      <c r="E75" s="181">
        <f>IF(($C$66*$C$67&lt;'END Jul 2021'!P52),(0),($C$66*$C$67-'END Jul 2021'!P52)*'END Jul 2021'!Q52/100)</f>
        <v>0</v>
      </c>
      <c r="F75" s="181">
        <f>($C$66*$C$68)*'END Jul 2021'!AH52/100</f>
        <v>230</v>
      </c>
      <c r="G75" s="181">
        <f>($C$66*$C$69)*'END Jul 2021'!W52/100</f>
        <v>92.4</v>
      </c>
      <c r="H75" s="183">
        <f t="shared" si="8"/>
        <v>549.94999999999993</v>
      </c>
      <c r="I75" s="202">
        <f t="shared" si="9"/>
        <v>2419.7799999999997</v>
      </c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</row>
    <row r="76" spans="1:33" x14ac:dyDescent="0.3">
      <c r="A76" s="179" t="str">
        <f>'END Jul 2021'!K53</f>
        <v>Dodo Power &amp; Gas</v>
      </c>
      <c r="B76" s="180">
        <f>'END Jul 2021'!G53</f>
        <v>42916</v>
      </c>
      <c r="C76" s="181">
        <f>91*'END Jul 2021'!M53/100</f>
        <v>90.545000000000002</v>
      </c>
      <c r="D76" s="181">
        <f>($C$66*$C$67)*'END Jul 2021'!N53/100</f>
        <v>101.23636363636363</v>
      </c>
      <c r="E76" s="181">
        <v>0</v>
      </c>
      <c r="F76" s="181">
        <f>($C$66*$C$68)*'END Jul 2021'!AH53/100</f>
        <v>208.09090909090909</v>
      </c>
      <c r="G76" s="181">
        <f>($C$66*$C$69)*'END Jul 2021'!W53/100</f>
        <v>121.96363636363634</v>
      </c>
      <c r="H76" s="183">
        <f t="shared" si="8"/>
        <v>521.83590909090913</v>
      </c>
      <c r="I76" s="202">
        <f t="shared" si="9"/>
        <v>2296.0780000000004</v>
      </c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</row>
    <row r="77" spans="1:33" x14ac:dyDescent="0.3">
      <c r="A77" s="179" t="str">
        <f>'END Jul 2021'!K54</f>
        <v>Origin Energy</v>
      </c>
      <c r="B77" s="180">
        <f>'END Jul 2021'!G54</f>
        <v>42916</v>
      </c>
      <c r="C77" s="181">
        <f>91*'END Jul 2021'!M54/100</f>
        <v>89.780599999999978</v>
      </c>
      <c r="D77" s="181">
        <f>($C$66*$C$67)*'END Jul 2021'!N54/100</f>
        <v>132.80000000000001</v>
      </c>
      <c r="E77" s="181">
        <v>0</v>
      </c>
      <c r="F77" s="181">
        <f>($C$66*$C$68)*'END Jul 2021'!AH54/100</f>
        <v>259.39999999999998</v>
      </c>
      <c r="G77" s="181">
        <f>($C$66*$C$69)*'END Jul 2021'!W54/100</f>
        <v>92.22</v>
      </c>
      <c r="H77" s="183">
        <f t="shared" si="8"/>
        <v>574.20060000000001</v>
      </c>
      <c r="I77" s="202">
        <f t="shared" si="9"/>
        <v>2526.4826400000002</v>
      </c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</row>
    <row r="78" spans="1:33" x14ac:dyDescent="0.3">
      <c r="A78" s="179" t="str">
        <f>'END Jul 2021'!K55</f>
        <v>Powerdirect</v>
      </c>
      <c r="B78" s="180">
        <f>'END Jul 2021'!G55</f>
        <v>42916</v>
      </c>
      <c r="C78" s="181">
        <f>91*'END Jul 2021'!M55/100</f>
        <v>87.715727272727278</v>
      </c>
      <c r="D78" s="181">
        <f>($C$66*$C$67)*'END Jul 2021'!N55/100</f>
        <v>136.72727272727272</v>
      </c>
      <c r="E78" s="181">
        <v>0</v>
      </c>
      <c r="F78" s="181">
        <f>($C$66*$C$68)*'END Jul 2021'!AH55/100</f>
        <v>288.36363636363632</v>
      </c>
      <c r="G78" s="181">
        <f>($C$66*$C$69)*'END Jul 2021'!W55/100</f>
        <v>87.545454545454547</v>
      </c>
      <c r="H78" s="183">
        <f t="shared" si="8"/>
        <v>600.35209090909075</v>
      </c>
      <c r="I78" s="202">
        <f t="shared" si="9"/>
        <v>2641.5491999999995</v>
      </c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</row>
    <row r="79" spans="1:33" x14ac:dyDescent="0.3">
      <c r="A79" s="179" t="str">
        <f>'END Jul 2021'!K56</f>
        <v>Powershop</v>
      </c>
      <c r="B79" s="180">
        <f>'END Jul 2021'!G56</f>
        <v>42916</v>
      </c>
      <c r="C79" s="181">
        <f>91*'END Jul 2021'!M56/100</f>
        <v>104.64999999999998</v>
      </c>
      <c r="D79" s="181">
        <f>($C$66*$C$67)*'END Jul 2021'!N56/100</f>
        <v>92</v>
      </c>
      <c r="E79" s="181">
        <v>0</v>
      </c>
      <c r="F79" s="181">
        <f>($C$66*$C$68)*'END Jul 2021'!AH56/100</f>
        <v>200</v>
      </c>
      <c r="G79" s="181">
        <f>($C$66*$C$69)*'END Jul 2021'!W56/100</f>
        <v>113.99999999999999</v>
      </c>
      <c r="H79" s="183">
        <f t="shared" si="8"/>
        <v>510.65</v>
      </c>
      <c r="I79" s="202">
        <f t="shared" si="9"/>
        <v>2246.86</v>
      </c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  <c r="AG79" s="325"/>
    </row>
    <row r="80" spans="1:33" x14ac:dyDescent="0.3">
      <c r="A80" s="179" t="str">
        <f>'END Jul 2021'!K57</f>
        <v>Simply Energy</v>
      </c>
      <c r="B80" s="180">
        <f>'END Jul 2021'!G57</f>
        <v>42916</v>
      </c>
      <c r="C80" s="181">
        <f>91*'END Jul 2021'!M57/100</f>
        <v>75.85263636363635</v>
      </c>
      <c r="D80" s="181">
        <f>($C$66*$C$67)*'END Jul 2021'!N57/100</f>
        <v>107.99999999999999</v>
      </c>
      <c r="E80" s="181">
        <v>0</v>
      </c>
      <c r="F80" s="181">
        <f>($C$66*$C$68)*'END Jul 2021'!AH57/100</f>
        <v>237</v>
      </c>
      <c r="G80" s="181">
        <f>($C$66*$C$69)*'END Jul 2021'!W57/100</f>
        <v>130.90909090909091</v>
      </c>
      <c r="H80" s="183">
        <f t="shared" si="8"/>
        <v>551.76172727272728</v>
      </c>
      <c r="I80" s="202">
        <f t="shared" si="9"/>
        <v>2427.7516000000001</v>
      </c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</row>
    <row r="81" spans="1:1344" x14ac:dyDescent="0.3">
      <c r="A81" s="179" t="str">
        <f>'END Jul 2021'!K58</f>
        <v>1st Energy</v>
      </c>
      <c r="B81" s="180">
        <f>'END Jul 2021'!G58</f>
        <v>42916</v>
      </c>
      <c r="C81" s="181">
        <f>91*'END Jul 2021'!M58/100</f>
        <v>118.3</v>
      </c>
      <c r="D81" s="181">
        <f>($C$66*$C$67)*'END Jul 2021'!N58/100</f>
        <v>90.4</v>
      </c>
      <c r="E81" s="181">
        <v>0</v>
      </c>
      <c r="F81" s="181">
        <f>($C$66*$C$68)*'END Jul 2021'!AH58/100</f>
        <v>199</v>
      </c>
      <c r="G81" s="181">
        <f>($C$66*$C$69)*'END Jul 2021'!W58/100</f>
        <v>102.59999999999998</v>
      </c>
      <c r="H81" s="183">
        <f t="shared" si="8"/>
        <v>510.29999999999995</v>
      </c>
      <c r="I81" s="202">
        <f t="shared" si="9"/>
        <v>2245.3200000000002</v>
      </c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  <c r="AG81" s="325"/>
    </row>
    <row r="82" spans="1:1344" x14ac:dyDescent="0.3">
      <c r="A82" s="179" t="str">
        <f>'END Jul 2021'!K59</f>
        <v>Enova Energy</v>
      </c>
      <c r="B82" s="180">
        <f>'END Jul 2021'!G59</f>
        <v>42978</v>
      </c>
      <c r="C82" s="181">
        <f>91*'END Jul 2021'!M59/100</f>
        <v>73.627272727272725</v>
      </c>
      <c r="D82" s="181">
        <f>($C$66*$C$67)*'END Jul 2021'!N59/100</f>
        <v>95.272727272727266</v>
      </c>
      <c r="E82" s="181">
        <v>0</v>
      </c>
      <c r="F82" s="181">
        <f>($C$66*$C$68)*'END Jul 2021'!AH59/100</f>
        <v>238.18181818181816</v>
      </c>
      <c r="G82" s="181">
        <f>($C$66*$C$69)*'END Jul 2021'!W59/100</f>
        <v>142.90909090909091</v>
      </c>
      <c r="H82" s="183">
        <f t="shared" si="8"/>
        <v>549.99090909090899</v>
      </c>
      <c r="I82" s="202">
        <f t="shared" si="9"/>
        <v>2419.9599999999996</v>
      </c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  <c r="AG82" s="325"/>
    </row>
    <row r="83" spans="1:1344" x14ac:dyDescent="0.3">
      <c r="A83" s="179" t="str">
        <f>'END Jul 2021'!K60</f>
        <v>Sumo Power</v>
      </c>
      <c r="B83" s="180">
        <f>'END Jul 2021'!G60</f>
        <v>42916</v>
      </c>
      <c r="C83" s="181">
        <f>91*'END Jul 2021'!M60/100</f>
        <v>104.64999999999998</v>
      </c>
      <c r="D83" s="181">
        <f>($C$66*$C$67)*'END Jul 2021'!N60/100</f>
        <v>97.999999999999986</v>
      </c>
      <c r="E83" s="181">
        <v>0</v>
      </c>
      <c r="F83" s="181">
        <f>($C$66*$C$68)*'END Jul 2021'!AH60/100</f>
        <v>205</v>
      </c>
      <c r="G83" s="181">
        <f>($C$66*$C$69)*'END Jul 2021'!W60/100</f>
        <v>116.99999999999999</v>
      </c>
      <c r="H83" s="183">
        <f t="shared" si="8"/>
        <v>524.65</v>
      </c>
      <c r="I83" s="202">
        <f t="shared" si="9"/>
        <v>2308.46</v>
      </c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</row>
    <row r="84" spans="1:1344" s="266" customFormat="1" x14ac:dyDescent="0.3">
      <c r="A84" s="179" t="str">
        <f>'END Jul 2021'!K61</f>
        <v>Tango Energy</v>
      </c>
      <c r="B84" s="180">
        <f>'END Jul 2021'!G61</f>
        <v>42916</v>
      </c>
      <c r="C84" s="181">
        <f>91*'END Jul 2021'!M61/100</f>
        <v>90.72699999999999</v>
      </c>
      <c r="D84" s="181">
        <f>($C$66*$C$67)*'END Jul 2021'!N61/100</f>
        <v>104</v>
      </c>
      <c r="E84" s="181">
        <v>0</v>
      </c>
      <c r="F84" s="181">
        <f>($C$66*$C$68)*'END Jul 2021'!AH61/100</f>
        <v>201.99999999999997</v>
      </c>
      <c r="G84" s="181">
        <f>($C$66*$C$69)*'END Jul 2021'!W61/100</f>
        <v>121.19999999999999</v>
      </c>
      <c r="H84" s="183">
        <f t="shared" si="8"/>
        <v>517.92699999999991</v>
      </c>
      <c r="I84" s="202">
        <f t="shared" si="9"/>
        <v>2278.8788</v>
      </c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5"/>
      <c r="AC84" s="325"/>
      <c r="AD84" s="325"/>
      <c r="AE84" s="325"/>
      <c r="AF84" s="325"/>
      <c r="AG84" s="325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</row>
    <row r="85" spans="1:1344" ht="14" thickBot="1" x14ac:dyDescent="0.35">
      <c r="A85" s="184" t="str">
        <f>'END Jul 2021'!K62</f>
        <v>GloBird</v>
      </c>
      <c r="B85" s="185">
        <f>'END Jul 2021'!G62</f>
        <v>42915</v>
      </c>
      <c r="C85" s="186">
        <f>91*'END Jul 2021'!M62/100</f>
        <v>109.19999999999999</v>
      </c>
      <c r="D85" s="186">
        <f>($C$66*$C$67)*'END Jul 2021'!N62/100</f>
        <v>99.999999999999986</v>
      </c>
      <c r="E85" s="186">
        <v>1</v>
      </c>
      <c r="F85" s="186">
        <f>($C$66*$C$68)*'END Jul 2021'!AH62/100</f>
        <v>192.99999999999997</v>
      </c>
      <c r="G85" s="186">
        <f>($C$66*$C$69)*'END Jul 2021'!W62/100</f>
        <v>115.79999999999998</v>
      </c>
      <c r="H85" s="188">
        <f t="shared" ref="H85" si="10">SUM(C85:G85)</f>
        <v>518.99999999999989</v>
      </c>
      <c r="I85" s="203">
        <f t="shared" ref="I85" si="11">(H85*4)*1.1</f>
        <v>2283.6</v>
      </c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  <c r="AG85" s="325"/>
    </row>
    <row r="86" spans="1:1344" customFormat="1" x14ac:dyDescent="0.3">
      <c r="A86" s="325"/>
      <c r="B86" s="325"/>
      <c r="C86" s="325"/>
      <c r="D86" s="325"/>
      <c r="E86" s="325"/>
      <c r="F86" s="325"/>
      <c r="G86" s="325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5"/>
      <c r="AC86" s="325"/>
      <c r="AD86" s="325"/>
      <c r="AE86" s="325"/>
      <c r="AF86" s="325"/>
      <c r="AG86" s="325"/>
    </row>
    <row r="87" spans="1:1344" customFormat="1" x14ac:dyDescent="0.3">
      <c r="A87" s="325"/>
      <c r="B87" s="325"/>
      <c r="C87" s="325"/>
      <c r="D87" s="325"/>
      <c r="E87" s="325"/>
      <c r="F87" s="325"/>
      <c r="G87" s="325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</row>
    <row r="88" spans="1:1344" customFormat="1" x14ac:dyDescent="0.3">
      <c r="A88" s="325"/>
      <c r="B88" s="325"/>
      <c r="C88" s="325"/>
      <c r="D88" s="325"/>
      <c r="E88" s="325"/>
      <c r="F88" s="325"/>
      <c r="G88" s="325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5"/>
      <c r="AC88" s="325"/>
      <c r="AD88" s="325"/>
      <c r="AE88" s="325"/>
      <c r="AF88" s="325"/>
      <c r="AG88" s="325"/>
    </row>
    <row r="89" spans="1:1344" customFormat="1" x14ac:dyDescent="0.3">
      <c r="A89" s="325"/>
      <c r="B89" s="325"/>
      <c r="C89" s="325"/>
      <c r="D89" s="325"/>
      <c r="E89" s="325"/>
      <c r="F89" s="325"/>
      <c r="G89" s="325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</row>
    <row r="90" spans="1:1344" customFormat="1" x14ac:dyDescent="0.3">
      <c r="A90" s="325"/>
      <c r="B90" s="325"/>
      <c r="C90" s="325"/>
      <c r="D90" s="325"/>
      <c r="E90" s="325"/>
      <c r="F90" s="325"/>
      <c r="G90" s="325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1344" customFormat="1" x14ac:dyDescent="0.3">
      <c r="A91" s="325"/>
      <c r="B91" s="325"/>
      <c r="C91" s="325"/>
      <c r="D91" s="325"/>
      <c r="E91" s="325"/>
      <c r="F91" s="325"/>
      <c r="G91" s="325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5"/>
      <c r="AE91" s="325"/>
      <c r="AF91" s="325"/>
      <c r="AG91" s="325"/>
    </row>
    <row r="92" spans="1:1344" customFormat="1" x14ac:dyDescent="0.3">
      <c r="A92" s="325"/>
      <c r="B92" s="325"/>
      <c r="C92" s="325"/>
      <c r="D92" s="325"/>
      <c r="E92" s="325"/>
      <c r="F92" s="325"/>
      <c r="G92" s="325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5"/>
      <c r="AC92" s="325"/>
      <c r="AD92" s="325"/>
      <c r="AE92" s="325"/>
      <c r="AF92" s="325"/>
      <c r="AG92" s="325"/>
    </row>
    <row r="93" spans="1:1344" customFormat="1" x14ac:dyDescent="0.3">
      <c r="A93" s="325"/>
      <c r="B93" s="325"/>
      <c r="C93" s="325"/>
      <c r="D93" s="325"/>
      <c r="E93" s="325"/>
      <c r="F93" s="325"/>
      <c r="G93" s="325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5"/>
      <c r="AC93" s="325"/>
      <c r="AD93" s="325"/>
      <c r="AE93" s="325"/>
      <c r="AF93" s="325"/>
      <c r="AG93" s="325"/>
    </row>
    <row r="94" spans="1:1344" customFormat="1" x14ac:dyDescent="0.3">
      <c r="A94" s="325"/>
      <c r="B94" s="325"/>
      <c r="C94" s="325"/>
      <c r="D94" s="325"/>
      <c r="E94" s="325"/>
      <c r="F94" s="325"/>
      <c r="G94" s="325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  <c r="AA94" s="325"/>
      <c r="AB94" s="325"/>
      <c r="AC94" s="325"/>
      <c r="AD94" s="325"/>
      <c r="AE94" s="325"/>
      <c r="AF94" s="325"/>
      <c r="AG94" s="325"/>
    </row>
    <row r="95" spans="1:1344" customFormat="1" x14ac:dyDescent="0.3">
      <c r="A95" s="325"/>
      <c r="B95" s="325"/>
      <c r="C95" s="325"/>
      <c r="D95" s="325"/>
      <c r="E95" s="325"/>
      <c r="F95" s="325"/>
      <c r="G95" s="325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</row>
    <row r="96" spans="1:1344" customFormat="1" x14ac:dyDescent="0.3">
      <c r="A96" s="325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  <c r="AA96" s="325"/>
      <c r="AB96" s="325"/>
      <c r="AC96" s="325"/>
      <c r="AD96" s="325"/>
      <c r="AE96" s="325"/>
      <c r="AF96" s="325"/>
      <c r="AG96" s="325"/>
    </row>
    <row r="97" spans="1:33" customFormat="1" x14ac:dyDescent="0.3">
      <c r="A97" s="325"/>
      <c r="B97" s="325"/>
      <c r="C97" s="325"/>
      <c r="D97" s="325"/>
      <c r="E97" s="325"/>
      <c r="F97" s="325"/>
      <c r="G97" s="325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C97" s="325"/>
      <c r="AD97" s="325"/>
      <c r="AE97" s="325"/>
      <c r="AF97" s="325"/>
      <c r="AG97" s="325"/>
    </row>
    <row r="98" spans="1:33" customFormat="1" x14ac:dyDescent="0.3">
      <c r="A98" s="325"/>
      <c r="B98" s="325"/>
      <c r="C98" s="325"/>
      <c r="D98" s="325"/>
      <c r="E98" s="325"/>
      <c r="F98" s="325"/>
      <c r="G98" s="325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</row>
    <row r="99" spans="1:33" customFormat="1" x14ac:dyDescent="0.3">
      <c r="A99" s="325"/>
      <c r="B99" s="325"/>
      <c r="C99" s="325"/>
      <c r="D99" s="325"/>
      <c r="E99" s="325"/>
      <c r="F99" s="325"/>
      <c r="G99" s="325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5"/>
      <c r="AC99" s="325"/>
      <c r="AD99" s="325"/>
      <c r="AE99" s="325"/>
      <c r="AF99" s="325"/>
      <c r="AG99" s="325"/>
    </row>
    <row r="100" spans="1:33" customFormat="1" x14ac:dyDescent="0.3">
      <c r="A100" s="325"/>
      <c r="B100" s="325"/>
      <c r="C100" s="325"/>
      <c r="D100" s="325"/>
      <c r="E100" s="325"/>
      <c r="F100" s="325"/>
      <c r="G100" s="325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  <c r="AA100" s="325"/>
      <c r="AB100" s="325"/>
      <c r="AC100" s="325"/>
      <c r="AD100" s="325"/>
      <c r="AE100" s="325"/>
      <c r="AF100" s="325"/>
      <c r="AG100" s="325"/>
    </row>
    <row r="101" spans="1:33" customFormat="1" x14ac:dyDescent="0.3">
      <c r="A101" s="325"/>
      <c r="B101" s="325"/>
      <c r="C101" s="325"/>
      <c r="D101" s="325"/>
      <c r="E101" s="325"/>
      <c r="F101" s="325"/>
      <c r="G101" s="325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  <c r="AA101" s="325"/>
      <c r="AB101" s="325"/>
      <c r="AC101" s="325"/>
      <c r="AD101" s="325"/>
      <c r="AE101" s="325"/>
      <c r="AF101" s="325"/>
      <c r="AG101" s="325"/>
    </row>
    <row r="102" spans="1:33" customFormat="1" x14ac:dyDescent="0.3">
      <c r="A102" s="325"/>
      <c r="B102" s="325"/>
      <c r="C102" s="325"/>
      <c r="D102" s="325"/>
      <c r="E102" s="325"/>
      <c r="F102" s="325"/>
      <c r="G102" s="325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  <c r="AA102" s="325"/>
      <c r="AB102" s="325"/>
      <c r="AC102" s="325"/>
      <c r="AD102" s="325"/>
      <c r="AE102" s="325"/>
      <c r="AF102" s="325"/>
      <c r="AG102" s="325"/>
    </row>
    <row r="103" spans="1:33" customFormat="1" x14ac:dyDescent="0.3">
      <c r="A103" s="325"/>
      <c r="B103" s="325"/>
      <c r="C103" s="325"/>
      <c r="D103" s="325"/>
      <c r="E103" s="325"/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5"/>
      <c r="AC103" s="325"/>
      <c r="AD103" s="325"/>
      <c r="AE103" s="325"/>
      <c r="AF103" s="325"/>
      <c r="AG103" s="325"/>
    </row>
    <row r="104" spans="1:33" customFormat="1" x14ac:dyDescent="0.3">
      <c r="A104" s="325"/>
      <c r="B104" s="325"/>
      <c r="C104" s="325"/>
      <c r="D104" s="325"/>
      <c r="E104" s="325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  <c r="AB104" s="325"/>
      <c r="AC104" s="325"/>
      <c r="AD104" s="325"/>
      <c r="AE104" s="325"/>
      <c r="AF104" s="325"/>
      <c r="AG104" s="325"/>
    </row>
    <row r="105" spans="1:33" customFormat="1" x14ac:dyDescent="0.3">
      <c r="A105" s="325"/>
      <c r="B105" s="325"/>
      <c r="C105" s="325"/>
      <c r="D105" s="325"/>
      <c r="E105" s="325"/>
      <c r="F105" s="325"/>
      <c r="G105" s="325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5"/>
      <c r="AC105" s="325"/>
      <c r="AD105" s="325"/>
      <c r="AE105" s="325"/>
      <c r="AF105" s="325"/>
      <c r="AG105" s="325"/>
    </row>
    <row r="106" spans="1:33" customFormat="1" x14ac:dyDescent="0.3">
      <c r="A106" s="325"/>
      <c r="B106" s="325"/>
      <c r="C106" s="325"/>
      <c r="D106" s="325"/>
      <c r="E106" s="325"/>
      <c r="F106" s="325"/>
      <c r="G106" s="325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</row>
    <row r="107" spans="1:33" customFormat="1" x14ac:dyDescent="0.3">
      <c r="A107" s="325"/>
      <c r="B107" s="325"/>
      <c r="C107" s="325"/>
      <c r="D107" s="325"/>
      <c r="E107" s="325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5"/>
      <c r="AC107" s="325"/>
      <c r="AD107" s="325"/>
      <c r="AE107" s="325"/>
      <c r="AF107" s="325"/>
      <c r="AG107" s="325"/>
    </row>
    <row r="108" spans="1:33" customFormat="1" x14ac:dyDescent="0.3">
      <c r="A108" s="325"/>
      <c r="B108" s="325"/>
      <c r="C108" s="325"/>
      <c r="D108" s="325"/>
      <c r="E108" s="325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325"/>
      <c r="AC108" s="325"/>
      <c r="AD108" s="325"/>
      <c r="AE108" s="325"/>
      <c r="AF108" s="325"/>
      <c r="AG108" s="325"/>
    </row>
    <row r="109" spans="1:33" customFormat="1" x14ac:dyDescent="0.3">
      <c r="A109" s="325"/>
      <c r="B109" s="325"/>
      <c r="C109" s="325"/>
      <c r="D109" s="325"/>
      <c r="E109" s="325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  <c r="AB109" s="325"/>
      <c r="AC109" s="325"/>
      <c r="AD109" s="325"/>
      <c r="AE109" s="325"/>
      <c r="AF109" s="325"/>
      <c r="AG109" s="325"/>
    </row>
    <row r="110" spans="1:33" customFormat="1" x14ac:dyDescent="0.3">
      <c r="A110" s="325"/>
      <c r="B110" s="325"/>
      <c r="C110" s="325"/>
      <c r="D110" s="325"/>
      <c r="E110" s="325"/>
      <c r="F110" s="325"/>
      <c r="G110" s="325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</row>
    <row r="111" spans="1:33" customFormat="1" x14ac:dyDescent="0.3">
      <c r="A111" s="325"/>
      <c r="B111" s="325"/>
      <c r="C111" s="325"/>
      <c r="D111" s="325"/>
      <c r="E111" s="325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5"/>
      <c r="AC111" s="325"/>
      <c r="AD111" s="325"/>
      <c r="AE111" s="325"/>
      <c r="AF111" s="325"/>
      <c r="AG111" s="325"/>
    </row>
    <row r="112" spans="1:33" customFormat="1" x14ac:dyDescent="0.3">
      <c r="A112" s="325"/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</row>
    <row r="113" spans="1:33" customFormat="1" x14ac:dyDescent="0.3">
      <c r="A113" s="325"/>
      <c r="B113" s="325"/>
      <c r="C113" s="325"/>
      <c r="D113" s="325"/>
      <c r="E113" s="325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</row>
    <row r="114" spans="1:33" customFormat="1" x14ac:dyDescent="0.3">
      <c r="A114" s="325"/>
      <c r="B114" s="325"/>
      <c r="C114" s="325"/>
      <c r="D114" s="325"/>
      <c r="E114" s="325"/>
      <c r="F114" s="325"/>
      <c r="G114" s="325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</row>
    <row r="115" spans="1:33" customFormat="1" x14ac:dyDescent="0.3">
      <c r="A115" s="325"/>
      <c r="B115" s="325"/>
      <c r="C115" s="325"/>
      <c r="D115" s="325"/>
      <c r="E115" s="325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  <c r="AB115" s="325"/>
      <c r="AC115" s="325"/>
      <c r="AD115" s="325"/>
      <c r="AE115" s="325"/>
      <c r="AF115" s="325"/>
      <c r="AG115" s="325"/>
    </row>
    <row r="116" spans="1:33" customFormat="1" x14ac:dyDescent="0.3">
      <c r="A116" s="325"/>
      <c r="B116" s="325"/>
      <c r="C116" s="325"/>
      <c r="D116" s="325"/>
      <c r="E116" s="325"/>
      <c r="F116" s="325"/>
      <c r="G116" s="325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</row>
    <row r="117" spans="1:33" customFormat="1" x14ac:dyDescent="0.3">
      <c r="A117" s="325"/>
      <c r="B117" s="325"/>
      <c r="C117" s="325"/>
      <c r="D117" s="325"/>
      <c r="E117" s="325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  <c r="AB117" s="325"/>
      <c r="AC117" s="325"/>
      <c r="AD117" s="325"/>
      <c r="AE117" s="325"/>
      <c r="AF117" s="325"/>
      <c r="AG117" s="325"/>
    </row>
    <row r="118" spans="1:33" customFormat="1" x14ac:dyDescent="0.3">
      <c r="A118" s="325"/>
      <c r="B118" s="325"/>
      <c r="C118" s="325"/>
      <c r="D118" s="325"/>
      <c r="E118" s="325"/>
      <c r="F118" s="325"/>
      <c r="G118" s="325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  <c r="AE118" s="325"/>
      <c r="AF118" s="325"/>
      <c r="AG118" s="325"/>
    </row>
    <row r="119" spans="1:33" customFormat="1" x14ac:dyDescent="0.3">
      <c r="A119" s="325"/>
      <c r="B119" s="325"/>
      <c r="C119" s="325"/>
      <c r="D119" s="325"/>
      <c r="E119" s="325"/>
      <c r="F119" s="325"/>
      <c r="G119" s="325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/>
      <c r="AB119" s="325"/>
      <c r="AC119" s="325"/>
      <c r="AD119" s="325"/>
      <c r="AE119" s="325"/>
      <c r="AF119" s="325"/>
      <c r="AG119" s="325"/>
    </row>
    <row r="120" spans="1:33" customFormat="1" x14ac:dyDescent="0.3">
      <c r="A120" s="325"/>
      <c r="B120" s="325"/>
      <c r="C120" s="325"/>
      <c r="D120" s="325"/>
      <c r="E120" s="325"/>
      <c r="F120" s="325"/>
      <c r="G120" s="325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  <c r="AE120" s="325"/>
      <c r="AF120" s="325"/>
      <c r="AG120" s="325"/>
    </row>
    <row r="121" spans="1:33" customFormat="1" x14ac:dyDescent="0.3">
      <c r="A121" s="325"/>
      <c r="B121" s="325"/>
      <c r="C121" s="325"/>
      <c r="D121" s="325"/>
      <c r="E121" s="325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  <c r="AA121" s="325"/>
      <c r="AB121" s="325"/>
      <c r="AC121" s="325"/>
      <c r="AD121" s="325"/>
      <c r="AE121" s="325"/>
      <c r="AF121" s="325"/>
      <c r="AG121" s="325"/>
    </row>
    <row r="122" spans="1:33" customFormat="1" x14ac:dyDescent="0.3">
      <c r="A122" s="325"/>
      <c r="B122" s="325"/>
      <c r="C122" s="325"/>
      <c r="D122" s="325"/>
      <c r="E122" s="325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  <c r="AA122" s="325"/>
      <c r="AB122" s="325"/>
      <c r="AC122" s="325"/>
      <c r="AD122" s="325"/>
      <c r="AE122" s="325"/>
      <c r="AF122" s="325"/>
      <c r="AG122" s="325"/>
    </row>
    <row r="123" spans="1:33" customFormat="1" x14ac:dyDescent="0.3">
      <c r="A123" s="325"/>
      <c r="B123" s="325"/>
      <c r="C123" s="325"/>
      <c r="D123" s="325"/>
      <c r="E123" s="325"/>
      <c r="F123" s="325"/>
      <c r="G123" s="325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</row>
    <row r="124" spans="1:33" customFormat="1" x14ac:dyDescent="0.3">
      <c r="A124" s="325"/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  <c r="AA124" s="325"/>
      <c r="AB124" s="325"/>
      <c r="AC124" s="325"/>
      <c r="AD124" s="325"/>
      <c r="AE124" s="325"/>
      <c r="AF124" s="325"/>
      <c r="AG124" s="325"/>
    </row>
    <row r="125" spans="1:33" customFormat="1" x14ac:dyDescent="0.3">
      <c r="A125" s="325"/>
      <c r="B125" s="325"/>
      <c r="C125" s="325"/>
      <c r="D125" s="325"/>
      <c r="E125" s="325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  <c r="AB125" s="325"/>
      <c r="AC125" s="325"/>
      <c r="AD125" s="325"/>
      <c r="AE125" s="325"/>
      <c r="AF125" s="325"/>
      <c r="AG125" s="325"/>
    </row>
    <row r="126" spans="1:33" customFormat="1" x14ac:dyDescent="0.3">
      <c r="A126" s="325"/>
      <c r="B126" s="325"/>
      <c r="C126" s="325"/>
      <c r="D126" s="325"/>
      <c r="E126" s="325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  <c r="AB126" s="325"/>
      <c r="AC126" s="325"/>
      <c r="AD126" s="325"/>
      <c r="AE126" s="325"/>
      <c r="AF126" s="325"/>
      <c r="AG126" s="325"/>
    </row>
    <row r="127" spans="1:33" customFormat="1" x14ac:dyDescent="0.3">
      <c r="A127" s="325"/>
      <c r="B127" s="325"/>
      <c r="C127" s="325"/>
      <c r="D127" s="325"/>
      <c r="E127" s="325"/>
      <c r="F127" s="325"/>
      <c r="G127" s="325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  <c r="AE127" s="325"/>
      <c r="AF127" s="325"/>
      <c r="AG127" s="325"/>
    </row>
    <row r="128" spans="1:33" customFormat="1" x14ac:dyDescent="0.3">
      <c r="A128" s="325"/>
      <c r="B128" s="325"/>
      <c r="C128" s="325"/>
      <c r="D128" s="325"/>
      <c r="E128" s="325"/>
      <c r="F128" s="325"/>
      <c r="G128" s="325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  <c r="AA128" s="325"/>
      <c r="AB128" s="325"/>
      <c r="AC128" s="325"/>
      <c r="AD128" s="325"/>
      <c r="AE128" s="325"/>
      <c r="AF128" s="325"/>
      <c r="AG128" s="325"/>
    </row>
    <row r="129" spans="1:33" customFormat="1" x14ac:dyDescent="0.3">
      <c r="A129" s="325"/>
      <c r="B129" s="325"/>
      <c r="C129" s="325"/>
      <c r="D129" s="325"/>
      <c r="E129" s="325"/>
      <c r="F129" s="325"/>
      <c r="G129" s="325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325"/>
      <c r="AB129" s="325"/>
      <c r="AC129" s="325"/>
      <c r="AD129" s="325"/>
      <c r="AE129" s="325"/>
      <c r="AF129" s="325"/>
      <c r="AG129" s="325"/>
    </row>
    <row r="130" spans="1:33" customFormat="1" x14ac:dyDescent="0.3">
      <c r="A130" s="325"/>
      <c r="B130" s="325"/>
      <c r="C130" s="325"/>
      <c r="D130" s="325"/>
      <c r="E130" s="325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325"/>
      <c r="AB130" s="325"/>
      <c r="AC130" s="325"/>
      <c r="AD130" s="325"/>
      <c r="AE130" s="325"/>
      <c r="AF130" s="325"/>
      <c r="AG130" s="325"/>
    </row>
    <row r="131" spans="1:33" customFormat="1" x14ac:dyDescent="0.3"/>
    <row r="132" spans="1:33" customFormat="1" x14ac:dyDescent="0.3"/>
    <row r="133" spans="1:33" customFormat="1" x14ac:dyDescent="0.3"/>
    <row r="134" spans="1:33" customFormat="1" x14ac:dyDescent="0.3"/>
    <row r="135" spans="1:33" customFormat="1" x14ac:dyDescent="0.3"/>
    <row r="136" spans="1:33" customFormat="1" x14ac:dyDescent="0.3"/>
    <row r="137" spans="1:33" customFormat="1" x14ac:dyDescent="0.3"/>
    <row r="138" spans="1:33" customFormat="1" x14ac:dyDescent="0.3"/>
    <row r="139" spans="1:33" customFormat="1" x14ac:dyDescent="0.3"/>
    <row r="140" spans="1:33" customFormat="1" x14ac:dyDescent="0.3"/>
    <row r="141" spans="1:33" customFormat="1" x14ac:dyDescent="0.3"/>
    <row r="142" spans="1:33" customFormat="1" x14ac:dyDescent="0.3"/>
    <row r="143" spans="1:33" customFormat="1" x14ac:dyDescent="0.3"/>
    <row r="144" spans="1:33" customFormat="1" x14ac:dyDescent="0.3"/>
    <row r="145" customFormat="1" x14ac:dyDescent="0.3"/>
    <row r="146" customFormat="1" x14ac:dyDescent="0.3"/>
    <row r="147" customFormat="1" x14ac:dyDescent="0.3"/>
    <row r="148" customFormat="1" x14ac:dyDescent="0.3"/>
    <row r="149" customFormat="1" x14ac:dyDescent="0.3"/>
    <row r="150" customFormat="1" x14ac:dyDescent="0.3"/>
    <row r="151" customFormat="1" x14ac:dyDescent="0.3"/>
    <row r="152" customFormat="1" x14ac:dyDescent="0.3"/>
    <row r="153" customFormat="1" x14ac:dyDescent="0.3"/>
    <row r="154" customFormat="1" x14ac:dyDescent="0.3"/>
    <row r="155" customFormat="1" x14ac:dyDescent="0.3"/>
    <row r="156" customFormat="1" x14ac:dyDescent="0.3"/>
    <row r="157" customFormat="1" x14ac:dyDescent="0.3"/>
    <row r="158" customFormat="1" x14ac:dyDescent="0.3"/>
    <row r="159" customFormat="1" x14ac:dyDescent="0.3"/>
    <row r="160" customFormat="1" x14ac:dyDescent="0.3"/>
    <row r="161" customFormat="1" x14ac:dyDescent="0.3"/>
    <row r="162" customFormat="1" x14ac:dyDescent="0.3"/>
    <row r="163" customFormat="1" x14ac:dyDescent="0.3"/>
    <row r="164" customFormat="1" x14ac:dyDescent="0.3"/>
    <row r="165" customFormat="1" x14ac:dyDescent="0.3"/>
    <row r="166" customFormat="1" x14ac:dyDescent="0.3"/>
    <row r="167" customFormat="1" x14ac:dyDescent="0.3"/>
    <row r="168" customFormat="1" x14ac:dyDescent="0.3"/>
    <row r="169" customFormat="1" x14ac:dyDescent="0.3"/>
    <row r="170" customFormat="1" x14ac:dyDescent="0.3"/>
    <row r="171" customFormat="1" x14ac:dyDescent="0.3"/>
    <row r="172" customFormat="1" x14ac:dyDescent="0.3"/>
    <row r="173" customFormat="1" x14ac:dyDescent="0.3"/>
    <row r="174" customFormat="1" x14ac:dyDescent="0.3"/>
    <row r="175" customFormat="1" x14ac:dyDescent="0.3"/>
    <row r="176" customFormat="1" x14ac:dyDescent="0.3"/>
    <row r="177" customFormat="1" x14ac:dyDescent="0.3"/>
    <row r="178" customFormat="1" x14ac:dyDescent="0.3"/>
    <row r="179" customFormat="1" x14ac:dyDescent="0.3"/>
    <row r="180" customFormat="1" x14ac:dyDescent="0.3"/>
    <row r="181" customFormat="1" x14ac:dyDescent="0.3"/>
    <row r="182" customFormat="1" x14ac:dyDescent="0.3"/>
    <row r="183" customFormat="1" x14ac:dyDescent="0.3"/>
    <row r="184" customFormat="1" x14ac:dyDescent="0.3"/>
    <row r="185" customFormat="1" x14ac:dyDescent="0.3"/>
    <row r="186" customFormat="1" x14ac:dyDescent="0.3"/>
    <row r="187" customFormat="1" x14ac:dyDescent="0.3"/>
    <row r="188" customFormat="1" x14ac:dyDescent="0.3"/>
    <row r="189" customFormat="1" x14ac:dyDescent="0.3"/>
    <row r="190" customFormat="1" x14ac:dyDescent="0.3"/>
    <row r="191" customFormat="1" x14ac:dyDescent="0.3"/>
    <row r="192" customFormat="1" x14ac:dyDescent="0.3"/>
    <row r="193" customFormat="1" x14ac:dyDescent="0.3"/>
    <row r="194" customFormat="1" x14ac:dyDescent="0.3"/>
    <row r="195" customFormat="1" x14ac:dyDescent="0.3"/>
    <row r="196" customFormat="1" x14ac:dyDescent="0.3"/>
    <row r="197" customFormat="1" x14ac:dyDescent="0.3"/>
    <row r="198" customFormat="1" x14ac:dyDescent="0.3"/>
    <row r="199" customFormat="1" x14ac:dyDescent="0.3"/>
    <row r="200" customFormat="1" x14ac:dyDescent="0.3"/>
    <row r="201" customFormat="1" x14ac:dyDescent="0.3"/>
    <row r="202" customFormat="1" x14ac:dyDescent="0.3"/>
    <row r="203" customFormat="1" x14ac:dyDescent="0.3"/>
    <row r="204" customFormat="1" x14ac:dyDescent="0.3"/>
    <row r="205" customFormat="1" x14ac:dyDescent="0.3"/>
    <row r="206" customFormat="1" x14ac:dyDescent="0.3"/>
    <row r="207" customFormat="1" x14ac:dyDescent="0.3"/>
    <row r="208" customFormat="1" x14ac:dyDescent="0.3"/>
    <row r="209" customFormat="1" x14ac:dyDescent="0.3"/>
    <row r="210" customFormat="1" x14ac:dyDescent="0.3"/>
    <row r="211" customFormat="1" x14ac:dyDescent="0.3"/>
    <row r="212" customFormat="1" x14ac:dyDescent="0.3"/>
    <row r="213" customFormat="1" x14ac:dyDescent="0.3"/>
    <row r="214" customFormat="1" x14ac:dyDescent="0.3"/>
    <row r="215" customFormat="1" x14ac:dyDescent="0.3"/>
    <row r="216" customFormat="1" x14ac:dyDescent="0.3"/>
    <row r="217" customFormat="1" x14ac:dyDescent="0.3"/>
    <row r="218" customFormat="1" x14ac:dyDescent="0.3"/>
    <row r="219" customFormat="1" x14ac:dyDescent="0.3"/>
    <row r="220" customFormat="1" x14ac:dyDescent="0.3"/>
    <row r="221" customFormat="1" x14ac:dyDescent="0.3"/>
    <row r="222" customFormat="1" x14ac:dyDescent="0.3"/>
    <row r="223" customFormat="1" x14ac:dyDescent="0.3"/>
    <row r="224" customFormat="1" x14ac:dyDescent="0.3"/>
    <row r="225" customFormat="1" x14ac:dyDescent="0.3"/>
    <row r="226" customFormat="1" x14ac:dyDescent="0.3"/>
    <row r="227" customFormat="1" x14ac:dyDescent="0.3"/>
    <row r="228" customFormat="1" x14ac:dyDescent="0.3"/>
    <row r="229" customFormat="1" x14ac:dyDescent="0.3"/>
    <row r="230" customFormat="1" x14ac:dyDescent="0.3"/>
    <row r="231" customFormat="1" x14ac:dyDescent="0.3"/>
    <row r="232" customFormat="1" x14ac:dyDescent="0.3"/>
    <row r="233" customFormat="1" x14ac:dyDescent="0.3"/>
    <row r="234" customFormat="1" x14ac:dyDescent="0.3"/>
    <row r="235" customFormat="1" x14ac:dyDescent="0.3"/>
    <row r="236" customFormat="1" x14ac:dyDescent="0.3"/>
    <row r="237" customFormat="1" x14ac:dyDescent="0.3"/>
    <row r="238" customFormat="1" x14ac:dyDescent="0.3"/>
    <row r="239" customFormat="1" x14ac:dyDescent="0.3"/>
    <row r="240" customFormat="1" x14ac:dyDescent="0.3"/>
    <row r="241" customFormat="1" x14ac:dyDescent="0.3"/>
    <row r="242" customFormat="1" x14ac:dyDescent="0.3"/>
    <row r="243" customFormat="1" x14ac:dyDescent="0.3"/>
    <row r="244" customFormat="1" x14ac:dyDescent="0.3"/>
    <row r="245" customFormat="1" x14ac:dyDescent="0.3"/>
    <row r="246" customFormat="1" x14ac:dyDescent="0.3"/>
    <row r="247" customFormat="1" x14ac:dyDescent="0.3"/>
    <row r="248" customFormat="1" x14ac:dyDescent="0.3"/>
    <row r="249" customFormat="1" x14ac:dyDescent="0.3"/>
    <row r="250" customFormat="1" x14ac:dyDescent="0.3"/>
    <row r="251" customFormat="1" x14ac:dyDescent="0.3"/>
    <row r="252" customFormat="1" x14ac:dyDescent="0.3"/>
    <row r="253" customFormat="1" x14ac:dyDescent="0.3"/>
    <row r="254" customFormat="1" x14ac:dyDescent="0.3"/>
    <row r="255" customFormat="1" x14ac:dyDescent="0.3"/>
    <row r="256" customFormat="1" x14ac:dyDescent="0.3"/>
    <row r="257" customFormat="1" x14ac:dyDescent="0.3"/>
    <row r="258" customFormat="1" x14ac:dyDescent="0.3"/>
    <row r="259" customFormat="1" x14ac:dyDescent="0.3"/>
    <row r="260" customFormat="1" x14ac:dyDescent="0.3"/>
    <row r="261" customFormat="1" x14ac:dyDescent="0.3"/>
    <row r="262" customFormat="1" x14ac:dyDescent="0.3"/>
    <row r="263" customFormat="1" x14ac:dyDescent="0.3"/>
    <row r="264" customFormat="1" x14ac:dyDescent="0.3"/>
    <row r="265" customFormat="1" x14ac:dyDescent="0.3"/>
    <row r="266" customFormat="1" x14ac:dyDescent="0.3"/>
    <row r="267" customFormat="1" x14ac:dyDescent="0.3"/>
    <row r="268" customFormat="1" x14ac:dyDescent="0.3"/>
    <row r="269" customFormat="1" x14ac:dyDescent="0.3"/>
    <row r="270" customFormat="1" x14ac:dyDescent="0.3"/>
    <row r="271" customFormat="1" x14ac:dyDescent="0.3"/>
    <row r="272" customFormat="1" x14ac:dyDescent="0.3"/>
    <row r="273" customFormat="1" x14ac:dyDescent="0.3"/>
    <row r="274" customFormat="1" x14ac:dyDescent="0.3"/>
    <row r="275" customFormat="1" x14ac:dyDescent="0.3"/>
    <row r="276" customFormat="1" x14ac:dyDescent="0.3"/>
    <row r="277" customFormat="1" x14ac:dyDescent="0.3"/>
    <row r="278" customFormat="1" x14ac:dyDescent="0.3"/>
    <row r="279" customFormat="1" x14ac:dyDescent="0.3"/>
    <row r="280" customFormat="1" x14ac:dyDescent="0.3"/>
    <row r="281" customFormat="1" x14ac:dyDescent="0.3"/>
    <row r="282" customFormat="1" x14ac:dyDescent="0.3"/>
    <row r="283" customFormat="1" x14ac:dyDescent="0.3"/>
    <row r="284" customFormat="1" x14ac:dyDescent="0.3"/>
    <row r="285" customFormat="1" x14ac:dyDescent="0.3"/>
    <row r="286" customFormat="1" x14ac:dyDescent="0.3"/>
    <row r="287" customFormat="1" x14ac:dyDescent="0.3"/>
    <row r="288" customFormat="1" x14ac:dyDescent="0.3"/>
    <row r="289" customFormat="1" x14ac:dyDescent="0.3"/>
    <row r="290" customFormat="1" x14ac:dyDescent="0.3"/>
    <row r="291" customFormat="1" x14ac:dyDescent="0.3"/>
    <row r="292" customFormat="1" x14ac:dyDescent="0.3"/>
    <row r="293" customFormat="1" x14ac:dyDescent="0.3"/>
    <row r="294" customFormat="1" x14ac:dyDescent="0.3"/>
    <row r="295" customFormat="1" x14ac:dyDescent="0.3"/>
    <row r="296" customFormat="1" x14ac:dyDescent="0.3"/>
    <row r="297" customFormat="1" x14ac:dyDescent="0.3"/>
    <row r="298" customFormat="1" x14ac:dyDescent="0.3"/>
    <row r="299" customFormat="1" x14ac:dyDescent="0.3"/>
    <row r="300" customFormat="1" x14ac:dyDescent="0.3"/>
    <row r="301" customFormat="1" x14ac:dyDescent="0.3"/>
    <row r="302" customFormat="1" x14ac:dyDescent="0.3"/>
    <row r="303" customFormat="1" x14ac:dyDescent="0.3"/>
    <row r="304" customFormat="1" x14ac:dyDescent="0.3"/>
    <row r="305" customFormat="1" x14ac:dyDescent="0.3"/>
    <row r="306" customFormat="1" x14ac:dyDescent="0.3"/>
    <row r="307" customFormat="1" x14ac:dyDescent="0.3"/>
    <row r="308" customFormat="1" x14ac:dyDescent="0.3"/>
    <row r="309" customFormat="1" x14ac:dyDescent="0.3"/>
    <row r="310" customFormat="1" x14ac:dyDescent="0.3"/>
    <row r="311" customFormat="1" x14ac:dyDescent="0.3"/>
    <row r="312" customFormat="1" x14ac:dyDescent="0.3"/>
    <row r="313" customFormat="1" x14ac:dyDescent="0.3"/>
    <row r="314" customFormat="1" x14ac:dyDescent="0.3"/>
    <row r="315" customFormat="1" x14ac:dyDescent="0.3"/>
    <row r="316" customFormat="1" x14ac:dyDescent="0.3"/>
    <row r="317" customFormat="1" x14ac:dyDescent="0.3"/>
    <row r="318" customFormat="1" x14ac:dyDescent="0.3"/>
    <row r="319" customFormat="1" x14ac:dyDescent="0.3"/>
    <row r="320" customFormat="1" x14ac:dyDescent="0.3"/>
    <row r="321" customFormat="1" x14ac:dyDescent="0.3"/>
    <row r="322" customFormat="1" x14ac:dyDescent="0.3"/>
    <row r="323" customFormat="1" x14ac:dyDescent="0.3"/>
    <row r="324" customFormat="1" x14ac:dyDescent="0.3"/>
    <row r="325" customFormat="1" x14ac:dyDescent="0.3"/>
    <row r="326" customFormat="1" x14ac:dyDescent="0.3"/>
    <row r="327" customFormat="1" x14ac:dyDescent="0.3"/>
    <row r="328" customFormat="1" x14ac:dyDescent="0.3"/>
    <row r="329" customFormat="1" x14ac:dyDescent="0.3"/>
    <row r="330" customFormat="1" x14ac:dyDescent="0.3"/>
    <row r="331" customFormat="1" x14ac:dyDescent="0.3"/>
    <row r="332" customFormat="1" x14ac:dyDescent="0.3"/>
    <row r="333" customFormat="1" x14ac:dyDescent="0.3"/>
    <row r="334" customFormat="1" x14ac:dyDescent="0.3"/>
    <row r="335" customFormat="1" x14ac:dyDescent="0.3"/>
    <row r="336" customFormat="1" x14ac:dyDescent="0.3"/>
    <row r="337" customFormat="1" x14ac:dyDescent="0.3"/>
    <row r="338" customFormat="1" x14ac:dyDescent="0.3"/>
    <row r="339" customFormat="1" x14ac:dyDescent="0.3"/>
    <row r="340" customFormat="1" x14ac:dyDescent="0.3"/>
    <row r="341" customFormat="1" x14ac:dyDescent="0.3"/>
    <row r="342" customFormat="1" x14ac:dyDescent="0.3"/>
    <row r="343" customFormat="1" x14ac:dyDescent="0.3"/>
    <row r="344" customFormat="1" x14ac:dyDescent="0.3"/>
    <row r="345" customFormat="1" x14ac:dyDescent="0.3"/>
    <row r="346" customFormat="1" x14ac:dyDescent="0.3"/>
    <row r="347" customFormat="1" x14ac:dyDescent="0.3"/>
    <row r="348" customFormat="1" x14ac:dyDescent="0.3"/>
    <row r="349" customFormat="1" x14ac:dyDescent="0.3"/>
    <row r="350" customFormat="1" x14ac:dyDescent="0.3"/>
    <row r="351" customFormat="1" x14ac:dyDescent="0.3"/>
    <row r="352" customFormat="1" x14ac:dyDescent="0.3"/>
    <row r="353" customFormat="1" x14ac:dyDescent="0.3"/>
    <row r="354" customFormat="1" x14ac:dyDescent="0.3"/>
    <row r="355" customFormat="1" x14ac:dyDescent="0.3"/>
    <row r="356" customFormat="1" x14ac:dyDescent="0.3"/>
    <row r="357" customFormat="1" x14ac:dyDescent="0.3"/>
    <row r="358" customFormat="1" x14ac:dyDescent="0.3"/>
    <row r="359" customFormat="1" x14ac:dyDescent="0.3"/>
    <row r="360" customFormat="1" x14ac:dyDescent="0.3"/>
    <row r="361" customFormat="1" x14ac:dyDescent="0.3"/>
    <row r="362" customFormat="1" x14ac:dyDescent="0.3"/>
    <row r="363" customFormat="1" x14ac:dyDescent="0.3"/>
    <row r="364" customFormat="1" x14ac:dyDescent="0.3"/>
    <row r="365" customFormat="1" x14ac:dyDescent="0.3"/>
    <row r="366" customFormat="1" x14ac:dyDescent="0.3"/>
    <row r="367" customFormat="1" x14ac:dyDescent="0.3"/>
    <row r="368" customFormat="1" x14ac:dyDescent="0.3"/>
    <row r="369" customFormat="1" x14ac:dyDescent="0.3"/>
    <row r="370" customFormat="1" x14ac:dyDescent="0.3"/>
    <row r="371" customFormat="1" x14ac:dyDescent="0.3"/>
    <row r="372" customFormat="1" x14ac:dyDescent="0.3"/>
    <row r="373" customFormat="1" x14ac:dyDescent="0.3"/>
    <row r="374" customFormat="1" x14ac:dyDescent="0.3"/>
    <row r="375" customFormat="1" x14ac:dyDescent="0.3"/>
    <row r="376" customFormat="1" x14ac:dyDescent="0.3"/>
    <row r="377" customFormat="1" x14ac:dyDescent="0.3"/>
    <row r="378" customFormat="1" x14ac:dyDescent="0.3"/>
    <row r="379" customFormat="1" x14ac:dyDescent="0.3"/>
    <row r="380" customFormat="1" x14ac:dyDescent="0.3"/>
    <row r="381" customFormat="1" x14ac:dyDescent="0.3"/>
    <row r="382" customFormat="1" x14ac:dyDescent="0.3"/>
    <row r="383" customFormat="1" x14ac:dyDescent="0.3"/>
    <row r="384" customFormat="1" x14ac:dyDescent="0.3"/>
    <row r="385" customFormat="1" x14ac:dyDescent="0.3"/>
    <row r="386" customFormat="1" x14ac:dyDescent="0.3"/>
    <row r="387" customFormat="1" x14ac:dyDescent="0.3"/>
    <row r="388" customFormat="1" x14ac:dyDescent="0.3"/>
    <row r="389" customFormat="1" x14ac:dyDescent="0.3"/>
    <row r="390" customFormat="1" x14ac:dyDescent="0.3"/>
    <row r="391" customFormat="1" x14ac:dyDescent="0.3"/>
    <row r="392" customFormat="1" x14ac:dyDescent="0.3"/>
    <row r="393" customFormat="1" x14ac:dyDescent="0.3"/>
    <row r="394" customFormat="1" x14ac:dyDescent="0.3"/>
    <row r="395" customFormat="1" x14ac:dyDescent="0.3"/>
    <row r="396" customFormat="1" x14ac:dyDescent="0.3"/>
    <row r="397" customFormat="1" x14ac:dyDescent="0.3"/>
    <row r="398" customFormat="1" x14ac:dyDescent="0.3"/>
    <row r="399" customFormat="1" x14ac:dyDescent="0.3"/>
    <row r="400" customFormat="1" x14ac:dyDescent="0.3"/>
    <row r="401" customFormat="1" x14ac:dyDescent="0.3"/>
    <row r="402" customFormat="1" x14ac:dyDescent="0.3"/>
    <row r="403" customFormat="1" x14ac:dyDescent="0.3"/>
    <row r="404" customFormat="1" x14ac:dyDescent="0.3"/>
    <row r="405" customFormat="1" x14ac:dyDescent="0.3"/>
    <row r="406" customFormat="1" x14ac:dyDescent="0.3"/>
    <row r="407" customFormat="1" x14ac:dyDescent="0.3"/>
    <row r="408" customFormat="1" x14ac:dyDescent="0.3"/>
    <row r="409" customFormat="1" x14ac:dyDescent="0.3"/>
    <row r="410" customFormat="1" x14ac:dyDescent="0.3"/>
    <row r="411" customFormat="1" x14ac:dyDescent="0.3"/>
    <row r="412" customFormat="1" x14ac:dyDescent="0.3"/>
    <row r="413" customFormat="1" x14ac:dyDescent="0.3"/>
    <row r="414" customFormat="1" x14ac:dyDescent="0.3"/>
    <row r="415" customFormat="1" x14ac:dyDescent="0.3"/>
    <row r="416" customFormat="1" x14ac:dyDescent="0.3"/>
    <row r="417" customFormat="1" x14ac:dyDescent="0.3"/>
    <row r="418" customFormat="1" x14ac:dyDescent="0.3"/>
    <row r="419" customFormat="1" x14ac:dyDescent="0.3"/>
    <row r="420" customFormat="1" x14ac:dyDescent="0.3"/>
    <row r="421" customFormat="1" x14ac:dyDescent="0.3"/>
    <row r="422" customFormat="1" x14ac:dyDescent="0.3"/>
    <row r="423" customFormat="1" x14ac:dyDescent="0.3"/>
    <row r="424" customFormat="1" x14ac:dyDescent="0.3"/>
    <row r="425" customFormat="1" x14ac:dyDescent="0.3"/>
    <row r="426" customFormat="1" x14ac:dyDescent="0.3"/>
    <row r="427" customFormat="1" x14ac:dyDescent="0.3"/>
    <row r="428" customFormat="1" x14ac:dyDescent="0.3"/>
    <row r="429" customFormat="1" x14ac:dyDescent="0.3"/>
    <row r="430" customFormat="1" x14ac:dyDescent="0.3"/>
    <row r="431" customFormat="1" x14ac:dyDescent="0.3"/>
    <row r="432" customFormat="1" x14ac:dyDescent="0.3"/>
    <row r="433" customFormat="1" x14ac:dyDescent="0.3"/>
    <row r="434" customFormat="1" x14ac:dyDescent="0.3"/>
    <row r="435" customFormat="1" x14ac:dyDescent="0.3"/>
    <row r="436" customFormat="1" x14ac:dyDescent="0.3"/>
    <row r="437" customFormat="1" x14ac:dyDescent="0.3"/>
    <row r="438" customFormat="1" x14ac:dyDescent="0.3"/>
    <row r="439" customFormat="1" x14ac:dyDescent="0.3"/>
    <row r="440" customFormat="1" x14ac:dyDescent="0.3"/>
    <row r="441" customFormat="1" x14ac:dyDescent="0.3"/>
    <row r="442" customFormat="1" x14ac:dyDescent="0.3"/>
    <row r="443" customFormat="1" x14ac:dyDescent="0.3"/>
    <row r="444" customFormat="1" x14ac:dyDescent="0.3"/>
    <row r="445" customFormat="1" x14ac:dyDescent="0.3"/>
    <row r="446" customFormat="1" x14ac:dyDescent="0.3"/>
    <row r="447" customFormat="1" x14ac:dyDescent="0.3"/>
    <row r="448" customFormat="1" x14ac:dyDescent="0.3"/>
    <row r="449" customFormat="1" x14ac:dyDescent="0.3"/>
    <row r="450" customFormat="1" x14ac:dyDescent="0.3"/>
    <row r="451" customFormat="1" x14ac:dyDescent="0.3"/>
    <row r="452" customFormat="1" x14ac:dyDescent="0.3"/>
    <row r="453" customFormat="1" x14ac:dyDescent="0.3"/>
    <row r="454" customFormat="1" x14ac:dyDescent="0.3"/>
    <row r="455" customFormat="1" x14ac:dyDescent="0.3"/>
    <row r="456" customFormat="1" x14ac:dyDescent="0.3"/>
    <row r="457" customFormat="1" x14ac:dyDescent="0.3"/>
    <row r="458" customFormat="1" x14ac:dyDescent="0.3"/>
    <row r="459" customFormat="1" x14ac:dyDescent="0.3"/>
    <row r="460" customFormat="1" x14ac:dyDescent="0.3"/>
    <row r="461" customFormat="1" x14ac:dyDescent="0.3"/>
    <row r="462" customFormat="1" x14ac:dyDescent="0.3"/>
    <row r="463" customFormat="1" x14ac:dyDescent="0.3"/>
    <row r="464" customFormat="1" x14ac:dyDescent="0.3"/>
    <row r="465" customFormat="1" x14ac:dyDescent="0.3"/>
    <row r="466" customFormat="1" x14ac:dyDescent="0.3"/>
    <row r="467" customFormat="1" x14ac:dyDescent="0.3"/>
    <row r="468" customFormat="1" x14ac:dyDescent="0.3"/>
    <row r="469" customFormat="1" x14ac:dyDescent="0.3"/>
    <row r="470" customFormat="1" x14ac:dyDescent="0.3"/>
    <row r="471" customFormat="1" x14ac:dyDescent="0.3"/>
    <row r="472" customFormat="1" x14ac:dyDescent="0.3"/>
    <row r="473" customFormat="1" x14ac:dyDescent="0.3"/>
    <row r="474" customFormat="1" x14ac:dyDescent="0.3"/>
    <row r="475" customFormat="1" x14ac:dyDescent="0.3"/>
    <row r="476" customFormat="1" x14ac:dyDescent="0.3"/>
    <row r="477" customFormat="1" x14ac:dyDescent="0.3"/>
    <row r="478" customFormat="1" x14ac:dyDescent="0.3"/>
    <row r="479" customFormat="1" x14ac:dyDescent="0.3"/>
    <row r="480" customFormat="1" x14ac:dyDescent="0.3"/>
    <row r="481" customFormat="1" x14ac:dyDescent="0.3"/>
    <row r="482" customFormat="1" x14ac:dyDescent="0.3"/>
    <row r="483" customFormat="1" x14ac:dyDescent="0.3"/>
    <row r="484" customFormat="1" x14ac:dyDescent="0.3"/>
    <row r="485" customFormat="1" x14ac:dyDescent="0.3"/>
    <row r="486" customFormat="1" x14ac:dyDescent="0.3"/>
    <row r="487" customFormat="1" x14ac:dyDescent="0.3"/>
    <row r="488" customFormat="1" x14ac:dyDescent="0.3"/>
    <row r="489" customFormat="1" x14ac:dyDescent="0.3"/>
    <row r="490" customFormat="1" x14ac:dyDescent="0.3"/>
    <row r="491" customFormat="1" x14ac:dyDescent="0.3"/>
    <row r="492" customFormat="1" x14ac:dyDescent="0.3"/>
    <row r="493" customFormat="1" x14ac:dyDescent="0.3"/>
    <row r="494" customFormat="1" x14ac:dyDescent="0.3"/>
    <row r="495" customFormat="1" x14ac:dyDescent="0.3"/>
    <row r="496" customFormat="1" x14ac:dyDescent="0.3"/>
    <row r="497" customFormat="1" x14ac:dyDescent="0.3"/>
    <row r="498" customFormat="1" x14ac:dyDescent="0.3"/>
    <row r="499" customFormat="1" x14ac:dyDescent="0.3"/>
    <row r="500" customFormat="1" x14ac:dyDescent="0.3"/>
    <row r="501" customFormat="1" x14ac:dyDescent="0.3"/>
    <row r="502" customFormat="1" x14ac:dyDescent="0.3"/>
    <row r="503" customFormat="1" x14ac:dyDescent="0.3"/>
    <row r="504" customFormat="1" x14ac:dyDescent="0.3"/>
    <row r="505" customFormat="1" x14ac:dyDescent="0.3"/>
    <row r="506" customFormat="1" x14ac:dyDescent="0.3"/>
    <row r="507" customFormat="1" x14ac:dyDescent="0.3"/>
    <row r="508" customFormat="1" x14ac:dyDescent="0.3"/>
    <row r="509" customFormat="1" x14ac:dyDescent="0.3"/>
    <row r="510" customFormat="1" x14ac:dyDescent="0.3"/>
    <row r="511" customFormat="1" x14ac:dyDescent="0.3"/>
    <row r="512" customFormat="1" x14ac:dyDescent="0.3"/>
    <row r="513" customFormat="1" x14ac:dyDescent="0.3"/>
    <row r="514" customFormat="1" x14ac:dyDescent="0.3"/>
    <row r="515" customFormat="1" x14ac:dyDescent="0.3"/>
    <row r="516" customFormat="1" x14ac:dyDescent="0.3"/>
    <row r="517" customFormat="1" x14ac:dyDescent="0.3"/>
    <row r="518" customFormat="1" x14ac:dyDescent="0.3"/>
    <row r="519" customFormat="1" x14ac:dyDescent="0.3"/>
    <row r="520" customFormat="1" x14ac:dyDescent="0.3"/>
    <row r="521" customFormat="1" x14ac:dyDescent="0.3"/>
    <row r="522" customFormat="1" x14ac:dyDescent="0.3"/>
    <row r="523" customFormat="1" x14ac:dyDescent="0.3"/>
    <row r="524" customFormat="1" x14ac:dyDescent="0.3"/>
    <row r="525" customFormat="1" x14ac:dyDescent="0.3"/>
    <row r="526" customFormat="1" x14ac:dyDescent="0.3"/>
    <row r="527" customFormat="1" x14ac:dyDescent="0.3"/>
    <row r="528" customFormat="1" x14ac:dyDescent="0.3"/>
    <row r="529" customFormat="1" x14ac:dyDescent="0.3"/>
    <row r="530" customFormat="1" x14ac:dyDescent="0.3"/>
    <row r="531" customFormat="1" x14ac:dyDescent="0.3"/>
    <row r="532" customFormat="1" x14ac:dyDescent="0.3"/>
    <row r="533" customFormat="1" x14ac:dyDescent="0.3"/>
    <row r="534" customFormat="1" x14ac:dyDescent="0.3"/>
    <row r="535" customFormat="1" x14ac:dyDescent="0.3"/>
    <row r="536" customFormat="1" x14ac:dyDescent="0.3"/>
    <row r="537" customFormat="1" x14ac:dyDescent="0.3"/>
    <row r="538" customFormat="1" x14ac:dyDescent="0.3"/>
    <row r="539" customFormat="1" x14ac:dyDescent="0.3"/>
    <row r="540" customFormat="1" x14ac:dyDescent="0.3"/>
    <row r="541" customFormat="1" x14ac:dyDescent="0.3"/>
    <row r="542" customFormat="1" x14ac:dyDescent="0.3"/>
    <row r="543" customFormat="1" x14ac:dyDescent="0.3"/>
    <row r="544" customFormat="1" x14ac:dyDescent="0.3"/>
    <row r="545" customFormat="1" x14ac:dyDescent="0.3"/>
    <row r="546" customFormat="1" x14ac:dyDescent="0.3"/>
    <row r="547" customFormat="1" x14ac:dyDescent="0.3"/>
    <row r="548" customFormat="1" x14ac:dyDescent="0.3"/>
    <row r="549" customFormat="1" x14ac:dyDescent="0.3"/>
    <row r="550" customFormat="1" x14ac:dyDescent="0.3"/>
    <row r="551" customFormat="1" x14ac:dyDescent="0.3"/>
    <row r="552" customFormat="1" x14ac:dyDescent="0.3"/>
    <row r="553" customFormat="1" x14ac:dyDescent="0.3"/>
    <row r="554" customFormat="1" x14ac:dyDescent="0.3"/>
    <row r="555" customFormat="1" x14ac:dyDescent="0.3"/>
    <row r="556" customFormat="1" x14ac:dyDescent="0.3"/>
    <row r="557" customFormat="1" x14ac:dyDescent="0.3"/>
    <row r="558" customFormat="1" x14ac:dyDescent="0.3"/>
    <row r="559" customFormat="1" x14ac:dyDescent="0.3"/>
    <row r="560" customFormat="1" x14ac:dyDescent="0.3"/>
    <row r="561" customFormat="1" x14ac:dyDescent="0.3"/>
    <row r="562" customFormat="1" x14ac:dyDescent="0.3"/>
    <row r="563" customFormat="1" x14ac:dyDescent="0.3"/>
    <row r="564" customFormat="1" x14ac:dyDescent="0.3"/>
    <row r="565" customFormat="1" x14ac:dyDescent="0.3"/>
    <row r="566" customFormat="1" x14ac:dyDescent="0.3"/>
    <row r="567" customFormat="1" x14ac:dyDescent="0.3"/>
    <row r="568" customFormat="1" x14ac:dyDescent="0.3"/>
    <row r="569" customFormat="1" x14ac:dyDescent="0.3"/>
    <row r="570" customFormat="1" x14ac:dyDescent="0.3"/>
    <row r="571" customFormat="1" x14ac:dyDescent="0.3"/>
    <row r="572" customFormat="1" x14ac:dyDescent="0.3"/>
    <row r="573" customFormat="1" x14ac:dyDescent="0.3"/>
    <row r="574" customFormat="1" x14ac:dyDescent="0.3"/>
    <row r="575" customFormat="1" x14ac:dyDescent="0.3"/>
    <row r="576" customFormat="1" x14ac:dyDescent="0.3"/>
    <row r="577" customFormat="1" x14ac:dyDescent="0.3"/>
    <row r="578" customFormat="1" x14ac:dyDescent="0.3"/>
    <row r="579" customFormat="1" x14ac:dyDescent="0.3"/>
    <row r="580" customFormat="1" x14ac:dyDescent="0.3"/>
    <row r="581" customFormat="1" x14ac:dyDescent="0.3"/>
    <row r="582" customFormat="1" x14ac:dyDescent="0.3"/>
    <row r="583" customFormat="1" x14ac:dyDescent="0.3"/>
    <row r="584" customFormat="1" x14ac:dyDescent="0.3"/>
    <row r="585" customFormat="1" x14ac:dyDescent="0.3"/>
    <row r="586" customFormat="1" x14ac:dyDescent="0.3"/>
    <row r="587" customFormat="1" x14ac:dyDescent="0.3"/>
    <row r="588" customFormat="1" x14ac:dyDescent="0.3"/>
    <row r="589" customFormat="1" x14ac:dyDescent="0.3"/>
    <row r="590" customFormat="1" x14ac:dyDescent="0.3"/>
    <row r="591" customFormat="1" x14ac:dyDescent="0.3"/>
    <row r="592" customFormat="1" x14ac:dyDescent="0.3"/>
    <row r="593" customFormat="1" x14ac:dyDescent="0.3"/>
    <row r="594" customFormat="1" x14ac:dyDescent="0.3"/>
    <row r="595" customFormat="1" x14ac:dyDescent="0.3"/>
    <row r="596" customFormat="1" x14ac:dyDescent="0.3"/>
    <row r="597" customFormat="1" x14ac:dyDescent="0.3"/>
    <row r="598" customFormat="1" x14ac:dyDescent="0.3"/>
    <row r="599" customFormat="1" x14ac:dyDescent="0.3"/>
    <row r="600" customFormat="1" x14ac:dyDescent="0.3"/>
    <row r="601" customFormat="1" x14ac:dyDescent="0.3"/>
    <row r="602" customFormat="1" x14ac:dyDescent="0.3"/>
    <row r="603" customFormat="1" x14ac:dyDescent="0.3"/>
    <row r="604" customFormat="1" x14ac:dyDescent="0.3"/>
    <row r="605" customFormat="1" x14ac:dyDescent="0.3"/>
    <row r="606" customFormat="1" x14ac:dyDescent="0.3"/>
    <row r="607" customFormat="1" x14ac:dyDescent="0.3"/>
    <row r="608" customFormat="1" x14ac:dyDescent="0.3"/>
    <row r="609" customFormat="1" x14ac:dyDescent="0.3"/>
    <row r="610" customFormat="1" x14ac:dyDescent="0.3"/>
    <row r="611" customFormat="1" x14ac:dyDescent="0.3"/>
    <row r="612" customFormat="1" x14ac:dyDescent="0.3"/>
    <row r="613" customFormat="1" x14ac:dyDescent="0.3"/>
    <row r="614" customFormat="1" x14ac:dyDescent="0.3"/>
    <row r="615" customFormat="1" x14ac:dyDescent="0.3"/>
    <row r="616" customFormat="1" x14ac:dyDescent="0.3"/>
    <row r="617" customFormat="1" x14ac:dyDescent="0.3"/>
    <row r="618" customFormat="1" x14ac:dyDescent="0.3"/>
    <row r="619" customFormat="1" x14ac:dyDescent="0.3"/>
    <row r="620" customFormat="1" x14ac:dyDescent="0.3"/>
    <row r="621" customFormat="1" x14ac:dyDescent="0.3"/>
    <row r="622" customFormat="1" x14ac:dyDescent="0.3"/>
    <row r="623" customFormat="1" x14ac:dyDescent="0.3"/>
    <row r="624" customFormat="1" x14ac:dyDescent="0.3"/>
    <row r="625" customFormat="1" x14ac:dyDescent="0.3"/>
    <row r="626" customFormat="1" x14ac:dyDescent="0.3"/>
    <row r="627" customFormat="1" x14ac:dyDescent="0.3"/>
    <row r="628" customFormat="1" x14ac:dyDescent="0.3"/>
    <row r="629" customFormat="1" x14ac:dyDescent="0.3"/>
    <row r="630" customFormat="1" x14ac:dyDescent="0.3"/>
    <row r="631" customFormat="1" x14ac:dyDescent="0.3"/>
    <row r="632" customFormat="1" x14ac:dyDescent="0.3"/>
    <row r="633" customFormat="1" x14ac:dyDescent="0.3"/>
    <row r="634" customFormat="1" x14ac:dyDescent="0.3"/>
    <row r="635" customFormat="1" x14ac:dyDescent="0.3"/>
    <row r="636" customFormat="1" x14ac:dyDescent="0.3"/>
    <row r="637" customFormat="1" x14ac:dyDescent="0.3"/>
    <row r="638" customFormat="1" x14ac:dyDescent="0.3"/>
    <row r="639" customFormat="1" x14ac:dyDescent="0.3"/>
    <row r="640" customFormat="1" x14ac:dyDescent="0.3"/>
    <row r="641" customFormat="1" x14ac:dyDescent="0.3"/>
    <row r="642" customFormat="1" x14ac:dyDescent="0.3"/>
    <row r="643" customFormat="1" x14ac:dyDescent="0.3"/>
    <row r="644" customFormat="1" x14ac:dyDescent="0.3"/>
    <row r="645" customFormat="1" x14ac:dyDescent="0.3"/>
    <row r="646" customFormat="1" x14ac:dyDescent="0.3"/>
    <row r="647" customFormat="1" x14ac:dyDescent="0.3"/>
    <row r="648" customFormat="1" x14ac:dyDescent="0.3"/>
    <row r="649" customFormat="1" x14ac:dyDescent="0.3"/>
    <row r="650" customFormat="1" x14ac:dyDescent="0.3"/>
    <row r="651" customFormat="1" x14ac:dyDescent="0.3"/>
    <row r="652" customFormat="1" x14ac:dyDescent="0.3"/>
    <row r="653" customFormat="1" x14ac:dyDescent="0.3"/>
    <row r="654" customFormat="1" x14ac:dyDescent="0.3"/>
    <row r="655" customFormat="1" x14ac:dyDescent="0.3"/>
    <row r="656" customFormat="1" x14ac:dyDescent="0.3"/>
    <row r="657" customFormat="1" x14ac:dyDescent="0.3"/>
    <row r="658" customFormat="1" x14ac:dyDescent="0.3"/>
    <row r="659" customFormat="1" x14ac:dyDescent="0.3"/>
    <row r="660" customFormat="1" x14ac:dyDescent="0.3"/>
    <row r="661" customFormat="1" x14ac:dyDescent="0.3"/>
    <row r="662" customFormat="1" x14ac:dyDescent="0.3"/>
    <row r="663" customFormat="1" x14ac:dyDescent="0.3"/>
    <row r="664" customFormat="1" x14ac:dyDescent="0.3"/>
    <row r="665" customFormat="1" x14ac:dyDescent="0.3"/>
    <row r="666" customFormat="1" x14ac:dyDescent="0.3"/>
    <row r="667" customFormat="1" x14ac:dyDescent="0.3"/>
    <row r="668" customFormat="1" x14ac:dyDescent="0.3"/>
    <row r="669" customFormat="1" x14ac:dyDescent="0.3"/>
    <row r="670" customFormat="1" x14ac:dyDescent="0.3"/>
    <row r="671" customFormat="1" x14ac:dyDescent="0.3"/>
    <row r="672" customFormat="1" x14ac:dyDescent="0.3"/>
    <row r="673" customFormat="1" x14ac:dyDescent="0.3"/>
    <row r="674" customFormat="1" x14ac:dyDescent="0.3"/>
    <row r="675" customFormat="1" x14ac:dyDescent="0.3"/>
    <row r="676" customFormat="1" x14ac:dyDescent="0.3"/>
    <row r="677" customFormat="1" x14ac:dyDescent="0.3"/>
    <row r="678" customFormat="1" x14ac:dyDescent="0.3"/>
    <row r="679" customFormat="1" x14ac:dyDescent="0.3"/>
    <row r="680" customFormat="1" x14ac:dyDescent="0.3"/>
    <row r="681" customFormat="1" x14ac:dyDescent="0.3"/>
    <row r="682" customFormat="1" x14ac:dyDescent="0.3"/>
    <row r="683" customFormat="1" x14ac:dyDescent="0.3"/>
    <row r="684" customFormat="1" x14ac:dyDescent="0.3"/>
    <row r="685" customFormat="1" x14ac:dyDescent="0.3"/>
    <row r="686" customFormat="1" x14ac:dyDescent="0.3"/>
    <row r="687" customFormat="1" x14ac:dyDescent="0.3"/>
    <row r="688" customFormat="1" x14ac:dyDescent="0.3"/>
    <row r="689" customFormat="1" x14ac:dyDescent="0.3"/>
    <row r="690" customFormat="1" x14ac:dyDescent="0.3"/>
    <row r="691" customFormat="1" x14ac:dyDescent="0.3"/>
    <row r="692" customFormat="1" x14ac:dyDescent="0.3"/>
    <row r="693" customFormat="1" x14ac:dyDescent="0.3"/>
    <row r="694" customFormat="1" x14ac:dyDescent="0.3"/>
    <row r="695" customFormat="1" x14ac:dyDescent="0.3"/>
    <row r="696" customFormat="1" x14ac:dyDescent="0.3"/>
    <row r="697" customFormat="1" x14ac:dyDescent="0.3"/>
    <row r="698" customFormat="1" x14ac:dyDescent="0.3"/>
    <row r="699" customFormat="1" x14ac:dyDescent="0.3"/>
    <row r="700" customFormat="1" x14ac:dyDescent="0.3"/>
    <row r="701" customFormat="1" x14ac:dyDescent="0.3"/>
    <row r="702" customFormat="1" x14ac:dyDescent="0.3"/>
    <row r="703" customFormat="1" x14ac:dyDescent="0.3"/>
    <row r="704" customFormat="1" x14ac:dyDescent="0.3"/>
    <row r="705" customFormat="1" x14ac:dyDescent="0.3"/>
    <row r="706" customFormat="1" x14ac:dyDescent="0.3"/>
    <row r="707" customFormat="1" x14ac:dyDescent="0.3"/>
    <row r="708" customFormat="1" x14ac:dyDescent="0.3"/>
    <row r="709" customFormat="1" x14ac:dyDescent="0.3"/>
    <row r="710" customFormat="1" x14ac:dyDescent="0.3"/>
    <row r="711" customFormat="1" x14ac:dyDescent="0.3"/>
    <row r="712" customFormat="1" x14ac:dyDescent="0.3"/>
    <row r="713" customFormat="1" x14ac:dyDescent="0.3"/>
    <row r="714" customFormat="1" x14ac:dyDescent="0.3"/>
    <row r="715" customFormat="1" x14ac:dyDescent="0.3"/>
    <row r="716" customFormat="1" x14ac:dyDescent="0.3"/>
    <row r="717" customFormat="1" x14ac:dyDescent="0.3"/>
    <row r="718" customFormat="1" x14ac:dyDescent="0.3"/>
    <row r="719" customFormat="1" x14ac:dyDescent="0.3"/>
    <row r="720" customFormat="1" x14ac:dyDescent="0.3"/>
    <row r="721" customFormat="1" x14ac:dyDescent="0.3"/>
    <row r="722" customFormat="1" x14ac:dyDescent="0.3"/>
    <row r="723" customFormat="1" x14ac:dyDescent="0.3"/>
    <row r="724" customFormat="1" x14ac:dyDescent="0.3"/>
    <row r="725" customFormat="1" x14ac:dyDescent="0.3"/>
    <row r="726" customFormat="1" x14ac:dyDescent="0.3"/>
    <row r="727" customFormat="1" x14ac:dyDescent="0.3"/>
    <row r="728" customFormat="1" x14ac:dyDescent="0.3"/>
    <row r="729" customFormat="1" x14ac:dyDescent="0.3"/>
    <row r="730" customFormat="1" x14ac:dyDescent="0.3"/>
    <row r="731" customFormat="1" x14ac:dyDescent="0.3"/>
    <row r="732" customFormat="1" x14ac:dyDescent="0.3"/>
    <row r="733" customFormat="1" x14ac:dyDescent="0.3"/>
    <row r="734" customFormat="1" x14ac:dyDescent="0.3"/>
    <row r="735" customFormat="1" x14ac:dyDescent="0.3"/>
    <row r="736" customFormat="1" x14ac:dyDescent="0.3"/>
    <row r="737" customFormat="1" x14ac:dyDescent="0.3"/>
    <row r="738" customFormat="1" x14ac:dyDescent="0.3"/>
    <row r="739" customFormat="1" x14ac:dyDescent="0.3"/>
    <row r="740" customFormat="1" x14ac:dyDescent="0.3"/>
    <row r="741" customFormat="1" x14ac:dyDescent="0.3"/>
    <row r="742" customFormat="1" x14ac:dyDescent="0.3"/>
    <row r="743" customFormat="1" x14ac:dyDescent="0.3"/>
    <row r="744" customFormat="1" x14ac:dyDescent="0.3"/>
    <row r="745" customFormat="1" x14ac:dyDescent="0.3"/>
    <row r="746" customFormat="1" x14ac:dyDescent="0.3"/>
    <row r="747" customFormat="1" x14ac:dyDescent="0.3"/>
    <row r="748" customFormat="1" x14ac:dyDescent="0.3"/>
    <row r="749" customFormat="1" x14ac:dyDescent="0.3"/>
    <row r="750" customFormat="1" x14ac:dyDescent="0.3"/>
    <row r="751" customFormat="1" x14ac:dyDescent="0.3"/>
    <row r="752" customFormat="1" x14ac:dyDescent="0.3"/>
    <row r="753" customFormat="1" x14ac:dyDescent="0.3"/>
    <row r="754" customFormat="1" x14ac:dyDescent="0.3"/>
    <row r="755" customFormat="1" x14ac:dyDescent="0.3"/>
    <row r="756" customFormat="1" x14ac:dyDescent="0.3"/>
    <row r="757" customFormat="1" x14ac:dyDescent="0.3"/>
    <row r="758" customFormat="1" x14ac:dyDescent="0.3"/>
    <row r="759" customFormat="1" x14ac:dyDescent="0.3"/>
    <row r="760" customFormat="1" x14ac:dyDescent="0.3"/>
    <row r="761" customFormat="1" x14ac:dyDescent="0.3"/>
    <row r="762" customFormat="1" x14ac:dyDescent="0.3"/>
    <row r="763" customFormat="1" x14ac:dyDescent="0.3"/>
    <row r="764" customFormat="1" x14ac:dyDescent="0.3"/>
    <row r="765" customFormat="1" x14ac:dyDescent="0.3"/>
    <row r="766" customFormat="1" x14ac:dyDescent="0.3"/>
    <row r="767" customFormat="1" x14ac:dyDescent="0.3"/>
    <row r="768" customFormat="1" x14ac:dyDescent="0.3"/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  <row r="774" customFormat="1" x14ac:dyDescent="0.3"/>
    <row r="775" customFormat="1" x14ac:dyDescent="0.3"/>
    <row r="776" customFormat="1" x14ac:dyDescent="0.3"/>
    <row r="777" customFormat="1" x14ac:dyDescent="0.3"/>
    <row r="778" customFormat="1" x14ac:dyDescent="0.3"/>
    <row r="779" customFormat="1" x14ac:dyDescent="0.3"/>
    <row r="780" customFormat="1" x14ac:dyDescent="0.3"/>
    <row r="781" customFormat="1" x14ac:dyDescent="0.3"/>
    <row r="782" customFormat="1" x14ac:dyDescent="0.3"/>
    <row r="783" customFormat="1" x14ac:dyDescent="0.3"/>
    <row r="784" customFormat="1" x14ac:dyDescent="0.3"/>
    <row r="785" customFormat="1" x14ac:dyDescent="0.3"/>
    <row r="786" customFormat="1" x14ac:dyDescent="0.3"/>
    <row r="787" customFormat="1" x14ac:dyDescent="0.3"/>
    <row r="788" customFormat="1" x14ac:dyDescent="0.3"/>
    <row r="789" customFormat="1" x14ac:dyDescent="0.3"/>
    <row r="790" customFormat="1" x14ac:dyDescent="0.3"/>
    <row r="791" customFormat="1" x14ac:dyDescent="0.3"/>
    <row r="792" customFormat="1" x14ac:dyDescent="0.3"/>
    <row r="793" customFormat="1" x14ac:dyDescent="0.3"/>
    <row r="794" customFormat="1" x14ac:dyDescent="0.3"/>
    <row r="795" customFormat="1" x14ac:dyDescent="0.3"/>
    <row r="796" customFormat="1" x14ac:dyDescent="0.3"/>
    <row r="797" customFormat="1" x14ac:dyDescent="0.3"/>
    <row r="798" customFormat="1" x14ac:dyDescent="0.3"/>
    <row r="799" customFormat="1" x14ac:dyDescent="0.3"/>
    <row r="800" customFormat="1" x14ac:dyDescent="0.3"/>
    <row r="801" customFormat="1" x14ac:dyDescent="0.3"/>
    <row r="802" customFormat="1" x14ac:dyDescent="0.3"/>
    <row r="803" customFormat="1" x14ac:dyDescent="0.3"/>
    <row r="804" customFormat="1" x14ac:dyDescent="0.3"/>
    <row r="805" customFormat="1" x14ac:dyDescent="0.3"/>
    <row r="806" customFormat="1" x14ac:dyDescent="0.3"/>
    <row r="807" customFormat="1" x14ac:dyDescent="0.3"/>
    <row r="808" customFormat="1" x14ac:dyDescent="0.3"/>
    <row r="809" customFormat="1" x14ac:dyDescent="0.3"/>
    <row r="810" customFormat="1" x14ac:dyDescent="0.3"/>
    <row r="811" customFormat="1" x14ac:dyDescent="0.3"/>
    <row r="812" customFormat="1" x14ac:dyDescent="0.3"/>
    <row r="813" customFormat="1" x14ac:dyDescent="0.3"/>
    <row r="814" customFormat="1" x14ac:dyDescent="0.3"/>
    <row r="815" customFormat="1" x14ac:dyDescent="0.3"/>
    <row r="816" customFormat="1" x14ac:dyDescent="0.3"/>
    <row r="817" customFormat="1" x14ac:dyDescent="0.3"/>
    <row r="818" customFormat="1" x14ac:dyDescent="0.3"/>
    <row r="819" customFormat="1" x14ac:dyDescent="0.3"/>
    <row r="820" customFormat="1" x14ac:dyDescent="0.3"/>
    <row r="821" customFormat="1" x14ac:dyDescent="0.3"/>
    <row r="822" customFormat="1" x14ac:dyDescent="0.3"/>
    <row r="823" customFormat="1" x14ac:dyDescent="0.3"/>
    <row r="824" customFormat="1" x14ac:dyDescent="0.3"/>
    <row r="825" customFormat="1" x14ac:dyDescent="0.3"/>
    <row r="826" customFormat="1" x14ac:dyDescent="0.3"/>
    <row r="827" customFormat="1" x14ac:dyDescent="0.3"/>
    <row r="828" customFormat="1" x14ac:dyDescent="0.3"/>
    <row r="829" customFormat="1" x14ac:dyDescent="0.3"/>
    <row r="830" customFormat="1" x14ac:dyDescent="0.3"/>
    <row r="831" customFormat="1" x14ac:dyDescent="0.3"/>
    <row r="832" customFormat="1" x14ac:dyDescent="0.3"/>
    <row r="833" customFormat="1" x14ac:dyDescent="0.3"/>
    <row r="834" customFormat="1" x14ac:dyDescent="0.3"/>
    <row r="835" customFormat="1" x14ac:dyDescent="0.3"/>
    <row r="836" customFormat="1" x14ac:dyDescent="0.3"/>
    <row r="837" customFormat="1" x14ac:dyDescent="0.3"/>
    <row r="838" customFormat="1" x14ac:dyDescent="0.3"/>
    <row r="839" customFormat="1" x14ac:dyDescent="0.3"/>
    <row r="840" customFormat="1" x14ac:dyDescent="0.3"/>
    <row r="841" customFormat="1" x14ac:dyDescent="0.3"/>
    <row r="842" customFormat="1" x14ac:dyDescent="0.3"/>
    <row r="843" customFormat="1" x14ac:dyDescent="0.3"/>
    <row r="844" customFormat="1" x14ac:dyDescent="0.3"/>
    <row r="845" customFormat="1" x14ac:dyDescent="0.3"/>
    <row r="846" customFormat="1" x14ac:dyDescent="0.3"/>
    <row r="847" customFormat="1" x14ac:dyDescent="0.3"/>
    <row r="848" customFormat="1" x14ac:dyDescent="0.3"/>
    <row r="849" customFormat="1" x14ac:dyDescent="0.3"/>
    <row r="850" customFormat="1" x14ac:dyDescent="0.3"/>
    <row r="851" customFormat="1" x14ac:dyDescent="0.3"/>
    <row r="852" customFormat="1" x14ac:dyDescent="0.3"/>
    <row r="853" customFormat="1" x14ac:dyDescent="0.3"/>
    <row r="854" customFormat="1" x14ac:dyDescent="0.3"/>
    <row r="855" customFormat="1" x14ac:dyDescent="0.3"/>
    <row r="856" customFormat="1" x14ac:dyDescent="0.3"/>
    <row r="857" customFormat="1" x14ac:dyDescent="0.3"/>
    <row r="858" customFormat="1" x14ac:dyDescent="0.3"/>
    <row r="859" customFormat="1" x14ac:dyDescent="0.3"/>
    <row r="860" customFormat="1" x14ac:dyDescent="0.3"/>
    <row r="861" customFormat="1" x14ac:dyDescent="0.3"/>
    <row r="862" customFormat="1" x14ac:dyDescent="0.3"/>
    <row r="863" customFormat="1" x14ac:dyDescent="0.3"/>
    <row r="864" customFormat="1" x14ac:dyDescent="0.3"/>
    <row r="865" customFormat="1" x14ac:dyDescent="0.3"/>
    <row r="866" customFormat="1" x14ac:dyDescent="0.3"/>
    <row r="867" customFormat="1" x14ac:dyDescent="0.3"/>
    <row r="868" customFormat="1" x14ac:dyDescent="0.3"/>
    <row r="869" customFormat="1" x14ac:dyDescent="0.3"/>
    <row r="870" customFormat="1" x14ac:dyDescent="0.3"/>
    <row r="871" customFormat="1" x14ac:dyDescent="0.3"/>
    <row r="872" customFormat="1" x14ac:dyDescent="0.3"/>
    <row r="873" customFormat="1" x14ac:dyDescent="0.3"/>
    <row r="874" customFormat="1" x14ac:dyDescent="0.3"/>
    <row r="875" customFormat="1" x14ac:dyDescent="0.3"/>
    <row r="876" customFormat="1" x14ac:dyDescent="0.3"/>
    <row r="877" customFormat="1" x14ac:dyDescent="0.3"/>
    <row r="878" customFormat="1" x14ac:dyDescent="0.3"/>
    <row r="879" customFormat="1" x14ac:dyDescent="0.3"/>
    <row r="880" customFormat="1" x14ac:dyDescent="0.3"/>
    <row r="881" customFormat="1" x14ac:dyDescent="0.3"/>
    <row r="882" customFormat="1" x14ac:dyDescent="0.3"/>
    <row r="883" customFormat="1" x14ac:dyDescent="0.3"/>
    <row r="884" customFormat="1" x14ac:dyDescent="0.3"/>
    <row r="885" customFormat="1" x14ac:dyDescent="0.3"/>
    <row r="886" customFormat="1" x14ac:dyDescent="0.3"/>
    <row r="887" customFormat="1" x14ac:dyDescent="0.3"/>
    <row r="888" customFormat="1" x14ac:dyDescent="0.3"/>
    <row r="889" customFormat="1" x14ac:dyDescent="0.3"/>
    <row r="890" customFormat="1" x14ac:dyDescent="0.3"/>
    <row r="891" customFormat="1" x14ac:dyDescent="0.3"/>
    <row r="892" customFormat="1" x14ac:dyDescent="0.3"/>
    <row r="893" customFormat="1" x14ac:dyDescent="0.3"/>
    <row r="894" customFormat="1" x14ac:dyDescent="0.3"/>
    <row r="895" customFormat="1" x14ac:dyDescent="0.3"/>
    <row r="896" customFormat="1" x14ac:dyDescent="0.3"/>
    <row r="897" customFormat="1" x14ac:dyDescent="0.3"/>
    <row r="898" customFormat="1" x14ac:dyDescent="0.3"/>
    <row r="899" customFormat="1" x14ac:dyDescent="0.3"/>
    <row r="900" customFormat="1" x14ac:dyDescent="0.3"/>
    <row r="901" customFormat="1" x14ac:dyDescent="0.3"/>
    <row r="902" customFormat="1" x14ac:dyDescent="0.3"/>
    <row r="903" customFormat="1" x14ac:dyDescent="0.3"/>
    <row r="904" customFormat="1" x14ac:dyDescent="0.3"/>
    <row r="905" customFormat="1" x14ac:dyDescent="0.3"/>
    <row r="906" customFormat="1" x14ac:dyDescent="0.3"/>
    <row r="907" customFormat="1" x14ac:dyDescent="0.3"/>
    <row r="908" customFormat="1" x14ac:dyDescent="0.3"/>
    <row r="909" customFormat="1" x14ac:dyDescent="0.3"/>
    <row r="910" customFormat="1" x14ac:dyDescent="0.3"/>
    <row r="911" customFormat="1" x14ac:dyDescent="0.3"/>
    <row r="912" customFormat="1" x14ac:dyDescent="0.3"/>
    <row r="913" customFormat="1" x14ac:dyDescent="0.3"/>
    <row r="914" customFormat="1" x14ac:dyDescent="0.3"/>
    <row r="915" customFormat="1" x14ac:dyDescent="0.3"/>
    <row r="916" customFormat="1" x14ac:dyDescent="0.3"/>
    <row r="917" customFormat="1" x14ac:dyDescent="0.3"/>
    <row r="918" customFormat="1" x14ac:dyDescent="0.3"/>
    <row r="919" customFormat="1" x14ac:dyDescent="0.3"/>
    <row r="920" customFormat="1" x14ac:dyDescent="0.3"/>
    <row r="921" customFormat="1" x14ac:dyDescent="0.3"/>
    <row r="922" customFormat="1" x14ac:dyDescent="0.3"/>
    <row r="923" customFormat="1" x14ac:dyDescent="0.3"/>
    <row r="924" customFormat="1" x14ac:dyDescent="0.3"/>
    <row r="925" customFormat="1" x14ac:dyDescent="0.3"/>
    <row r="926" customFormat="1" x14ac:dyDescent="0.3"/>
    <row r="927" customFormat="1" x14ac:dyDescent="0.3"/>
    <row r="928" customFormat="1" x14ac:dyDescent="0.3"/>
    <row r="929" customFormat="1" x14ac:dyDescent="0.3"/>
    <row r="930" customFormat="1" x14ac:dyDescent="0.3"/>
    <row r="931" customFormat="1" x14ac:dyDescent="0.3"/>
    <row r="932" customFormat="1" x14ac:dyDescent="0.3"/>
    <row r="933" customFormat="1" x14ac:dyDescent="0.3"/>
    <row r="934" customFormat="1" x14ac:dyDescent="0.3"/>
    <row r="935" customFormat="1" x14ac:dyDescent="0.3"/>
    <row r="936" customFormat="1" x14ac:dyDescent="0.3"/>
    <row r="937" customFormat="1" x14ac:dyDescent="0.3"/>
    <row r="938" customFormat="1" x14ac:dyDescent="0.3"/>
    <row r="939" customFormat="1" x14ac:dyDescent="0.3"/>
    <row r="940" customFormat="1" x14ac:dyDescent="0.3"/>
    <row r="941" customFormat="1" x14ac:dyDescent="0.3"/>
    <row r="942" customFormat="1" x14ac:dyDescent="0.3"/>
    <row r="943" customFormat="1" x14ac:dyDescent="0.3"/>
    <row r="944" customFormat="1" x14ac:dyDescent="0.3"/>
    <row r="945" customFormat="1" x14ac:dyDescent="0.3"/>
    <row r="946" customFormat="1" x14ac:dyDescent="0.3"/>
    <row r="947" customFormat="1" x14ac:dyDescent="0.3"/>
    <row r="948" customFormat="1" x14ac:dyDescent="0.3"/>
    <row r="949" customFormat="1" x14ac:dyDescent="0.3"/>
    <row r="950" customFormat="1" x14ac:dyDescent="0.3"/>
    <row r="951" customFormat="1" x14ac:dyDescent="0.3"/>
    <row r="952" customFormat="1" x14ac:dyDescent="0.3"/>
    <row r="953" customFormat="1" x14ac:dyDescent="0.3"/>
    <row r="954" customFormat="1" x14ac:dyDescent="0.3"/>
    <row r="955" customFormat="1" x14ac:dyDescent="0.3"/>
    <row r="956" customFormat="1" x14ac:dyDescent="0.3"/>
    <row r="957" customFormat="1" x14ac:dyDescent="0.3"/>
    <row r="958" customFormat="1" x14ac:dyDescent="0.3"/>
    <row r="959" customFormat="1" x14ac:dyDescent="0.3"/>
    <row r="960" customFormat="1" x14ac:dyDescent="0.3"/>
    <row r="961" customFormat="1" x14ac:dyDescent="0.3"/>
    <row r="962" customFormat="1" x14ac:dyDescent="0.3"/>
    <row r="963" customFormat="1" x14ac:dyDescent="0.3"/>
    <row r="964" customFormat="1" x14ac:dyDescent="0.3"/>
    <row r="965" customFormat="1" x14ac:dyDescent="0.3"/>
    <row r="966" customFormat="1" x14ac:dyDescent="0.3"/>
    <row r="967" customFormat="1" x14ac:dyDescent="0.3"/>
    <row r="968" customFormat="1" x14ac:dyDescent="0.3"/>
    <row r="969" customFormat="1" x14ac:dyDescent="0.3"/>
    <row r="970" customFormat="1" x14ac:dyDescent="0.3"/>
    <row r="971" customFormat="1" x14ac:dyDescent="0.3"/>
    <row r="972" customFormat="1" x14ac:dyDescent="0.3"/>
    <row r="973" customFormat="1" x14ac:dyDescent="0.3"/>
    <row r="974" customFormat="1" x14ac:dyDescent="0.3"/>
    <row r="975" customFormat="1" x14ac:dyDescent="0.3"/>
    <row r="976" customFormat="1" x14ac:dyDescent="0.3"/>
    <row r="977" customFormat="1" x14ac:dyDescent="0.3"/>
    <row r="978" customFormat="1" x14ac:dyDescent="0.3"/>
    <row r="979" customFormat="1" x14ac:dyDescent="0.3"/>
    <row r="980" customFormat="1" x14ac:dyDescent="0.3"/>
    <row r="981" customFormat="1" x14ac:dyDescent="0.3"/>
    <row r="982" customFormat="1" x14ac:dyDescent="0.3"/>
    <row r="983" customFormat="1" x14ac:dyDescent="0.3"/>
    <row r="984" customFormat="1" x14ac:dyDescent="0.3"/>
    <row r="985" customFormat="1" x14ac:dyDescent="0.3"/>
    <row r="986" customFormat="1" x14ac:dyDescent="0.3"/>
    <row r="987" customFormat="1" x14ac:dyDescent="0.3"/>
    <row r="988" customFormat="1" x14ac:dyDescent="0.3"/>
    <row r="989" customFormat="1" x14ac:dyDescent="0.3"/>
    <row r="990" customFormat="1" x14ac:dyDescent="0.3"/>
    <row r="991" customFormat="1" x14ac:dyDescent="0.3"/>
    <row r="992" customFormat="1" x14ac:dyDescent="0.3"/>
    <row r="993" customFormat="1" x14ac:dyDescent="0.3"/>
    <row r="994" customFormat="1" x14ac:dyDescent="0.3"/>
    <row r="995" customFormat="1" x14ac:dyDescent="0.3"/>
    <row r="996" customFormat="1" x14ac:dyDescent="0.3"/>
    <row r="997" customFormat="1" x14ac:dyDescent="0.3"/>
    <row r="998" customFormat="1" x14ac:dyDescent="0.3"/>
    <row r="999" customFormat="1" x14ac:dyDescent="0.3"/>
    <row r="1000" customFormat="1" x14ac:dyDescent="0.3"/>
    <row r="1001" customFormat="1" x14ac:dyDescent="0.3"/>
    <row r="1002" customFormat="1" x14ac:dyDescent="0.3"/>
    <row r="1003" customFormat="1" x14ac:dyDescent="0.3"/>
    <row r="1004" customFormat="1" x14ac:dyDescent="0.3"/>
    <row r="1005" customFormat="1" x14ac:dyDescent="0.3"/>
    <row r="1006" customFormat="1" x14ac:dyDescent="0.3"/>
    <row r="1007" customFormat="1" x14ac:dyDescent="0.3"/>
    <row r="1008" customFormat="1" x14ac:dyDescent="0.3"/>
    <row r="1009" customFormat="1" x14ac:dyDescent="0.3"/>
    <row r="1010" customFormat="1" x14ac:dyDescent="0.3"/>
    <row r="1011" customFormat="1" x14ac:dyDescent="0.3"/>
    <row r="1012" customFormat="1" x14ac:dyDescent="0.3"/>
    <row r="1013" customFormat="1" x14ac:dyDescent="0.3"/>
    <row r="1014" customFormat="1" x14ac:dyDescent="0.3"/>
    <row r="1015" customFormat="1" x14ac:dyDescent="0.3"/>
    <row r="1016" customFormat="1" x14ac:dyDescent="0.3"/>
    <row r="1017" customFormat="1" x14ac:dyDescent="0.3"/>
    <row r="1018" customFormat="1" x14ac:dyDescent="0.3"/>
    <row r="1019" customFormat="1" x14ac:dyDescent="0.3"/>
    <row r="1020" customFormat="1" x14ac:dyDescent="0.3"/>
    <row r="1021" customFormat="1" x14ac:dyDescent="0.3"/>
    <row r="1022" customFormat="1" x14ac:dyDescent="0.3"/>
    <row r="1023" customFormat="1" x14ac:dyDescent="0.3"/>
    <row r="1024" customFormat="1" x14ac:dyDescent="0.3"/>
    <row r="1025" customFormat="1" x14ac:dyDescent="0.3"/>
    <row r="1026" customFormat="1" x14ac:dyDescent="0.3"/>
    <row r="1027" customFormat="1" x14ac:dyDescent="0.3"/>
    <row r="1028" customFormat="1" x14ac:dyDescent="0.3"/>
    <row r="1029" customFormat="1" x14ac:dyDescent="0.3"/>
    <row r="1030" customFormat="1" x14ac:dyDescent="0.3"/>
    <row r="1031" customFormat="1" x14ac:dyDescent="0.3"/>
    <row r="1032" customFormat="1" x14ac:dyDescent="0.3"/>
    <row r="1033" customFormat="1" x14ac:dyDescent="0.3"/>
    <row r="1034" customFormat="1" x14ac:dyDescent="0.3"/>
    <row r="1035" customFormat="1" x14ac:dyDescent="0.3"/>
    <row r="1036" customFormat="1" x14ac:dyDescent="0.3"/>
    <row r="1037" customFormat="1" x14ac:dyDescent="0.3"/>
    <row r="1038" customFormat="1" x14ac:dyDescent="0.3"/>
    <row r="1039" customFormat="1" x14ac:dyDescent="0.3"/>
    <row r="1040" customFormat="1" x14ac:dyDescent="0.3"/>
    <row r="1041" customFormat="1" x14ac:dyDescent="0.3"/>
    <row r="1042" customFormat="1" x14ac:dyDescent="0.3"/>
    <row r="1043" customFormat="1" x14ac:dyDescent="0.3"/>
    <row r="1044" customFormat="1" x14ac:dyDescent="0.3"/>
    <row r="1045" customFormat="1" x14ac:dyDescent="0.3"/>
    <row r="1046" customFormat="1" x14ac:dyDescent="0.3"/>
    <row r="1047" customFormat="1" x14ac:dyDescent="0.3"/>
    <row r="1048" customFormat="1" x14ac:dyDescent="0.3"/>
    <row r="1049" customFormat="1" x14ac:dyDescent="0.3"/>
    <row r="1050" customFormat="1" x14ac:dyDescent="0.3"/>
    <row r="1051" customFormat="1" x14ac:dyDescent="0.3"/>
    <row r="1052" customFormat="1" x14ac:dyDescent="0.3"/>
    <row r="1053" customFormat="1" x14ac:dyDescent="0.3"/>
    <row r="1054" customFormat="1" x14ac:dyDescent="0.3"/>
    <row r="1055" customFormat="1" x14ac:dyDescent="0.3"/>
    <row r="1056" customFormat="1" x14ac:dyDescent="0.3"/>
    <row r="1057" customFormat="1" x14ac:dyDescent="0.3"/>
    <row r="1058" customFormat="1" x14ac:dyDescent="0.3"/>
    <row r="1059" customFormat="1" x14ac:dyDescent="0.3"/>
    <row r="1060" customFormat="1" x14ac:dyDescent="0.3"/>
    <row r="1061" customFormat="1" x14ac:dyDescent="0.3"/>
    <row r="1062" customFormat="1" x14ac:dyDescent="0.3"/>
    <row r="1063" customFormat="1" x14ac:dyDescent="0.3"/>
    <row r="1064" customFormat="1" x14ac:dyDescent="0.3"/>
    <row r="1065" customFormat="1" x14ac:dyDescent="0.3"/>
    <row r="1066" customFormat="1" x14ac:dyDescent="0.3"/>
    <row r="1067" customFormat="1" x14ac:dyDescent="0.3"/>
    <row r="1068" customFormat="1" x14ac:dyDescent="0.3"/>
    <row r="1069" customFormat="1" x14ac:dyDescent="0.3"/>
    <row r="1070" customFormat="1" x14ac:dyDescent="0.3"/>
    <row r="1071" customFormat="1" x14ac:dyDescent="0.3"/>
    <row r="1072" customFormat="1" x14ac:dyDescent="0.3"/>
    <row r="1073" customFormat="1" x14ac:dyDescent="0.3"/>
    <row r="1074" customFormat="1" x14ac:dyDescent="0.3"/>
    <row r="1075" customFormat="1" x14ac:dyDescent="0.3"/>
    <row r="1076" customFormat="1" x14ac:dyDescent="0.3"/>
    <row r="1077" customFormat="1" x14ac:dyDescent="0.3"/>
    <row r="1078" customFormat="1" x14ac:dyDescent="0.3"/>
    <row r="1079" customFormat="1" x14ac:dyDescent="0.3"/>
    <row r="1080" customFormat="1" x14ac:dyDescent="0.3"/>
    <row r="1081" customFormat="1" x14ac:dyDescent="0.3"/>
    <row r="1082" customFormat="1" x14ac:dyDescent="0.3"/>
    <row r="1083" customFormat="1" x14ac:dyDescent="0.3"/>
    <row r="1084" customFormat="1" x14ac:dyDescent="0.3"/>
    <row r="1085" customFormat="1" x14ac:dyDescent="0.3"/>
    <row r="1086" customFormat="1" x14ac:dyDescent="0.3"/>
    <row r="1087" customFormat="1" x14ac:dyDescent="0.3"/>
    <row r="1088" customFormat="1" x14ac:dyDescent="0.3"/>
    <row r="1089" customFormat="1" x14ac:dyDescent="0.3"/>
    <row r="1090" customFormat="1" x14ac:dyDescent="0.3"/>
    <row r="1091" customFormat="1" x14ac:dyDescent="0.3"/>
    <row r="1092" customFormat="1" x14ac:dyDescent="0.3"/>
    <row r="1093" customFormat="1" x14ac:dyDescent="0.3"/>
    <row r="1094" customFormat="1" x14ac:dyDescent="0.3"/>
    <row r="1095" customFormat="1" x14ac:dyDescent="0.3"/>
    <row r="1096" customFormat="1" x14ac:dyDescent="0.3"/>
    <row r="1097" customFormat="1" x14ac:dyDescent="0.3"/>
    <row r="1098" customFormat="1" x14ac:dyDescent="0.3"/>
    <row r="1099" customFormat="1" x14ac:dyDescent="0.3"/>
    <row r="1100" customFormat="1" x14ac:dyDescent="0.3"/>
    <row r="1101" customFormat="1" x14ac:dyDescent="0.3"/>
    <row r="1102" customFormat="1" x14ac:dyDescent="0.3"/>
    <row r="1103" customFormat="1" x14ac:dyDescent="0.3"/>
    <row r="1104" customFormat="1" x14ac:dyDescent="0.3"/>
    <row r="1105" customFormat="1" x14ac:dyDescent="0.3"/>
    <row r="1106" customFormat="1" x14ac:dyDescent="0.3"/>
    <row r="1107" customFormat="1" x14ac:dyDescent="0.3"/>
    <row r="1108" customFormat="1" x14ac:dyDescent="0.3"/>
    <row r="1109" customFormat="1" x14ac:dyDescent="0.3"/>
    <row r="1110" customFormat="1" x14ac:dyDescent="0.3"/>
    <row r="1111" customFormat="1" x14ac:dyDescent="0.3"/>
    <row r="1112" customFormat="1" x14ac:dyDescent="0.3"/>
    <row r="1113" customFormat="1" x14ac:dyDescent="0.3"/>
    <row r="1114" customFormat="1" x14ac:dyDescent="0.3"/>
    <row r="1115" customFormat="1" x14ac:dyDescent="0.3"/>
    <row r="1116" customFormat="1" x14ac:dyDescent="0.3"/>
    <row r="1117" customFormat="1" x14ac:dyDescent="0.3"/>
    <row r="1118" customFormat="1" x14ac:dyDescent="0.3"/>
    <row r="1119" customFormat="1" x14ac:dyDescent="0.3"/>
    <row r="1120" customFormat="1" x14ac:dyDescent="0.3"/>
    <row r="1121" customFormat="1" x14ac:dyDescent="0.3"/>
    <row r="1122" customFormat="1" x14ac:dyDescent="0.3"/>
    <row r="1123" customFormat="1" x14ac:dyDescent="0.3"/>
    <row r="1124" customFormat="1" x14ac:dyDescent="0.3"/>
    <row r="1125" customFormat="1" x14ac:dyDescent="0.3"/>
    <row r="1126" customFormat="1" x14ac:dyDescent="0.3"/>
    <row r="1127" customFormat="1" x14ac:dyDescent="0.3"/>
    <row r="1128" customFormat="1" x14ac:dyDescent="0.3"/>
    <row r="1129" customFormat="1" x14ac:dyDescent="0.3"/>
    <row r="1130" customFormat="1" x14ac:dyDescent="0.3"/>
    <row r="1131" customFormat="1" x14ac:dyDescent="0.3"/>
    <row r="1132" customFormat="1" x14ac:dyDescent="0.3"/>
    <row r="1133" customFormat="1" x14ac:dyDescent="0.3"/>
    <row r="1134" customFormat="1" x14ac:dyDescent="0.3"/>
    <row r="1135" customFormat="1" x14ac:dyDescent="0.3"/>
    <row r="1136" customFormat="1" x14ac:dyDescent="0.3"/>
    <row r="1137" customFormat="1" x14ac:dyDescent="0.3"/>
    <row r="1138" customFormat="1" x14ac:dyDescent="0.3"/>
    <row r="1139" customFormat="1" x14ac:dyDescent="0.3"/>
    <row r="1140" customFormat="1" x14ac:dyDescent="0.3"/>
    <row r="1141" customFormat="1" x14ac:dyDescent="0.3"/>
    <row r="1142" customFormat="1" x14ac:dyDescent="0.3"/>
    <row r="1143" customFormat="1" x14ac:dyDescent="0.3"/>
    <row r="1144" customFormat="1" x14ac:dyDescent="0.3"/>
    <row r="1145" customFormat="1" x14ac:dyDescent="0.3"/>
    <row r="1146" customFormat="1" x14ac:dyDescent="0.3"/>
    <row r="1147" customFormat="1" x14ac:dyDescent="0.3"/>
    <row r="1148" customFormat="1" x14ac:dyDescent="0.3"/>
    <row r="1149" customFormat="1" x14ac:dyDescent="0.3"/>
    <row r="1150" customFormat="1" x14ac:dyDescent="0.3"/>
    <row r="1151" customFormat="1" x14ac:dyDescent="0.3"/>
    <row r="1152" customFormat="1" x14ac:dyDescent="0.3"/>
    <row r="1153" customFormat="1" x14ac:dyDescent="0.3"/>
    <row r="1154" customFormat="1" x14ac:dyDescent="0.3"/>
    <row r="1155" customFormat="1" x14ac:dyDescent="0.3"/>
    <row r="1156" customFormat="1" x14ac:dyDescent="0.3"/>
    <row r="1157" customFormat="1" x14ac:dyDescent="0.3"/>
    <row r="1158" customFormat="1" x14ac:dyDescent="0.3"/>
    <row r="1159" customFormat="1" x14ac:dyDescent="0.3"/>
    <row r="1160" customFormat="1" x14ac:dyDescent="0.3"/>
    <row r="1161" customFormat="1" x14ac:dyDescent="0.3"/>
    <row r="1162" customFormat="1" x14ac:dyDescent="0.3"/>
    <row r="1163" customFormat="1" x14ac:dyDescent="0.3"/>
    <row r="1164" customFormat="1" x14ac:dyDescent="0.3"/>
    <row r="1165" customFormat="1" x14ac:dyDescent="0.3"/>
    <row r="1166" customFormat="1" x14ac:dyDescent="0.3"/>
    <row r="1167" customFormat="1" x14ac:dyDescent="0.3"/>
    <row r="1168" customFormat="1" x14ac:dyDescent="0.3"/>
    <row r="1169" customFormat="1" x14ac:dyDescent="0.3"/>
    <row r="1170" customFormat="1" x14ac:dyDescent="0.3"/>
    <row r="1171" customFormat="1" x14ac:dyDescent="0.3"/>
    <row r="1172" customFormat="1" x14ac:dyDescent="0.3"/>
    <row r="1173" customFormat="1" x14ac:dyDescent="0.3"/>
    <row r="1174" customFormat="1" x14ac:dyDescent="0.3"/>
    <row r="1175" customFormat="1" x14ac:dyDescent="0.3"/>
    <row r="1176" customFormat="1" x14ac:dyDescent="0.3"/>
    <row r="1177" customFormat="1" x14ac:dyDescent="0.3"/>
    <row r="1178" customFormat="1" x14ac:dyDescent="0.3"/>
    <row r="1179" customFormat="1" x14ac:dyDescent="0.3"/>
    <row r="1180" customFormat="1" x14ac:dyDescent="0.3"/>
    <row r="1181" customFormat="1" x14ac:dyDescent="0.3"/>
    <row r="1182" customFormat="1" x14ac:dyDescent="0.3"/>
    <row r="1183" customFormat="1" x14ac:dyDescent="0.3"/>
    <row r="1184" customFormat="1" x14ac:dyDescent="0.3"/>
    <row r="1185" customFormat="1" x14ac:dyDescent="0.3"/>
    <row r="1186" customFormat="1" x14ac:dyDescent="0.3"/>
    <row r="1187" customFormat="1" x14ac:dyDescent="0.3"/>
    <row r="1188" customFormat="1" x14ac:dyDescent="0.3"/>
    <row r="1189" customFormat="1" x14ac:dyDescent="0.3"/>
    <row r="1190" customFormat="1" x14ac:dyDescent="0.3"/>
    <row r="1191" customFormat="1" x14ac:dyDescent="0.3"/>
    <row r="1192" customFormat="1" x14ac:dyDescent="0.3"/>
    <row r="1193" customFormat="1" x14ac:dyDescent="0.3"/>
    <row r="1194" customFormat="1" x14ac:dyDescent="0.3"/>
    <row r="1195" customFormat="1" x14ac:dyDescent="0.3"/>
    <row r="1196" customFormat="1" x14ac:dyDescent="0.3"/>
    <row r="1197" customFormat="1" x14ac:dyDescent="0.3"/>
    <row r="1198" customFormat="1" x14ac:dyDescent="0.3"/>
    <row r="1199" customFormat="1" x14ac:dyDescent="0.3"/>
    <row r="1200" customFormat="1" x14ac:dyDescent="0.3"/>
    <row r="1201" customFormat="1" x14ac:dyDescent="0.3"/>
    <row r="1202" customFormat="1" x14ac:dyDescent="0.3"/>
    <row r="1203" customFormat="1" x14ac:dyDescent="0.3"/>
    <row r="1204" customFormat="1" x14ac:dyDescent="0.3"/>
    <row r="1205" customFormat="1" x14ac:dyDescent="0.3"/>
    <row r="1206" customFormat="1" x14ac:dyDescent="0.3"/>
    <row r="1207" customFormat="1" x14ac:dyDescent="0.3"/>
    <row r="1208" customFormat="1" x14ac:dyDescent="0.3"/>
    <row r="1209" customFormat="1" x14ac:dyDescent="0.3"/>
    <row r="1210" customFormat="1" x14ac:dyDescent="0.3"/>
    <row r="1211" customFormat="1" x14ac:dyDescent="0.3"/>
    <row r="1212" customFormat="1" x14ac:dyDescent="0.3"/>
    <row r="1213" customFormat="1" x14ac:dyDescent="0.3"/>
    <row r="1214" customFormat="1" x14ac:dyDescent="0.3"/>
    <row r="1215" customFormat="1" x14ac:dyDescent="0.3"/>
    <row r="1216" customFormat="1" x14ac:dyDescent="0.3"/>
    <row r="1217" customFormat="1" x14ac:dyDescent="0.3"/>
    <row r="1218" customFormat="1" x14ac:dyDescent="0.3"/>
    <row r="1219" customFormat="1" x14ac:dyDescent="0.3"/>
    <row r="1220" customFormat="1" x14ac:dyDescent="0.3"/>
    <row r="1221" customFormat="1" x14ac:dyDescent="0.3"/>
    <row r="1222" customFormat="1" x14ac:dyDescent="0.3"/>
    <row r="1223" customFormat="1" x14ac:dyDescent="0.3"/>
    <row r="1224" customFormat="1" x14ac:dyDescent="0.3"/>
    <row r="1225" customFormat="1" x14ac:dyDescent="0.3"/>
    <row r="1226" customFormat="1" x14ac:dyDescent="0.3"/>
    <row r="1227" customFormat="1" x14ac:dyDescent="0.3"/>
    <row r="1228" customFormat="1" x14ac:dyDescent="0.3"/>
    <row r="1229" customFormat="1" x14ac:dyDescent="0.3"/>
    <row r="1230" customFormat="1" x14ac:dyDescent="0.3"/>
    <row r="1231" customFormat="1" x14ac:dyDescent="0.3"/>
    <row r="1232" customFormat="1" x14ac:dyDescent="0.3"/>
    <row r="1233" customFormat="1" x14ac:dyDescent="0.3"/>
    <row r="1234" customFormat="1" x14ac:dyDescent="0.3"/>
    <row r="1235" customFormat="1" x14ac:dyDescent="0.3"/>
    <row r="1236" customFormat="1" x14ac:dyDescent="0.3"/>
    <row r="1237" customFormat="1" x14ac:dyDescent="0.3"/>
    <row r="1238" customFormat="1" x14ac:dyDescent="0.3"/>
    <row r="1239" customFormat="1" x14ac:dyDescent="0.3"/>
    <row r="1240" customFormat="1" x14ac:dyDescent="0.3"/>
    <row r="1241" customFormat="1" x14ac:dyDescent="0.3"/>
    <row r="1242" customFormat="1" x14ac:dyDescent="0.3"/>
    <row r="1243" customFormat="1" x14ac:dyDescent="0.3"/>
    <row r="1244" customFormat="1" x14ac:dyDescent="0.3"/>
    <row r="1245" customFormat="1" x14ac:dyDescent="0.3"/>
    <row r="1246" customFormat="1" x14ac:dyDescent="0.3"/>
    <row r="1247" customFormat="1" x14ac:dyDescent="0.3"/>
    <row r="1248" customFormat="1" x14ac:dyDescent="0.3"/>
    <row r="1249" customFormat="1" x14ac:dyDescent="0.3"/>
    <row r="1250" customFormat="1" x14ac:dyDescent="0.3"/>
    <row r="1251" customFormat="1" x14ac:dyDescent="0.3"/>
    <row r="1252" customFormat="1" x14ac:dyDescent="0.3"/>
    <row r="1253" customFormat="1" x14ac:dyDescent="0.3"/>
    <row r="1254" customFormat="1" x14ac:dyDescent="0.3"/>
    <row r="1255" customFormat="1" x14ac:dyDescent="0.3"/>
    <row r="1256" customFormat="1" x14ac:dyDescent="0.3"/>
    <row r="1257" customFormat="1" x14ac:dyDescent="0.3"/>
    <row r="1258" customFormat="1" x14ac:dyDescent="0.3"/>
    <row r="1259" customFormat="1" x14ac:dyDescent="0.3"/>
    <row r="1260" customFormat="1" x14ac:dyDescent="0.3"/>
    <row r="1261" customFormat="1" x14ac:dyDescent="0.3"/>
    <row r="1262" customFormat="1" x14ac:dyDescent="0.3"/>
    <row r="1263" customFormat="1" x14ac:dyDescent="0.3"/>
    <row r="1264" customFormat="1" x14ac:dyDescent="0.3"/>
    <row r="1265" customFormat="1" x14ac:dyDescent="0.3"/>
    <row r="1266" customFormat="1" x14ac:dyDescent="0.3"/>
    <row r="1267" customFormat="1" x14ac:dyDescent="0.3"/>
    <row r="1268" customFormat="1" x14ac:dyDescent="0.3"/>
    <row r="1269" customFormat="1" x14ac:dyDescent="0.3"/>
    <row r="1270" customFormat="1" x14ac:dyDescent="0.3"/>
    <row r="1271" customFormat="1" x14ac:dyDescent="0.3"/>
    <row r="1272" customFormat="1" x14ac:dyDescent="0.3"/>
    <row r="1273" customFormat="1" x14ac:dyDescent="0.3"/>
    <row r="1274" customFormat="1" x14ac:dyDescent="0.3"/>
    <row r="1275" customFormat="1" x14ac:dyDescent="0.3"/>
    <row r="1276" customFormat="1" x14ac:dyDescent="0.3"/>
    <row r="1277" customFormat="1" x14ac:dyDescent="0.3"/>
    <row r="1278" customFormat="1" x14ac:dyDescent="0.3"/>
    <row r="1279" customFormat="1" x14ac:dyDescent="0.3"/>
    <row r="1280" customFormat="1" x14ac:dyDescent="0.3"/>
    <row r="1281" customFormat="1" x14ac:dyDescent="0.3"/>
    <row r="1282" customFormat="1" x14ac:dyDescent="0.3"/>
    <row r="1283" customFormat="1" x14ac:dyDescent="0.3"/>
    <row r="1284" customFormat="1" x14ac:dyDescent="0.3"/>
    <row r="1285" customFormat="1" x14ac:dyDescent="0.3"/>
    <row r="1286" customFormat="1" x14ac:dyDescent="0.3"/>
    <row r="1287" customFormat="1" x14ac:dyDescent="0.3"/>
    <row r="1288" customFormat="1" x14ac:dyDescent="0.3"/>
    <row r="1289" customFormat="1" x14ac:dyDescent="0.3"/>
    <row r="1290" customFormat="1" x14ac:dyDescent="0.3"/>
    <row r="1291" customFormat="1" x14ac:dyDescent="0.3"/>
    <row r="1292" customFormat="1" x14ac:dyDescent="0.3"/>
    <row r="1293" customFormat="1" x14ac:dyDescent="0.3"/>
    <row r="1294" customFormat="1" x14ac:dyDescent="0.3"/>
    <row r="1295" customFormat="1" x14ac:dyDescent="0.3"/>
    <row r="1296" customFormat="1" x14ac:dyDescent="0.3"/>
    <row r="1297" customFormat="1" x14ac:dyDescent="0.3"/>
    <row r="1298" customFormat="1" x14ac:dyDescent="0.3"/>
    <row r="1299" customFormat="1" x14ac:dyDescent="0.3"/>
    <row r="1300" customFormat="1" x14ac:dyDescent="0.3"/>
    <row r="1301" customFormat="1" x14ac:dyDescent="0.3"/>
    <row r="1302" customFormat="1" x14ac:dyDescent="0.3"/>
    <row r="1303" customFormat="1" x14ac:dyDescent="0.3"/>
    <row r="1304" customFormat="1" x14ac:dyDescent="0.3"/>
    <row r="1305" customFormat="1" x14ac:dyDescent="0.3"/>
    <row r="1306" customFormat="1" x14ac:dyDescent="0.3"/>
    <row r="1307" customFormat="1" x14ac:dyDescent="0.3"/>
    <row r="1308" customFormat="1" x14ac:dyDescent="0.3"/>
    <row r="1309" customFormat="1" x14ac:dyDescent="0.3"/>
    <row r="1310" customFormat="1" x14ac:dyDescent="0.3"/>
    <row r="1311" customFormat="1" x14ac:dyDescent="0.3"/>
    <row r="1312" customFormat="1" x14ac:dyDescent="0.3"/>
    <row r="1313" customFormat="1" x14ac:dyDescent="0.3"/>
    <row r="1314" customFormat="1" x14ac:dyDescent="0.3"/>
    <row r="1315" customFormat="1" x14ac:dyDescent="0.3"/>
    <row r="1316" customFormat="1" x14ac:dyDescent="0.3"/>
    <row r="1317" customFormat="1" x14ac:dyDescent="0.3"/>
    <row r="1318" customFormat="1" x14ac:dyDescent="0.3"/>
    <row r="1319" customFormat="1" x14ac:dyDescent="0.3"/>
    <row r="1320" customFormat="1" x14ac:dyDescent="0.3"/>
    <row r="1321" customFormat="1" x14ac:dyDescent="0.3"/>
    <row r="1322" customFormat="1" x14ac:dyDescent="0.3"/>
    <row r="1323" customFormat="1" x14ac:dyDescent="0.3"/>
    <row r="1324" customFormat="1" x14ac:dyDescent="0.3"/>
    <row r="1325" customFormat="1" x14ac:dyDescent="0.3"/>
    <row r="1326" customFormat="1" x14ac:dyDescent="0.3"/>
    <row r="1327" customFormat="1" x14ac:dyDescent="0.3"/>
    <row r="1328" customFormat="1" x14ac:dyDescent="0.3"/>
    <row r="1329" customFormat="1" x14ac:dyDescent="0.3"/>
    <row r="1330" customFormat="1" x14ac:dyDescent="0.3"/>
    <row r="1331" customFormat="1" x14ac:dyDescent="0.3"/>
    <row r="1332" customFormat="1" x14ac:dyDescent="0.3"/>
    <row r="1333" customFormat="1" x14ac:dyDescent="0.3"/>
    <row r="1334" customFormat="1" x14ac:dyDescent="0.3"/>
    <row r="1335" customFormat="1" x14ac:dyDescent="0.3"/>
    <row r="1336" customFormat="1" x14ac:dyDescent="0.3"/>
    <row r="1337" customFormat="1" x14ac:dyDescent="0.3"/>
    <row r="1338" customFormat="1" x14ac:dyDescent="0.3"/>
    <row r="1339" customFormat="1" x14ac:dyDescent="0.3"/>
    <row r="1340" customFormat="1" x14ac:dyDescent="0.3"/>
    <row r="1341" customFormat="1" x14ac:dyDescent="0.3"/>
    <row r="1342" customFormat="1" x14ac:dyDescent="0.3"/>
    <row r="1343" customFormat="1" x14ac:dyDescent="0.3"/>
    <row r="1344" customFormat="1" x14ac:dyDescent="0.3"/>
    <row r="1345" customFormat="1" x14ac:dyDescent="0.3"/>
    <row r="1346" customFormat="1" x14ac:dyDescent="0.3"/>
    <row r="1347" customFormat="1" x14ac:dyDescent="0.3"/>
    <row r="1348" customFormat="1" x14ac:dyDescent="0.3"/>
    <row r="1349" customFormat="1" x14ac:dyDescent="0.3"/>
    <row r="1350" customFormat="1" x14ac:dyDescent="0.3"/>
    <row r="1351" customFormat="1" x14ac:dyDescent="0.3"/>
    <row r="1352" customFormat="1" x14ac:dyDescent="0.3"/>
    <row r="1353" customFormat="1" x14ac:dyDescent="0.3"/>
    <row r="1354" customFormat="1" x14ac:dyDescent="0.3"/>
    <row r="1355" customFormat="1" x14ac:dyDescent="0.3"/>
    <row r="1356" customFormat="1" x14ac:dyDescent="0.3"/>
    <row r="1357" customFormat="1" x14ac:dyDescent="0.3"/>
    <row r="1358" customFormat="1" x14ac:dyDescent="0.3"/>
    <row r="1359" customFormat="1" x14ac:dyDescent="0.3"/>
    <row r="1360" customFormat="1" x14ac:dyDescent="0.3"/>
    <row r="1361" customFormat="1" x14ac:dyDescent="0.3"/>
    <row r="1362" customFormat="1" x14ac:dyDescent="0.3"/>
    <row r="1363" customFormat="1" x14ac:dyDescent="0.3"/>
    <row r="1364" customFormat="1" x14ac:dyDescent="0.3"/>
    <row r="1365" customFormat="1" x14ac:dyDescent="0.3"/>
    <row r="1366" customFormat="1" x14ac:dyDescent="0.3"/>
    <row r="1367" customFormat="1" x14ac:dyDescent="0.3"/>
    <row r="1368" customFormat="1" x14ac:dyDescent="0.3"/>
    <row r="1369" customFormat="1" x14ac:dyDescent="0.3"/>
    <row r="1370" customFormat="1" x14ac:dyDescent="0.3"/>
    <row r="1371" customFormat="1" x14ac:dyDescent="0.3"/>
    <row r="1372" customFormat="1" x14ac:dyDescent="0.3"/>
    <row r="1373" customFormat="1" x14ac:dyDescent="0.3"/>
    <row r="1374" customFormat="1" x14ac:dyDescent="0.3"/>
    <row r="1375" customFormat="1" x14ac:dyDescent="0.3"/>
    <row r="1376" customFormat="1" x14ac:dyDescent="0.3"/>
    <row r="1377" customFormat="1" x14ac:dyDescent="0.3"/>
    <row r="1378" customFormat="1" x14ac:dyDescent="0.3"/>
    <row r="1379" customFormat="1" x14ac:dyDescent="0.3"/>
    <row r="1380" customFormat="1" x14ac:dyDescent="0.3"/>
    <row r="1381" customFormat="1" x14ac:dyDescent="0.3"/>
    <row r="1382" customFormat="1" x14ac:dyDescent="0.3"/>
    <row r="1383" customFormat="1" x14ac:dyDescent="0.3"/>
    <row r="1384" customFormat="1" x14ac:dyDescent="0.3"/>
    <row r="1385" customFormat="1" x14ac:dyDescent="0.3"/>
    <row r="1386" customFormat="1" x14ac:dyDescent="0.3"/>
    <row r="1387" customFormat="1" x14ac:dyDescent="0.3"/>
    <row r="1388" customFormat="1" x14ac:dyDescent="0.3"/>
    <row r="1389" customFormat="1" x14ac:dyDescent="0.3"/>
    <row r="1390" customFormat="1" x14ac:dyDescent="0.3"/>
    <row r="1391" customFormat="1" x14ac:dyDescent="0.3"/>
    <row r="1392" customFormat="1" x14ac:dyDescent="0.3"/>
    <row r="1393" customFormat="1" x14ac:dyDescent="0.3"/>
    <row r="1394" customFormat="1" x14ac:dyDescent="0.3"/>
    <row r="1395" customFormat="1" x14ac:dyDescent="0.3"/>
    <row r="1396" customFormat="1" x14ac:dyDescent="0.3"/>
    <row r="1397" customFormat="1" x14ac:dyDescent="0.3"/>
    <row r="1398" customFormat="1" x14ac:dyDescent="0.3"/>
    <row r="1399" customFormat="1" x14ac:dyDescent="0.3"/>
    <row r="1400" customFormat="1" x14ac:dyDescent="0.3"/>
    <row r="1401" customFormat="1" x14ac:dyDescent="0.3"/>
    <row r="1402" customFormat="1" x14ac:dyDescent="0.3"/>
    <row r="1403" customFormat="1" x14ac:dyDescent="0.3"/>
    <row r="1404" customFormat="1" x14ac:dyDescent="0.3"/>
    <row r="1405" customFormat="1" x14ac:dyDescent="0.3"/>
    <row r="1406" customFormat="1" x14ac:dyDescent="0.3"/>
    <row r="1407" customFormat="1" x14ac:dyDescent="0.3"/>
    <row r="1408" customFormat="1" x14ac:dyDescent="0.3"/>
    <row r="1409" customFormat="1" x14ac:dyDescent="0.3"/>
    <row r="1410" customFormat="1" x14ac:dyDescent="0.3"/>
    <row r="1411" customFormat="1" x14ac:dyDescent="0.3"/>
    <row r="1412" customFormat="1" x14ac:dyDescent="0.3"/>
    <row r="1413" customFormat="1" x14ac:dyDescent="0.3"/>
    <row r="1414" customFormat="1" x14ac:dyDescent="0.3"/>
    <row r="1415" customFormat="1" x14ac:dyDescent="0.3"/>
    <row r="1416" customFormat="1" x14ac:dyDescent="0.3"/>
    <row r="1417" customFormat="1" x14ac:dyDescent="0.3"/>
    <row r="1418" customFormat="1" x14ac:dyDescent="0.3"/>
    <row r="1419" customFormat="1" x14ac:dyDescent="0.3"/>
    <row r="1420" customFormat="1" x14ac:dyDescent="0.3"/>
    <row r="1421" customFormat="1" x14ac:dyDescent="0.3"/>
    <row r="1422" customFormat="1" x14ac:dyDescent="0.3"/>
    <row r="1423" customFormat="1" x14ac:dyDescent="0.3"/>
    <row r="1424" customFormat="1" x14ac:dyDescent="0.3"/>
    <row r="1425" customFormat="1" x14ac:dyDescent="0.3"/>
    <row r="1426" customFormat="1" x14ac:dyDescent="0.3"/>
    <row r="1427" customFormat="1" x14ac:dyDescent="0.3"/>
    <row r="1428" customFormat="1" x14ac:dyDescent="0.3"/>
    <row r="1429" customFormat="1" x14ac:dyDescent="0.3"/>
    <row r="1430" customFormat="1" x14ac:dyDescent="0.3"/>
    <row r="1431" customFormat="1" x14ac:dyDescent="0.3"/>
    <row r="1432" customFormat="1" x14ac:dyDescent="0.3"/>
    <row r="1433" customFormat="1" x14ac:dyDescent="0.3"/>
    <row r="1434" customFormat="1" x14ac:dyDescent="0.3"/>
    <row r="1435" customFormat="1" x14ac:dyDescent="0.3"/>
    <row r="1436" customFormat="1" x14ac:dyDescent="0.3"/>
    <row r="1437" customFormat="1" x14ac:dyDescent="0.3"/>
    <row r="1438" customFormat="1" x14ac:dyDescent="0.3"/>
    <row r="1439" customFormat="1" x14ac:dyDescent="0.3"/>
    <row r="1440" customFormat="1" x14ac:dyDescent="0.3"/>
    <row r="1441" customFormat="1" x14ac:dyDescent="0.3"/>
    <row r="1442" customFormat="1" x14ac:dyDescent="0.3"/>
    <row r="1443" customFormat="1" x14ac:dyDescent="0.3"/>
    <row r="1444" customFormat="1" x14ac:dyDescent="0.3"/>
    <row r="1445" customFormat="1" x14ac:dyDescent="0.3"/>
    <row r="1446" customFormat="1" x14ac:dyDescent="0.3"/>
    <row r="1447" customFormat="1" x14ac:dyDescent="0.3"/>
    <row r="1448" customFormat="1" x14ac:dyDescent="0.3"/>
    <row r="1449" customFormat="1" x14ac:dyDescent="0.3"/>
    <row r="1450" customFormat="1" x14ac:dyDescent="0.3"/>
    <row r="1451" customFormat="1" x14ac:dyDescent="0.3"/>
    <row r="1452" customFormat="1" x14ac:dyDescent="0.3"/>
    <row r="1453" customFormat="1" x14ac:dyDescent="0.3"/>
    <row r="1454" customFormat="1" x14ac:dyDescent="0.3"/>
    <row r="1455" customFormat="1" x14ac:dyDescent="0.3"/>
    <row r="1456" customFormat="1" x14ac:dyDescent="0.3"/>
    <row r="1457" customFormat="1" x14ac:dyDescent="0.3"/>
    <row r="1458" customFormat="1" x14ac:dyDescent="0.3"/>
    <row r="1459" customFormat="1" x14ac:dyDescent="0.3"/>
    <row r="1460" customFormat="1" x14ac:dyDescent="0.3"/>
    <row r="1461" customFormat="1" x14ac:dyDescent="0.3"/>
    <row r="1462" customFormat="1" x14ac:dyDescent="0.3"/>
    <row r="1463" customFormat="1" x14ac:dyDescent="0.3"/>
    <row r="1464" customFormat="1" x14ac:dyDescent="0.3"/>
    <row r="1465" customFormat="1" x14ac:dyDescent="0.3"/>
    <row r="1466" customFormat="1" x14ac:dyDescent="0.3"/>
    <row r="1467" customFormat="1" x14ac:dyDescent="0.3"/>
    <row r="1468" customFormat="1" x14ac:dyDescent="0.3"/>
    <row r="1469" customFormat="1" x14ac:dyDescent="0.3"/>
    <row r="1470" customFormat="1" x14ac:dyDescent="0.3"/>
    <row r="1471" customFormat="1" x14ac:dyDescent="0.3"/>
    <row r="1472" customFormat="1" x14ac:dyDescent="0.3"/>
    <row r="1473" customFormat="1" x14ac:dyDescent="0.3"/>
    <row r="1474" customFormat="1" x14ac:dyDescent="0.3"/>
    <row r="1475" customFormat="1" x14ac:dyDescent="0.3"/>
    <row r="1476" customFormat="1" x14ac:dyDescent="0.3"/>
    <row r="1477" customFormat="1" x14ac:dyDescent="0.3"/>
    <row r="1478" customFormat="1" x14ac:dyDescent="0.3"/>
    <row r="1479" customFormat="1" x14ac:dyDescent="0.3"/>
    <row r="1480" customFormat="1" x14ac:dyDescent="0.3"/>
    <row r="1481" customFormat="1" x14ac:dyDescent="0.3"/>
    <row r="1482" customFormat="1" x14ac:dyDescent="0.3"/>
    <row r="1483" customFormat="1" x14ac:dyDescent="0.3"/>
    <row r="1484" customFormat="1" x14ac:dyDescent="0.3"/>
    <row r="1485" customFormat="1" x14ac:dyDescent="0.3"/>
    <row r="1486" customFormat="1" x14ac:dyDescent="0.3"/>
    <row r="1487" customFormat="1" x14ac:dyDescent="0.3"/>
    <row r="1488" customFormat="1" x14ac:dyDescent="0.3"/>
    <row r="1489" customFormat="1" x14ac:dyDescent="0.3"/>
    <row r="1490" customFormat="1" x14ac:dyDescent="0.3"/>
    <row r="1491" customFormat="1" x14ac:dyDescent="0.3"/>
    <row r="1492" customFormat="1" x14ac:dyDescent="0.3"/>
    <row r="1493" customFormat="1" x14ac:dyDescent="0.3"/>
    <row r="1494" customFormat="1" x14ac:dyDescent="0.3"/>
    <row r="1495" customFormat="1" x14ac:dyDescent="0.3"/>
    <row r="1496" customFormat="1" x14ac:dyDescent="0.3"/>
    <row r="1497" customFormat="1" x14ac:dyDescent="0.3"/>
    <row r="1498" customFormat="1" x14ac:dyDescent="0.3"/>
    <row r="1499" customFormat="1" x14ac:dyDescent="0.3"/>
    <row r="1500" customFormat="1" x14ac:dyDescent="0.3"/>
    <row r="1501" customFormat="1" x14ac:dyDescent="0.3"/>
    <row r="1502" customFormat="1" x14ac:dyDescent="0.3"/>
    <row r="1503" customFormat="1" x14ac:dyDescent="0.3"/>
    <row r="1504" customFormat="1" x14ac:dyDescent="0.3"/>
    <row r="1505" customFormat="1" x14ac:dyDescent="0.3"/>
    <row r="1506" customFormat="1" x14ac:dyDescent="0.3"/>
    <row r="1507" customFormat="1" x14ac:dyDescent="0.3"/>
    <row r="1508" customFormat="1" x14ac:dyDescent="0.3"/>
    <row r="1509" customFormat="1" x14ac:dyDescent="0.3"/>
    <row r="1510" customFormat="1" x14ac:dyDescent="0.3"/>
    <row r="1511" customFormat="1" x14ac:dyDescent="0.3"/>
    <row r="1512" customFormat="1" x14ac:dyDescent="0.3"/>
    <row r="1513" customFormat="1" x14ac:dyDescent="0.3"/>
    <row r="1514" customFormat="1" x14ac:dyDescent="0.3"/>
    <row r="1515" customFormat="1" x14ac:dyDescent="0.3"/>
    <row r="1516" customFormat="1" x14ac:dyDescent="0.3"/>
    <row r="1517" customFormat="1" x14ac:dyDescent="0.3"/>
    <row r="1518" customFormat="1" x14ac:dyDescent="0.3"/>
    <row r="1519" customFormat="1" x14ac:dyDescent="0.3"/>
    <row r="1520" customFormat="1" x14ac:dyDescent="0.3"/>
    <row r="1521" customFormat="1" x14ac:dyDescent="0.3"/>
    <row r="1522" customFormat="1" x14ac:dyDescent="0.3"/>
    <row r="1523" customFormat="1" x14ac:dyDescent="0.3"/>
    <row r="1524" customFormat="1" x14ac:dyDescent="0.3"/>
    <row r="1525" customFormat="1" x14ac:dyDescent="0.3"/>
    <row r="1526" customFormat="1" x14ac:dyDescent="0.3"/>
    <row r="1527" customFormat="1" x14ac:dyDescent="0.3"/>
    <row r="1528" customFormat="1" x14ac:dyDescent="0.3"/>
    <row r="1529" customFormat="1" x14ac:dyDescent="0.3"/>
    <row r="1530" customFormat="1" x14ac:dyDescent="0.3"/>
    <row r="1531" customFormat="1" x14ac:dyDescent="0.3"/>
    <row r="1532" customFormat="1" x14ac:dyDescent="0.3"/>
    <row r="1533" customFormat="1" x14ac:dyDescent="0.3"/>
    <row r="1534" customFormat="1" x14ac:dyDescent="0.3"/>
    <row r="1535" customFormat="1" x14ac:dyDescent="0.3"/>
    <row r="1536" customFormat="1" x14ac:dyDescent="0.3"/>
    <row r="1537" customFormat="1" x14ac:dyDescent="0.3"/>
    <row r="1538" customFormat="1" x14ac:dyDescent="0.3"/>
    <row r="1539" customFormat="1" x14ac:dyDescent="0.3"/>
    <row r="1540" customFormat="1" x14ac:dyDescent="0.3"/>
    <row r="1541" customFormat="1" x14ac:dyDescent="0.3"/>
    <row r="1542" customFormat="1" x14ac:dyDescent="0.3"/>
    <row r="1543" customFormat="1" x14ac:dyDescent="0.3"/>
    <row r="1544" customFormat="1" x14ac:dyDescent="0.3"/>
    <row r="1545" customFormat="1" x14ac:dyDescent="0.3"/>
    <row r="1546" customFormat="1" x14ac:dyDescent="0.3"/>
    <row r="1547" customFormat="1" x14ac:dyDescent="0.3"/>
    <row r="1548" customFormat="1" x14ac:dyDescent="0.3"/>
    <row r="1549" customFormat="1" x14ac:dyDescent="0.3"/>
    <row r="1550" customFormat="1" x14ac:dyDescent="0.3"/>
    <row r="1551" customFormat="1" x14ac:dyDescent="0.3"/>
    <row r="1552" customFormat="1" x14ac:dyDescent="0.3"/>
    <row r="1553" customFormat="1" x14ac:dyDescent="0.3"/>
    <row r="1554" customFormat="1" x14ac:dyDescent="0.3"/>
    <row r="1555" customFormat="1" x14ac:dyDescent="0.3"/>
    <row r="1556" customFormat="1" x14ac:dyDescent="0.3"/>
    <row r="1557" customFormat="1" x14ac:dyDescent="0.3"/>
    <row r="1558" customFormat="1" x14ac:dyDescent="0.3"/>
    <row r="1559" customFormat="1" x14ac:dyDescent="0.3"/>
    <row r="1560" customFormat="1" x14ac:dyDescent="0.3"/>
    <row r="1561" customFormat="1" x14ac:dyDescent="0.3"/>
    <row r="1562" customFormat="1" x14ac:dyDescent="0.3"/>
    <row r="1563" customFormat="1" x14ac:dyDescent="0.3"/>
    <row r="1564" customFormat="1" x14ac:dyDescent="0.3"/>
    <row r="1565" customFormat="1" x14ac:dyDescent="0.3"/>
    <row r="1566" customFormat="1" x14ac:dyDescent="0.3"/>
    <row r="1567" customFormat="1" x14ac:dyDescent="0.3"/>
    <row r="1568" customFormat="1" x14ac:dyDescent="0.3"/>
    <row r="1569" customFormat="1" x14ac:dyDescent="0.3"/>
    <row r="1570" customFormat="1" x14ac:dyDescent="0.3"/>
    <row r="1571" customFormat="1" x14ac:dyDescent="0.3"/>
    <row r="1572" customFormat="1" x14ac:dyDescent="0.3"/>
    <row r="1573" customFormat="1" x14ac:dyDescent="0.3"/>
    <row r="1574" customFormat="1" x14ac:dyDescent="0.3"/>
    <row r="1575" customFormat="1" x14ac:dyDescent="0.3"/>
    <row r="1576" customFormat="1" x14ac:dyDescent="0.3"/>
    <row r="1577" customFormat="1" x14ac:dyDescent="0.3"/>
    <row r="1578" customFormat="1" x14ac:dyDescent="0.3"/>
    <row r="1579" customFormat="1" x14ac:dyDescent="0.3"/>
    <row r="1580" customFormat="1" x14ac:dyDescent="0.3"/>
    <row r="1581" customFormat="1" x14ac:dyDescent="0.3"/>
    <row r="1582" customFormat="1" x14ac:dyDescent="0.3"/>
    <row r="1583" customFormat="1" x14ac:dyDescent="0.3"/>
  </sheetData>
  <sheetProtection algorithmName="SHA-512" hashValue="lo7ie/prInWohy9J5/MS0AAPuT0eVcuXTwF9DGw3v8qgeWzvVP4iGsIQGfyFgtnRD6eyLcOzsD9td2B1qffe9w==" saltValue="vTDFJXNIAHKUqgjab5umLw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4EE71-5545-9344-B097-7314AF9FE89B}">
  <sheetPr codeName="Sheet2"/>
  <dimension ref="A1:I94"/>
  <sheetViews>
    <sheetView zoomScaleNormal="100" workbookViewId="0">
      <selection activeCell="I32" sqref="I32"/>
    </sheetView>
  </sheetViews>
  <sheetFormatPr defaultColWidth="10.84375" defaultRowHeight="13.5" x14ac:dyDescent="0.3"/>
  <cols>
    <col min="1" max="1" width="17.4609375" style="263" customWidth="1"/>
    <col min="2" max="2" width="12.4609375" style="263" customWidth="1"/>
    <col min="3" max="9" width="12.15234375" style="263" customWidth="1"/>
    <col min="10" max="16384" width="10.84375" style="263"/>
  </cols>
  <sheetData>
    <row r="1" spans="1:9" ht="14" x14ac:dyDescent="0.3">
      <c r="A1" s="262" t="s">
        <v>76</v>
      </c>
      <c r="B1" s="262"/>
      <c r="C1" s="262"/>
      <c r="D1" s="262"/>
      <c r="E1" s="262"/>
      <c r="F1" s="262"/>
      <c r="G1" s="262"/>
      <c r="H1" s="262"/>
      <c r="I1" s="262"/>
    </row>
    <row r="2" spans="1:9" ht="14" x14ac:dyDescent="0.3">
      <c r="A2" s="264" t="s">
        <v>77</v>
      </c>
      <c r="B2" s="262"/>
      <c r="C2" s="262"/>
      <c r="D2" s="262"/>
      <c r="E2" s="262"/>
      <c r="F2" s="262"/>
      <c r="G2" s="262"/>
      <c r="H2" s="262"/>
      <c r="I2" s="262"/>
    </row>
    <row r="3" spans="1:9" ht="14.5" thickBot="1" x14ac:dyDescent="0.35">
      <c r="A3" s="262"/>
      <c r="B3" s="262"/>
      <c r="C3" s="262"/>
      <c r="D3" s="262"/>
      <c r="E3" s="262"/>
      <c r="F3" s="265"/>
      <c r="G3" s="262"/>
      <c r="H3" s="262"/>
      <c r="I3" s="262"/>
    </row>
    <row r="4" spans="1:9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ht="14" x14ac:dyDescent="0.3">
      <c r="A5" s="92" t="s">
        <v>79</v>
      </c>
      <c r="B5" s="93"/>
      <c r="C5" s="168">
        <v>1800</v>
      </c>
      <c r="D5" s="93"/>
      <c r="E5" s="93"/>
      <c r="F5" s="93"/>
      <c r="G5" s="93"/>
      <c r="H5" s="93"/>
      <c r="I5" s="178"/>
    </row>
    <row r="6" spans="1:9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ht="28" x14ac:dyDescent="0.3">
      <c r="A7" s="301" t="s">
        <v>80</v>
      </c>
      <c r="B7" s="297" t="s">
        <v>81</v>
      </c>
      <c r="C7" s="298" t="s">
        <v>82</v>
      </c>
      <c r="D7" s="298" t="s">
        <v>83</v>
      </c>
      <c r="E7" s="298" t="s">
        <v>84</v>
      </c>
      <c r="F7" s="298" t="s">
        <v>85</v>
      </c>
      <c r="G7" s="299" t="s">
        <v>86</v>
      </c>
      <c r="H7" s="298" t="s">
        <v>87</v>
      </c>
      <c r="I7" s="300" t="s">
        <v>88</v>
      </c>
    </row>
    <row r="8" spans="1:9" x14ac:dyDescent="0.3">
      <c r="A8" s="179" t="str">
        <f>'ESS Jul 2020'!K2</f>
        <v>AGL</v>
      </c>
      <c r="B8" s="180">
        <f>'ESS Jul 2020'!G2</f>
        <v>42551</v>
      </c>
      <c r="C8" s="181">
        <f>91*'ESS Jul 2020'!M2/100</f>
        <v>129.58399999999997</v>
      </c>
      <c r="D8" s="181">
        <f>$C$5*'ESS Jul 2020'!N2/100</f>
        <v>493.69090909090903</v>
      </c>
      <c r="E8" s="182">
        <v>0</v>
      </c>
      <c r="F8" s="181">
        <v>0</v>
      </c>
      <c r="G8" s="181">
        <v>0</v>
      </c>
      <c r="H8" s="183">
        <f t="shared" ref="H8:H20" si="0">SUM(C8:G8)</f>
        <v>623.27490909090898</v>
      </c>
      <c r="I8" s="202">
        <f t="shared" ref="I8:I25" si="1">(H8*4)*1.1</f>
        <v>2742.4095999999995</v>
      </c>
    </row>
    <row r="9" spans="1:9" x14ac:dyDescent="0.3">
      <c r="A9" s="179" t="str">
        <f>'ESS Jul 2020'!K3</f>
        <v>Alinta Energy</v>
      </c>
      <c r="B9" s="180">
        <f>'ESS Jul 2020'!G3</f>
        <v>42551</v>
      </c>
      <c r="C9" s="181">
        <f>91*'ESS Jul 2020'!M3/100</f>
        <v>128.76499999999999</v>
      </c>
      <c r="D9" s="181">
        <f>$C$5*'ESS Jul 2020'!N3/100</f>
        <v>494.99999999999994</v>
      </c>
      <c r="E9" s="182">
        <v>0</v>
      </c>
      <c r="F9" s="181">
        <v>0</v>
      </c>
      <c r="G9" s="181">
        <v>0</v>
      </c>
      <c r="H9" s="183">
        <f t="shared" si="0"/>
        <v>623.76499999999987</v>
      </c>
      <c r="I9" s="202">
        <f t="shared" si="1"/>
        <v>2744.5659999999998</v>
      </c>
    </row>
    <row r="10" spans="1:9" x14ac:dyDescent="0.3">
      <c r="A10" s="179" t="str">
        <f>'ESS Jul 2020'!K4</f>
        <v>Click Energy</v>
      </c>
      <c r="B10" s="180">
        <f>'ESS Jul 2020'!G4</f>
        <v>42551</v>
      </c>
      <c r="C10" s="181">
        <f>91*'ESS Jul 2020'!M4/100</f>
        <v>124.66999999999999</v>
      </c>
      <c r="D10" s="181">
        <f>$C$5*'ESS Jul 2020'!N4/100</f>
        <v>501.5454545454545</v>
      </c>
      <c r="E10" s="182">
        <v>0</v>
      </c>
      <c r="F10" s="181">
        <v>0</v>
      </c>
      <c r="G10" s="181">
        <v>0</v>
      </c>
      <c r="H10" s="183">
        <f t="shared" si="0"/>
        <v>626.21545454545446</v>
      </c>
      <c r="I10" s="202">
        <f t="shared" si="1"/>
        <v>2755.348</v>
      </c>
    </row>
    <row r="11" spans="1:9" x14ac:dyDescent="0.3">
      <c r="A11" s="179" t="str">
        <f>'ESS Jul 2020'!K5</f>
        <v>Commander</v>
      </c>
      <c r="B11" s="180">
        <f>'ESS Jul 2020'!G5</f>
        <v>42551</v>
      </c>
      <c r="C11" s="181">
        <f>91*'ESS Jul 2020'!M5/100</f>
        <v>126.83745454545455</v>
      </c>
      <c r="D11" s="181">
        <f>$C$5*'ESS Jul 2020'!N5/100</f>
        <v>497.78181818181815</v>
      </c>
      <c r="E11" s="182">
        <v>0</v>
      </c>
      <c r="F11" s="181">
        <v>0</v>
      </c>
      <c r="G11" s="181">
        <v>0</v>
      </c>
      <c r="H11" s="183">
        <f t="shared" si="0"/>
        <v>624.61927272727269</v>
      </c>
      <c r="I11" s="202">
        <f t="shared" si="1"/>
        <v>2748.3247999999999</v>
      </c>
    </row>
    <row r="12" spans="1:9" x14ac:dyDescent="0.3">
      <c r="A12" s="179" t="str">
        <f>'ESS Jul 2020'!K6</f>
        <v>CovaU</v>
      </c>
      <c r="B12" s="180">
        <f>'ESS Jul 2020'!G6</f>
        <v>42551</v>
      </c>
      <c r="C12" s="181">
        <f>91*'ESS Jul 2020'!M6/100</f>
        <v>150.15</v>
      </c>
      <c r="D12" s="181">
        <f>$C$5*'ESS Jul 2020'!N6/100</f>
        <v>449.99999999999994</v>
      </c>
      <c r="E12" s="182">
        <v>0</v>
      </c>
      <c r="F12" s="181">
        <v>0</v>
      </c>
      <c r="G12" s="181">
        <v>0</v>
      </c>
      <c r="H12" s="183">
        <f t="shared" si="0"/>
        <v>600.15</v>
      </c>
      <c r="I12" s="202">
        <f t="shared" si="1"/>
        <v>2640.6600000000003</v>
      </c>
    </row>
    <row r="13" spans="1:9" x14ac:dyDescent="0.3">
      <c r="A13" s="179" t="str">
        <f>'ESS Jul 2020'!K7</f>
        <v>Dodo Power &amp; Gas</v>
      </c>
      <c r="B13" s="180">
        <f>'ESS Jul 2020'!G7</f>
        <v>42551</v>
      </c>
      <c r="C13" s="181">
        <f>91*'ESS Jul 2020'!M7/100</f>
        <v>126.83745454545455</v>
      </c>
      <c r="D13" s="181">
        <f>$C$5*'ESS Jul 2020'!N7/100</f>
        <v>497.78181818181815</v>
      </c>
      <c r="E13" s="182">
        <v>0</v>
      </c>
      <c r="F13" s="181">
        <v>0</v>
      </c>
      <c r="G13" s="181">
        <v>0</v>
      </c>
      <c r="H13" s="183">
        <f t="shared" si="0"/>
        <v>624.61927272727269</v>
      </c>
      <c r="I13" s="202">
        <f t="shared" si="1"/>
        <v>2748.3247999999999</v>
      </c>
    </row>
    <row r="14" spans="1:9" x14ac:dyDescent="0.3">
      <c r="A14" s="179" t="str">
        <f>'ESS Jul 2020'!K8</f>
        <v>EnergyAustralia</v>
      </c>
      <c r="B14" s="180">
        <f>'ESS Jul 2020'!G8</f>
        <v>42551</v>
      </c>
      <c r="C14" s="181">
        <f>91*'ESS Jul 2020'!M8/100</f>
        <v>116.48</v>
      </c>
      <c r="D14" s="181">
        <f>$C$5*'ESS Jul 2020'!N8/100</f>
        <v>514.4727272727273</v>
      </c>
      <c r="E14" s="182">
        <v>0</v>
      </c>
      <c r="F14" s="181">
        <v>0</v>
      </c>
      <c r="G14" s="181">
        <v>0</v>
      </c>
      <c r="H14" s="183">
        <f t="shared" si="0"/>
        <v>630.95272727272732</v>
      </c>
      <c r="I14" s="202">
        <f t="shared" si="1"/>
        <v>2776.1920000000005</v>
      </c>
    </row>
    <row r="15" spans="1:9" x14ac:dyDescent="0.3">
      <c r="A15" s="179" t="str">
        <f>'ESS Jul 2020'!K9</f>
        <v>Mojo Power</v>
      </c>
      <c r="B15" s="180">
        <f>'ESS Jul 2020'!G9</f>
        <v>42553</v>
      </c>
      <c r="C15" s="181">
        <f>91*'ESS Jul 2020'!M9/100</f>
        <v>130.25409090909091</v>
      </c>
      <c r="D15" s="181">
        <f>$C$5*'ESS Jul 2020'!N9/100</f>
        <v>492.70909090909089</v>
      </c>
      <c r="E15" s="182">
        <v>0</v>
      </c>
      <c r="F15" s="181">
        <v>0</v>
      </c>
      <c r="G15" s="181">
        <v>0</v>
      </c>
      <c r="H15" s="183">
        <f t="shared" si="0"/>
        <v>622.96318181818174</v>
      </c>
      <c r="I15" s="202">
        <f t="shared" si="1"/>
        <v>2741.038</v>
      </c>
    </row>
    <row r="16" spans="1:9" x14ac:dyDescent="0.3">
      <c r="A16" s="179" t="str">
        <f>'ESS Jul 2020'!K10</f>
        <v>Momentum Energy</v>
      </c>
      <c r="B16" s="180">
        <f>'ESS Jul 2020'!G10</f>
        <v>42551</v>
      </c>
      <c r="C16" s="181">
        <f>91*'ESS Jul 2020'!M10/100</f>
        <v>96.029818181818172</v>
      </c>
      <c r="D16" s="181">
        <f>$C$5*'ESS Jul 2020'!N10/100</f>
        <v>546.5454545454545</v>
      </c>
      <c r="E16" s="182">
        <v>0</v>
      </c>
      <c r="F16" s="181">
        <v>0</v>
      </c>
      <c r="G16" s="181">
        <v>0</v>
      </c>
      <c r="H16" s="183">
        <f t="shared" si="0"/>
        <v>642.5752727272727</v>
      </c>
      <c r="I16" s="202">
        <f t="shared" si="1"/>
        <v>2827.3312000000001</v>
      </c>
    </row>
    <row r="17" spans="1:9" x14ac:dyDescent="0.3">
      <c r="A17" s="179" t="str">
        <f>'ESS Jul 2020'!K11</f>
        <v>Origin Energy</v>
      </c>
      <c r="B17" s="180">
        <f>'ESS Jul 2020'!G11</f>
        <v>42551</v>
      </c>
      <c r="C17" s="181">
        <f>91*'ESS Jul 2020'!M11/100</f>
        <v>125.33181818181818</v>
      </c>
      <c r="D17" s="181">
        <f>$C$5*'ESS Jul 2020'!N11/100</f>
        <v>500.56363636363631</v>
      </c>
      <c r="E17" s="182">
        <v>0</v>
      </c>
      <c r="F17" s="181">
        <v>0</v>
      </c>
      <c r="G17" s="181">
        <v>0</v>
      </c>
      <c r="H17" s="183">
        <f t="shared" si="0"/>
        <v>625.89545454545453</v>
      </c>
      <c r="I17" s="202">
        <f t="shared" si="1"/>
        <v>2753.94</v>
      </c>
    </row>
    <row r="18" spans="1:9" x14ac:dyDescent="0.3">
      <c r="A18" s="179" t="str">
        <f>'ESS Jul 2020'!K12</f>
        <v>Powerdirect</v>
      </c>
      <c r="B18" s="180">
        <f>'ESS Jul 2020'!G12</f>
        <v>42551</v>
      </c>
      <c r="C18" s="181">
        <f>91*'ESS Jul 2020'!M12/100</f>
        <v>129.58399999999997</v>
      </c>
      <c r="D18" s="181">
        <f>$C$5*'ESS Jul 2020'!N12/100</f>
        <v>493.73999999999995</v>
      </c>
      <c r="E18" s="182">
        <v>0</v>
      </c>
      <c r="F18" s="181">
        <v>0</v>
      </c>
      <c r="G18" s="181">
        <v>0</v>
      </c>
      <c r="H18" s="183">
        <f t="shared" si="0"/>
        <v>623.32399999999996</v>
      </c>
      <c r="I18" s="202">
        <f t="shared" si="1"/>
        <v>2742.6255999999998</v>
      </c>
    </row>
    <row r="19" spans="1:9" x14ac:dyDescent="0.3">
      <c r="A19" s="179" t="str">
        <f>'ESS Jul 2020'!K13</f>
        <v>Powershop</v>
      </c>
      <c r="B19" s="180">
        <f>'ESS Jul 2020'!G13</f>
        <v>42551</v>
      </c>
      <c r="C19" s="181">
        <f>91*'ESS Jul 2020'!M13/100</f>
        <v>135.09363636363634</v>
      </c>
      <c r="D19" s="181">
        <f>$C$5*'ESS Jul 2020'!N13/100</f>
        <v>463.90909090909093</v>
      </c>
      <c r="E19" s="182">
        <v>0</v>
      </c>
      <c r="F19" s="181">
        <v>0</v>
      </c>
      <c r="G19" s="181">
        <v>0</v>
      </c>
      <c r="H19" s="183">
        <f t="shared" si="0"/>
        <v>599.00272727272727</v>
      </c>
      <c r="I19" s="202">
        <f t="shared" si="1"/>
        <v>2635.6120000000001</v>
      </c>
    </row>
    <row r="20" spans="1:9" x14ac:dyDescent="0.3">
      <c r="A20" s="179" t="str">
        <f>'ESS Jul 2020'!K14</f>
        <v>Red Energy</v>
      </c>
      <c r="B20" s="180">
        <f>'ESS Jul 2020'!G14</f>
        <v>42551</v>
      </c>
      <c r="C20" s="181">
        <f>91*'ESS Jul 2020'!M14/100</f>
        <v>132.49600000000001</v>
      </c>
      <c r="D20" s="181">
        <f>$C$5*'ESS Jul 2020'!N14/100</f>
        <v>487.79999999999995</v>
      </c>
      <c r="E20" s="182">
        <v>0</v>
      </c>
      <c r="F20" s="181">
        <v>0</v>
      </c>
      <c r="G20" s="181">
        <v>0</v>
      </c>
      <c r="H20" s="183">
        <f t="shared" si="0"/>
        <v>620.29599999999994</v>
      </c>
      <c r="I20" s="202">
        <f t="shared" si="1"/>
        <v>2729.3024</v>
      </c>
    </row>
    <row r="21" spans="1:9" x14ac:dyDescent="0.3">
      <c r="A21" s="179" t="str">
        <f>'ESS Jul 2020'!K15</f>
        <v>Simply Energy</v>
      </c>
      <c r="B21" s="180">
        <f>'ESS Jul 2020'!G15</f>
        <v>42551</v>
      </c>
      <c r="C21" s="181">
        <f>91*'ESS Jul 2020'!M15/100</f>
        <v>124.71963636363634</v>
      </c>
      <c r="D21" s="181">
        <f>$C$5*'ESS Jul 2020'!N15/100</f>
        <v>501.5454545454545</v>
      </c>
      <c r="E21" s="182">
        <v>0</v>
      </c>
      <c r="F21" s="181">
        <v>0</v>
      </c>
      <c r="G21" s="181">
        <v>0</v>
      </c>
      <c r="H21" s="183">
        <f>SUM(C21:G21)</f>
        <v>626.26509090909087</v>
      </c>
      <c r="I21" s="202">
        <f t="shared" si="1"/>
        <v>2755.5664000000002</v>
      </c>
    </row>
    <row r="22" spans="1:9" x14ac:dyDescent="0.3">
      <c r="A22" s="179" t="str">
        <f>'ESS Jul 2020'!K16</f>
        <v>1st Energy</v>
      </c>
      <c r="B22" s="180">
        <f>'ESS Jul 2020'!G16</f>
        <v>42551</v>
      </c>
      <c r="C22" s="181">
        <f>91*'ESS Jul 2020'!M16/100</f>
        <v>150.15</v>
      </c>
      <c r="D22" s="181">
        <f>IF($C$5&gt;='ESS Jul 2020'!P16,('ESS Jul 2020'!P16*'ESS Jul 2020'!N16/100),($C$5*'ESS Jul 2020'!N16/100))</f>
        <v>344.25</v>
      </c>
      <c r="E22" s="182">
        <v>0</v>
      </c>
      <c r="F22" s="181">
        <v>0</v>
      </c>
      <c r="G22" s="181">
        <f>IF(($C$5&lt;'ESS Jul 2020'!R16),(0),($C$5-'ESS Jul 2020'!R16)*'ESS Jul 2020'!S16/100)</f>
        <v>131.84999999999997</v>
      </c>
      <c r="H22" s="183">
        <f t="shared" ref="H22" si="2">SUM(C22:G22)</f>
        <v>626.25</v>
      </c>
      <c r="I22" s="202">
        <f t="shared" si="1"/>
        <v>2755.5</v>
      </c>
    </row>
    <row r="23" spans="1:9" x14ac:dyDescent="0.3">
      <c r="A23" s="179" t="str">
        <f>'ESS Jul 2020'!K17</f>
        <v>Amaysim</v>
      </c>
      <c r="B23" s="180">
        <f>'ESS Jul 2020'!G17</f>
        <v>42551</v>
      </c>
      <c r="C23" s="181">
        <f>91*'ESS Jul 2020'!M17/100</f>
        <v>124.66999999999999</v>
      </c>
      <c r="D23" s="181">
        <f>$C$5*'ESS Jul 2020'!N17/100</f>
        <v>501.5454545454545</v>
      </c>
      <c r="E23" s="182">
        <v>0</v>
      </c>
      <c r="F23" s="181">
        <v>0</v>
      </c>
      <c r="G23" s="181">
        <v>0</v>
      </c>
      <c r="H23" s="183">
        <f>SUM(C23:G23)</f>
        <v>626.21545454545446</v>
      </c>
      <c r="I23" s="202">
        <f t="shared" si="1"/>
        <v>2755.348</v>
      </c>
    </row>
    <row r="24" spans="1:9" x14ac:dyDescent="0.3">
      <c r="A24" s="251" t="str">
        <f>'ESS Jul 2020'!K18</f>
        <v>ReAmped Energy</v>
      </c>
      <c r="B24" s="180">
        <f>'ESS Jul 2020'!G18</f>
        <v>42551</v>
      </c>
      <c r="C24" s="181">
        <f>91*'ESS Jul 2020'!M18/100</f>
        <v>178.19454545454545</v>
      </c>
      <c r="D24" s="181">
        <f>$C$5*'ESS Jul 2020'!N18/100</f>
        <v>414</v>
      </c>
      <c r="E24" s="182">
        <v>0</v>
      </c>
      <c r="F24" s="181">
        <v>0</v>
      </c>
      <c r="G24" s="181">
        <v>0</v>
      </c>
      <c r="H24" s="183">
        <f t="shared" ref="H24:H25" si="3">SUM(C24:G24)</f>
        <v>592.1945454545455</v>
      </c>
      <c r="I24" s="202">
        <f t="shared" si="1"/>
        <v>2605.6560000000004</v>
      </c>
    </row>
    <row r="25" spans="1:9" x14ac:dyDescent="0.3">
      <c r="A25" s="251" t="str">
        <f>'ESS Jul 2020'!K19</f>
        <v>Powerclub</v>
      </c>
      <c r="B25" s="180">
        <f>'ESS Jul 2020'!G19</f>
        <v>42552</v>
      </c>
      <c r="C25" s="181">
        <f>91*'ESS Jul 2020'!M19/100</f>
        <v>140.66945454545453</v>
      </c>
      <c r="D25" s="181">
        <f>$C$5*'ESS Jul 2020'!N19/100</f>
        <v>476.5090909090909</v>
      </c>
      <c r="E25" s="182">
        <v>0</v>
      </c>
      <c r="F25" s="181">
        <v>0</v>
      </c>
      <c r="G25" s="181">
        <v>0</v>
      </c>
      <c r="H25" s="183">
        <f t="shared" si="3"/>
        <v>617.17854545454543</v>
      </c>
      <c r="I25" s="202">
        <f t="shared" si="1"/>
        <v>2715.5855999999999</v>
      </c>
    </row>
    <row r="26" spans="1:9" x14ac:dyDescent="0.3">
      <c r="A26" s="251" t="str">
        <f>'ESS Jul 2020'!K20</f>
        <v>Enova Energy</v>
      </c>
      <c r="B26" s="180">
        <f>'ESS Jul 2020'!G20</f>
        <v>42551</v>
      </c>
      <c r="C26" s="181">
        <f>91*'ESS Jul 2020'!M20/100</f>
        <v>152.88</v>
      </c>
      <c r="D26" s="181">
        <f>$C$5*'ESS Jul 2020'!N20/100</f>
        <v>431.99999999999994</v>
      </c>
      <c r="E26" s="182">
        <v>0</v>
      </c>
      <c r="F26" s="181">
        <v>0</v>
      </c>
      <c r="G26" s="181">
        <v>0</v>
      </c>
      <c r="H26" s="183">
        <f t="shared" ref="H26:H32" si="4">SUM(C26:G26)</f>
        <v>584.87999999999988</v>
      </c>
      <c r="I26" s="202">
        <f t="shared" ref="I26:I32" si="5">(H26*4)*1.1</f>
        <v>2573.4719999999998</v>
      </c>
    </row>
    <row r="27" spans="1:9" x14ac:dyDescent="0.3">
      <c r="A27" s="251" t="str">
        <f>'ESS Jul 2020'!K21</f>
        <v>Discover Energy</v>
      </c>
      <c r="B27" s="180">
        <f>'ESS Jul 2020'!G21</f>
        <v>42551</v>
      </c>
      <c r="C27" s="181">
        <f>91*'ESS Jul 2020'!M21/100</f>
        <v>122.85</v>
      </c>
      <c r="D27" s="181">
        <f>$C$5*'ESS Jul 2020'!N21/100</f>
        <v>504.32727272727271</v>
      </c>
      <c r="E27" s="182">
        <v>0</v>
      </c>
      <c r="F27" s="181">
        <v>0</v>
      </c>
      <c r="G27" s="181">
        <v>0</v>
      </c>
      <c r="H27" s="183">
        <f t="shared" si="4"/>
        <v>627.17727272727268</v>
      </c>
      <c r="I27" s="202">
        <f t="shared" si="5"/>
        <v>2759.58</v>
      </c>
    </row>
    <row r="28" spans="1:9" x14ac:dyDescent="0.3">
      <c r="A28" s="251" t="str">
        <f>'ESS Jul 2020'!K22</f>
        <v>Future X Power</v>
      </c>
      <c r="B28" s="180">
        <f>'ESS Jul 2020'!G22</f>
        <v>42494</v>
      </c>
      <c r="C28" s="181">
        <f>91*'ESS Jul 2020'!M22/100</f>
        <v>128.947</v>
      </c>
      <c r="D28" s="181">
        <f>$C$5*'ESS Jul 2020'!N22/100</f>
        <v>493.69090909090903</v>
      </c>
      <c r="E28" s="182">
        <v>0</v>
      </c>
      <c r="F28" s="181">
        <v>0</v>
      </c>
      <c r="G28" s="181">
        <v>0</v>
      </c>
      <c r="H28" s="183">
        <f t="shared" si="4"/>
        <v>622.63790909090903</v>
      </c>
      <c r="I28" s="202">
        <f t="shared" si="5"/>
        <v>2739.6068</v>
      </c>
    </row>
    <row r="29" spans="1:9" x14ac:dyDescent="0.3">
      <c r="A29" s="251" t="str">
        <f>'ESS Jul 2020'!K23</f>
        <v>Nectr</v>
      </c>
      <c r="B29" s="180">
        <f>'ESS Jul 2020'!G23</f>
        <v>42551</v>
      </c>
      <c r="C29" s="181">
        <f>91*'ESS Jul 2020'!M23/100</f>
        <v>132.22300000000001</v>
      </c>
      <c r="D29" s="181">
        <f>$C$5*'ESS Jul 2020'!N23/100</f>
        <v>489.6</v>
      </c>
      <c r="E29" s="182">
        <v>0</v>
      </c>
      <c r="F29" s="181">
        <v>0</v>
      </c>
      <c r="G29" s="181">
        <v>0</v>
      </c>
      <c r="H29" s="183">
        <f t="shared" si="4"/>
        <v>621.82300000000009</v>
      </c>
      <c r="I29" s="202">
        <f t="shared" si="5"/>
        <v>2736.0212000000006</v>
      </c>
    </row>
    <row r="30" spans="1:9" x14ac:dyDescent="0.3">
      <c r="A30" s="251" t="str">
        <f>'ESS Jul 2020'!K24</f>
        <v>People Energy</v>
      </c>
      <c r="B30" s="180">
        <f>'ESS Jul 2020'!G24</f>
        <v>42551</v>
      </c>
      <c r="C30" s="181">
        <f>91*'ESS Jul 2020'!M24/100</f>
        <v>130.25409090909091</v>
      </c>
      <c r="D30" s="181">
        <f>$C$5*'ESS Jul 2020'!N24/100</f>
        <v>492.70909090909089</v>
      </c>
      <c r="E30" s="182">
        <v>0</v>
      </c>
      <c r="F30" s="181">
        <v>0</v>
      </c>
      <c r="G30" s="181">
        <v>0</v>
      </c>
      <c r="H30" s="183">
        <f t="shared" si="4"/>
        <v>622.96318181818174</v>
      </c>
      <c r="I30" s="202">
        <f t="shared" si="5"/>
        <v>2741.038</v>
      </c>
    </row>
    <row r="31" spans="1:9" x14ac:dyDescent="0.3">
      <c r="A31" s="251" t="str">
        <f>'ESS Jul 2020'!K25</f>
        <v>Elysian Energy</v>
      </c>
      <c r="B31" s="180">
        <f>'ESS Jul 2020'!G25</f>
        <v>42551</v>
      </c>
      <c r="C31" s="181">
        <f>91*'ESS Jul 2020'!M25/100</f>
        <v>125.52209090909088</v>
      </c>
      <c r="D31" s="181">
        <f>$C$5*'ESS Jul 2020'!N25/100</f>
        <v>421.85454545454542</v>
      </c>
      <c r="E31" s="182">
        <v>0</v>
      </c>
      <c r="F31" s="181">
        <v>0</v>
      </c>
      <c r="G31" s="181">
        <v>0</v>
      </c>
      <c r="H31" s="183">
        <f t="shared" si="4"/>
        <v>547.37663636363629</v>
      </c>
      <c r="I31" s="202">
        <f t="shared" si="5"/>
        <v>2408.4571999999998</v>
      </c>
    </row>
    <row r="32" spans="1:9" ht="14" thickBot="1" x14ac:dyDescent="0.35">
      <c r="A32" s="258" t="str">
        <f>'ESS Jul 2020'!K26</f>
        <v>OVO Energy</v>
      </c>
      <c r="B32" s="185">
        <f>'ESS Jul 2020'!G26</f>
        <v>42551</v>
      </c>
      <c r="C32" s="186">
        <f>91*'ESS Jul 2020'!M26/100</f>
        <v>127.4</v>
      </c>
      <c r="D32" s="186">
        <f>$C$5*'ESS Jul 2020'!N26/100</f>
        <v>440.99999999999994</v>
      </c>
      <c r="E32" s="187">
        <v>0</v>
      </c>
      <c r="F32" s="186">
        <v>0</v>
      </c>
      <c r="G32" s="186">
        <v>0</v>
      </c>
      <c r="H32" s="188">
        <f t="shared" si="4"/>
        <v>568.4</v>
      </c>
      <c r="I32" s="203">
        <f t="shared" si="5"/>
        <v>2500.96</v>
      </c>
    </row>
    <row r="33" spans="1:9" x14ac:dyDescent="0.3">
      <c r="A33" s="266"/>
      <c r="B33" s="266"/>
      <c r="C33" s="266"/>
      <c r="D33" s="266"/>
      <c r="E33" s="266"/>
      <c r="F33" s="266"/>
      <c r="G33" s="266"/>
      <c r="H33" s="266"/>
      <c r="I33" s="266"/>
    </row>
    <row r="34" spans="1:9" ht="14" thickBot="1" x14ac:dyDescent="0.35"/>
    <row r="35" spans="1:9" ht="14" x14ac:dyDescent="0.3">
      <c r="A35" s="176" t="s">
        <v>89</v>
      </c>
      <c r="B35" s="91"/>
      <c r="C35" s="91"/>
      <c r="D35" s="91"/>
      <c r="E35" s="91"/>
      <c r="F35" s="91"/>
      <c r="G35" s="91"/>
      <c r="H35" s="91"/>
      <c r="I35" s="177"/>
    </row>
    <row r="36" spans="1:9" ht="14" x14ac:dyDescent="0.3">
      <c r="A36" s="92" t="s">
        <v>79</v>
      </c>
      <c r="B36" s="93"/>
      <c r="C36" s="168">
        <v>2000</v>
      </c>
      <c r="D36" s="93"/>
      <c r="E36" s="93"/>
      <c r="F36" s="93"/>
      <c r="G36" s="93"/>
      <c r="H36" s="93"/>
      <c r="I36" s="178"/>
    </row>
    <row r="37" spans="1:9" ht="14" x14ac:dyDescent="0.3">
      <c r="A37" s="92" t="s">
        <v>91</v>
      </c>
      <c r="B37" s="93"/>
      <c r="C37" s="257">
        <v>0.7</v>
      </c>
      <c r="D37" s="93"/>
      <c r="E37" s="93"/>
      <c r="F37" s="93"/>
      <c r="G37" s="93"/>
      <c r="H37" s="93"/>
      <c r="I37" s="178"/>
    </row>
    <row r="38" spans="1:9" ht="14" x14ac:dyDescent="0.3">
      <c r="A38" s="92" t="s">
        <v>92</v>
      </c>
      <c r="B38" s="93"/>
      <c r="C38" s="257">
        <v>0.3</v>
      </c>
      <c r="D38" s="93"/>
      <c r="E38" s="93"/>
      <c r="F38" s="93"/>
      <c r="G38" s="93"/>
      <c r="H38" s="93"/>
      <c r="I38" s="178"/>
    </row>
    <row r="39" spans="1:9" ht="14" x14ac:dyDescent="0.3">
      <c r="A39" s="92"/>
      <c r="B39" s="93"/>
      <c r="C39" s="93"/>
      <c r="D39" s="93"/>
      <c r="E39" s="93"/>
      <c r="F39" s="93"/>
      <c r="G39" s="93"/>
      <c r="H39" s="93"/>
      <c r="I39" s="178"/>
    </row>
    <row r="40" spans="1:9" ht="28" x14ac:dyDescent="0.3">
      <c r="A40" s="301" t="s">
        <v>80</v>
      </c>
      <c r="B40" s="297" t="s">
        <v>81</v>
      </c>
      <c r="C40" s="298" t="s">
        <v>82</v>
      </c>
      <c r="D40" s="298" t="s">
        <v>83</v>
      </c>
      <c r="E40" s="298" t="s">
        <v>84</v>
      </c>
      <c r="F40" s="299" t="s">
        <v>86</v>
      </c>
      <c r="G40" s="299" t="s">
        <v>93</v>
      </c>
      <c r="H40" s="298" t="s">
        <v>87</v>
      </c>
      <c r="I40" s="300" t="s">
        <v>88</v>
      </c>
    </row>
    <row r="41" spans="1:9" x14ac:dyDescent="0.3">
      <c r="A41" s="179" t="str">
        <f>'ESS Jul 2020'!K27</f>
        <v>AGL</v>
      </c>
      <c r="B41" s="180">
        <f>'ESS Jul 2020'!G27</f>
        <v>42551</v>
      </c>
      <c r="C41" s="181">
        <f>91*'ESS Jul 2020'!M27/100</f>
        <v>140.37990909090908</v>
      </c>
      <c r="D41" s="181">
        <f>($C$36*$C$37)*'ESS Jul 2020'!N27/100</f>
        <v>383.98181818181814</v>
      </c>
      <c r="E41" s="182">
        <v>0</v>
      </c>
      <c r="F41" s="181">
        <v>0</v>
      </c>
      <c r="G41" s="181">
        <f>($C$36*$C$38)*'ESS Jul 2020'!AE27/100</f>
        <v>94.799999999999983</v>
      </c>
      <c r="H41" s="183">
        <f t="shared" ref="H41:H57" si="6">SUM(C41:G41)</f>
        <v>619.16172727272715</v>
      </c>
      <c r="I41" s="202">
        <f t="shared" ref="I41:I57" si="7">(H41*4)*1.1</f>
        <v>2724.3115999999995</v>
      </c>
    </row>
    <row r="42" spans="1:9" x14ac:dyDescent="0.3">
      <c r="A42" s="179" t="str">
        <f>'ESS Jul 2020'!K28</f>
        <v>Alinta Energy</v>
      </c>
      <c r="B42" s="180">
        <f>'ESS Jul 2020'!G28</f>
        <v>42551</v>
      </c>
      <c r="C42" s="181">
        <f>91*'ESS Jul 2020'!M28/100</f>
        <v>139.68499999999997</v>
      </c>
      <c r="D42" s="181">
        <f>($C$36*$C$37)*'ESS Jul 2020'!N28/100</f>
        <v>384.99999999999994</v>
      </c>
      <c r="E42" s="182">
        <v>0</v>
      </c>
      <c r="F42" s="181">
        <v>0</v>
      </c>
      <c r="G42" s="181">
        <f>($C$36*$C$38)*'ESS Jul 2020'!AE28/100</f>
        <v>94.799999999999983</v>
      </c>
      <c r="H42" s="183">
        <f t="shared" si="6"/>
        <v>619.4849999999999</v>
      </c>
      <c r="I42" s="202">
        <f t="shared" si="7"/>
        <v>2725.7339999999999</v>
      </c>
    </row>
    <row r="43" spans="1:9" x14ac:dyDescent="0.3">
      <c r="A43" s="179" t="str">
        <f>'ESS Jul 2020'!K29</f>
        <v>Click Energy</v>
      </c>
      <c r="B43" s="180">
        <f>'ESS Jul 2020'!G29</f>
        <v>42551</v>
      </c>
      <c r="C43" s="181">
        <f>91*'ESS Jul 2020'!M29/100</f>
        <v>124.66999999999999</v>
      </c>
      <c r="D43" s="181">
        <f>($C$36*$C$37)*'ESS Jul 2020'!N29/100</f>
        <v>390.09090909090907</v>
      </c>
      <c r="E43" s="182">
        <v>0</v>
      </c>
      <c r="F43" s="181">
        <v>0</v>
      </c>
      <c r="G43" s="181">
        <f>($C$36*$C$38)*'ESS Jul 2020'!AE29/100</f>
        <v>108</v>
      </c>
      <c r="H43" s="183">
        <f t="shared" si="6"/>
        <v>622.76090909090908</v>
      </c>
      <c r="I43" s="202">
        <f t="shared" si="7"/>
        <v>2740.1480000000001</v>
      </c>
    </row>
    <row r="44" spans="1:9" x14ac:dyDescent="0.3">
      <c r="A44" s="179" t="str">
        <f>'ESS Jul 2020'!K30</f>
        <v>Commander</v>
      </c>
      <c r="B44" s="180">
        <f>'ESS Jul 2020'!G30</f>
        <v>42551</v>
      </c>
      <c r="C44" s="181">
        <f>91*'ESS Jul 2020'!M30/100</f>
        <v>134.84545454545452</v>
      </c>
      <c r="D44" s="181">
        <f>($C$36*$C$37)*'ESS Jul 2020'!N30/100</f>
        <v>387.16363636363633</v>
      </c>
      <c r="E44" s="182">
        <v>0</v>
      </c>
      <c r="F44" s="181">
        <v>0</v>
      </c>
      <c r="G44" s="181">
        <f>($C$36*$C$38)*'ESS Jul 2020'!AE30/100</f>
        <v>98.454545454545453</v>
      </c>
      <c r="H44" s="183">
        <f t="shared" si="6"/>
        <v>620.4636363636364</v>
      </c>
      <c r="I44" s="202">
        <f t="shared" si="7"/>
        <v>2730.0400000000004</v>
      </c>
    </row>
    <row r="45" spans="1:9" x14ac:dyDescent="0.3">
      <c r="A45" s="179" t="str">
        <f>'ESS Jul 2020'!K31</f>
        <v>CovaU</v>
      </c>
      <c r="B45" s="180">
        <f>'ESS Jul 2020'!G31</f>
        <v>42551</v>
      </c>
      <c r="C45" s="181">
        <f>91*'ESS Jul 2020'!M31/100</f>
        <v>150.15</v>
      </c>
      <c r="D45" s="181">
        <f>($C$36*$C$37)*'ESS Jul 2020'!N31/100</f>
        <v>349.99999999999994</v>
      </c>
      <c r="E45" s="182">
        <v>0</v>
      </c>
      <c r="F45" s="181">
        <v>0</v>
      </c>
      <c r="G45" s="181">
        <f>($C$36*$C$38)*'ESS Jul 2020'!AE31/100</f>
        <v>101.99999999999999</v>
      </c>
      <c r="H45" s="183">
        <f t="shared" si="6"/>
        <v>602.15</v>
      </c>
      <c r="I45" s="202">
        <f t="shared" si="7"/>
        <v>2649.46</v>
      </c>
    </row>
    <row r="46" spans="1:9" x14ac:dyDescent="0.3">
      <c r="A46" s="179" t="str">
        <f>'ESS Jul 2020'!K32</f>
        <v>Dodo Power &amp; Gas</v>
      </c>
      <c r="B46" s="180">
        <f>'ESS Jul 2020'!G32</f>
        <v>42551</v>
      </c>
      <c r="C46" s="181">
        <f>91*'ESS Jul 2020'!M32/100</f>
        <v>134.84545454545452</v>
      </c>
      <c r="D46" s="181">
        <f>($C$36*$C$37)*'ESS Jul 2020'!N32/100</f>
        <v>387.16363636363633</v>
      </c>
      <c r="E46" s="182">
        <v>0</v>
      </c>
      <c r="F46" s="181">
        <v>0</v>
      </c>
      <c r="G46" s="181">
        <f>($C$36*$C$38)*'ESS Jul 2020'!AE32/100</f>
        <v>98.454545454545453</v>
      </c>
      <c r="H46" s="183">
        <f t="shared" si="6"/>
        <v>620.4636363636364</v>
      </c>
      <c r="I46" s="202">
        <f t="shared" si="7"/>
        <v>2730.0400000000004</v>
      </c>
    </row>
    <row r="47" spans="1:9" x14ac:dyDescent="0.3">
      <c r="A47" s="179" t="str">
        <f>'ESS Jul 2020'!K33</f>
        <v>EnergyAustralia</v>
      </c>
      <c r="B47" s="180">
        <f>'ESS Jul 2020'!G33</f>
        <v>42551</v>
      </c>
      <c r="C47" s="181">
        <f>91*'ESS Jul 2020'!M33/100</f>
        <v>122.85</v>
      </c>
      <c r="D47" s="181">
        <f>($C$36*$C$37)*'ESS Jul 2020'!N33/100</f>
        <v>400.14545454545458</v>
      </c>
      <c r="E47" s="182">
        <v>0</v>
      </c>
      <c r="F47" s="181">
        <v>0</v>
      </c>
      <c r="G47" s="181">
        <f>($C$36*$C$38)*'ESS Jul 2020'!AE33/100</f>
        <v>91.36363636363636</v>
      </c>
      <c r="H47" s="183">
        <f t="shared" si="6"/>
        <v>614.35909090909092</v>
      </c>
      <c r="I47" s="202">
        <f t="shared" si="7"/>
        <v>2703.1800000000003</v>
      </c>
    </row>
    <row r="48" spans="1:9" x14ac:dyDescent="0.3">
      <c r="A48" s="179" t="str">
        <f>'ESS Jul 2020'!K34</f>
        <v>Mojo Power</v>
      </c>
      <c r="B48" s="180">
        <f>'ESS Jul 2020'!G34</f>
        <v>42553</v>
      </c>
      <c r="C48" s="181">
        <f>91*'ESS Jul 2020'!M34/100</f>
        <v>133.54663636363637</v>
      </c>
      <c r="D48" s="181">
        <f>($C$36*$C$37)*'ESS Jul 2020'!N34/100</f>
        <v>388.81818181818176</v>
      </c>
      <c r="E48" s="182">
        <v>0</v>
      </c>
      <c r="F48" s="181">
        <v>0</v>
      </c>
      <c r="G48" s="181">
        <f>($C$36*$C$38)*'ESS Jul 2020'!AE34/100</f>
        <v>98.563636363636363</v>
      </c>
      <c r="H48" s="183">
        <f t="shared" si="6"/>
        <v>620.92845454545454</v>
      </c>
      <c r="I48" s="202">
        <f t="shared" si="7"/>
        <v>2732.0852</v>
      </c>
    </row>
    <row r="49" spans="1:9" x14ac:dyDescent="0.3">
      <c r="A49" s="179" t="str">
        <f>'ESS Jul 2020'!K35</f>
        <v>Momentum Energy</v>
      </c>
      <c r="B49" s="180">
        <f>'ESS Jul 2020'!G35</f>
        <v>42551</v>
      </c>
      <c r="C49" s="181">
        <f>91*'ESS Jul 2020'!M35/100</f>
        <v>107.8680909090909</v>
      </c>
      <c r="D49" s="181">
        <f>($C$36*$C$37)*'ESS Jul 2020'!N35/100</f>
        <v>436.92727272727262</v>
      </c>
      <c r="E49" s="182">
        <v>0</v>
      </c>
      <c r="F49" s="181">
        <v>0</v>
      </c>
      <c r="G49" s="181">
        <f>($C$36*$C$38)*'ESS Jul 2020'!AE35/100</f>
        <v>82.036363636363618</v>
      </c>
      <c r="H49" s="183">
        <f t="shared" si="6"/>
        <v>626.83172727272711</v>
      </c>
      <c r="I49" s="202">
        <f t="shared" si="7"/>
        <v>2758.0595999999996</v>
      </c>
    </row>
    <row r="50" spans="1:9" x14ac:dyDescent="0.3">
      <c r="A50" s="179" t="str">
        <f>'ESS Jul 2020'!K36</f>
        <v>Origin Energy</v>
      </c>
      <c r="B50" s="180">
        <f>'ESS Jul 2020'!G36</f>
        <v>42551</v>
      </c>
      <c r="C50" s="181">
        <f>91*'ESS Jul 2020'!M36/100</f>
        <v>137.61681818181819</v>
      </c>
      <c r="D50" s="181">
        <f>($C$36*$C$37)*'ESS Jul 2020'!N36/100</f>
        <v>389.32727272727266</v>
      </c>
      <c r="E50" s="182">
        <v>0</v>
      </c>
      <c r="F50" s="181">
        <v>0</v>
      </c>
      <c r="G50" s="181">
        <f>($C$36*$C$38)*'ESS Jul 2020'!AE36/100</f>
        <v>84</v>
      </c>
      <c r="H50" s="183">
        <f t="shared" si="6"/>
        <v>610.94409090909085</v>
      </c>
      <c r="I50" s="202">
        <f t="shared" si="7"/>
        <v>2688.154</v>
      </c>
    </row>
    <row r="51" spans="1:9" x14ac:dyDescent="0.3">
      <c r="A51" s="179" t="str">
        <f>'ESS Jul 2020'!K37</f>
        <v>Powerdirect</v>
      </c>
      <c r="B51" s="180">
        <f>'ESS Jul 2020'!G37</f>
        <v>42551</v>
      </c>
      <c r="C51" s="181">
        <f>91*'ESS Jul 2020'!M37/100</f>
        <v>140.37659999999997</v>
      </c>
      <c r="D51" s="181">
        <f>($C$36*$C$37)*'ESS Jul 2020'!N37/100</f>
        <v>349.10909090909087</v>
      </c>
      <c r="E51" s="182">
        <v>0</v>
      </c>
      <c r="F51" s="181">
        <v>0</v>
      </c>
      <c r="G51" s="181">
        <f>($C$36*$C$38)*'ESS Jul 2020'!AE37/100</f>
        <v>86.181818181818187</v>
      </c>
      <c r="H51" s="183">
        <f t="shared" si="6"/>
        <v>575.66750909090911</v>
      </c>
      <c r="I51" s="202">
        <f t="shared" si="7"/>
        <v>2532.9370400000003</v>
      </c>
    </row>
    <row r="52" spans="1:9" x14ac:dyDescent="0.3">
      <c r="A52" s="179" t="str">
        <f>'ESS Jul 2020'!K38</f>
        <v>Powershop</v>
      </c>
      <c r="B52" s="180">
        <f>'ESS Jul 2020'!G38</f>
        <v>42551</v>
      </c>
      <c r="C52" s="181">
        <f>91*'ESS Jul 2020'!M38/100</f>
        <v>149.12418181818182</v>
      </c>
      <c r="D52" s="181">
        <f>($C$36*$C$37)*'ESS Jul 2020'!N38/100</f>
        <v>360.81818181818181</v>
      </c>
      <c r="E52" s="182">
        <v>0</v>
      </c>
      <c r="F52" s="181">
        <v>0</v>
      </c>
      <c r="G52" s="181">
        <f>($C$36*$C$38)*'ESS Jul 2020'!AE38/100</f>
        <v>73.2</v>
      </c>
      <c r="H52" s="183">
        <f t="shared" si="6"/>
        <v>583.14236363636371</v>
      </c>
      <c r="I52" s="202">
        <f t="shared" si="7"/>
        <v>2565.8264000000004</v>
      </c>
    </row>
    <row r="53" spans="1:9" x14ac:dyDescent="0.3">
      <c r="A53" s="179" t="str">
        <f>'ESS Jul 2020'!K39</f>
        <v>Red Energy</v>
      </c>
      <c r="B53" s="180">
        <f>'ESS Jul 2020'!G39</f>
        <v>42551</v>
      </c>
      <c r="C53" s="181">
        <f>91*'ESS Jul 2020'!M39/100</f>
        <v>132.49600000000001</v>
      </c>
      <c r="D53" s="181">
        <f>($C$36*$C$37)*'ESS Jul 2020'!N39/100</f>
        <v>379.4</v>
      </c>
      <c r="E53" s="182">
        <v>0</v>
      </c>
      <c r="F53" s="181">
        <v>0</v>
      </c>
      <c r="G53" s="181">
        <f>($C$36*$C$38)*'ESS Jul 2020'!AE39/100</f>
        <v>106.79999999999998</v>
      </c>
      <c r="H53" s="183">
        <f t="shared" si="6"/>
        <v>618.69599999999991</v>
      </c>
      <c r="I53" s="202">
        <f t="shared" si="7"/>
        <v>2722.2623999999996</v>
      </c>
    </row>
    <row r="54" spans="1:9" x14ac:dyDescent="0.3">
      <c r="A54" s="179" t="str">
        <f>'ESS Jul 2020'!K40</f>
        <v>Simply Energy</v>
      </c>
      <c r="B54" s="180">
        <f>'ESS Jul 2020'!G40</f>
        <v>42551</v>
      </c>
      <c r="C54" s="181">
        <f>91*'ESS Jul 2020'!M40/100</f>
        <v>135.39145454545454</v>
      </c>
      <c r="D54" s="181">
        <f>($C$36*$C$37)*'ESS Jul 2020'!N40/100</f>
        <v>390.09090909090907</v>
      </c>
      <c r="E54" s="182">
        <v>0</v>
      </c>
      <c r="F54" s="181">
        <v>0</v>
      </c>
      <c r="G54" s="181">
        <f>($C$36*$C$38)*'ESS Jul 2020'!AE40/100</f>
        <v>95.181818181818159</v>
      </c>
      <c r="H54" s="183">
        <f t="shared" si="6"/>
        <v>620.66418181818176</v>
      </c>
      <c r="I54" s="202">
        <f t="shared" si="7"/>
        <v>2730.9223999999999</v>
      </c>
    </row>
    <row r="55" spans="1:9" x14ac:dyDescent="0.3">
      <c r="A55" s="179" t="str">
        <f>'ESS Jul 2020'!K41</f>
        <v>1st Energy</v>
      </c>
      <c r="B55" s="180">
        <f>'ESS Jul 2020'!G41</f>
        <v>42551</v>
      </c>
      <c r="C55" s="181">
        <f>91*'ESS Jul 2020'!M41/100</f>
        <v>161.97999999999999</v>
      </c>
      <c r="D55" s="181">
        <f>IF($C$36*$C$37&gt;='ESS Jul 2020'!P41,('ESS Jul 2020'!P41*'ESS Jul 2020'!N41/100),(($C$36*$C$37)*'ESS Jul 2020'!N41/100))</f>
        <v>344.25</v>
      </c>
      <c r="E55" s="182">
        <v>0</v>
      </c>
      <c r="F55" s="181">
        <f>IF(($C$36*$C$37&lt;'ESS Jul 2020'!R41),(0),($C$36*$C$37-'ESS Jul 2020'!R41)*'ESS Jul 2020'!S41/100)</f>
        <v>14.649999999999999</v>
      </c>
      <c r="G55" s="181">
        <f>($C$36*$C$38)*'ESS Jul 2020'!AE41/100</f>
        <v>75.599999999999994</v>
      </c>
      <c r="H55" s="183">
        <f t="shared" si="6"/>
        <v>596.48</v>
      </c>
      <c r="I55" s="202">
        <f t="shared" si="7"/>
        <v>2624.5120000000002</v>
      </c>
    </row>
    <row r="56" spans="1:9" x14ac:dyDescent="0.3">
      <c r="A56" s="179" t="str">
        <f>'ESS Jul 2020'!K42</f>
        <v>Amaysim</v>
      </c>
      <c r="B56" s="180">
        <f>'ESS Jul 2020'!G42</f>
        <v>42551</v>
      </c>
      <c r="C56" s="181">
        <f>91*'ESS Jul 2020'!M42/100</f>
        <v>124.66999999999999</v>
      </c>
      <c r="D56" s="181">
        <f>($C$36*$C$37)*'ESS Jul 2020'!N42/100</f>
        <v>390.09090909090907</v>
      </c>
      <c r="E56" s="182">
        <v>0</v>
      </c>
      <c r="F56" s="181">
        <v>0</v>
      </c>
      <c r="G56" s="181">
        <f>($C$36*$C$38)*'ESS Jul 2020'!AE42/100</f>
        <v>108</v>
      </c>
      <c r="H56" s="183">
        <f t="shared" si="6"/>
        <v>622.76090909090908</v>
      </c>
      <c r="I56" s="202">
        <f t="shared" si="7"/>
        <v>2740.1480000000001</v>
      </c>
    </row>
    <row r="57" spans="1:9" x14ac:dyDescent="0.3">
      <c r="A57" s="251" t="str">
        <f>'ESS Jul 2020'!K43</f>
        <v>ReAmped Energy</v>
      </c>
      <c r="B57" s="180">
        <f>'ESS Jul 2020'!G43</f>
        <v>42551</v>
      </c>
      <c r="C57" s="181">
        <f>91*'ESS Jul 2020'!M43/100</f>
        <v>178.19454545454545</v>
      </c>
      <c r="D57" s="181">
        <f>($C$36*$C$37)*'ESS Jul 2020'!N43/100</f>
        <v>322</v>
      </c>
      <c r="E57" s="182">
        <v>0</v>
      </c>
      <c r="F57" s="181">
        <v>0</v>
      </c>
      <c r="G57" s="181">
        <f>($C$36*$C$38)*'ESS Jul 2020'!AE43/100</f>
        <v>108</v>
      </c>
      <c r="H57" s="183">
        <f t="shared" si="6"/>
        <v>608.1945454545455</v>
      </c>
      <c r="I57" s="202">
        <f t="shared" si="7"/>
        <v>2676.0560000000005</v>
      </c>
    </row>
    <row r="58" spans="1:9" x14ac:dyDescent="0.3">
      <c r="A58" s="251" t="str">
        <f>'ESS Jul 2020'!K44</f>
        <v>Enova Energy</v>
      </c>
      <c r="B58" s="180">
        <f>'ESS Jul 2020'!G44</f>
        <v>42551</v>
      </c>
      <c r="C58" s="181">
        <f>91*'ESS Jul 2020'!M44/100</f>
        <v>165.62</v>
      </c>
      <c r="D58" s="181">
        <f>($C$36*$C$37)*'ESS Jul 2020'!N44/100</f>
        <v>335.99999999999994</v>
      </c>
      <c r="E58" s="182">
        <v>0</v>
      </c>
      <c r="F58" s="181">
        <v>0</v>
      </c>
      <c r="G58" s="181">
        <f>($C$36*$C$38)*'ESS Jul 2020'!AE44/100</f>
        <v>86.999999999999986</v>
      </c>
      <c r="H58" s="183">
        <f t="shared" ref="H58:H63" si="8">SUM(C58:G58)</f>
        <v>588.61999999999989</v>
      </c>
      <c r="I58" s="202">
        <f t="shared" ref="I58:I63" si="9">(H58*4)*1.1</f>
        <v>2589.9279999999999</v>
      </c>
    </row>
    <row r="59" spans="1:9" x14ac:dyDescent="0.3">
      <c r="A59" s="251" t="str">
        <f>'ESS Jul 2020'!K45</f>
        <v>Discover Energy</v>
      </c>
      <c r="B59" s="180">
        <f>'ESS Jul 2020'!G45</f>
        <v>42551</v>
      </c>
      <c r="C59" s="181">
        <f>91*'ESS Jul 2020'!M45/100</f>
        <v>133.9933636363636</v>
      </c>
      <c r="D59" s="181">
        <f>($C$36*$C$37)*'ESS Jul 2020'!N45/100</f>
        <v>392.25454545454545</v>
      </c>
      <c r="E59" s="182">
        <v>0</v>
      </c>
      <c r="F59" s="181">
        <v>0</v>
      </c>
      <c r="G59" s="181">
        <f>($C$36*$C$38)*'ESS Jul 2020'!AE45/100</f>
        <v>94.527272727272717</v>
      </c>
      <c r="H59" s="183">
        <f t="shared" si="8"/>
        <v>620.77518181818175</v>
      </c>
      <c r="I59" s="202">
        <f t="shared" si="9"/>
        <v>2731.4108000000001</v>
      </c>
    </row>
    <row r="60" spans="1:9" x14ac:dyDescent="0.3">
      <c r="A60" s="251" t="str">
        <f>'ESS Jul 2020'!K46</f>
        <v>Future X Power</v>
      </c>
      <c r="B60" s="180">
        <f>'ESS Jul 2020'!G46</f>
        <v>42494</v>
      </c>
      <c r="C60" s="181">
        <f>91*'ESS Jul 2020'!M46/100</f>
        <v>141.41399999999999</v>
      </c>
      <c r="D60" s="181">
        <f>($C$36*$C$37)*'ESS Jul 2020'!N46/100</f>
        <v>383.98181818181814</v>
      </c>
      <c r="E60" s="182">
        <v>0</v>
      </c>
      <c r="F60" s="181">
        <v>0</v>
      </c>
      <c r="G60" s="181">
        <f>($C$36*$C$38)*'ESS Jul 2020'!AE46/100</f>
        <v>98.999999999999986</v>
      </c>
      <c r="H60" s="183">
        <f t="shared" si="8"/>
        <v>624.39581818181819</v>
      </c>
      <c r="I60" s="202">
        <f t="shared" si="9"/>
        <v>2747.3416000000002</v>
      </c>
    </row>
    <row r="61" spans="1:9" x14ac:dyDescent="0.3">
      <c r="A61" s="251" t="str">
        <f>'ESS Jul 2020'!K47</f>
        <v>Nectr</v>
      </c>
      <c r="B61" s="180">
        <f>'ESS Jul 2020'!G47</f>
        <v>42551</v>
      </c>
      <c r="C61" s="181">
        <f>91*'ESS Jul 2020'!M47/100</f>
        <v>132.22300000000001</v>
      </c>
      <c r="D61" s="181">
        <f>($C$36*$C$37)*'ESS Jul 2020'!N47/100</f>
        <v>380.8</v>
      </c>
      <c r="E61" s="182">
        <v>0</v>
      </c>
      <c r="F61" s="181">
        <v>0</v>
      </c>
      <c r="G61" s="181">
        <f>($C$36*$C$38)*'ESS Jul 2020'!AE47/100</f>
        <v>105</v>
      </c>
      <c r="H61" s="183">
        <f t="shared" si="8"/>
        <v>618.02300000000002</v>
      </c>
      <c r="I61" s="202">
        <f t="shared" si="9"/>
        <v>2719.3012000000003</v>
      </c>
    </row>
    <row r="62" spans="1:9" x14ac:dyDescent="0.3">
      <c r="A62" s="251" t="str">
        <f>'ESS Jul 2020'!K48</f>
        <v>People Energy</v>
      </c>
      <c r="B62" s="180">
        <f>'ESS Jul 2020'!G48</f>
        <v>42551</v>
      </c>
      <c r="C62" s="181">
        <f>91*'ESS Jul 2020'!M48/100</f>
        <v>133.54663636363637</v>
      </c>
      <c r="D62" s="181">
        <f>($C$36*$C$37)*'ESS Jul 2020'!N48/100</f>
        <v>388.81818181818176</v>
      </c>
      <c r="E62" s="182">
        <v>0</v>
      </c>
      <c r="F62" s="181">
        <v>0</v>
      </c>
      <c r="G62" s="181">
        <f>($C$36*$C$38)*'ESS Jul 2020'!AE48/100</f>
        <v>98.563636363636363</v>
      </c>
      <c r="H62" s="183">
        <f t="shared" si="8"/>
        <v>620.92845454545454</v>
      </c>
      <c r="I62" s="202">
        <f t="shared" si="9"/>
        <v>2732.0852</v>
      </c>
    </row>
    <row r="63" spans="1:9" ht="14" thickBot="1" x14ac:dyDescent="0.35">
      <c r="A63" s="258" t="str">
        <f>'ESS Jul 2020'!K49</f>
        <v>Elysian Energy</v>
      </c>
      <c r="B63" s="185">
        <f>'ESS Jul 2020'!G49</f>
        <v>42551</v>
      </c>
      <c r="C63" s="186">
        <f>91*'ESS Jul 2020'!M49/100</f>
        <v>125.52209090909088</v>
      </c>
      <c r="D63" s="186">
        <f>($C$36*$C$37)*'ESS Jul 2020'!N49/100</f>
        <v>328.10909090909087</v>
      </c>
      <c r="E63" s="187">
        <v>0</v>
      </c>
      <c r="F63" s="186">
        <v>0</v>
      </c>
      <c r="G63" s="186">
        <f>($C$36*$C$38)*'ESS Jul 2020'!AE49/100</f>
        <v>83.672727272727258</v>
      </c>
      <c r="H63" s="188">
        <f t="shared" si="8"/>
        <v>537.30390909090897</v>
      </c>
      <c r="I63" s="203">
        <f t="shared" si="9"/>
        <v>2364.1371999999997</v>
      </c>
    </row>
    <row r="64" spans="1:9" s="266" customFormat="1" x14ac:dyDescent="0.3"/>
    <row r="65" spans="1:9" ht="14" thickBot="1" x14ac:dyDescent="0.35"/>
    <row r="66" spans="1:9" ht="14" x14ac:dyDescent="0.3">
      <c r="A66" s="176" t="s">
        <v>94</v>
      </c>
      <c r="B66" s="91"/>
      <c r="C66" s="91"/>
      <c r="D66" s="91"/>
      <c r="E66" s="91"/>
      <c r="F66" s="91"/>
      <c r="G66" s="91"/>
      <c r="H66" s="91"/>
      <c r="I66" s="177"/>
    </row>
    <row r="67" spans="1:9" ht="14" x14ac:dyDescent="0.3">
      <c r="A67" s="92" t="s">
        <v>79</v>
      </c>
      <c r="B67" s="93"/>
      <c r="C67" s="168">
        <v>1800</v>
      </c>
      <c r="D67" s="93"/>
      <c r="E67" s="93"/>
      <c r="F67" s="93"/>
      <c r="G67" s="93"/>
      <c r="H67" s="93"/>
      <c r="I67" s="178"/>
    </row>
    <row r="68" spans="1:9" ht="14" x14ac:dyDescent="0.3">
      <c r="A68" s="92" t="s">
        <v>91</v>
      </c>
      <c r="B68" s="93"/>
      <c r="C68" s="257">
        <v>0.2</v>
      </c>
      <c r="D68" s="93"/>
      <c r="E68" s="93"/>
      <c r="F68" s="93"/>
      <c r="G68" s="93"/>
      <c r="H68" s="93"/>
      <c r="I68" s="178"/>
    </row>
    <row r="69" spans="1:9" ht="14" x14ac:dyDescent="0.3">
      <c r="A69" s="92" t="s">
        <v>95</v>
      </c>
      <c r="B69" s="93"/>
      <c r="C69" s="257">
        <v>0.5</v>
      </c>
      <c r="D69" s="93"/>
      <c r="E69" s="93"/>
      <c r="F69" s="93"/>
      <c r="G69" s="93"/>
      <c r="H69" s="93"/>
      <c r="I69" s="178"/>
    </row>
    <row r="70" spans="1:9" ht="14" x14ac:dyDescent="0.3">
      <c r="A70" s="92" t="s">
        <v>92</v>
      </c>
      <c r="B70" s="93"/>
      <c r="C70" s="257">
        <v>0.3</v>
      </c>
      <c r="D70" s="93"/>
      <c r="E70" s="93"/>
      <c r="F70" s="93"/>
      <c r="G70" s="93"/>
      <c r="H70" s="93"/>
      <c r="I70" s="178"/>
    </row>
    <row r="71" spans="1:9" ht="14" x14ac:dyDescent="0.3">
      <c r="A71" s="166"/>
      <c r="B71" s="93"/>
      <c r="C71" s="167"/>
      <c r="D71" s="93"/>
      <c r="E71" s="93"/>
      <c r="F71" s="93"/>
      <c r="G71" s="93"/>
      <c r="H71" s="93"/>
      <c r="I71" s="178"/>
    </row>
    <row r="72" spans="1:9" ht="28" x14ac:dyDescent="0.3">
      <c r="A72" s="301" t="s">
        <v>80</v>
      </c>
      <c r="B72" s="297" t="s">
        <v>81</v>
      </c>
      <c r="C72" s="298" t="s">
        <v>82</v>
      </c>
      <c r="D72" s="298" t="s">
        <v>96</v>
      </c>
      <c r="E72" s="299" t="s">
        <v>86</v>
      </c>
      <c r="F72" s="299" t="s">
        <v>97</v>
      </c>
      <c r="G72" s="299" t="s">
        <v>98</v>
      </c>
      <c r="H72" s="298" t="s">
        <v>87</v>
      </c>
      <c r="I72" s="300" t="s">
        <v>88</v>
      </c>
    </row>
    <row r="73" spans="1:9" x14ac:dyDescent="0.3">
      <c r="A73" s="179" t="str">
        <f>'ESS Jul 2020'!K50</f>
        <v>AGL</v>
      </c>
      <c r="B73" s="180">
        <f>'ESS Jul 2020'!G50</f>
        <v>42551</v>
      </c>
      <c r="C73" s="181">
        <f>91*'ESS Jul 2020'!M50/100</f>
        <v>129.58399999999997</v>
      </c>
      <c r="D73" s="181">
        <f>($C$67*$C$68)*'ESS Jul 2020'!N50/100</f>
        <v>127.8981818181818</v>
      </c>
      <c r="E73" s="181">
        <v>0</v>
      </c>
      <c r="F73" s="181">
        <f>($C$67*$C$69)*'ESS Jul 2020'!AH50/100</f>
        <v>311.23636363636359</v>
      </c>
      <c r="G73" s="181">
        <f>($C$67*$C$70)*'ESS Jul 2020'!W50/100</f>
        <v>104.51454545454544</v>
      </c>
      <c r="H73" s="183">
        <f t="shared" ref="H73:H88" si="10">SUM(C73:G73)</f>
        <v>673.23309090909083</v>
      </c>
      <c r="I73" s="202">
        <f t="shared" ref="I73:I88" si="11">(H73*4)*1.1</f>
        <v>2962.2255999999998</v>
      </c>
    </row>
    <row r="74" spans="1:9" x14ac:dyDescent="0.3">
      <c r="A74" s="179" t="str">
        <f>'ESS Jul 2020'!K51</f>
        <v>Alinta Energy</v>
      </c>
      <c r="B74" s="180">
        <f>'ESS Jul 2020'!G51</f>
        <v>42551</v>
      </c>
      <c r="C74" s="181">
        <f>91*'ESS Jul 2020'!M51/100</f>
        <v>127.4</v>
      </c>
      <c r="D74" s="181">
        <f>($C$67*$C$68)*'ESS Jul 2020'!N51/100</f>
        <v>129.6</v>
      </c>
      <c r="E74" s="181">
        <v>0</v>
      </c>
      <c r="F74" s="181">
        <f>($C$67*$C$69)*'ESS Jul 2020'!AH51/100</f>
        <v>305.99999999999994</v>
      </c>
      <c r="G74" s="181">
        <f>($C$67*$C$70)*'ESS Jul 2020'!W51/100</f>
        <v>107.89200000000001</v>
      </c>
      <c r="H74" s="183">
        <f t="shared" si="10"/>
        <v>670.89200000000005</v>
      </c>
      <c r="I74" s="202">
        <f t="shared" si="11"/>
        <v>2951.9248000000007</v>
      </c>
    </row>
    <row r="75" spans="1:9" x14ac:dyDescent="0.3">
      <c r="A75" s="179" t="str">
        <f>'ESS Jul 2020'!K52</f>
        <v>Click Energy</v>
      </c>
      <c r="B75" s="180">
        <f>'ESS Jul 2020'!G52</f>
        <v>42551</v>
      </c>
      <c r="C75" s="181">
        <f>91*'ESS Jul 2020'!M52/100</f>
        <v>124.66999999999999</v>
      </c>
      <c r="D75" s="181">
        <f>($C$67*$C$68)*'ESS Jul 2020'!N52/100</f>
        <v>126</v>
      </c>
      <c r="E75" s="181">
        <v>0</v>
      </c>
      <c r="F75" s="181">
        <f>($C$67*$C$69)*'ESS Jul 2020'!AH52/100</f>
        <v>279</v>
      </c>
      <c r="G75" s="181">
        <f>($C$67*$C$70)*'ESS Jul 2020'!W52/100</f>
        <v>123.95454545454544</v>
      </c>
      <c r="H75" s="183">
        <f t="shared" si="10"/>
        <v>653.62454545454534</v>
      </c>
      <c r="I75" s="202">
        <f t="shared" si="11"/>
        <v>2875.9479999999999</v>
      </c>
    </row>
    <row r="76" spans="1:9" x14ac:dyDescent="0.3">
      <c r="A76" s="179" t="str">
        <f>'ESS Jul 2020'!K53</f>
        <v>Commander</v>
      </c>
      <c r="B76" s="180">
        <f>'ESS Jul 2020'!G53</f>
        <v>42551</v>
      </c>
      <c r="C76" s="181">
        <f>91*'ESS Jul 2020'!M53/100</f>
        <v>134.316</v>
      </c>
      <c r="D76" s="181">
        <f>($C$67*$C$68)*'ESS Jul 2020'!N53/100</f>
        <v>118.21090909090907</v>
      </c>
      <c r="E76" s="181">
        <v>0</v>
      </c>
      <c r="F76" s="181">
        <f>($C$67*$C$69)*'ESS Jul 2020'!AH53/100</f>
        <v>279.57272727272726</v>
      </c>
      <c r="G76" s="181">
        <f>($C$67*$C$70)*'ESS Jul 2020'!W53/100</f>
        <v>109.07999999999998</v>
      </c>
      <c r="H76" s="183">
        <f t="shared" si="10"/>
        <v>641.17963636363629</v>
      </c>
      <c r="I76" s="202">
        <f t="shared" si="11"/>
        <v>2821.1904</v>
      </c>
    </row>
    <row r="77" spans="1:9" x14ac:dyDescent="0.3">
      <c r="A77" s="179" t="str">
        <f>'ESS Jul 2020'!K54</f>
        <v>CovaU</v>
      </c>
      <c r="B77" s="180">
        <f>'ESS Jul 2020'!G54</f>
        <v>42551</v>
      </c>
      <c r="C77" s="181">
        <f>91*'ESS Jul 2020'!M54/100</f>
        <v>136.5</v>
      </c>
      <c r="D77" s="181">
        <f>($C$67*$C$68)*'ESS Jul 2020'!N54/100</f>
        <v>115.2</v>
      </c>
      <c r="E77" s="181">
        <v>0</v>
      </c>
      <c r="F77" s="181">
        <f>($C$67*$C$69)*'ESS Jul 2020'!AH54/100</f>
        <v>274.49999999999994</v>
      </c>
      <c r="G77" s="181">
        <f>($C$67*$C$70)*'ESS Jul 2020'!W54/100</f>
        <v>110.7</v>
      </c>
      <c r="H77" s="183">
        <f t="shared" si="10"/>
        <v>636.9</v>
      </c>
      <c r="I77" s="202">
        <f t="shared" si="11"/>
        <v>2802.36</v>
      </c>
    </row>
    <row r="78" spans="1:9" x14ac:dyDescent="0.3">
      <c r="A78" s="179" t="str">
        <f>'ESS Jul 2020'!K55</f>
        <v>Dodo Power &amp; Gas</v>
      </c>
      <c r="B78" s="180">
        <f>'ESS Jul 2020'!G55</f>
        <v>42551</v>
      </c>
      <c r="C78" s="181">
        <f>91*'ESS Jul 2020'!M55/100</f>
        <v>134.316</v>
      </c>
      <c r="D78" s="181">
        <f>($C$67*$C$68)*'ESS Jul 2020'!N55/100</f>
        <v>118.21090909090907</v>
      </c>
      <c r="E78" s="181">
        <v>0</v>
      </c>
      <c r="F78" s="181">
        <f>($C$67*$C$69)*'ESS Jul 2020'!AH55/100</f>
        <v>279.57272727272726</v>
      </c>
      <c r="G78" s="181">
        <f>($C$67*$C$70)*'ESS Jul 2020'!W55/100</f>
        <v>109.07999999999998</v>
      </c>
      <c r="H78" s="183">
        <f t="shared" si="10"/>
        <v>641.17963636363629</v>
      </c>
      <c r="I78" s="202">
        <f t="shared" si="11"/>
        <v>2821.1904</v>
      </c>
    </row>
    <row r="79" spans="1:9" x14ac:dyDescent="0.3">
      <c r="A79" s="179" t="str">
        <f>'ESS Jul 2020'!K56</f>
        <v>EnergyAustralia</v>
      </c>
      <c r="B79" s="180">
        <f>'ESS Jul 2020'!G56</f>
        <v>42551</v>
      </c>
      <c r="C79" s="181">
        <f>91*'ESS Jul 2020'!M56/100</f>
        <v>131.768</v>
      </c>
      <c r="D79" s="181">
        <f>($C$67*$C$68)*'ESS Jul 2020'!N56/100</f>
        <v>133.98545454545453</v>
      </c>
      <c r="E79" s="181">
        <v>0</v>
      </c>
      <c r="F79" s="181">
        <f>($C$67*$C$69)*'ESS Jul 2020'!AH56/100</f>
        <v>212.39999999999998</v>
      </c>
      <c r="G79" s="181">
        <f>($C$67*$C$70)*'ESS Jul 2020'!W56/100</f>
        <v>105.9381818181818</v>
      </c>
      <c r="H79" s="183">
        <f t="shared" si="10"/>
        <v>584.09163636363633</v>
      </c>
      <c r="I79" s="202">
        <f t="shared" si="11"/>
        <v>2570.0032000000001</v>
      </c>
    </row>
    <row r="80" spans="1:9" x14ac:dyDescent="0.3">
      <c r="A80" s="179" t="str">
        <f>'ESS Jul 2020'!K57</f>
        <v>Mojo Power</v>
      </c>
      <c r="B80" s="180">
        <f>'ESS Jul 2020'!G57</f>
        <v>42553</v>
      </c>
      <c r="C80" s="181">
        <f>91*'ESS Jul 2020'!M57/100</f>
        <v>137.89809090909091</v>
      </c>
      <c r="D80" s="181">
        <f>($C$67*$C$68)*'ESS Jul 2020'!N57/100</f>
        <v>144.26181818181817</v>
      </c>
      <c r="E80" s="181">
        <v>0</v>
      </c>
      <c r="F80" s="181">
        <f>($C$67*$C$69)*'ESS Jul 2020'!AH57/100</f>
        <v>220.41818181818181</v>
      </c>
      <c r="G80" s="181">
        <f>($C$67*$C$70)*'ESS Jul 2020'!W57/100</f>
        <v>108.14727272727272</v>
      </c>
      <c r="H80" s="183">
        <f t="shared" si="10"/>
        <v>610.72536363636357</v>
      </c>
      <c r="I80" s="202">
        <f t="shared" si="11"/>
        <v>2687.1916000000001</v>
      </c>
    </row>
    <row r="81" spans="1:9" x14ac:dyDescent="0.3">
      <c r="A81" s="179" t="str">
        <f>'ESS Jul 2020'!K58</f>
        <v>Momentum Energy</v>
      </c>
      <c r="B81" s="180">
        <f>'ESS Jul 2020'!G58</f>
        <v>42551</v>
      </c>
      <c r="C81" s="181">
        <f>91*'ESS Jul 2020'!M58/100</f>
        <v>96.029818181818172</v>
      </c>
      <c r="D81" s="181">
        <f>($C$67*$C$68)*'ESS Jul 2020'!N58/100</f>
        <v>139.05818181818179</v>
      </c>
      <c r="E81" s="181">
        <v>0</v>
      </c>
      <c r="F81" s="181">
        <f>($C$67*$C$69)*'ESS Jul 2020'!AH58/100</f>
        <v>302.89090909090913</v>
      </c>
      <c r="G81" s="181">
        <f>($C$67*$C$70)*'ESS Jul 2020'!W58/100</f>
        <v>83.749090909090896</v>
      </c>
      <c r="H81" s="183">
        <f t="shared" si="10"/>
        <v>621.72800000000007</v>
      </c>
      <c r="I81" s="202">
        <f t="shared" si="11"/>
        <v>2735.6032000000005</v>
      </c>
    </row>
    <row r="82" spans="1:9" x14ac:dyDescent="0.3">
      <c r="A82" s="179" t="str">
        <f>'ESS Jul 2020'!K59</f>
        <v>Origin Energy</v>
      </c>
      <c r="B82" s="180">
        <f>'ESS Jul 2020'!G59</f>
        <v>42551</v>
      </c>
      <c r="C82" s="181">
        <f>91*'ESS Jul 2020'!M59/100</f>
        <v>125.125</v>
      </c>
      <c r="D82" s="181">
        <f>($C$67*$C$68)*'ESS Jul 2020'!N59/100</f>
        <v>123.15272727272728</v>
      </c>
      <c r="E82" s="181">
        <v>0</v>
      </c>
      <c r="F82" s="181">
        <f>($C$67*$C$69)*'ESS Jul 2020'!AH59/100</f>
        <v>293.64545454545453</v>
      </c>
      <c r="G82" s="181">
        <f>($C$67*$C$70)*'ESS Jul 2020'!W59/100</f>
        <v>101.0781818181818</v>
      </c>
      <c r="H82" s="183">
        <f t="shared" si="10"/>
        <v>643.00136363636352</v>
      </c>
      <c r="I82" s="202">
        <f t="shared" si="11"/>
        <v>2829.2059999999997</v>
      </c>
    </row>
    <row r="83" spans="1:9" x14ac:dyDescent="0.3">
      <c r="A83" s="179" t="str">
        <f>'ESS Jul 2020'!K60</f>
        <v>Powerdirect</v>
      </c>
      <c r="B83" s="180">
        <f>'ESS Jul 2020'!G60</f>
        <v>42551</v>
      </c>
      <c r="C83" s="181">
        <f>91*'ESS Jul 2020'!M60/100</f>
        <v>129.58399999999997</v>
      </c>
      <c r="D83" s="181">
        <f>($C$67*$C$68)*'ESS Jul 2020'!N60/100</f>
        <v>127.90799999999997</v>
      </c>
      <c r="E83" s="181">
        <v>0</v>
      </c>
      <c r="F83" s="181">
        <f>($C$67*$C$69)*'ESS Jul 2020'!AH60/100</f>
        <v>311.21999999999991</v>
      </c>
      <c r="G83" s="181">
        <f>($C$67*$C$70)*'ESS Jul 2020'!W60/100</f>
        <v>104.48999999999998</v>
      </c>
      <c r="H83" s="183">
        <f t="shared" si="10"/>
        <v>673.20199999999988</v>
      </c>
      <c r="I83" s="202">
        <f t="shared" si="11"/>
        <v>2962.0887999999995</v>
      </c>
    </row>
    <row r="84" spans="1:9" x14ac:dyDescent="0.3">
      <c r="A84" s="179" t="str">
        <f>'ESS Jul 2020'!K61</f>
        <v>Powershop</v>
      </c>
      <c r="B84" s="180">
        <f>'ESS Jul 2020'!G61</f>
        <v>42551</v>
      </c>
      <c r="C84" s="181">
        <f>91*'ESS Jul 2020'!M61/100</f>
        <v>138.22072727272726</v>
      </c>
      <c r="D84" s="181">
        <f>($C$67*$C$68)*'ESS Jul 2020'!N61/100</f>
        <v>119.52000000000002</v>
      </c>
      <c r="E84" s="181">
        <v>0</v>
      </c>
      <c r="F84" s="181">
        <f>($C$67*$C$69)*'ESS Jul 2020'!AH61/100</f>
        <v>254.94545454545451</v>
      </c>
      <c r="G84" s="181">
        <f>($C$67*$C$70)*'ESS Jul 2020'!W61/100</f>
        <v>101.32363636363635</v>
      </c>
      <c r="H84" s="183">
        <f t="shared" si="10"/>
        <v>614.00981818181822</v>
      </c>
      <c r="I84" s="202">
        <f t="shared" si="11"/>
        <v>2701.6432000000004</v>
      </c>
    </row>
    <row r="85" spans="1:9" x14ac:dyDescent="0.3">
      <c r="A85" s="179" t="str">
        <f>'ESS Jul 2020'!K62</f>
        <v>Red Energy</v>
      </c>
      <c r="B85" s="180">
        <f>'ESS Jul 2020'!G62</f>
        <v>42551</v>
      </c>
      <c r="C85" s="181">
        <f>91*'ESS Jul 2020'!M62/100</f>
        <v>152.88</v>
      </c>
      <c r="D85" s="181">
        <f>($C$67*$C$68)*'ESS Jul 2020'!N62/100</f>
        <v>132.47999999999999</v>
      </c>
      <c r="E85" s="181">
        <v>0</v>
      </c>
      <c r="F85" s="181">
        <f>($C$67*$C$69)*'ESS Jul 2020'!AH62/100</f>
        <v>242.99999999999997</v>
      </c>
      <c r="G85" s="181">
        <f>($C$67*$C$70)*'ESS Jul 2020'!W62/100</f>
        <v>107.46</v>
      </c>
      <c r="H85" s="183">
        <f t="shared" si="10"/>
        <v>635.82000000000005</v>
      </c>
      <c r="I85" s="202">
        <f t="shared" si="11"/>
        <v>2797.6080000000006</v>
      </c>
    </row>
    <row r="86" spans="1:9" x14ac:dyDescent="0.3">
      <c r="A86" s="179" t="str">
        <f>'ESS Jul 2020'!K63</f>
        <v>Simply Energy</v>
      </c>
      <c r="B86" s="180">
        <f>'ESS Jul 2020'!G63</f>
        <v>42551</v>
      </c>
      <c r="C86" s="181">
        <f>91*'ESS Jul 2020'!M63/100</f>
        <v>124.71963636363634</v>
      </c>
      <c r="D86" s="181">
        <f>($C$67*$C$68)*'ESS Jul 2020'!N63/100</f>
        <v>129.89454545454544</v>
      </c>
      <c r="E86" s="181">
        <v>0</v>
      </c>
      <c r="F86" s="181">
        <f>($C$67*$C$69)*'ESS Jul 2020'!AH63/100</f>
        <v>311.56363636363636</v>
      </c>
      <c r="G86" s="181">
        <f>($C$67*$C$70)*'ESS Jul 2020'!W63/100</f>
        <v>108</v>
      </c>
      <c r="H86" s="183">
        <f t="shared" si="10"/>
        <v>674.17781818181811</v>
      </c>
      <c r="I86" s="202">
        <f t="shared" si="11"/>
        <v>2966.3824</v>
      </c>
    </row>
    <row r="87" spans="1:9" x14ac:dyDescent="0.3">
      <c r="A87" s="179" t="str">
        <f>'ESS Jul 2020'!K64</f>
        <v>1st Energy</v>
      </c>
      <c r="B87" s="180">
        <f>'ESS Jul 2020'!G64</f>
        <v>42551</v>
      </c>
      <c r="C87" s="181">
        <f>91*'ESS Jul 2020'!M64/100</f>
        <v>150.15</v>
      </c>
      <c r="D87" s="181">
        <f>($C$67*$C$68)*'ESS Jul 2020'!N64/100</f>
        <v>109.07999999999998</v>
      </c>
      <c r="E87" s="181">
        <v>0</v>
      </c>
      <c r="F87" s="181">
        <f>($C$67*$C$69)*'ESS Jul 2020'!AH64/100</f>
        <v>242.99999999999997</v>
      </c>
      <c r="G87" s="181">
        <f>($C$67*$C$70)*'ESS Jul 2020'!W64/100</f>
        <v>100.98</v>
      </c>
      <c r="H87" s="183">
        <f t="shared" si="10"/>
        <v>603.21</v>
      </c>
      <c r="I87" s="202">
        <f t="shared" si="11"/>
        <v>2654.1240000000003</v>
      </c>
    </row>
    <row r="88" spans="1:9" s="266" customFormat="1" x14ac:dyDescent="0.3">
      <c r="A88" s="179" t="str">
        <f>'ESS Jul 2020'!K65</f>
        <v>Amaysim</v>
      </c>
      <c r="B88" s="180">
        <f>'ESS Jul 2020'!G65</f>
        <v>42551</v>
      </c>
      <c r="C88" s="181">
        <f>91*'ESS Jul 2020'!M65/100</f>
        <v>124.66999999999999</v>
      </c>
      <c r="D88" s="181">
        <f>($C$67*$C$68)*'ESS Jul 2020'!N65/100</f>
        <v>126</v>
      </c>
      <c r="E88" s="181">
        <v>0</v>
      </c>
      <c r="F88" s="181">
        <f>($C$67*$C$69)*'ESS Jul 2020'!AH65/100</f>
        <v>279</v>
      </c>
      <c r="G88" s="181">
        <f>($C$67*$C$70)*'ESS Jul 2020'!W65/100</f>
        <v>123.95454545454544</v>
      </c>
      <c r="H88" s="183">
        <f t="shared" si="10"/>
        <v>653.62454545454534</v>
      </c>
      <c r="I88" s="202">
        <f t="shared" si="11"/>
        <v>2875.9479999999999</v>
      </c>
    </row>
    <row r="89" spans="1:9" s="266" customFormat="1" x14ac:dyDescent="0.3">
      <c r="A89" s="179" t="str">
        <f>'ESS Jul 2020'!K66</f>
        <v>Enova Energy</v>
      </c>
      <c r="B89" s="180">
        <f>'ESS Jul 2020'!G66</f>
        <v>42551</v>
      </c>
      <c r="C89" s="181">
        <f>91*'ESS Jul 2020'!M66/100</f>
        <v>152.88</v>
      </c>
      <c r="D89" s="181">
        <f>($C$67*$C$68)*'ESS Jul 2020'!N66/100</f>
        <v>86.399999999999977</v>
      </c>
      <c r="E89" s="181">
        <v>0</v>
      </c>
      <c r="F89" s="181">
        <f>($C$67*$C$69)*'ESS Jul 2020'!AH66/100</f>
        <v>215.99999999999997</v>
      </c>
      <c r="G89" s="181">
        <f>($C$67*$C$70)*'ESS Jul 2020'!W66/100</f>
        <v>129.6</v>
      </c>
      <c r="H89" s="183">
        <f t="shared" ref="H89:H94" si="12">SUM(C89:G89)</f>
        <v>584.88</v>
      </c>
      <c r="I89" s="202">
        <f t="shared" ref="I89:I94" si="13">(H89*4)*1.1</f>
        <v>2573.4720000000002</v>
      </c>
    </row>
    <row r="90" spans="1:9" s="266" customFormat="1" x14ac:dyDescent="0.3">
      <c r="A90" s="179" t="str">
        <f>'ESS Jul 2020'!K67</f>
        <v>Discover Energy</v>
      </c>
      <c r="B90" s="180">
        <f>'ESS Jul 2020'!G67</f>
        <v>42551</v>
      </c>
      <c r="C90" s="181">
        <f>91*'ESS Jul 2020'!M67/100</f>
        <v>127.4</v>
      </c>
      <c r="D90" s="181">
        <f>($C$67*$C$68)*'ESS Jul 2020'!N67/100</f>
        <v>111.6</v>
      </c>
      <c r="E90" s="181">
        <v>0</v>
      </c>
      <c r="F90" s="181">
        <f>($C$67*$C$69)*'ESS Jul 2020'!AH67/100</f>
        <v>274.09090909090907</v>
      </c>
      <c r="G90" s="181">
        <f>($C$67*$C$70)*'ESS Jul 2020'!W67/100</f>
        <v>104.76</v>
      </c>
      <c r="H90" s="183">
        <f t="shared" si="12"/>
        <v>617.850909090909</v>
      </c>
      <c r="I90" s="202">
        <f t="shared" si="13"/>
        <v>2718.5439999999999</v>
      </c>
    </row>
    <row r="91" spans="1:9" s="266" customFormat="1" x14ac:dyDescent="0.3">
      <c r="A91" s="179" t="str">
        <f>'ESS Jul 2020'!K68</f>
        <v>Future X Power</v>
      </c>
      <c r="B91" s="180">
        <f>'ESS Jul 2020'!G68</f>
        <v>42494</v>
      </c>
      <c r="C91" s="181">
        <f>91*'ESS Jul 2020'!M68/100</f>
        <v>107.24763636363633</v>
      </c>
      <c r="D91" s="181">
        <f>($C$67*$C$68)*'ESS Jul 2020'!N68/100</f>
        <v>111.40363636363634</v>
      </c>
      <c r="E91" s="181">
        <v>0</v>
      </c>
      <c r="F91" s="181">
        <f>($C$67*$C$69)*'ESS Jul 2020'!AH68/100</f>
        <v>230.64545454545453</v>
      </c>
      <c r="G91" s="181">
        <f>($C$67*$C$70)*'ESS Jul 2020'!W68/100</f>
        <v>110.89636363636362</v>
      </c>
      <c r="H91" s="183">
        <f t="shared" si="12"/>
        <v>560.19309090909087</v>
      </c>
      <c r="I91" s="202">
        <f t="shared" si="13"/>
        <v>2464.8496</v>
      </c>
    </row>
    <row r="92" spans="1:9" s="266" customFormat="1" x14ac:dyDescent="0.3">
      <c r="A92" s="179" t="str">
        <f>'ESS Jul 2020'!K69</f>
        <v>Nectr</v>
      </c>
      <c r="B92" s="180">
        <f>'ESS Jul 2020'!G69</f>
        <v>42551</v>
      </c>
      <c r="C92" s="181">
        <f>91*'ESS Jul 2020'!M69/100</f>
        <v>132.22300000000001</v>
      </c>
      <c r="D92" s="181">
        <f>($C$67*$C$68)*'ESS Jul 2020'!N69/100</f>
        <v>120.96</v>
      </c>
      <c r="E92" s="181">
        <v>0</v>
      </c>
      <c r="F92" s="181">
        <f>($C$67*$C$69)*'ESS Jul 2020'!AH69/100</f>
        <v>293.39999999999998</v>
      </c>
      <c r="G92" s="181">
        <f>($C$67*$C$70)*'ESS Jul 2020'!W69/100</f>
        <v>97.739999999999981</v>
      </c>
      <c r="H92" s="183">
        <f t="shared" si="12"/>
        <v>644.32299999999998</v>
      </c>
      <c r="I92" s="202">
        <f t="shared" si="13"/>
        <v>2835.0212000000001</v>
      </c>
    </row>
    <row r="93" spans="1:9" s="266" customFormat="1" x14ac:dyDescent="0.3">
      <c r="A93" s="179" t="str">
        <f>'ESS Jul 2020'!K70</f>
        <v>People Energy</v>
      </c>
      <c r="B93" s="180">
        <f>'ESS Jul 2020'!G70</f>
        <v>42551</v>
      </c>
      <c r="C93" s="181">
        <f>91*'ESS Jul 2020'!M70/100</f>
        <v>137.89809090909091</v>
      </c>
      <c r="D93" s="181">
        <f>($C$67*$C$68)*'ESS Jul 2020'!N70/100</f>
        <v>144.26181818181817</v>
      </c>
      <c r="E93" s="181">
        <v>0</v>
      </c>
      <c r="F93" s="181">
        <f>($C$67*$C$69)*'ESS Jul 2020'!AH70/100</f>
        <v>220.41818181818181</v>
      </c>
      <c r="G93" s="181">
        <f>($C$67*$C$70)*'ESS Jul 2020'!W70/100</f>
        <v>108.14727272727272</v>
      </c>
      <c r="H93" s="183">
        <f t="shared" si="12"/>
        <v>610.72536363636357</v>
      </c>
      <c r="I93" s="202">
        <f t="shared" si="13"/>
        <v>2687.1916000000001</v>
      </c>
    </row>
    <row r="94" spans="1:9" ht="14" thickBot="1" x14ac:dyDescent="0.35">
      <c r="A94" s="258" t="str">
        <f>'ESS Jul 2020'!K71</f>
        <v>Elysian Energy</v>
      </c>
      <c r="B94" s="185">
        <f>'ESS Jul 2020'!G71</f>
        <v>42551</v>
      </c>
      <c r="C94" s="186">
        <f>91*'ESS Jul 2020'!M71/100</f>
        <v>147.65990909090908</v>
      </c>
      <c r="D94" s="186">
        <f>($C$67*$C$68)*'ESS Jul 2020'!N71/100</f>
        <v>100.93090909090908</v>
      </c>
      <c r="E94" s="187">
        <v>0</v>
      </c>
      <c r="F94" s="186">
        <f>($C$67*$C$69)*'ESS Jul 2020'!AH71/100</f>
        <v>227.69999999999996</v>
      </c>
      <c r="G94" s="186">
        <f>($C$67*$C$70)*'ESS Jul 2020'!W71/100</f>
        <v>89.198181818181823</v>
      </c>
      <c r="H94" s="188">
        <f t="shared" si="12"/>
        <v>565.48900000000003</v>
      </c>
      <c r="I94" s="203">
        <f t="shared" si="13"/>
        <v>2488.1516000000001</v>
      </c>
    </row>
  </sheetData>
  <sheetProtection algorithmName="SHA-512" hashValue="CCNPnoMJQDbuT4aRzoJBQEWIKzaLrZ/iElLjy1glMf4GU10dBqbAE3d3cEZ61iWnMGUSxBwauxd1vmRnKiFvqQ==" saltValue="hCKqMysbo3ImGogAWPTKRg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F114B-98A5-E049-BE1A-40BD88C0A4DF}">
  <sheetPr codeName="Sheet3"/>
  <dimension ref="A1:I103"/>
  <sheetViews>
    <sheetView zoomScaleNormal="100" workbookViewId="0">
      <selection activeCell="L40" sqref="L40"/>
    </sheetView>
  </sheetViews>
  <sheetFormatPr defaultColWidth="10.84375" defaultRowHeight="13.5" x14ac:dyDescent="0.3"/>
  <cols>
    <col min="1" max="1" width="20.3046875" style="263" customWidth="1"/>
    <col min="2" max="2" width="12" style="263" customWidth="1"/>
    <col min="3" max="9" width="12.15234375" style="263" customWidth="1"/>
    <col min="10" max="16384" width="10.84375" style="263"/>
  </cols>
  <sheetData>
    <row r="1" spans="1:9" s="262" customFormat="1" ht="14" x14ac:dyDescent="0.3">
      <c r="A1" s="262" t="s">
        <v>76</v>
      </c>
    </row>
    <row r="2" spans="1:9" s="262" customFormat="1" ht="14" x14ac:dyDescent="0.3">
      <c r="A2" s="264" t="s">
        <v>99</v>
      </c>
    </row>
    <row r="3" spans="1:9" s="262" customFormat="1" ht="14.5" thickBot="1" x14ac:dyDescent="0.35">
      <c r="F3" s="265"/>
    </row>
    <row r="4" spans="1:9" s="262" customFormat="1" ht="14" x14ac:dyDescent="0.3">
      <c r="A4" s="176" t="s">
        <v>78</v>
      </c>
      <c r="B4" s="91"/>
      <c r="C4" s="91"/>
      <c r="D4" s="91"/>
      <c r="E4" s="91"/>
      <c r="F4" s="91"/>
      <c r="G4" s="91"/>
      <c r="H4" s="91"/>
      <c r="I4" s="177"/>
    </row>
    <row r="5" spans="1:9" s="262" customFormat="1" ht="14" x14ac:dyDescent="0.3">
      <c r="A5" s="92" t="s">
        <v>79</v>
      </c>
      <c r="B5" s="93"/>
      <c r="C5" s="168">
        <v>1500</v>
      </c>
      <c r="D5" s="93"/>
      <c r="E5" s="93"/>
      <c r="F5" s="93"/>
      <c r="G5" s="93"/>
      <c r="H5" s="93"/>
      <c r="I5" s="178"/>
    </row>
    <row r="6" spans="1:9" s="262" customFormat="1" ht="14" x14ac:dyDescent="0.3">
      <c r="A6" s="92"/>
      <c r="B6" s="93"/>
      <c r="C6" s="93"/>
      <c r="D6" s="93"/>
      <c r="E6" s="93"/>
      <c r="F6" s="93"/>
      <c r="G6" s="93"/>
      <c r="H6" s="93"/>
      <c r="I6" s="178"/>
    </row>
    <row r="7" spans="1:9" s="262" customFormat="1" ht="28" x14ac:dyDescent="0.3">
      <c r="A7" s="301" t="s">
        <v>80</v>
      </c>
      <c r="B7" s="298" t="s">
        <v>81</v>
      </c>
      <c r="C7" s="298" t="s">
        <v>82</v>
      </c>
      <c r="D7" s="298" t="s">
        <v>83</v>
      </c>
      <c r="E7" s="298" t="s">
        <v>84</v>
      </c>
      <c r="F7" s="298" t="s">
        <v>100</v>
      </c>
      <c r="G7" s="298" t="s">
        <v>86</v>
      </c>
      <c r="H7" s="298" t="s">
        <v>87</v>
      </c>
      <c r="I7" s="300" t="s">
        <v>88</v>
      </c>
    </row>
    <row r="8" spans="1:9" x14ac:dyDescent="0.3">
      <c r="A8" s="179" t="str">
        <f>'AG Jul 2020'!K2</f>
        <v>AGL</v>
      </c>
      <c r="B8" s="180">
        <f>'AG Jul 2020'!G2</f>
        <v>42551</v>
      </c>
      <c r="C8" s="181">
        <f>91*'AG Jul 2020'!M2/100</f>
        <v>75.430727272727268</v>
      </c>
      <c r="D8" s="181">
        <f>$C$5*'AG Jul 2020'!N2/100</f>
        <v>394.77272727272725</v>
      </c>
      <c r="E8" s="181">
        <v>0</v>
      </c>
      <c r="F8" s="181">
        <v>0</v>
      </c>
      <c r="G8" s="181">
        <v>0</v>
      </c>
      <c r="H8" s="183">
        <f t="shared" ref="H8:H25" si="0">SUM(C8:G8)</f>
        <v>470.20345454545452</v>
      </c>
      <c r="I8" s="202">
        <f t="shared" ref="I8:I25" si="1">(H8*4)*1.1</f>
        <v>2068.8951999999999</v>
      </c>
    </row>
    <row r="9" spans="1:9" x14ac:dyDescent="0.3">
      <c r="A9" s="179" t="str">
        <f>'AG Jul 2020'!K3</f>
        <v>Alinta Energy</v>
      </c>
      <c r="B9" s="180">
        <f>'AG Jul 2020'!G3</f>
        <v>42551</v>
      </c>
      <c r="C9" s="181">
        <f>91*'AG Jul 2020'!M3/100</f>
        <v>75.347999999999999</v>
      </c>
      <c r="D9" s="181">
        <f>$C$5*'AG Jul 2020'!N3/100</f>
        <v>394.95</v>
      </c>
      <c r="E9" s="181">
        <v>0</v>
      </c>
      <c r="F9" s="181">
        <v>0</v>
      </c>
      <c r="G9" s="181">
        <v>0</v>
      </c>
      <c r="H9" s="183">
        <f t="shared" si="0"/>
        <v>470.298</v>
      </c>
      <c r="I9" s="202">
        <f t="shared" si="1"/>
        <v>2069.3112000000001</v>
      </c>
    </row>
    <row r="10" spans="1:9" x14ac:dyDescent="0.3">
      <c r="A10" s="179" t="str">
        <f>'AG Jul 2020'!K4</f>
        <v>Click Energy</v>
      </c>
      <c r="B10" s="180">
        <f>'AG Jul 2020'!G4</f>
        <v>42551</v>
      </c>
      <c r="C10" s="181">
        <f>91*'AG Jul 2020'!M4/100</f>
        <v>81.899999999999991</v>
      </c>
      <c r="D10" s="181">
        <f>$C$5*'AG Jul 2020'!N4/100</f>
        <v>384.81818181818176</v>
      </c>
      <c r="E10" s="181">
        <v>0</v>
      </c>
      <c r="F10" s="181">
        <v>0</v>
      </c>
      <c r="G10" s="181">
        <v>0</v>
      </c>
      <c r="H10" s="183">
        <f t="shared" si="0"/>
        <v>466.71818181818173</v>
      </c>
      <c r="I10" s="202">
        <f t="shared" si="1"/>
        <v>2053.56</v>
      </c>
    </row>
    <row r="11" spans="1:9" x14ac:dyDescent="0.3">
      <c r="A11" s="179" t="str">
        <f>'AG Jul 2020'!K5</f>
        <v>Commander</v>
      </c>
      <c r="B11" s="180">
        <f>'AG Jul 2020'!G5</f>
        <v>42551</v>
      </c>
      <c r="C11" s="181">
        <f>91*'AG Jul 2020'!M5/100</f>
        <v>80.741818181818175</v>
      </c>
      <c r="D11" s="181">
        <f>$C$5*'AG Jul 2020'!N5/100</f>
        <v>386.0454545454545</v>
      </c>
      <c r="E11" s="181">
        <v>0</v>
      </c>
      <c r="F11" s="181">
        <v>0</v>
      </c>
      <c r="G11" s="181">
        <v>0</v>
      </c>
      <c r="H11" s="183">
        <f t="shared" si="0"/>
        <v>466.78727272727269</v>
      </c>
      <c r="I11" s="202">
        <f t="shared" si="1"/>
        <v>2053.864</v>
      </c>
    </row>
    <row r="12" spans="1:9" x14ac:dyDescent="0.3">
      <c r="A12" s="179" t="str">
        <f>'AG Jul 2020'!K6</f>
        <v>CovaU</v>
      </c>
      <c r="B12" s="180">
        <f>'AG Jul 2020'!G6</f>
        <v>42551</v>
      </c>
      <c r="C12" s="181">
        <f>91*'AG Jul 2020'!M6/100</f>
        <v>80.989999999999995</v>
      </c>
      <c r="D12" s="181">
        <f>$C$5*'AG Jul 2020'!N6/100</f>
        <v>374.99999999999994</v>
      </c>
      <c r="E12" s="181">
        <v>0</v>
      </c>
      <c r="F12" s="181">
        <v>0</v>
      </c>
      <c r="G12" s="181">
        <v>0</v>
      </c>
      <c r="H12" s="183">
        <f t="shared" si="0"/>
        <v>455.98999999999995</v>
      </c>
      <c r="I12" s="202">
        <f t="shared" si="1"/>
        <v>2006.356</v>
      </c>
    </row>
    <row r="13" spans="1:9" x14ac:dyDescent="0.3">
      <c r="A13" s="179" t="str">
        <f>'AG Jul 2020'!K7</f>
        <v>Diamond Energy</v>
      </c>
      <c r="B13" s="180">
        <f>'AG Jul 2020'!G7</f>
        <v>42551</v>
      </c>
      <c r="C13" s="181">
        <f>91*'AG Jul 2020'!M7/100</f>
        <v>71.89</v>
      </c>
      <c r="D13" s="181">
        <f>$C$5*'AG Jul 2020'!N7/100</f>
        <v>399.81818181818176</v>
      </c>
      <c r="E13" s="181">
        <v>0</v>
      </c>
      <c r="F13" s="181">
        <v>0</v>
      </c>
      <c r="G13" s="181">
        <v>0</v>
      </c>
      <c r="H13" s="183">
        <f t="shared" si="0"/>
        <v>471.70818181818174</v>
      </c>
      <c r="I13" s="202">
        <f t="shared" si="1"/>
        <v>2075.5159999999996</v>
      </c>
    </row>
    <row r="14" spans="1:9" x14ac:dyDescent="0.3">
      <c r="A14" s="179" t="str">
        <f>'AG Jul 2020'!K8</f>
        <v>Dodo Power &amp; Gas</v>
      </c>
      <c r="B14" s="180">
        <f>'AG Jul 2020'!G8</f>
        <v>42551</v>
      </c>
      <c r="C14" s="181">
        <f>91*'AG Jul 2020'!M8/100</f>
        <v>80.741818181818175</v>
      </c>
      <c r="D14" s="181">
        <f>$C$5*'AG Jul 2020'!N8/100</f>
        <v>386.0454545454545</v>
      </c>
      <c r="E14" s="181">
        <v>0</v>
      </c>
      <c r="F14" s="181">
        <v>0</v>
      </c>
      <c r="G14" s="181">
        <v>0</v>
      </c>
      <c r="H14" s="183">
        <f t="shared" si="0"/>
        <v>466.78727272727269</v>
      </c>
      <c r="I14" s="202">
        <f t="shared" si="1"/>
        <v>2053.864</v>
      </c>
    </row>
    <row r="15" spans="1:9" x14ac:dyDescent="0.3">
      <c r="A15" s="179" t="str">
        <f>'AG Jul 2020'!K9</f>
        <v>EnergyAustralia</v>
      </c>
      <c r="B15" s="180">
        <f>'AG Jul 2020'!G9</f>
        <v>42551</v>
      </c>
      <c r="C15" s="181">
        <f>91*'AG Jul 2020'!M9/100</f>
        <v>70.069999999999993</v>
      </c>
      <c r="D15" s="181">
        <f>$C$5*'AG Jul 2020'!N9/100</f>
        <v>403.09090909090907</v>
      </c>
      <c r="E15" s="181">
        <v>0</v>
      </c>
      <c r="F15" s="181">
        <v>0</v>
      </c>
      <c r="G15" s="181">
        <v>0</v>
      </c>
      <c r="H15" s="183">
        <f t="shared" si="0"/>
        <v>473.16090909090906</v>
      </c>
      <c r="I15" s="202">
        <f t="shared" si="1"/>
        <v>2081.9079999999999</v>
      </c>
    </row>
    <row r="16" spans="1:9" x14ac:dyDescent="0.3">
      <c r="A16" s="179" t="str">
        <f>'AG Jul 2020'!K10</f>
        <v>Mojo Power</v>
      </c>
      <c r="B16" s="180">
        <f>'AG Jul 2020'!G10</f>
        <v>42553</v>
      </c>
      <c r="C16" s="181">
        <f>91*'AG Jul 2020'!M10/100</f>
        <v>85.879181818181806</v>
      </c>
      <c r="D16" s="181">
        <f>$C$5*'AG Jul 2020'!N10/100</f>
        <v>378.5454545454545</v>
      </c>
      <c r="E16" s="181">
        <v>0</v>
      </c>
      <c r="F16" s="181">
        <v>0</v>
      </c>
      <c r="G16" s="181">
        <v>0</v>
      </c>
      <c r="H16" s="183">
        <f t="shared" si="0"/>
        <v>464.4246363636363</v>
      </c>
      <c r="I16" s="202">
        <f t="shared" si="1"/>
        <v>2043.4684</v>
      </c>
    </row>
    <row r="17" spans="1:9" x14ac:dyDescent="0.3">
      <c r="A17" s="179" t="str">
        <f>'AG Jul 2020'!K11</f>
        <v>Momentum Energy</v>
      </c>
      <c r="B17" s="180">
        <f>'AG Jul 2020'!G11</f>
        <v>42551</v>
      </c>
      <c r="C17" s="181">
        <f>91*'AG Jul 2020'!M11/100</f>
        <v>80.088272727272724</v>
      </c>
      <c r="D17" s="181">
        <f>$C$5*'AG Jul 2020'!N11/100</f>
        <v>387.54545454545456</v>
      </c>
      <c r="E17" s="181">
        <v>0</v>
      </c>
      <c r="F17" s="181">
        <v>0</v>
      </c>
      <c r="G17" s="181">
        <v>0</v>
      </c>
      <c r="H17" s="183">
        <f t="shared" si="0"/>
        <v>467.6337272727273</v>
      </c>
      <c r="I17" s="202">
        <f t="shared" si="1"/>
        <v>2057.5884000000001</v>
      </c>
    </row>
    <row r="18" spans="1:9" x14ac:dyDescent="0.3">
      <c r="A18" s="179" t="str">
        <f>'AG Jul 2020'!K12</f>
        <v>Origin Energy</v>
      </c>
      <c r="B18" s="180">
        <f>'AG Jul 2020'!G12</f>
        <v>42551</v>
      </c>
      <c r="C18" s="181">
        <f>91*'AG Jul 2020'!M12/100</f>
        <v>71.22818181818181</v>
      </c>
      <c r="D18" s="181">
        <f>$C$5*'AG Jul 2020'!N12/100</f>
        <v>401.31818181818176</v>
      </c>
      <c r="E18" s="181">
        <v>0</v>
      </c>
      <c r="F18" s="181">
        <v>0</v>
      </c>
      <c r="G18" s="181">
        <v>0</v>
      </c>
      <c r="H18" s="183">
        <f t="shared" si="0"/>
        <v>472.54636363636359</v>
      </c>
      <c r="I18" s="202">
        <f t="shared" si="1"/>
        <v>2079.2040000000002</v>
      </c>
    </row>
    <row r="19" spans="1:9" x14ac:dyDescent="0.3">
      <c r="A19" s="179" t="str">
        <f>'AG Jul 2020'!K13</f>
        <v>Powerdirect</v>
      </c>
      <c r="B19" s="180">
        <f>'AG Jul 2020'!G13</f>
        <v>42551</v>
      </c>
      <c r="C19" s="181">
        <f>91*'AG Jul 2020'!M13/100</f>
        <v>75.429900000000004</v>
      </c>
      <c r="D19" s="181">
        <f>$C$5*'AG Jul 2020'!N13/100</f>
        <v>394.8</v>
      </c>
      <c r="E19" s="181">
        <v>0</v>
      </c>
      <c r="F19" s="181">
        <v>0</v>
      </c>
      <c r="G19" s="181">
        <v>0</v>
      </c>
      <c r="H19" s="183">
        <f t="shared" si="0"/>
        <v>470.22990000000004</v>
      </c>
      <c r="I19" s="202">
        <f t="shared" si="1"/>
        <v>2069.0115600000004</v>
      </c>
    </row>
    <row r="20" spans="1:9" x14ac:dyDescent="0.3">
      <c r="A20" s="179" t="str">
        <f>'AG Jul 2020'!K14</f>
        <v>Powershop</v>
      </c>
      <c r="B20" s="180">
        <f>'AG Jul 2020'!G14</f>
        <v>42551</v>
      </c>
      <c r="C20" s="181">
        <f>91*'AG Jul 2020'!M14/100</f>
        <v>89.841818181818184</v>
      </c>
      <c r="D20" s="181">
        <f>$C$5*'AG Jul 2020'!N14/100</f>
        <v>359.45454545454544</v>
      </c>
      <c r="E20" s="181">
        <v>0</v>
      </c>
      <c r="F20" s="181">
        <v>0</v>
      </c>
      <c r="G20" s="181">
        <v>0</v>
      </c>
      <c r="H20" s="183">
        <f t="shared" si="0"/>
        <v>449.29636363636359</v>
      </c>
      <c r="I20" s="202">
        <f t="shared" si="1"/>
        <v>1976.904</v>
      </c>
    </row>
    <row r="21" spans="1:9" x14ac:dyDescent="0.3">
      <c r="A21" s="179" t="str">
        <f>'AG Jul 2020'!K15</f>
        <v>Red Energy</v>
      </c>
      <c r="B21" s="180">
        <f>'AG Jul 2020'!G15</f>
        <v>42551</v>
      </c>
      <c r="C21" s="181">
        <f>91*'AG Jul 2020'!M15/100</f>
        <v>83.992999999999995</v>
      </c>
      <c r="D21" s="181">
        <f>$C$5*'AG Jul 2020'!N15/100</f>
        <v>381</v>
      </c>
      <c r="E21" s="181">
        <v>0</v>
      </c>
      <c r="F21" s="181">
        <v>0</v>
      </c>
      <c r="G21" s="181">
        <v>0</v>
      </c>
      <c r="H21" s="183">
        <f t="shared" si="0"/>
        <v>464.99299999999999</v>
      </c>
      <c r="I21" s="202">
        <f t="shared" si="1"/>
        <v>2045.9692000000002</v>
      </c>
    </row>
    <row r="22" spans="1:9" x14ac:dyDescent="0.3">
      <c r="A22" s="179" t="str">
        <f>'AG Jul 2020'!K16</f>
        <v>Simply Energy</v>
      </c>
      <c r="B22" s="180">
        <f>'AG Jul 2020'!G16</f>
        <v>42551</v>
      </c>
      <c r="C22" s="181">
        <f>91*'AG Jul 2020'!M16/100</f>
        <v>77.440999999999988</v>
      </c>
      <c r="D22" s="181">
        <f>$C$5*'AG Jul 2020'!N16/100</f>
        <v>390.13636363636363</v>
      </c>
      <c r="E22" s="181">
        <v>0</v>
      </c>
      <c r="F22" s="181">
        <v>0</v>
      </c>
      <c r="G22" s="181">
        <v>0</v>
      </c>
      <c r="H22" s="183">
        <f t="shared" si="0"/>
        <v>467.5773636363636</v>
      </c>
      <c r="I22" s="202">
        <f t="shared" si="1"/>
        <v>2057.3404</v>
      </c>
    </row>
    <row r="23" spans="1:9" x14ac:dyDescent="0.3">
      <c r="A23" s="179" t="str">
        <f>'AG Jul 2020'!K17</f>
        <v>1st Energy</v>
      </c>
      <c r="B23" s="180">
        <f>'AG Jul 2020'!G17</f>
        <v>42551</v>
      </c>
      <c r="C23" s="181">
        <f>91*'AG Jul 2020'!M17/100</f>
        <v>90.999999999999986</v>
      </c>
      <c r="D23" s="181">
        <f>IF($C$5&gt;='AG Jul 2020'!P17,('AG Jul 2020'!P17*'AG Jul 2020'!N17/100),($C$5*'AG Jul 2020'!N17/100))</f>
        <v>333.45</v>
      </c>
      <c r="E23" s="181">
        <v>0</v>
      </c>
      <c r="F23" s="181">
        <v>0</v>
      </c>
      <c r="G23" s="181">
        <f>IF(($C$5&lt;'AG Jul 2020'!R17),(0),($C$5-'AG Jul 2020'!R17)*'AG Jul 2020'!S17/100)</f>
        <v>42</v>
      </c>
      <c r="H23" s="183">
        <f t="shared" si="0"/>
        <v>466.45</v>
      </c>
      <c r="I23" s="202">
        <f t="shared" si="1"/>
        <v>2052.38</v>
      </c>
    </row>
    <row r="24" spans="1:9" x14ac:dyDescent="0.3">
      <c r="A24" s="179" t="str">
        <f>'AG Jul 2020'!K18</f>
        <v>Amaysim</v>
      </c>
      <c r="B24" s="180">
        <f>'AG Jul 2020'!G18</f>
        <v>42551</v>
      </c>
      <c r="C24" s="181">
        <f>91*'AG Jul 2020'!M18/100</f>
        <v>81.899999999999991</v>
      </c>
      <c r="D24" s="181">
        <f>$C$5*'AG Jul 2020'!N18/100</f>
        <v>384.81818181818176</v>
      </c>
      <c r="E24" s="181">
        <v>0</v>
      </c>
      <c r="F24" s="181">
        <v>0</v>
      </c>
      <c r="G24" s="181">
        <v>0</v>
      </c>
      <c r="H24" s="183">
        <f t="shared" si="0"/>
        <v>466.71818181818173</v>
      </c>
      <c r="I24" s="202">
        <f t="shared" si="1"/>
        <v>2053.56</v>
      </c>
    </row>
    <row r="25" spans="1:9" x14ac:dyDescent="0.3">
      <c r="A25" s="251" t="str">
        <f>'AG Jul 2020'!K19</f>
        <v>ReAmped Energy</v>
      </c>
      <c r="B25" s="180">
        <f>'AG Jul 2020'!G19</f>
        <v>42551</v>
      </c>
      <c r="C25" s="181">
        <f>91*'AG Jul 2020'!M19/100</f>
        <v>105.46072727272727</v>
      </c>
      <c r="D25" s="181">
        <f>$C$5*'AG Jul 2020'!N19/100</f>
        <v>345</v>
      </c>
      <c r="E25" s="181">
        <v>0</v>
      </c>
      <c r="F25" s="181">
        <v>0</v>
      </c>
      <c r="G25" s="181">
        <v>0</v>
      </c>
      <c r="H25" s="183">
        <f t="shared" si="0"/>
        <v>450.46072727272724</v>
      </c>
      <c r="I25" s="202">
        <f t="shared" si="1"/>
        <v>1982.0272</v>
      </c>
    </row>
    <row r="26" spans="1:9" x14ac:dyDescent="0.3">
      <c r="A26" s="251" t="str">
        <f>'AG Jul 2020'!K20</f>
        <v>Powerclub</v>
      </c>
      <c r="B26" s="180">
        <f>'AG Jul 2020'!G20</f>
        <v>42552</v>
      </c>
      <c r="C26" s="181">
        <f>91*'AG Jul 2020'!M20/100</f>
        <v>90.453999999999994</v>
      </c>
      <c r="D26" s="181">
        <f>$C$5*'AG Jul 2020'!N20/100</f>
        <v>371.59090909090907</v>
      </c>
      <c r="E26" s="181">
        <v>0</v>
      </c>
      <c r="F26" s="181">
        <v>0</v>
      </c>
      <c r="G26" s="181">
        <v>0</v>
      </c>
      <c r="H26" s="183">
        <f t="shared" ref="H26:H34" si="2">SUM(C26:G26)</f>
        <v>462.04490909090907</v>
      </c>
      <c r="I26" s="202">
        <f t="shared" ref="I26:I34" si="3">(H26*4)*1.1</f>
        <v>2032.9976000000001</v>
      </c>
    </row>
    <row r="27" spans="1:9" x14ac:dyDescent="0.3">
      <c r="A27" s="251" t="str">
        <f>'AG Jul 2020'!K21</f>
        <v>Enova Energy</v>
      </c>
      <c r="B27" s="180">
        <f>'AG Jul 2020'!G21</f>
        <v>42551</v>
      </c>
      <c r="C27" s="181">
        <f>91*'AG Jul 2020'!M21/100</f>
        <v>77.349999999999994</v>
      </c>
      <c r="D27" s="181">
        <f>$C$5*'AG Jul 2020'!N21/100</f>
        <v>363</v>
      </c>
      <c r="E27" s="181">
        <v>0</v>
      </c>
      <c r="F27" s="181">
        <v>0</v>
      </c>
      <c r="G27" s="181">
        <v>0</v>
      </c>
      <c r="H27" s="183">
        <f t="shared" si="2"/>
        <v>440.35</v>
      </c>
      <c r="I27" s="202">
        <f t="shared" si="3"/>
        <v>1937.5400000000002</v>
      </c>
    </row>
    <row r="28" spans="1:9" x14ac:dyDescent="0.3">
      <c r="A28" s="251" t="str">
        <f>'AG Jul 2020'!K22</f>
        <v>Discover Energy</v>
      </c>
      <c r="B28" s="180">
        <f>'AG Jul 2020'!G22</f>
        <v>42551</v>
      </c>
      <c r="C28" s="181">
        <f>91*'AG Jul 2020'!M22/100</f>
        <v>70.525000000000006</v>
      </c>
      <c r="D28" s="181">
        <f>$C$5*'AG Jul 2020'!N22/100</f>
        <v>401.99999999999994</v>
      </c>
      <c r="E28" s="181">
        <v>0</v>
      </c>
      <c r="F28" s="181">
        <v>0</v>
      </c>
      <c r="G28" s="181">
        <v>0</v>
      </c>
      <c r="H28" s="183">
        <f t="shared" si="2"/>
        <v>472.52499999999998</v>
      </c>
      <c r="I28" s="202">
        <f t="shared" si="3"/>
        <v>2079.11</v>
      </c>
    </row>
    <row r="29" spans="1:9" x14ac:dyDescent="0.3">
      <c r="A29" s="251" t="str">
        <f>'AG Jul 2020'!K23</f>
        <v>Future X Power</v>
      </c>
      <c r="B29" s="180">
        <f>'AG Jul 2020'!G23</f>
        <v>42494</v>
      </c>
      <c r="C29" s="181">
        <f>91*'AG Jul 2020'!M23/100</f>
        <v>76.622</v>
      </c>
      <c r="D29" s="181">
        <f>$C$5*'AG Jul 2020'!N23/100</f>
        <v>394.63636363636363</v>
      </c>
      <c r="E29" s="181">
        <v>0</v>
      </c>
      <c r="F29" s="181">
        <v>0</v>
      </c>
      <c r="G29" s="181">
        <v>0</v>
      </c>
      <c r="H29" s="183">
        <f t="shared" si="2"/>
        <v>471.25836363636364</v>
      </c>
      <c r="I29" s="202">
        <f t="shared" si="3"/>
        <v>2073.5368000000003</v>
      </c>
    </row>
    <row r="30" spans="1:9" x14ac:dyDescent="0.3">
      <c r="A30" s="251" t="str">
        <f>'AG Jul 2020'!K24</f>
        <v>Nectr</v>
      </c>
      <c r="B30" s="180">
        <f>'AG Jul 2020'!G24</f>
        <v>42551</v>
      </c>
      <c r="C30" s="181">
        <f>91*'AG Jul 2020'!M24/100</f>
        <v>72.526999999999987</v>
      </c>
      <c r="D30" s="181">
        <f>$C$5*'AG Jul 2020'!N24/100</f>
        <v>399</v>
      </c>
      <c r="E30" s="181">
        <v>0</v>
      </c>
      <c r="F30" s="181">
        <v>0</v>
      </c>
      <c r="G30" s="181">
        <v>0</v>
      </c>
      <c r="H30" s="183">
        <f t="shared" si="2"/>
        <v>471.52699999999999</v>
      </c>
      <c r="I30" s="202">
        <f t="shared" si="3"/>
        <v>2074.7188000000001</v>
      </c>
    </row>
    <row r="31" spans="1:9" x14ac:dyDescent="0.3">
      <c r="A31" s="251" t="str">
        <f>'AG Jul 2020'!K25</f>
        <v>People Energy</v>
      </c>
      <c r="B31" s="180">
        <f>'AG Jul 2020'!G25</f>
        <v>42551</v>
      </c>
      <c r="C31" s="181">
        <f>91*'AG Jul 2020'!M25/100</f>
        <v>85.879181818181806</v>
      </c>
      <c r="D31" s="181">
        <f>$C$5*'AG Jul 2020'!N25/100</f>
        <v>378.5454545454545</v>
      </c>
      <c r="E31" s="181">
        <v>0</v>
      </c>
      <c r="F31" s="181">
        <v>0</v>
      </c>
      <c r="G31" s="181">
        <v>0</v>
      </c>
      <c r="H31" s="183">
        <f t="shared" si="2"/>
        <v>464.4246363636363</v>
      </c>
      <c r="I31" s="202">
        <f t="shared" si="3"/>
        <v>2043.4684</v>
      </c>
    </row>
    <row r="32" spans="1:9" x14ac:dyDescent="0.3">
      <c r="A32" s="251" t="str">
        <f>'AG Jul 2020'!K26</f>
        <v>Elysian Energy</v>
      </c>
      <c r="B32" s="180">
        <f>'AG Jul 2020'!G26</f>
        <v>42551</v>
      </c>
      <c r="C32" s="181">
        <f>91*'AG Jul 2020'!M26/100</f>
        <v>86.259727272727275</v>
      </c>
      <c r="D32" s="181">
        <f>$C$5*'AG Jul 2020'!N26/100</f>
        <v>314.59090909090907</v>
      </c>
      <c r="E32" s="181">
        <v>0</v>
      </c>
      <c r="F32" s="181">
        <v>0</v>
      </c>
      <c r="G32" s="181">
        <v>0</v>
      </c>
      <c r="H32" s="183">
        <f t="shared" si="2"/>
        <v>400.85063636363634</v>
      </c>
      <c r="I32" s="202">
        <f t="shared" si="3"/>
        <v>1763.7428</v>
      </c>
    </row>
    <row r="33" spans="1:9" x14ac:dyDescent="0.3">
      <c r="A33" s="251" t="str">
        <f>'AG Jul 2020'!K27</f>
        <v>OVO Energy</v>
      </c>
      <c r="B33" s="180">
        <f>'AG Jul 2020'!G27</f>
        <v>42551</v>
      </c>
      <c r="C33" s="181">
        <f>91*'AG Jul 2020'!M27/100</f>
        <v>78.698454545454538</v>
      </c>
      <c r="D33" s="181">
        <f>$C$5*'AG Jul 2020'!N27/100</f>
        <v>359.72727272727275</v>
      </c>
      <c r="E33" s="181">
        <v>0</v>
      </c>
      <c r="F33" s="181">
        <v>0</v>
      </c>
      <c r="G33" s="181">
        <v>0</v>
      </c>
      <c r="H33" s="183">
        <f t="shared" si="2"/>
        <v>438.42572727272727</v>
      </c>
      <c r="I33" s="202">
        <f t="shared" si="3"/>
        <v>1929.0732</v>
      </c>
    </row>
    <row r="34" spans="1:9" x14ac:dyDescent="0.3">
      <c r="A34" s="251" t="str">
        <f>'AG Jul 2020'!K28</f>
        <v>Sumo Power</v>
      </c>
      <c r="B34" s="180">
        <f>'AG Jul 2020'!G28</f>
        <v>42551</v>
      </c>
      <c r="C34" s="181">
        <f>91*'AG Jul 2020'!M28/100</f>
        <v>90.999999999999986</v>
      </c>
      <c r="D34" s="181">
        <f>$C$5*'AG Jul 2020'!N28/100</f>
        <v>370.5</v>
      </c>
      <c r="E34" s="181">
        <v>0</v>
      </c>
      <c r="F34" s="181">
        <v>0</v>
      </c>
      <c r="G34" s="181">
        <v>0</v>
      </c>
      <c r="H34" s="183">
        <f t="shared" si="2"/>
        <v>461.5</v>
      </c>
      <c r="I34" s="202">
        <f t="shared" si="3"/>
        <v>2030.6000000000001</v>
      </c>
    </row>
    <row r="35" spans="1:9" ht="14" thickBot="1" x14ac:dyDescent="0.35">
      <c r="A35" s="184" t="str">
        <f>'AG Jul 2020'!K29</f>
        <v>Tango Energy</v>
      </c>
      <c r="B35" s="185">
        <f>'AG Jul 2020'!G29</f>
        <v>42551</v>
      </c>
      <c r="C35" s="186">
        <f>91*'AG Jul 2020'!M29/100</f>
        <v>77.531999999999982</v>
      </c>
      <c r="D35" s="186">
        <f>$C$5*'AG Jul 2020'!N29/100</f>
        <v>391.5</v>
      </c>
      <c r="E35" s="186">
        <v>0</v>
      </c>
      <c r="F35" s="186">
        <v>0</v>
      </c>
      <c r="G35" s="186">
        <v>0</v>
      </c>
      <c r="H35" s="188">
        <f t="shared" ref="H35" si="4">SUM(C35:G35)</f>
        <v>469.03199999999998</v>
      </c>
      <c r="I35" s="203">
        <f t="shared" ref="I35" si="5">(H35*4)*1.1</f>
        <v>2063.7408</v>
      </c>
    </row>
    <row r="36" spans="1:9" s="266" customFormat="1" x14ac:dyDescent="0.3"/>
    <row r="37" spans="1:9" ht="14" thickBot="1" x14ac:dyDescent="0.35"/>
    <row r="38" spans="1:9" s="262" customFormat="1" ht="14" x14ac:dyDescent="0.3">
      <c r="A38" s="176" t="s">
        <v>89</v>
      </c>
      <c r="B38" s="91"/>
      <c r="C38" s="91"/>
      <c r="D38" s="91"/>
      <c r="E38" s="91"/>
      <c r="F38" s="91"/>
      <c r="G38" s="91"/>
      <c r="H38" s="91"/>
      <c r="I38" s="177"/>
    </row>
    <row r="39" spans="1:9" s="262" customFormat="1" ht="14" x14ac:dyDescent="0.3">
      <c r="A39" s="92" t="s">
        <v>79</v>
      </c>
      <c r="B39" s="93"/>
      <c r="C39" s="168">
        <v>2000</v>
      </c>
      <c r="D39" s="93"/>
      <c r="E39" s="93"/>
      <c r="F39" s="93"/>
      <c r="G39" s="93"/>
      <c r="H39" s="93"/>
      <c r="I39" s="178"/>
    </row>
    <row r="40" spans="1:9" s="262" customFormat="1" ht="14" x14ac:dyDescent="0.3">
      <c r="A40" s="92" t="s">
        <v>91</v>
      </c>
      <c r="B40" s="93"/>
      <c r="C40" s="257">
        <v>0.7</v>
      </c>
      <c r="D40" s="93"/>
      <c r="E40" s="93"/>
      <c r="F40" s="93"/>
      <c r="G40" s="93"/>
      <c r="H40" s="93"/>
      <c r="I40" s="178"/>
    </row>
    <row r="41" spans="1:9" s="262" customFormat="1" ht="14" x14ac:dyDescent="0.3">
      <c r="A41" s="92" t="s">
        <v>92</v>
      </c>
      <c r="B41" s="93"/>
      <c r="C41" s="257">
        <v>0.3</v>
      </c>
      <c r="D41" s="93"/>
      <c r="E41" s="93"/>
      <c r="F41" s="93"/>
      <c r="G41" s="93"/>
      <c r="H41" s="93"/>
      <c r="I41" s="178"/>
    </row>
    <row r="42" spans="1:9" s="262" customFormat="1" ht="14" x14ac:dyDescent="0.3">
      <c r="A42" s="92"/>
      <c r="B42" s="93"/>
      <c r="C42" s="93"/>
      <c r="D42" s="93"/>
      <c r="E42" s="93"/>
      <c r="F42" s="93"/>
      <c r="G42" s="93"/>
      <c r="H42" s="93"/>
      <c r="I42" s="178"/>
    </row>
    <row r="43" spans="1:9" s="262" customFormat="1" ht="28" x14ac:dyDescent="0.3">
      <c r="A43" s="301" t="s">
        <v>80</v>
      </c>
      <c r="B43" s="298" t="s">
        <v>81</v>
      </c>
      <c r="C43" s="298" t="s">
        <v>82</v>
      </c>
      <c r="D43" s="298" t="s">
        <v>83</v>
      </c>
      <c r="E43" s="298" t="s">
        <v>84</v>
      </c>
      <c r="F43" s="298" t="s">
        <v>86</v>
      </c>
      <c r="G43" s="298" t="s">
        <v>93</v>
      </c>
      <c r="H43" s="298" t="s">
        <v>87</v>
      </c>
      <c r="I43" s="300" t="s">
        <v>88</v>
      </c>
    </row>
    <row r="44" spans="1:9" x14ac:dyDescent="0.3">
      <c r="A44" s="179" t="str">
        <f>'AG Jul 2020'!K30</f>
        <v>AGL</v>
      </c>
      <c r="B44" s="180">
        <f>'AG Jul 2020'!G30</f>
        <v>42551</v>
      </c>
      <c r="C44" s="181">
        <f>91*'AG Jul 2020'!M30/100</f>
        <v>75.430727272727268</v>
      </c>
      <c r="D44" s="181">
        <f>($C$39*$C$40)*'AG Jul 2020'!N30/100</f>
        <v>368.45454545454544</v>
      </c>
      <c r="E44" s="181">
        <v>0</v>
      </c>
      <c r="F44" s="181">
        <v>0</v>
      </c>
      <c r="G44" s="181">
        <f>($C$39*$C$41)*'AG Jul 2020'!AE30/100</f>
        <v>81.599999999999994</v>
      </c>
      <c r="H44" s="183">
        <f t="shared" ref="H44:H60" si="6">SUM(C44:G44)</f>
        <v>525.48527272727267</v>
      </c>
      <c r="I44" s="202">
        <f t="shared" ref="I44:I60" si="7">(H44*4)*1.1</f>
        <v>2312.1352000000002</v>
      </c>
    </row>
    <row r="45" spans="1:9" x14ac:dyDescent="0.3">
      <c r="A45" s="179" t="str">
        <f>'AG Jul 2020'!K31</f>
        <v>Alinta Energy</v>
      </c>
      <c r="B45" s="180">
        <f>'AG Jul 2020'!G31</f>
        <v>42551</v>
      </c>
      <c r="C45" s="181">
        <f>91*'AG Jul 2020'!M31/100</f>
        <v>78.988</v>
      </c>
      <c r="D45" s="181">
        <f>($C$39*$C$40)*'AG Jul 2020'!N31/100</f>
        <v>368.62</v>
      </c>
      <c r="E45" s="181">
        <v>0</v>
      </c>
      <c r="F45" s="181">
        <v>0</v>
      </c>
      <c r="G45" s="181">
        <f>($C$39*$C$41)*'AG Jul 2020'!AE31/100</f>
        <v>71.999999999999986</v>
      </c>
      <c r="H45" s="183">
        <f t="shared" si="6"/>
        <v>519.60799999999995</v>
      </c>
      <c r="I45" s="202">
        <f t="shared" si="7"/>
        <v>2286.2752</v>
      </c>
    </row>
    <row r="46" spans="1:9" x14ac:dyDescent="0.3">
      <c r="A46" s="179" t="str">
        <f>'AG Jul 2020'!K32</f>
        <v>Click Energy</v>
      </c>
      <c r="B46" s="180">
        <f>'AG Jul 2020'!G32</f>
        <v>42551</v>
      </c>
      <c r="C46" s="181">
        <f>91*'AG Jul 2020'!M32/100</f>
        <v>81.899999999999991</v>
      </c>
      <c r="D46" s="181">
        <f>($C$39*$C$40)*'AG Jul 2020'!N32/100</f>
        <v>359.16363636363633</v>
      </c>
      <c r="E46" s="181">
        <v>0</v>
      </c>
      <c r="F46" s="181">
        <v>0</v>
      </c>
      <c r="G46" s="181">
        <f>($C$39*$C$41)*'AG Jul 2020'!AE32/100</f>
        <v>84.054545454545448</v>
      </c>
      <c r="H46" s="183">
        <f t="shared" si="6"/>
        <v>525.11818181818171</v>
      </c>
      <c r="I46" s="202">
        <f t="shared" si="7"/>
        <v>2310.5199999999995</v>
      </c>
    </row>
    <row r="47" spans="1:9" x14ac:dyDescent="0.3">
      <c r="A47" s="179" t="str">
        <f>'AG Jul 2020'!K33</f>
        <v>Commander</v>
      </c>
      <c r="B47" s="180">
        <f>'AG Jul 2020'!G33</f>
        <v>42551</v>
      </c>
      <c r="C47" s="181">
        <f>91*'AG Jul 2020'!M33/100</f>
        <v>83.653818181818167</v>
      </c>
      <c r="D47" s="181">
        <f>($C$39*$C$40)*'AG Jul 2020'!N33/100</f>
        <v>360.30909090909086</v>
      </c>
      <c r="E47" s="181">
        <v>0</v>
      </c>
      <c r="F47" s="181">
        <v>0</v>
      </c>
      <c r="G47" s="181">
        <f>($C$39*$C$41)*'AG Jul 2020'!AE33/100</f>
        <v>80.563636363636348</v>
      </c>
      <c r="H47" s="183">
        <f t="shared" si="6"/>
        <v>524.52654545454538</v>
      </c>
      <c r="I47" s="202">
        <f t="shared" si="7"/>
        <v>2307.9168</v>
      </c>
    </row>
    <row r="48" spans="1:9" x14ac:dyDescent="0.3">
      <c r="A48" s="179" t="str">
        <f>'AG Jul 2020'!K34</f>
        <v>CovaU</v>
      </c>
      <c r="B48" s="180">
        <f>'AG Jul 2020'!G34</f>
        <v>42551</v>
      </c>
      <c r="C48" s="181">
        <f>91*'AG Jul 2020'!M34/100</f>
        <v>80.989999999999995</v>
      </c>
      <c r="D48" s="181">
        <f>($C$39*$C$40)*'AG Jul 2020'!N34/100</f>
        <v>349.99999999999994</v>
      </c>
      <c r="E48" s="181">
        <v>0</v>
      </c>
      <c r="F48" s="181">
        <v>0</v>
      </c>
      <c r="G48" s="181">
        <f>($C$39*$C$41)*'AG Jul 2020'!AE34/100</f>
        <v>91.799999999999983</v>
      </c>
      <c r="H48" s="183">
        <f t="shared" si="6"/>
        <v>522.79</v>
      </c>
      <c r="I48" s="202">
        <f t="shared" si="7"/>
        <v>2300.2759999999998</v>
      </c>
    </row>
    <row r="49" spans="1:9" x14ac:dyDescent="0.3">
      <c r="A49" s="179" t="str">
        <f>'AG Jul 2020'!K35</f>
        <v>Diamond Energy</v>
      </c>
      <c r="B49" s="180">
        <f>'AG Jul 2020'!G35</f>
        <v>42551</v>
      </c>
      <c r="C49" s="181">
        <f>91*'AG Jul 2020'!M35/100</f>
        <v>71.89</v>
      </c>
      <c r="D49" s="181">
        <f>($C$39*$C$40)*'AG Jul 2020'!N35/100</f>
        <v>373.16363636363633</v>
      </c>
      <c r="E49" s="181">
        <v>0</v>
      </c>
      <c r="F49" s="181">
        <v>0</v>
      </c>
      <c r="G49" s="181">
        <f>($C$39*$C$41)*'AG Jul 2020'!AE35/100</f>
        <v>78</v>
      </c>
      <c r="H49" s="183">
        <f t="shared" si="6"/>
        <v>523.05363636363631</v>
      </c>
      <c r="I49" s="202">
        <f t="shared" si="7"/>
        <v>2301.4360000000001</v>
      </c>
    </row>
    <row r="50" spans="1:9" x14ac:dyDescent="0.3">
      <c r="A50" s="179" t="str">
        <f>'AG Jul 2020'!K36</f>
        <v>Dodo Power &amp; Gas</v>
      </c>
      <c r="B50" s="180">
        <f>'AG Jul 2020'!G36</f>
        <v>42551</v>
      </c>
      <c r="C50" s="181">
        <f>91*'AG Jul 2020'!M36/100</f>
        <v>83.653818181818167</v>
      </c>
      <c r="D50" s="181">
        <f>($C$39*$C$40)*'AG Jul 2020'!N36/100</f>
        <v>360.30909090909086</v>
      </c>
      <c r="E50" s="181">
        <v>0</v>
      </c>
      <c r="F50" s="181">
        <v>0</v>
      </c>
      <c r="G50" s="181">
        <f>($C$39*$C$41)*'AG Jul 2020'!AE36/100</f>
        <v>80.563636363636348</v>
      </c>
      <c r="H50" s="183">
        <f t="shared" si="6"/>
        <v>524.52654545454538</v>
      </c>
      <c r="I50" s="202">
        <f t="shared" si="7"/>
        <v>2307.9168</v>
      </c>
    </row>
    <row r="51" spans="1:9" x14ac:dyDescent="0.3">
      <c r="A51" s="179" t="str">
        <f>'AG Jul 2020'!K37</f>
        <v>EnergyAustralia</v>
      </c>
      <c r="B51" s="180">
        <f>'AG Jul 2020'!G37</f>
        <v>42551</v>
      </c>
      <c r="C51" s="181">
        <f>91*'AG Jul 2020'!M37/100</f>
        <v>74.62</v>
      </c>
      <c r="D51" s="181">
        <f>($C$39*$C$40)*'AG Jul 2020'!N37/100</f>
        <v>376.21818181818179</v>
      </c>
      <c r="E51" s="181">
        <v>0</v>
      </c>
      <c r="F51" s="181">
        <v>0</v>
      </c>
      <c r="G51" s="181">
        <f>($C$39*$C$41)*'AG Jul 2020'!AE37/100</f>
        <v>66.272727272727266</v>
      </c>
      <c r="H51" s="183">
        <f t="shared" si="6"/>
        <v>517.1109090909091</v>
      </c>
      <c r="I51" s="202">
        <f t="shared" si="7"/>
        <v>2275.2880000000005</v>
      </c>
    </row>
    <row r="52" spans="1:9" x14ac:dyDescent="0.3">
      <c r="A52" s="179" t="str">
        <f>'AG Jul 2020'!K38</f>
        <v>Mojo Power</v>
      </c>
      <c r="B52" s="180">
        <f>'AG Jul 2020'!G38</f>
        <v>42553</v>
      </c>
      <c r="C52" s="181">
        <f>91*'AG Jul 2020'!M38/100</f>
        <v>84.141909090909081</v>
      </c>
      <c r="D52" s="181">
        <f>($C$39*$C$40)*'AG Jul 2020'!N38/100</f>
        <v>343.25454545454545</v>
      </c>
      <c r="E52" s="181">
        <v>0</v>
      </c>
      <c r="F52" s="181">
        <v>0</v>
      </c>
      <c r="G52" s="181">
        <f>($C$39*$C$41)*'AG Jul 2020'!AE38/100</f>
        <v>97.636363636363626</v>
      </c>
      <c r="H52" s="183">
        <f t="shared" si="6"/>
        <v>525.03281818181813</v>
      </c>
      <c r="I52" s="202">
        <f t="shared" si="7"/>
        <v>2310.1444000000001</v>
      </c>
    </row>
    <row r="53" spans="1:9" x14ac:dyDescent="0.3">
      <c r="A53" s="179" t="str">
        <f>'AG Jul 2020'!K39</f>
        <v>Momentum Energy</v>
      </c>
      <c r="B53" s="180">
        <f>'AG Jul 2020'!G39</f>
        <v>42551</v>
      </c>
      <c r="C53" s="181">
        <f>91*'AG Jul 2020'!M39/100</f>
        <v>94.309090909090898</v>
      </c>
      <c r="D53" s="181">
        <f>($C$39*$C$40)*'AG Jul 2020'!N39/100</f>
        <v>341.09090909090912</v>
      </c>
      <c r="E53" s="181">
        <v>0</v>
      </c>
      <c r="F53" s="181">
        <v>0</v>
      </c>
      <c r="G53" s="181">
        <f>($C$39*$C$41)*'AG Jul 2020'!AE39/100</f>
        <v>87.709090909090904</v>
      </c>
      <c r="H53" s="183">
        <f t="shared" si="6"/>
        <v>523.10909090909092</v>
      </c>
      <c r="I53" s="202">
        <f t="shared" si="7"/>
        <v>2301.6800000000003</v>
      </c>
    </row>
    <row r="54" spans="1:9" x14ac:dyDescent="0.3">
      <c r="A54" s="179" t="str">
        <f>'AG Jul 2020'!K40</f>
        <v>Origin Energy</v>
      </c>
      <c r="B54" s="180">
        <f>'AG Jul 2020'!G40</f>
        <v>42551</v>
      </c>
      <c r="C54" s="181">
        <f>91*'AG Jul 2020'!M40/100</f>
        <v>71.22818181818181</v>
      </c>
      <c r="D54" s="181">
        <f>($C$39*$C$40)*'AG Jul 2020'!N40/100</f>
        <v>374.56363636363631</v>
      </c>
      <c r="E54" s="181">
        <v>0</v>
      </c>
      <c r="F54" s="181">
        <v>0</v>
      </c>
      <c r="G54" s="181">
        <f>($C$39*$C$41)*'AG Jul 2020'!AE40/100</f>
        <v>64.963636363636354</v>
      </c>
      <c r="H54" s="183">
        <f t="shared" si="6"/>
        <v>510.75545454545448</v>
      </c>
      <c r="I54" s="202">
        <f t="shared" si="7"/>
        <v>2247.3240000000001</v>
      </c>
    </row>
    <row r="55" spans="1:9" x14ac:dyDescent="0.3">
      <c r="A55" s="179" t="str">
        <f>'AG Jul 2020'!K41</f>
        <v>Powerdirect</v>
      </c>
      <c r="B55" s="180">
        <f>'AG Jul 2020'!G41</f>
        <v>42551</v>
      </c>
      <c r="C55" s="181">
        <f>91*'AG Jul 2020'!M41/100</f>
        <v>75.429900000000004</v>
      </c>
      <c r="D55" s="181">
        <f>($C$39*$C$40)*'AG Jul 2020'!N41/100</f>
        <v>368.48</v>
      </c>
      <c r="E55" s="181">
        <v>0</v>
      </c>
      <c r="F55" s="181">
        <v>0</v>
      </c>
      <c r="G55" s="181">
        <f>($C$39*$C$41)*'AG Jul 2020'!AE41/100</f>
        <v>81.599999999999994</v>
      </c>
      <c r="H55" s="183">
        <f t="shared" si="6"/>
        <v>525.50990000000002</v>
      </c>
      <c r="I55" s="202">
        <f t="shared" si="7"/>
        <v>2312.2435600000003</v>
      </c>
    </row>
    <row r="56" spans="1:9" x14ac:dyDescent="0.3">
      <c r="A56" s="179" t="str">
        <f>'AG Jul 2020'!K42</f>
        <v>Powershop</v>
      </c>
      <c r="B56" s="180">
        <f>'AG Jul 2020'!G42</f>
        <v>42551</v>
      </c>
      <c r="C56" s="181">
        <f>91*'AG Jul 2020'!M42/100</f>
        <v>97.485818181818161</v>
      </c>
      <c r="D56" s="181">
        <f>($C$39*$C$40)*'AG Jul 2020'!N42/100</f>
        <v>335.49090909090904</v>
      </c>
      <c r="E56" s="181">
        <v>0</v>
      </c>
      <c r="F56" s="181">
        <v>0</v>
      </c>
      <c r="G56" s="181">
        <f>($C$39*$C$41)*'AG Jul 2020'!AE42/100</f>
        <v>60.109090909090909</v>
      </c>
      <c r="H56" s="183">
        <f t="shared" si="6"/>
        <v>493.08581818181813</v>
      </c>
      <c r="I56" s="202">
        <f t="shared" si="7"/>
        <v>2169.5776000000001</v>
      </c>
    </row>
    <row r="57" spans="1:9" x14ac:dyDescent="0.3">
      <c r="A57" s="179" t="str">
        <f>'AG Jul 2020'!K43</f>
        <v>Red Energy</v>
      </c>
      <c r="B57" s="180">
        <f>'AG Jul 2020'!G43</f>
        <v>42551</v>
      </c>
      <c r="C57" s="181">
        <f>91*'AG Jul 2020'!M43/100</f>
        <v>83.992999999999995</v>
      </c>
      <c r="D57" s="181">
        <f>($C$39*$C$40)*'AG Jul 2020'!N43/100</f>
        <v>355.6</v>
      </c>
      <c r="E57" s="181">
        <v>0</v>
      </c>
      <c r="F57" s="181">
        <v>0</v>
      </c>
      <c r="G57" s="181">
        <f>($C$39*$C$41)*'AG Jul 2020'!AE43/100</f>
        <v>84</v>
      </c>
      <c r="H57" s="183">
        <f t="shared" si="6"/>
        <v>523.59300000000007</v>
      </c>
      <c r="I57" s="202">
        <f t="shared" si="7"/>
        <v>2303.8092000000006</v>
      </c>
    </row>
    <row r="58" spans="1:9" x14ac:dyDescent="0.3">
      <c r="A58" s="179" t="str">
        <f>'AG Jul 2020'!K44</f>
        <v>Simply Energy</v>
      </c>
      <c r="B58" s="180">
        <f>'AG Jul 2020'!G44</f>
        <v>42551</v>
      </c>
      <c r="C58" s="181">
        <f>91*'AG Jul 2020'!M44/100</f>
        <v>81.98272727272726</v>
      </c>
      <c r="D58" s="181">
        <f>($C$39*$C$40)*'AG Jul 2020'!N44/100</f>
        <v>364.12727272727273</v>
      </c>
      <c r="E58" s="181">
        <v>0</v>
      </c>
      <c r="F58" s="181">
        <v>0</v>
      </c>
      <c r="G58" s="181">
        <f>($C$39*$C$41)*'AG Jul 2020'!AE44/100</f>
        <v>78.763636363636351</v>
      </c>
      <c r="H58" s="183">
        <f t="shared" si="6"/>
        <v>524.87363636363636</v>
      </c>
      <c r="I58" s="202">
        <f t="shared" si="7"/>
        <v>2309.4440000000004</v>
      </c>
    </row>
    <row r="59" spans="1:9" x14ac:dyDescent="0.3">
      <c r="A59" s="179" t="str">
        <f>'AG Jul 2020'!K45</f>
        <v>1st Energy</v>
      </c>
      <c r="B59" s="180">
        <f>'AG Jul 2020'!G45</f>
        <v>42551</v>
      </c>
      <c r="C59" s="181">
        <f>91*'AG Jul 2020'!M45/100</f>
        <v>95.549999999999983</v>
      </c>
      <c r="D59" s="181">
        <f>IF($C$39*$C$40&gt;='AG Jul 2020'!P45,('AG Jul 2020'!P45*'AG Jul 2020'!N45/100),(($C$39*$C$40)*'AG Jul 2020'!N45/100))</f>
        <v>333.45</v>
      </c>
      <c r="E59" s="181">
        <f>IF($C$39*$C$40&lt;'AG Jul 2020'!P45,0,IF(($C$39*$C$40)&lt;='AG Jul 2020'!R45,(($C$39*$C$40-'AG Jul 2020'!P45)*'AG Jul 2020'!Q45/100),(('AG Jul 2020'!R45-'AG Jul 2020'!P45)*'AG Jul 2020'!Q45/100)))</f>
        <v>0</v>
      </c>
      <c r="F59" s="181">
        <f>IF(($C$39*$C$40&lt;'AG Jul 2020'!R45),(0),($C$39*$C$40-'AG Jul 2020'!R45)*'AG Jul 2020'!S45/100)</f>
        <v>14</v>
      </c>
      <c r="G59" s="181">
        <f>($C$39*$C$41)*'AG Jul 2020'!AE45/100</f>
        <v>72.599999999999994</v>
      </c>
      <c r="H59" s="183">
        <f t="shared" si="6"/>
        <v>515.6</v>
      </c>
      <c r="I59" s="202">
        <f t="shared" si="7"/>
        <v>2268.6400000000003</v>
      </c>
    </row>
    <row r="60" spans="1:9" x14ac:dyDescent="0.3">
      <c r="A60" s="179" t="str">
        <f>'AG Jul 2020'!K46</f>
        <v>Amaysim</v>
      </c>
      <c r="B60" s="180">
        <f>'AG Jul 2020'!G46</f>
        <v>42551</v>
      </c>
      <c r="C60" s="181">
        <f>91*'AG Jul 2020'!M46/100</f>
        <v>81.899999999999991</v>
      </c>
      <c r="D60" s="181">
        <f>($C$39*$C$40)*'AG Jul 2020'!N46/100</f>
        <v>359.16363636363633</v>
      </c>
      <c r="E60" s="181">
        <v>0</v>
      </c>
      <c r="F60" s="181">
        <v>0</v>
      </c>
      <c r="G60" s="181">
        <f>($C$39*$C$41)*'AG Jul 2020'!AE46/100</f>
        <v>84.054545454545448</v>
      </c>
      <c r="H60" s="183">
        <f t="shared" si="6"/>
        <v>525.11818181818171</v>
      </c>
      <c r="I60" s="202">
        <f t="shared" si="7"/>
        <v>2310.5199999999995</v>
      </c>
    </row>
    <row r="61" spans="1:9" x14ac:dyDescent="0.3">
      <c r="A61" s="179" t="str">
        <f>'AG Jul 2020'!K47</f>
        <v>ReAmped Energy</v>
      </c>
      <c r="B61" s="180">
        <f>'AG Jul 2020'!G47</f>
        <v>42551</v>
      </c>
      <c r="C61" s="181">
        <f>91*'AG Jul 2020'!M47/100</f>
        <v>91.471545454545449</v>
      </c>
      <c r="D61" s="181">
        <f>($C$39*$C$40)*'AG Jul 2020'!N47/100</f>
        <v>322</v>
      </c>
      <c r="E61" s="181">
        <v>0</v>
      </c>
      <c r="F61" s="181">
        <v>0</v>
      </c>
      <c r="G61" s="181">
        <f>($C$39*$C$41)*'AG Jul 2020'!AE47/100</f>
        <v>108</v>
      </c>
      <c r="H61" s="183">
        <f t="shared" ref="H61:H68" si="8">SUM(C61:G61)</f>
        <v>521.47154545454543</v>
      </c>
      <c r="I61" s="202">
        <f t="shared" ref="I61:I68" si="9">(H61*4)*1.1</f>
        <v>2294.4748</v>
      </c>
    </row>
    <row r="62" spans="1:9" x14ac:dyDescent="0.3">
      <c r="A62" s="179" t="str">
        <f>'AG Jul 2020'!K48</f>
        <v>Enova Energy</v>
      </c>
      <c r="B62" s="180">
        <f>'AG Jul 2020'!G48</f>
        <v>42551</v>
      </c>
      <c r="C62" s="181">
        <f>91*'AG Jul 2020'!M48/100</f>
        <v>82.809999999999988</v>
      </c>
      <c r="D62" s="181">
        <f>($C$39*$C$40)*'AG Jul 2020'!N48/100</f>
        <v>338.8</v>
      </c>
      <c r="E62" s="181">
        <v>0</v>
      </c>
      <c r="F62" s="181">
        <v>0</v>
      </c>
      <c r="G62" s="181">
        <f>($C$39*$C$41)*'AG Jul 2020'!AE48/100</f>
        <v>84</v>
      </c>
      <c r="H62" s="183">
        <f t="shared" si="8"/>
        <v>505.61</v>
      </c>
      <c r="I62" s="202">
        <f t="shared" si="9"/>
        <v>2224.6840000000002</v>
      </c>
    </row>
    <row r="63" spans="1:9" x14ac:dyDescent="0.3">
      <c r="A63" s="179" t="str">
        <f>'AG Jul 2020'!K49</f>
        <v>Discover Energy</v>
      </c>
      <c r="B63" s="180">
        <f>'AG Jul 2020'!G49</f>
        <v>42551</v>
      </c>
      <c r="C63" s="181">
        <f>91*'AG Jul 2020'!M49/100</f>
        <v>70.525000000000006</v>
      </c>
      <c r="D63" s="181">
        <f>($C$39*$C$40)*'AG Jul 2020'!N49/100</f>
        <v>375.19999999999993</v>
      </c>
      <c r="E63" s="181">
        <v>0</v>
      </c>
      <c r="F63" s="181">
        <v>0</v>
      </c>
      <c r="G63" s="181">
        <f>($C$39*$C$41)*'AG Jul 2020'!AE49/100</f>
        <v>81.218181818181804</v>
      </c>
      <c r="H63" s="183">
        <f t="shared" si="8"/>
        <v>526.94318181818176</v>
      </c>
      <c r="I63" s="202">
        <f t="shared" si="9"/>
        <v>2318.5499999999997</v>
      </c>
    </row>
    <row r="64" spans="1:9" x14ac:dyDescent="0.3">
      <c r="A64" s="179" t="str">
        <f>'AG Jul 2020'!K50</f>
        <v>Future X Power</v>
      </c>
      <c r="B64" s="180">
        <f>'AG Jul 2020'!G50</f>
        <v>42494</v>
      </c>
      <c r="C64" s="181">
        <f>91*'AG Jul 2020'!M50/100</f>
        <v>80.444000000000003</v>
      </c>
      <c r="D64" s="181">
        <f>($C$39*$C$40)*'AG Jul 2020'!N50/100</f>
        <v>368.32727272727271</v>
      </c>
      <c r="E64" s="181">
        <v>0</v>
      </c>
      <c r="F64" s="181">
        <v>0</v>
      </c>
      <c r="G64" s="181">
        <f>($C$39*$C$41)*'AG Jul 2020'!AE50/100</f>
        <v>85.8</v>
      </c>
      <c r="H64" s="183">
        <f t="shared" si="8"/>
        <v>534.57127272727269</v>
      </c>
      <c r="I64" s="202">
        <f t="shared" si="9"/>
        <v>2352.1136000000001</v>
      </c>
    </row>
    <row r="65" spans="1:9" x14ac:dyDescent="0.3">
      <c r="A65" s="179" t="str">
        <f>'AG Jul 2020'!K51</f>
        <v>Nectr</v>
      </c>
      <c r="B65" s="180">
        <f>'AG Jul 2020'!G51</f>
        <v>42551</v>
      </c>
      <c r="C65" s="181">
        <f>91*'AG Jul 2020'!M51/100</f>
        <v>72.526999999999987</v>
      </c>
      <c r="D65" s="181">
        <f>($C$39*$C$40)*'AG Jul 2020'!N51/100</f>
        <v>372.4</v>
      </c>
      <c r="E65" s="181">
        <v>0</v>
      </c>
      <c r="F65" s="181">
        <v>0</v>
      </c>
      <c r="G65" s="181">
        <f>($C$39*$C$41)*'AG Jul 2020'!AE51/100</f>
        <v>81.599999999999994</v>
      </c>
      <c r="H65" s="183">
        <f t="shared" si="8"/>
        <v>526.52699999999993</v>
      </c>
      <c r="I65" s="202">
        <f t="shared" si="9"/>
        <v>2316.7188000000001</v>
      </c>
    </row>
    <row r="66" spans="1:9" x14ac:dyDescent="0.3">
      <c r="A66" s="179" t="str">
        <f>'AG Jul 2020'!K52</f>
        <v>People Energy</v>
      </c>
      <c r="B66" s="180">
        <f>'AG Jul 2020'!G52</f>
        <v>42551</v>
      </c>
      <c r="C66" s="181">
        <f>91*'AG Jul 2020'!M52/100</f>
        <v>84.141909090909081</v>
      </c>
      <c r="D66" s="181">
        <f>($C$39*$C$40)*'AG Jul 2020'!N52/100</f>
        <v>343.25454545454545</v>
      </c>
      <c r="E66" s="181">
        <v>0</v>
      </c>
      <c r="F66" s="181">
        <v>0</v>
      </c>
      <c r="G66" s="181">
        <f>($C$39*$C$41)*'AG Jul 2020'!AE52/100</f>
        <v>97.636363636363626</v>
      </c>
      <c r="H66" s="183">
        <f t="shared" si="8"/>
        <v>525.03281818181813</v>
      </c>
      <c r="I66" s="202">
        <f t="shared" si="9"/>
        <v>2310.1444000000001</v>
      </c>
    </row>
    <row r="67" spans="1:9" x14ac:dyDescent="0.3">
      <c r="A67" s="179" t="str">
        <f>'AG Jul 2020'!K53</f>
        <v>Elysian Energy</v>
      </c>
      <c r="B67" s="180">
        <f>'AG Jul 2020'!G53</f>
        <v>42551</v>
      </c>
      <c r="C67" s="181">
        <f>91*'AG Jul 2020'!M53/100</f>
        <v>86.259727272727275</v>
      </c>
      <c r="D67" s="181">
        <f>($C$39*$C$40)*'AG Jul 2020'!N53/100</f>
        <v>293.61818181818182</v>
      </c>
      <c r="E67" s="181">
        <v>0</v>
      </c>
      <c r="F67" s="181">
        <v>0</v>
      </c>
      <c r="G67" s="181">
        <f>($C$39*$C$41)*'AG Jul 2020'!AE53/100</f>
        <v>80.890909090909076</v>
      </c>
      <c r="H67" s="183">
        <f t="shared" si="8"/>
        <v>460.76881818181818</v>
      </c>
      <c r="I67" s="202">
        <f t="shared" si="9"/>
        <v>2027.3828000000001</v>
      </c>
    </row>
    <row r="68" spans="1:9" x14ac:dyDescent="0.3">
      <c r="A68" s="179" t="str">
        <f>'AG Jul 2020'!K54</f>
        <v>Sumo Power</v>
      </c>
      <c r="B68" s="180">
        <f>'AG Jul 2020'!G54</f>
        <v>42551</v>
      </c>
      <c r="C68" s="181">
        <f>91*'AG Jul 2020'!M54/100</f>
        <v>93.729999999999976</v>
      </c>
      <c r="D68" s="181">
        <f>($C$39*$C$40)*'AG Jul 2020'!N54/100</f>
        <v>345.8</v>
      </c>
      <c r="E68" s="181">
        <v>0</v>
      </c>
      <c r="F68" s="181">
        <v>0</v>
      </c>
      <c r="G68" s="181">
        <f>($C$39*$C$41)*'AG Jul 2020'!AE54/100</f>
        <v>83.4</v>
      </c>
      <c r="H68" s="183">
        <f t="shared" si="8"/>
        <v>522.92999999999995</v>
      </c>
      <c r="I68" s="202">
        <f t="shared" si="9"/>
        <v>2300.8919999999998</v>
      </c>
    </row>
    <row r="69" spans="1:9" s="266" customFormat="1" ht="14" thickBot="1" x14ac:dyDescent="0.35">
      <c r="A69" s="184" t="str">
        <f>'AG Jul 2020'!K55</f>
        <v>Tango Energy</v>
      </c>
      <c r="B69" s="185">
        <f>'AG Jul 2020'!G55</f>
        <v>42551</v>
      </c>
      <c r="C69" s="186">
        <f>91*'AG Jul 2020'!M55/100</f>
        <v>77.531999999999982</v>
      </c>
      <c r="D69" s="186">
        <f>($C$39*$C$40)*'AG Jul 2020'!N55/100</f>
        <v>365.4</v>
      </c>
      <c r="E69" s="186">
        <v>0</v>
      </c>
      <c r="F69" s="186">
        <v>0</v>
      </c>
      <c r="G69" s="186">
        <f>($C$39*$C$41)*'AG Jul 2020'!AE55/100</f>
        <v>82.8</v>
      </c>
      <c r="H69" s="188">
        <f t="shared" ref="H69" si="10">SUM(C69:G69)</f>
        <v>525.73199999999997</v>
      </c>
      <c r="I69" s="203">
        <f t="shared" ref="I69" si="11">(H69*4)*1.1</f>
        <v>2313.2208000000001</v>
      </c>
    </row>
    <row r="70" spans="1:9" s="266" customFormat="1" x14ac:dyDescent="0.3"/>
    <row r="71" spans="1:9" ht="14" thickBot="1" x14ac:dyDescent="0.35"/>
    <row r="72" spans="1:9" s="262" customFormat="1" ht="14" x14ac:dyDescent="0.3">
      <c r="A72" s="176" t="s">
        <v>94</v>
      </c>
      <c r="B72" s="91"/>
      <c r="C72" s="91"/>
      <c r="D72" s="91"/>
      <c r="E72" s="91"/>
      <c r="F72" s="91"/>
      <c r="G72" s="91"/>
      <c r="H72" s="91"/>
      <c r="I72" s="177"/>
    </row>
    <row r="73" spans="1:9" s="262" customFormat="1" ht="14" x14ac:dyDescent="0.3">
      <c r="A73" s="92" t="s">
        <v>79</v>
      </c>
      <c r="B73" s="93"/>
      <c r="C73" s="168">
        <v>1800</v>
      </c>
      <c r="D73" s="93"/>
      <c r="E73" s="93"/>
      <c r="F73" s="93"/>
      <c r="G73" s="93"/>
      <c r="H73" s="93"/>
      <c r="I73" s="178"/>
    </row>
    <row r="74" spans="1:9" s="262" customFormat="1" ht="14" x14ac:dyDescent="0.3">
      <c r="A74" s="92" t="s">
        <v>91</v>
      </c>
      <c r="B74" s="93"/>
      <c r="C74" s="257">
        <v>0.2</v>
      </c>
      <c r="D74" s="93"/>
      <c r="E74" s="93"/>
      <c r="F74" s="93"/>
      <c r="G74" s="93"/>
      <c r="H74" s="93"/>
      <c r="I74" s="178"/>
    </row>
    <row r="75" spans="1:9" s="262" customFormat="1" ht="14" x14ac:dyDescent="0.3">
      <c r="A75" s="92" t="s">
        <v>95</v>
      </c>
      <c r="B75" s="93"/>
      <c r="C75" s="257">
        <v>0.5</v>
      </c>
      <c r="D75" s="93"/>
      <c r="E75" s="93"/>
      <c r="F75" s="93"/>
      <c r="G75" s="93"/>
      <c r="H75" s="93"/>
      <c r="I75" s="178"/>
    </row>
    <row r="76" spans="1:9" s="262" customFormat="1" ht="14" x14ac:dyDescent="0.3">
      <c r="A76" s="92" t="s">
        <v>92</v>
      </c>
      <c r="B76" s="93"/>
      <c r="C76" s="257">
        <v>0.3</v>
      </c>
      <c r="D76" s="93"/>
      <c r="E76" s="93"/>
      <c r="F76" s="93"/>
      <c r="G76" s="93"/>
      <c r="H76" s="93"/>
      <c r="I76" s="178"/>
    </row>
    <row r="77" spans="1:9" s="262" customFormat="1" ht="14" x14ac:dyDescent="0.3">
      <c r="A77" s="166"/>
      <c r="B77" s="93"/>
      <c r="C77" s="167"/>
      <c r="D77" s="93"/>
      <c r="E77" s="93"/>
      <c r="F77" s="93"/>
      <c r="G77" s="93"/>
      <c r="H77" s="93"/>
      <c r="I77" s="178"/>
    </row>
    <row r="78" spans="1:9" s="262" customFormat="1" ht="28" x14ac:dyDescent="0.3">
      <c r="A78" s="301" t="s">
        <v>80</v>
      </c>
      <c r="B78" s="298" t="s">
        <v>81</v>
      </c>
      <c r="C78" s="298" t="s">
        <v>82</v>
      </c>
      <c r="D78" s="298" t="s">
        <v>96</v>
      </c>
      <c r="E78" s="298" t="s">
        <v>86</v>
      </c>
      <c r="F78" s="298" t="s">
        <v>97</v>
      </c>
      <c r="G78" s="298" t="s">
        <v>98</v>
      </c>
      <c r="H78" s="298" t="s">
        <v>87</v>
      </c>
      <c r="I78" s="300" t="s">
        <v>88</v>
      </c>
    </row>
    <row r="79" spans="1:9" x14ac:dyDescent="0.3">
      <c r="A79" s="179" t="str">
        <f>'AG Jul 2020'!K56</f>
        <v>AGL</v>
      </c>
      <c r="B79" s="180">
        <f>'AG Jul 2020'!G56</f>
        <v>42551</v>
      </c>
      <c r="C79" s="181">
        <f>91*'AG Jul 2020'!M56/100</f>
        <v>79.17</v>
      </c>
      <c r="D79" s="181">
        <f>($C$73*$C$74)*'AG Jul 2020'!N56/100</f>
        <v>179.7381818181818</v>
      </c>
      <c r="E79" s="181">
        <v>0</v>
      </c>
      <c r="F79" s="181">
        <f>($C$73*$C$75)*'AG Jul 2020'!AH56/100</f>
        <v>193.99090909090907</v>
      </c>
      <c r="G79" s="181">
        <f>($C$73*$C$76)*'AG Jul 2020'!W56/100</f>
        <v>76.778181818181807</v>
      </c>
      <c r="H79" s="183">
        <f t="shared" ref="H79:H94" si="12">SUM(C79:G79)</f>
        <v>529.67727272727268</v>
      </c>
      <c r="I79" s="202">
        <f t="shared" ref="I79:I94" si="13">(H79*4)*1.1</f>
        <v>2330.58</v>
      </c>
    </row>
    <row r="80" spans="1:9" x14ac:dyDescent="0.3">
      <c r="A80" s="179" t="str">
        <f>'AG Jul 2020'!K57</f>
        <v>Alinta Energy</v>
      </c>
      <c r="B80" s="180">
        <f>'AG Jul 2020'!G57</f>
        <v>42551</v>
      </c>
      <c r="C80" s="181">
        <f>91*'AG Jul 2020'!M57/100</f>
        <v>78.259999999999991</v>
      </c>
      <c r="D80" s="181">
        <f>($C$73*$C$74)*'AG Jul 2020'!N57/100</f>
        <v>179.99999999999997</v>
      </c>
      <c r="E80" s="181">
        <v>0</v>
      </c>
      <c r="F80" s="181">
        <f>($C$73*$C$75)*'AG Jul 2020'!AH57/100</f>
        <v>190.8</v>
      </c>
      <c r="G80" s="181">
        <f>($C$73*$C$76)*'AG Jul 2020'!W57/100</f>
        <v>80.999999999999986</v>
      </c>
      <c r="H80" s="183">
        <f t="shared" si="12"/>
        <v>530.05999999999995</v>
      </c>
      <c r="I80" s="202">
        <f t="shared" si="13"/>
        <v>2332.2640000000001</v>
      </c>
    </row>
    <row r="81" spans="1:9" x14ac:dyDescent="0.3">
      <c r="A81" s="179" t="str">
        <f>'AG Jul 2020'!K58</f>
        <v>Click Energy</v>
      </c>
      <c r="B81" s="180">
        <f>'AG Jul 2020'!G58</f>
        <v>42551</v>
      </c>
      <c r="C81" s="181">
        <f>91*'AG Jul 2020'!M58/100</f>
        <v>81.899999999999991</v>
      </c>
      <c r="D81" s="181">
        <f>($C$73*$C$74)*'AG Jul 2020'!N58/100</f>
        <v>136.43999999999997</v>
      </c>
      <c r="E81" s="181">
        <v>0</v>
      </c>
      <c r="F81" s="181">
        <f>($C$73*$C$75)*'AG Jul 2020'!AH58/100</f>
        <v>203.39999999999998</v>
      </c>
      <c r="G81" s="181">
        <f>($C$73*$C$76)*'AG Jul 2020'!W58/100</f>
        <v>113.69454545454546</v>
      </c>
      <c r="H81" s="183">
        <f t="shared" si="12"/>
        <v>535.4345454545454</v>
      </c>
      <c r="I81" s="202">
        <f t="shared" si="13"/>
        <v>2355.9119999999998</v>
      </c>
    </row>
    <row r="82" spans="1:9" x14ac:dyDescent="0.3">
      <c r="A82" s="179" t="str">
        <f>'AG Jul 2020'!K59</f>
        <v>Commander</v>
      </c>
      <c r="B82" s="180">
        <f>'AG Jul 2020'!G59</f>
        <v>42551</v>
      </c>
      <c r="C82" s="181">
        <f>91*'AG Jul 2020'!M59/100</f>
        <v>90.520181818181811</v>
      </c>
      <c r="D82" s="181">
        <f>($C$73*$C$74)*'AG Jul 2020'!N59/100</f>
        <v>155.55272727272725</v>
      </c>
      <c r="E82" s="181">
        <v>0</v>
      </c>
      <c r="F82" s="181">
        <f>($C$73*$C$75)*'AG Jul 2020'!AH59/100</f>
        <v>182.04545454545453</v>
      </c>
      <c r="G82" s="181">
        <f>($C$73*$C$76)*'AG Jul 2020'!W59/100</f>
        <v>95.678181818181798</v>
      </c>
      <c r="H82" s="183">
        <f t="shared" si="12"/>
        <v>523.79654545454537</v>
      </c>
      <c r="I82" s="202">
        <f t="shared" si="13"/>
        <v>2304.7048</v>
      </c>
    </row>
    <row r="83" spans="1:9" x14ac:dyDescent="0.3">
      <c r="A83" s="179" t="str">
        <f>'AG Jul 2020'!K60</f>
        <v>CovaU</v>
      </c>
      <c r="B83" s="180">
        <f>'AG Jul 2020'!G60</f>
        <v>42551</v>
      </c>
      <c r="C83" s="181">
        <f>91*'AG Jul 2020'!M60/100</f>
        <v>80.989999999999995</v>
      </c>
      <c r="D83" s="181">
        <f>($C$73*$C$74)*'AG Jul 2020'!N60/100</f>
        <v>158.39999999999998</v>
      </c>
      <c r="E83" s="181">
        <v>0</v>
      </c>
      <c r="F83" s="181">
        <f>($C$73*$C$75)*'AG Jul 2020'!AH60/100</f>
        <v>170.99999999999997</v>
      </c>
      <c r="G83" s="181">
        <f>($C$73*$C$76)*'AG Jul 2020'!W60/100</f>
        <v>82.619999999999976</v>
      </c>
      <c r="H83" s="183">
        <f t="shared" si="12"/>
        <v>493.01</v>
      </c>
      <c r="I83" s="202">
        <f t="shared" si="13"/>
        <v>2169.2440000000001</v>
      </c>
    </row>
    <row r="84" spans="1:9" x14ac:dyDescent="0.3">
      <c r="A84" s="179" t="str">
        <f>'AG Jul 2020'!K61</f>
        <v>Diamond Energy</v>
      </c>
      <c r="B84" s="180">
        <f>'AG Jul 2020'!G61</f>
        <v>42551</v>
      </c>
      <c r="C84" s="181">
        <f>91*'AG Jul 2020'!M61/100</f>
        <v>95.094999999999999</v>
      </c>
      <c r="D84" s="181">
        <f>IF($C$73*$C$74&gt;='AG Jul 2020'!P61,('AG Jul 2020'!P61*'AG Jul 2020'!N61/100),(($C$73*$C$74)*'AG Jul 2020'!N61/100))</f>
        <v>172.79999999999995</v>
      </c>
      <c r="E84" s="181">
        <f>IF(($C$73*$C$74&lt;'AG Jul 2020'!P61),(0),($C$73*$C$74-'AG Jul 2020'!P61)*'AG Jul 2020'!Q61/100)</f>
        <v>0</v>
      </c>
      <c r="F84" s="181">
        <f>($C$73*$C$75)*'AG Jul 2020'!AH61/100</f>
        <v>224.99999999999997</v>
      </c>
      <c r="G84" s="181">
        <f>($C$73*$C$76)*'AG Jul 2020'!W61/100</f>
        <v>91.799999999999983</v>
      </c>
      <c r="H84" s="183">
        <f t="shared" si="12"/>
        <v>584.69499999999994</v>
      </c>
      <c r="I84" s="202">
        <f t="shared" si="13"/>
        <v>2572.6579999999999</v>
      </c>
    </row>
    <row r="85" spans="1:9" x14ac:dyDescent="0.3">
      <c r="A85" s="179" t="str">
        <f>'AG Jul 2020'!K62</f>
        <v>Dodo Power &amp; Gas</v>
      </c>
      <c r="B85" s="180">
        <f>'AG Jul 2020'!G62</f>
        <v>42551</v>
      </c>
      <c r="C85" s="181">
        <f>91*'AG Jul 2020'!M62/100</f>
        <v>90.520181818181811</v>
      </c>
      <c r="D85" s="181">
        <f>($C$73*$C$74)*'AG Jul 2020'!N62/100</f>
        <v>155.55272727272725</v>
      </c>
      <c r="E85" s="181">
        <v>0</v>
      </c>
      <c r="F85" s="181">
        <f>($C$73*$C$75)*'AG Jul 2020'!AH62/100</f>
        <v>182.04545454545453</v>
      </c>
      <c r="G85" s="181">
        <f>($C$73*$C$76)*'AG Jul 2020'!W62/100</f>
        <v>95.678181818181798</v>
      </c>
      <c r="H85" s="183">
        <f t="shared" si="12"/>
        <v>523.79654545454537</v>
      </c>
      <c r="I85" s="202">
        <f t="shared" si="13"/>
        <v>2304.7048</v>
      </c>
    </row>
    <row r="86" spans="1:9" x14ac:dyDescent="0.3">
      <c r="A86" s="179" t="str">
        <f>'AG Jul 2020'!K63</f>
        <v>EnergyAustralia</v>
      </c>
      <c r="B86" s="180">
        <f>'AG Jul 2020'!G63</f>
        <v>42551</v>
      </c>
      <c r="C86" s="181">
        <f>91*'AG Jul 2020'!M63/100</f>
        <v>81.808999999999997</v>
      </c>
      <c r="D86" s="181">
        <f>($C$73*$C$74)*'AG Jul 2020'!N63/100</f>
        <v>177.08727272727273</v>
      </c>
      <c r="E86" s="181">
        <v>0</v>
      </c>
      <c r="F86" s="181">
        <f>($C$73*$C$75)*'AG Jul 2020'!AH63/100</f>
        <v>226.71818181818185</v>
      </c>
      <c r="G86" s="181">
        <f>($C$73*$C$76)*'AG Jul 2020'!W63/100</f>
        <v>86.890909090909076</v>
      </c>
      <c r="H86" s="183">
        <f t="shared" si="12"/>
        <v>572.50536363636365</v>
      </c>
      <c r="I86" s="202">
        <f t="shared" si="13"/>
        <v>2519.0236000000004</v>
      </c>
    </row>
    <row r="87" spans="1:9" x14ac:dyDescent="0.3">
      <c r="A87" s="179" t="str">
        <f>'AG Jul 2020'!K64</f>
        <v>Mojo Power</v>
      </c>
      <c r="B87" s="180">
        <f>'AG Jul 2020'!G64</f>
        <v>42553</v>
      </c>
      <c r="C87" s="181">
        <f>91*'AG Jul 2020'!M64/100</f>
        <v>91.529454545454541</v>
      </c>
      <c r="D87" s="181">
        <f>($C$73*$C$74)*'AG Jul 2020'!N64/100</f>
        <v>133.16727272727269</v>
      </c>
      <c r="E87" s="181">
        <v>0</v>
      </c>
      <c r="F87" s="181">
        <f>($C$73*$C$75)*'AG Jul 2020'!AH64/100</f>
        <v>206.26363636363635</v>
      </c>
      <c r="G87" s="181">
        <f>($C$73*$C$76)*'AG Jul 2020'!W64/100</f>
        <v>99.9</v>
      </c>
      <c r="H87" s="183">
        <f t="shared" si="12"/>
        <v>530.86036363636356</v>
      </c>
      <c r="I87" s="202">
        <f t="shared" si="13"/>
        <v>2335.7855999999997</v>
      </c>
    </row>
    <row r="88" spans="1:9" x14ac:dyDescent="0.3">
      <c r="A88" s="179" t="str">
        <f>'AG Jul 2020'!K65</f>
        <v>Momentum Energy</v>
      </c>
      <c r="B88" s="180">
        <f>'AG Jul 2020'!G65</f>
        <v>42551</v>
      </c>
      <c r="C88" s="181">
        <f>91*'AG Jul 2020'!M65/100</f>
        <v>80.096545454545435</v>
      </c>
      <c r="D88" s="181">
        <f>($C$73*$C$74)*'AG Jul 2020'!N65/100</f>
        <v>125.37818181818182</v>
      </c>
      <c r="E88" s="181">
        <v>0</v>
      </c>
      <c r="F88" s="181">
        <f>($C$73*$C$75)*'AG Jul 2020'!AH65/100</f>
        <v>223.77272727272728</v>
      </c>
      <c r="G88" s="181">
        <f>($C$73*$C$76)*'AG Jul 2020'!W65/100</f>
        <v>92.73272727272726</v>
      </c>
      <c r="H88" s="183">
        <f t="shared" si="12"/>
        <v>521.98018181818179</v>
      </c>
      <c r="I88" s="202">
        <f t="shared" si="13"/>
        <v>2296.7128000000002</v>
      </c>
    </row>
    <row r="89" spans="1:9" x14ac:dyDescent="0.3">
      <c r="A89" s="179" t="str">
        <f>'AG Jul 2020'!K66</f>
        <v>Origin Energy</v>
      </c>
      <c r="B89" s="180">
        <f>'AG Jul 2020'!G66</f>
        <v>42551</v>
      </c>
      <c r="C89" s="181">
        <f>91*'AG Jul 2020'!M66/100</f>
        <v>71.22818181818181</v>
      </c>
      <c r="D89" s="181">
        <f>($C$73*$C$74)*'AG Jul 2020'!N66/100</f>
        <v>96.316363636363619</v>
      </c>
      <c r="E89" s="181">
        <v>0</v>
      </c>
      <c r="F89" s="181">
        <f>($C$73*$C$75)*'AG Jul 2020'!AH66/100</f>
        <v>240.79090909090905</v>
      </c>
      <c r="G89" s="181">
        <f>($C$73*$C$76)*'AG Jul 2020'!W66/100</f>
        <v>144.47454545454545</v>
      </c>
      <c r="H89" s="183">
        <f t="shared" si="12"/>
        <v>552.80999999999995</v>
      </c>
      <c r="I89" s="202">
        <f t="shared" si="13"/>
        <v>2432.364</v>
      </c>
    </row>
    <row r="90" spans="1:9" x14ac:dyDescent="0.3">
      <c r="A90" s="179" t="str">
        <f>'AG Jul 2020'!K67</f>
        <v>Powerdirect</v>
      </c>
      <c r="B90" s="180">
        <f>'AG Jul 2020'!G67</f>
        <v>42551</v>
      </c>
      <c r="C90" s="181">
        <f>91*'AG Jul 2020'!M67/100</f>
        <v>79.17</v>
      </c>
      <c r="D90" s="181">
        <f>($C$73*$C$74)*'AG Jul 2020'!N67/100</f>
        <v>179.74799999999999</v>
      </c>
      <c r="E90" s="181">
        <v>0</v>
      </c>
      <c r="F90" s="181">
        <f>($C$73*$C$75)*'AG Jul 2020'!AH67/100</f>
        <v>193.94999999999996</v>
      </c>
      <c r="G90" s="181">
        <f>($C$73*$C$76)*'AG Jul 2020'!W67/100</f>
        <v>76.787999999999997</v>
      </c>
      <c r="H90" s="183">
        <f t="shared" si="12"/>
        <v>529.65599999999995</v>
      </c>
      <c r="I90" s="202">
        <f t="shared" si="13"/>
        <v>2330.4863999999998</v>
      </c>
    </row>
    <row r="91" spans="1:9" x14ac:dyDescent="0.3">
      <c r="A91" s="179" t="str">
        <f>'AG Jul 2020'!K68</f>
        <v>Powershop</v>
      </c>
      <c r="B91" s="180">
        <f>'AG Jul 2020'!G68</f>
        <v>42551</v>
      </c>
      <c r="C91" s="181">
        <f>91*'AG Jul 2020'!M68/100</f>
        <v>89.841818181818184</v>
      </c>
      <c r="D91" s="181">
        <f>($C$73*$C$74)*'AG Jul 2020'!N68/100</f>
        <v>86.269090909090906</v>
      </c>
      <c r="E91" s="181">
        <v>0</v>
      </c>
      <c r="F91" s="181">
        <f>($C$73*$C$75)*'AG Jul 2020'!AH68/100</f>
        <v>215.67272727272723</v>
      </c>
      <c r="G91" s="181">
        <f>($C$73*$C$76)*'AG Jul 2020'!W68/100</f>
        <v>129.40363636363634</v>
      </c>
      <c r="H91" s="183">
        <f t="shared" si="12"/>
        <v>521.18727272727267</v>
      </c>
      <c r="I91" s="202">
        <f t="shared" si="13"/>
        <v>2293.2240000000002</v>
      </c>
    </row>
    <row r="92" spans="1:9" x14ac:dyDescent="0.3">
      <c r="A92" s="179" t="str">
        <f>'AG Jul 2020'!K69</f>
        <v>Red Energy</v>
      </c>
      <c r="B92" s="180">
        <f>'AG Jul 2020'!G69</f>
        <v>42551</v>
      </c>
      <c r="C92" s="181">
        <f>91*'AG Jul 2020'!M69/100</f>
        <v>83.992999999999995</v>
      </c>
      <c r="D92" s="181">
        <f>($C$73*$C$74)*'AG Jul 2020'!N69/100</f>
        <v>135</v>
      </c>
      <c r="E92" s="181">
        <v>0</v>
      </c>
      <c r="F92" s="181">
        <f>($C$73*$C$75)*'AG Jul 2020'!AH69/100</f>
        <v>233.59090909090909</v>
      </c>
      <c r="G92" s="181">
        <f>($C$73*$C$76)*'AG Jul 2020'!W69/100</f>
        <v>80.459999999999994</v>
      </c>
      <c r="H92" s="183">
        <f t="shared" si="12"/>
        <v>533.0439090909091</v>
      </c>
      <c r="I92" s="202">
        <f t="shared" si="13"/>
        <v>2345.3932000000004</v>
      </c>
    </row>
    <row r="93" spans="1:9" x14ac:dyDescent="0.3">
      <c r="A93" s="179" t="str">
        <f>'AG Jul 2020'!K70</f>
        <v>Simply Energy</v>
      </c>
      <c r="B93" s="180">
        <f>'AG Jul 2020'!G70</f>
        <v>42551</v>
      </c>
      <c r="C93" s="181">
        <f>91*'AG Jul 2020'!M70/100</f>
        <v>77.440999999999988</v>
      </c>
      <c r="D93" s="181">
        <f>($C$73*$C$74)*'AG Jul 2020'!N70/100</f>
        <v>93.632727272727266</v>
      </c>
      <c r="E93" s="181">
        <v>0</v>
      </c>
      <c r="F93" s="181">
        <f>($C$73*$C$75)*'AG Jul 2020'!AH70/100</f>
        <v>234.08181818181816</v>
      </c>
      <c r="G93" s="181">
        <f>($C$73*$C$76)*'AG Jul 2020'!W70/100</f>
        <v>140.4490909090909</v>
      </c>
      <c r="H93" s="183">
        <f t="shared" si="12"/>
        <v>545.60463636363625</v>
      </c>
      <c r="I93" s="202">
        <f t="shared" si="13"/>
        <v>2400.6603999999998</v>
      </c>
    </row>
    <row r="94" spans="1:9" x14ac:dyDescent="0.3">
      <c r="A94" s="179" t="str">
        <f>'AG Jul 2020'!K71</f>
        <v>1st Energy</v>
      </c>
      <c r="B94" s="180">
        <f>'AG Jul 2020'!G71</f>
        <v>42551</v>
      </c>
      <c r="C94" s="181">
        <f>91*'AG Jul 2020'!M71/100</f>
        <v>90.999999999999986</v>
      </c>
      <c r="D94" s="181">
        <f>($C$73*$C$74)*'AG Jul 2020'!N71/100</f>
        <v>145.07999999999998</v>
      </c>
      <c r="E94" s="181">
        <v>0</v>
      </c>
      <c r="F94" s="181">
        <f>($C$73*$C$75)*'AG Jul 2020'!AH71/100</f>
        <v>172.8</v>
      </c>
      <c r="G94" s="181">
        <f>($C$73*$C$76)*'AG Jul 2020'!W71/100</f>
        <v>83.16</v>
      </c>
      <c r="H94" s="183">
        <f t="shared" si="12"/>
        <v>492.03999999999996</v>
      </c>
      <c r="I94" s="202">
        <f t="shared" si="13"/>
        <v>2164.9760000000001</v>
      </c>
    </row>
    <row r="95" spans="1:9" x14ac:dyDescent="0.3">
      <c r="A95" s="179" t="str">
        <f>'AG Jul 2020'!K72</f>
        <v>Amaysim</v>
      </c>
      <c r="B95" s="180">
        <f>'AG Jul 2020'!G72</f>
        <v>42551</v>
      </c>
      <c r="C95" s="181">
        <f>91*'AG Jul 2020'!M72/100</f>
        <v>81.899999999999991</v>
      </c>
      <c r="D95" s="181">
        <f>($C$73*$C$74)*'AG Jul 2020'!N72/100</f>
        <v>136.43999999999997</v>
      </c>
      <c r="E95" s="181">
        <v>0</v>
      </c>
      <c r="F95" s="181">
        <f>($C$73*$C$75)*'AG Jul 2020'!AH72/100</f>
        <v>203.39999999999998</v>
      </c>
      <c r="G95" s="181">
        <f>($C$73*$C$76)*'AG Jul 2020'!W72/100</f>
        <v>113.69454545454546</v>
      </c>
      <c r="H95" s="183">
        <f t="shared" ref="H95:H103" si="14">SUM(C95:G95)</f>
        <v>535.4345454545454</v>
      </c>
      <c r="I95" s="202">
        <f t="shared" ref="I95:I103" si="15">(H95*4)*1.1</f>
        <v>2355.9119999999998</v>
      </c>
    </row>
    <row r="96" spans="1:9" x14ac:dyDescent="0.3">
      <c r="A96" s="179" t="str">
        <f>'AG Jul 2020'!K73</f>
        <v>Enova Energy</v>
      </c>
      <c r="B96" s="180">
        <f>'AG Jul 2020'!G73</f>
        <v>42551</v>
      </c>
      <c r="C96" s="181">
        <f>91*'AG Jul 2020'!M73/100</f>
        <v>77.349999999999994</v>
      </c>
      <c r="D96" s="181">
        <f>($C$73*$C$74)*'AG Jul 2020'!N73/100</f>
        <v>87.12</v>
      </c>
      <c r="E96" s="181">
        <v>0</v>
      </c>
      <c r="F96" s="181">
        <f>($C$73*$C$75)*'AG Jul 2020'!AH73/100</f>
        <v>217.8</v>
      </c>
      <c r="G96" s="181">
        <f>($C$73*$C$76)*'AG Jul 2020'!W73/100</f>
        <v>130.68</v>
      </c>
      <c r="H96" s="183">
        <f t="shared" si="14"/>
        <v>512.95000000000005</v>
      </c>
      <c r="I96" s="202">
        <f t="shared" si="15"/>
        <v>2256.9800000000005</v>
      </c>
    </row>
    <row r="97" spans="1:9" x14ac:dyDescent="0.3">
      <c r="A97" s="179" t="str">
        <f>'AG Jul 2020'!K74</f>
        <v>Discover Energy</v>
      </c>
      <c r="B97" s="180">
        <f>'AG Jul 2020'!G74</f>
        <v>42551</v>
      </c>
      <c r="C97" s="181">
        <f>91*'AG Jul 2020'!M74/100</f>
        <v>70.525000000000006</v>
      </c>
      <c r="D97" s="181">
        <f>($C$73*$C$74)*'AG Jul 2020'!N74/100</f>
        <v>162.35999999999999</v>
      </c>
      <c r="E97" s="181">
        <v>0</v>
      </c>
      <c r="F97" s="181">
        <f>($C$73*$C$75)*'AG Jul 2020'!AH74/100</f>
        <v>167.89090909090908</v>
      </c>
      <c r="G97" s="181">
        <f>($C$73*$C$76)*'AG Jul 2020'!W74/100</f>
        <v>95.72727272727272</v>
      </c>
      <c r="H97" s="183">
        <f t="shared" si="14"/>
        <v>496.50318181818182</v>
      </c>
      <c r="I97" s="202">
        <f t="shared" si="15"/>
        <v>2184.614</v>
      </c>
    </row>
    <row r="98" spans="1:9" x14ac:dyDescent="0.3">
      <c r="A98" s="179" t="str">
        <f>'AG Jul 2020'!K75</f>
        <v>Future X Power</v>
      </c>
      <c r="B98" s="180">
        <f>'AG Jul 2020'!G75</f>
        <v>42494</v>
      </c>
      <c r="C98" s="181">
        <f>91*'AG Jul 2020'!M75/100</f>
        <v>99.661545454545447</v>
      </c>
      <c r="D98" s="181">
        <f>($C$73*$C$74)*'AG Jul 2020'!N75/100</f>
        <v>141.84</v>
      </c>
      <c r="E98" s="181">
        <v>0</v>
      </c>
      <c r="F98" s="181">
        <f>($C$73*$C$75)*'AG Jul 2020'!AH75/100</f>
        <v>175.99090909090907</v>
      </c>
      <c r="G98" s="181">
        <f>($C$73*$C$76)*'AG Jul 2020'!W75/100</f>
        <v>66.518181818181816</v>
      </c>
      <c r="H98" s="183">
        <f t="shared" si="14"/>
        <v>484.01063636363631</v>
      </c>
      <c r="I98" s="202">
        <f t="shared" si="15"/>
        <v>2129.6468</v>
      </c>
    </row>
    <row r="99" spans="1:9" x14ac:dyDescent="0.3">
      <c r="A99" s="179" t="str">
        <f>'AG Jul 2020'!K76</f>
        <v>Nectr</v>
      </c>
      <c r="B99" s="180">
        <f>'AG Jul 2020'!G76</f>
        <v>42551</v>
      </c>
      <c r="C99" s="181">
        <f>91*'AG Jul 2020'!M76/100</f>
        <v>82.99199999999999</v>
      </c>
      <c r="D99" s="181">
        <f>($C$73*$C$74)*'AG Jul 2020'!N76/100</f>
        <v>180.35999999999996</v>
      </c>
      <c r="E99" s="181">
        <v>0</v>
      </c>
      <c r="F99" s="181">
        <f>($C$73*$C$75)*'AG Jul 2020'!AH76/100</f>
        <v>204.29999999999995</v>
      </c>
      <c r="G99" s="181">
        <f>($C$73*$C$76)*'AG Jul 2020'!W76/100</f>
        <v>73.44</v>
      </c>
      <c r="H99" s="183">
        <f t="shared" si="14"/>
        <v>541.09199999999987</v>
      </c>
      <c r="I99" s="202">
        <f t="shared" si="15"/>
        <v>2380.8047999999994</v>
      </c>
    </row>
    <row r="100" spans="1:9" x14ac:dyDescent="0.3">
      <c r="A100" s="179" t="str">
        <f>'AG Jul 2020'!K77</f>
        <v>People Energy</v>
      </c>
      <c r="B100" s="180">
        <f>'AG Jul 2020'!G77</f>
        <v>42551</v>
      </c>
      <c r="C100" s="181">
        <f>91*'AG Jul 2020'!M77/100</f>
        <v>91.529454545454541</v>
      </c>
      <c r="D100" s="181">
        <f>($C$73*$C$74)*'AG Jul 2020'!N77/100</f>
        <v>133.16727272727269</v>
      </c>
      <c r="E100" s="181">
        <v>0</v>
      </c>
      <c r="F100" s="181">
        <f>($C$73*$C$75)*'AG Jul 2020'!AH77/100</f>
        <v>206.26363636363635</v>
      </c>
      <c r="G100" s="181">
        <f>($C$73*$C$76)*'AG Jul 2020'!W77/100</f>
        <v>99.9</v>
      </c>
      <c r="H100" s="183">
        <f t="shared" si="14"/>
        <v>530.86036363636356</v>
      </c>
      <c r="I100" s="202">
        <f t="shared" si="15"/>
        <v>2335.7855999999997</v>
      </c>
    </row>
    <row r="101" spans="1:9" x14ac:dyDescent="0.3">
      <c r="A101" s="179" t="str">
        <f>'AG Jul 2020'!K78</f>
        <v>Elysian Energy</v>
      </c>
      <c r="B101" s="180">
        <f>'AG Jul 2020'!G78</f>
        <v>42551</v>
      </c>
      <c r="C101" s="181">
        <f>91*'AG Jul 2020'!M78/100</f>
        <v>115.23909090909092</v>
      </c>
      <c r="D101" s="181">
        <f>($C$73*$C$74)*'AG Jul 2020'!N78/100</f>
        <v>143.31272727272727</v>
      </c>
      <c r="E101" s="181">
        <v>0</v>
      </c>
      <c r="F101" s="181">
        <f>($C$73*$C$75)*'AG Jul 2020'!AH78/100</f>
        <v>132.13636363636363</v>
      </c>
      <c r="G101" s="181">
        <f>($C$73*$C$76)*'AG Jul 2020'!W78/100</f>
        <v>78.987272727272725</v>
      </c>
      <c r="H101" s="183">
        <f t="shared" si="14"/>
        <v>469.67545454545456</v>
      </c>
      <c r="I101" s="202">
        <f t="shared" si="15"/>
        <v>2066.5720000000001</v>
      </c>
    </row>
    <row r="102" spans="1:9" x14ac:dyDescent="0.3">
      <c r="A102" s="179" t="str">
        <f>'AG Jul 2020'!K79</f>
        <v>Sumo Power</v>
      </c>
      <c r="B102" s="180">
        <f>'AG Jul 2020'!G79</f>
        <v>42551</v>
      </c>
      <c r="C102" s="181">
        <f>91*'AG Jul 2020'!M79/100</f>
        <v>90.999999999999986</v>
      </c>
      <c r="D102" s="181">
        <f>($C$73*$C$74)*'AG Jul 2020'!N79/100</f>
        <v>136.79999999999998</v>
      </c>
      <c r="E102" s="181">
        <v>0</v>
      </c>
      <c r="F102" s="181">
        <f>($C$73*$C$75)*'AG Jul 2020'!AH79/100</f>
        <v>180</v>
      </c>
      <c r="G102" s="181">
        <f>($C$73*$C$76)*'AG Jul 2020'!W79/100</f>
        <v>88.56</v>
      </c>
      <c r="H102" s="183">
        <f t="shared" si="14"/>
        <v>496.35999999999996</v>
      </c>
      <c r="I102" s="202">
        <f t="shared" si="15"/>
        <v>2183.9839999999999</v>
      </c>
    </row>
    <row r="103" spans="1:9" s="266" customFormat="1" ht="14" thickBot="1" x14ac:dyDescent="0.35">
      <c r="A103" s="184" t="str">
        <f>'AG Jul 2020'!K80</f>
        <v>Tango Energy</v>
      </c>
      <c r="B103" s="185">
        <f>'AG Jul 2020'!G80</f>
        <v>42551</v>
      </c>
      <c r="C103" s="186">
        <f>91*'AG Jul 2020'!M80/100</f>
        <v>81.991</v>
      </c>
      <c r="D103" s="186">
        <f>($C$73*$C$74)*'AG Jul 2020'!N80/100</f>
        <v>151.19999999999999</v>
      </c>
      <c r="E103" s="186">
        <v>0</v>
      </c>
      <c r="F103" s="186">
        <f>($C$73*$C$75)*'AG Jul 2020'!AH80/100</f>
        <v>181.79999999999995</v>
      </c>
      <c r="G103" s="186">
        <f>($C$73*$C$76)*'AG Jul 2020'!W80/100</f>
        <v>80.459999999999994</v>
      </c>
      <c r="H103" s="188">
        <f t="shared" si="14"/>
        <v>495.45099999999991</v>
      </c>
      <c r="I103" s="203">
        <f t="shared" si="15"/>
        <v>2179.9843999999998</v>
      </c>
    </row>
  </sheetData>
  <sheetProtection algorithmName="SHA-512" hashValue="clQR/peQkTi2aAjwZmpDujWgcLP9GOa9oOna4J7M3l93KIn+SCiex2GWPM753N2ed1PAH/vBJ1OnmjMpOfMtEQ==" saltValue="fwLa4LkgIhchYjQHrD7Ztw==" spinCount="100000" sheet="1" objects="1" scenario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6C06AEFE68DA44B3582731E93C0ECA" ma:contentTypeVersion="15" ma:contentTypeDescription="Create a new document." ma:contentTypeScope="" ma:versionID="30ca38b1eff923f3368842b7c3ec4c70">
  <xsd:schema xmlns:xsd="http://www.w3.org/2001/XMLSchema" xmlns:xs="http://www.w3.org/2001/XMLSchema" xmlns:p="http://schemas.microsoft.com/office/2006/metadata/properties" xmlns:ns2="e946c23e-31c6-4ae6-bb23-d746b577e357" xmlns:ns3="d52e542d-780a-4ad3-81e5-efaa2ff47712" xmlns:ns4="73d85984-15f2-4ae1-928a-e67d5ef2c9c8" targetNamespace="http://schemas.microsoft.com/office/2006/metadata/properties" ma:root="true" ma:fieldsID="7d015c40a05cddf47453fe44a3ce9b64" ns2:_="" ns3:_="" ns4:_="">
    <xsd:import namespace="e946c23e-31c6-4ae6-bb23-d746b577e357"/>
    <xsd:import namespace="d52e542d-780a-4ad3-81e5-efaa2ff47712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46c23e-31c6-4ae6-bb23-d746b577e3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2e542d-780a-4ad3-81e5-efaa2ff4771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586c982e-a356-4c35-8f67-e15c6e843ba3}" ma:internalName="TaxCatchAll" ma:showField="CatchAllData" ma:web="d52e542d-780a-4ad3-81e5-efaa2ff47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A0A3A4-D271-4444-975E-B1EF83B761E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C1ABF4-EE63-4432-A99D-B58A79C4B5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46c23e-31c6-4ae6-bb23-d746b577e357"/>
    <ds:schemaRef ds:uri="d52e542d-780a-4ad3-81e5-efaa2ff47712"/>
    <ds:schemaRef ds:uri="73d85984-15f2-4ae1-928a-e67d5ef2c9c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Summary</vt:lpstr>
      <vt:lpstr>ESS Bills July2022</vt:lpstr>
      <vt:lpstr>AG Bills July2022</vt:lpstr>
      <vt:lpstr>END Bills July2022</vt:lpstr>
      <vt:lpstr>ESS Bills July2021</vt:lpstr>
      <vt:lpstr>AG Bills July2021</vt:lpstr>
      <vt:lpstr>END Bills July2021</vt:lpstr>
      <vt:lpstr>ESS Bills July2020</vt:lpstr>
      <vt:lpstr>AG Bills July2020</vt:lpstr>
      <vt:lpstr>END Bills July2020</vt:lpstr>
      <vt:lpstr>ESS Bills July2019</vt:lpstr>
      <vt:lpstr>AG Bills July2019</vt:lpstr>
      <vt:lpstr>END Bills July2019</vt:lpstr>
      <vt:lpstr>ESS Bills July2018</vt:lpstr>
      <vt:lpstr>AG Bills July2018</vt:lpstr>
      <vt:lpstr>END Bills July2018</vt:lpstr>
      <vt:lpstr>ESS Bills July2017</vt:lpstr>
      <vt:lpstr>AG Bills July2017</vt:lpstr>
      <vt:lpstr>END Bills July2017</vt:lpstr>
      <vt:lpstr>ESS Bills July2016</vt:lpstr>
      <vt:lpstr>AG Bills July2016</vt:lpstr>
      <vt:lpstr>END Bills July2016</vt:lpstr>
      <vt:lpstr>Bills Jul'15</vt:lpstr>
      <vt:lpstr>Bills Jul'14</vt:lpstr>
      <vt:lpstr>Bills Jul'13</vt:lpstr>
      <vt:lpstr>Bills Jul'12</vt:lpstr>
      <vt:lpstr>Bills Jul'11</vt:lpstr>
      <vt:lpstr>Bills Jul'10</vt:lpstr>
      <vt:lpstr>Bills Jul'09</vt:lpstr>
      <vt:lpstr>Bills Jul'08</vt:lpstr>
      <vt:lpstr>ESS Jul 2022</vt:lpstr>
      <vt:lpstr>AG Jul 2022</vt:lpstr>
      <vt:lpstr>END Jul 2022</vt:lpstr>
      <vt:lpstr>ESS Jul 2021</vt:lpstr>
      <vt:lpstr>AG Jul 2021</vt:lpstr>
      <vt:lpstr>END Jul 2021</vt:lpstr>
      <vt:lpstr>ESS Jul 2020</vt:lpstr>
      <vt:lpstr>AG Jul 2020</vt:lpstr>
      <vt:lpstr>END Jul 2020</vt:lpstr>
      <vt:lpstr>ESS Jul 2019</vt:lpstr>
      <vt:lpstr>AG Jul 2019</vt:lpstr>
      <vt:lpstr>END Jul 2019</vt:lpstr>
      <vt:lpstr>ESS Jul 2018</vt:lpstr>
      <vt:lpstr>AG Jul 2018</vt:lpstr>
      <vt:lpstr>END Jul 2018</vt:lpstr>
      <vt:lpstr>ESS Jul 2017</vt:lpstr>
      <vt:lpstr>AG Jul 2017</vt:lpstr>
      <vt:lpstr>END Jul 2017</vt:lpstr>
      <vt:lpstr>ESS Jul 2016</vt:lpstr>
      <vt:lpstr>AG Jul 2016</vt:lpstr>
      <vt:lpstr>END Jul 2016</vt:lpstr>
      <vt:lpstr>Essential Jul'15</vt:lpstr>
      <vt:lpstr>Ausgrid Jul'15</vt:lpstr>
      <vt:lpstr>Endeavour Jul'15</vt:lpstr>
      <vt:lpstr>Essential Jul'14</vt:lpstr>
      <vt:lpstr>Ausgrid Jul'14</vt:lpstr>
      <vt:lpstr>Endeavour Jul'14</vt:lpstr>
      <vt:lpstr>Tariffs Jul'13</vt:lpstr>
      <vt:lpstr>Tariffs Jul'12</vt:lpstr>
      <vt:lpstr>Tariffs Jul'11</vt:lpstr>
      <vt:lpstr>Tariffs Jul'10</vt:lpstr>
      <vt:lpstr>Tariffs Jul'09</vt:lpstr>
      <vt:lpstr>Tariffs Jul'08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May Johnston</dc:creator>
  <cp:keywords/>
  <dc:description/>
  <cp:lastModifiedBy>Kathy Jiang</cp:lastModifiedBy>
  <cp:revision/>
  <dcterms:created xsi:type="dcterms:W3CDTF">2011-03-24T01:01:43Z</dcterms:created>
  <dcterms:modified xsi:type="dcterms:W3CDTF">2022-11-03T00:29:33Z</dcterms:modified>
  <cp:category/>
  <cp:contentStatus/>
</cp:coreProperties>
</file>