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vinnsw-my.sharepoint.com/personal/kathy_jiang_vinnies_org_au/Documents/Website/Energy/"/>
    </mc:Choice>
  </mc:AlternateContent>
  <xr:revisionPtr revIDLastSave="0" documentId="8_{E0F1EC92-6D51-4F45-A763-E34DF573E28E}" xr6:coauthVersionLast="47" xr6:coauthVersionMax="47" xr10:uidLastSave="{00000000-0000-0000-0000-000000000000}"/>
  <workbookProtection workbookAlgorithmName="SHA-512" workbookHashValue="R9NGtO66Cl0WOiH/vFrBjZ0DCYCWeUa0w8weo+N0KlatodgaTsbVJs9hu4pjSBKL6d8sD2V3BwQdgPKLbzkdNw==" workbookSaltValue="9iJTBh5QZ00Erdax6l2xvA==" workbookSpinCount="100000" lockStructure="1"/>
  <bookViews>
    <workbookView xWindow="-110" yWindow="-110" windowWidth="19420" windowHeight="10420" tabRatio="500" xr2:uid="{00000000-000D-0000-FFFF-FFFF00000000}"/>
  </bookViews>
  <sheets>
    <sheet name="Summary" sheetId="1" r:id="rId1"/>
    <sheet name="Bills Jul'22" sheetId="37" r:id="rId2"/>
    <sheet name="Bills Jul'21" sheetId="35" r:id="rId3"/>
    <sheet name="Bills Jul'20" sheetId="33" r:id="rId4"/>
    <sheet name="Bills Jul'19" sheetId="31" r:id="rId5"/>
    <sheet name="Bills Jul'18" sheetId="29" r:id="rId6"/>
    <sheet name="Bills Jul'17" sheetId="26" r:id="rId7"/>
    <sheet name="Bills Jul'16" sheetId="25" r:id="rId8"/>
    <sheet name="Bills Jul'15" sheetId="20" r:id="rId9"/>
    <sheet name="Bills Jul'14" sheetId="16" r:id="rId10"/>
    <sheet name="Bills Jul'13" sheetId="12" r:id="rId11"/>
    <sheet name="Bills Jul'12" sheetId="7" r:id="rId12"/>
    <sheet name="Bills Jul'11" sheetId="2" r:id="rId13"/>
    <sheet name="Tariffs 2022" sheetId="36" state="hidden" r:id="rId14"/>
    <sheet name="Tariffs 2021" sheetId="34" state="hidden" r:id="rId15"/>
    <sheet name="Tariffs 2020" sheetId="32" state="hidden" r:id="rId16"/>
    <sheet name="Tariffs 2019" sheetId="30" state="hidden" r:id="rId17"/>
    <sheet name="Tariffs 2018" sheetId="28" state="hidden" r:id="rId18"/>
    <sheet name="Tariffs 2017" sheetId="27" state="hidden" r:id="rId19"/>
    <sheet name="Tariffs 2016" sheetId="24" state="hidden" r:id="rId20"/>
    <sheet name="Jul'15 AGL" sheetId="21" state="hidden" r:id="rId21"/>
    <sheet name="Jul'15 Actew" sheetId="22" state="hidden" r:id="rId22"/>
    <sheet name="Jul'15 Origin" sheetId="23" state="hidden" r:id="rId23"/>
    <sheet name="Jul'14 AGL" sheetId="17" state="hidden" r:id="rId24"/>
    <sheet name="Jul'14 Actew" sheetId="18" state="hidden" r:id="rId25"/>
    <sheet name="Jul'14 Origin" sheetId="19" state="hidden" r:id="rId26"/>
    <sheet name="Jul'13 AGL" sheetId="13" state="hidden" r:id="rId27"/>
    <sheet name="Jul'13 Actew" sheetId="14" state="hidden" r:id="rId28"/>
    <sheet name="Jul'13 Origin" sheetId="15" state="hidden" r:id="rId29"/>
    <sheet name="Jul'12 AGL" sheetId="8" state="hidden" r:id="rId30"/>
    <sheet name="Jul'12 Actew" sheetId="10" state="hidden" r:id="rId31"/>
    <sheet name="Jul'12 Origin" sheetId="11" state="hidden" r:id="rId32"/>
    <sheet name="Jul'11 AGL" sheetId="3" state="hidden" r:id="rId33"/>
    <sheet name="Jul'11 Country" sheetId="5" state="hidden" r:id="rId34"/>
    <sheet name="Jul'11 Actew" sheetId="4" state="hidden" r:id="rId35"/>
    <sheet name="Jul'11 Origin" sheetId="6" state="hidden" r:id="rId36"/>
  </sheets>
  <definedNames>
    <definedName name="_GoBack" localSheetId="3">'Bills Jul''20'!$E$8</definedName>
    <definedName name="_GoBack" localSheetId="2">'Bills Jul''21'!$E$8</definedName>
    <definedName name="_GoBack" localSheetId="1">'Bills Jul''22'!$E$8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5" i="37" l="1"/>
  <c r="E15" i="37"/>
  <c r="F15" i="37"/>
  <c r="G15" i="37"/>
  <c r="H15" i="37"/>
  <c r="I15" i="37"/>
  <c r="J15" i="37"/>
  <c r="O15" i="37"/>
  <c r="P15" i="37"/>
  <c r="Q15" i="37"/>
  <c r="R15" i="37"/>
  <c r="S15" i="37"/>
  <c r="T15" i="37"/>
  <c r="Y15" i="37"/>
  <c r="Z15" i="37"/>
  <c r="D16" i="37"/>
  <c r="E16" i="37"/>
  <c r="F16" i="37"/>
  <c r="G16" i="37"/>
  <c r="H16" i="37"/>
  <c r="K16" i="37" s="1"/>
  <c r="M16" i="37" s="1"/>
  <c r="N16" i="37" s="1"/>
  <c r="I16" i="37"/>
  <c r="J16" i="37"/>
  <c r="O16" i="37"/>
  <c r="P16" i="37"/>
  <c r="Q16" i="37"/>
  <c r="R16" i="37"/>
  <c r="S16" i="37"/>
  <c r="T16" i="37"/>
  <c r="Y16" i="37"/>
  <c r="Z16" i="37"/>
  <c r="A15" i="37"/>
  <c r="B15" i="37"/>
  <c r="C15" i="37"/>
  <c r="A16" i="37"/>
  <c r="B16" i="37"/>
  <c r="C16" i="37"/>
  <c r="K15" i="37" l="1"/>
  <c r="L15" i="37" s="1"/>
  <c r="U16" i="37"/>
  <c r="W16" i="37" s="1"/>
  <c r="L16" i="37"/>
  <c r="V16" i="37"/>
  <c r="X16" i="37" s="1"/>
  <c r="M15" i="37"/>
  <c r="N15" i="37" s="1"/>
  <c r="U15" i="37" l="1"/>
  <c r="W15" i="37" l="1"/>
  <c r="V15" i="37"/>
  <c r="X15" i="37" s="1"/>
  <c r="Z36" i="37" l="1"/>
  <c r="Y36" i="37"/>
  <c r="R36" i="37"/>
  <c r="Q36" i="37"/>
  <c r="P36" i="37"/>
  <c r="O36" i="37"/>
  <c r="J36" i="37"/>
  <c r="I36" i="37"/>
  <c r="H36" i="37"/>
  <c r="G36" i="37"/>
  <c r="F36" i="37"/>
  <c r="E36" i="37"/>
  <c r="D36" i="37"/>
  <c r="C36" i="37"/>
  <c r="B36" i="37"/>
  <c r="A36" i="37"/>
  <c r="T36" i="37" s="1"/>
  <c r="Z35" i="37"/>
  <c r="Y35" i="37"/>
  <c r="R35" i="37"/>
  <c r="Q35" i="37"/>
  <c r="P35" i="37"/>
  <c r="O35" i="37"/>
  <c r="J35" i="37"/>
  <c r="I35" i="37"/>
  <c r="H35" i="37"/>
  <c r="G35" i="37"/>
  <c r="F35" i="37"/>
  <c r="E35" i="37"/>
  <c r="D35" i="37"/>
  <c r="C35" i="37"/>
  <c r="B35" i="37"/>
  <c r="A35" i="37"/>
  <c r="T35" i="37" s="1"/>
  <c r="Z34" i="37"/>
  <c r="Y34" i="37"/>
  <c r="R34" i="37"/>
  <c r="Q34" i="37"/>
  <c r="P34" i="37"/>
  <c r="O34" i="37"/>
  <c r="J34" i="37"/>
  <c r="I34" i="37"/>
  <c r="H34" i="37"/>
  <c r="G34" i="37"/>
  <c r="F34" i="37"/>
  <c r="E34" i="37"/>
  <c r="D34" i="37"/>
  <c r="C34" i="37"/>
  <c r="B34" i="37"/>
  <c r="A34" i="37"/>
  <c r="T34" i="37" s="1"/>
  <c r="Z33" i="37"/>
  <c r="Y33" i="37"/>
  <c r="R33" i="37"/>
  <c r="Q33" i="37"/>
  <c r="P33" i="37"/>
  <c r="O33" i="37"/>
  <c r="J33" i="37"/>
  <c r="I33" i="37"/>
  <c r="H33" i="37"/>
  <c r="G33" i="37"/>
  <c r="F33" i="37"/>
  <c r="E33" i="37"/>
  <c r="D33" i="37"/>
  <c r="C33" i="37"/>
  <c r="B33" i="37"/>
  <c r="A33" i="37"/>
  <c r="T33" i="37" s="1"/>
  <c r="Z32" i="37"/>
  <c r="Y32" i="37"/>
  <c r="R32" i="37"/>
  <c r="Q32" i="37"/>
  <c r="P32" i="37"/>
  <c r="O32" i="37"/>
  <c r="J32" i="37"/>
  <c r="I32" i="37"/>
  <c r="H32" i="37"/>
  <c r="G32" i="37"/>
  <c r="F32" i="37"/>
  <c r="E32" i="37"/>
  <c r="D32" i="37"/>
  <c r="C32" i="37"/>
  <c r="B32" i="37"/>
  <c r="A32" i="37"/>
  <c r="T32" i="37" s="1"/>
  <c r="Z31" i="37"/>
  <c r="Y31" i="37"/>
  <c r="R31" i="37"/>
  <c r="Q31" i="37"/>
  <c r="P31" i="37"/>
  <c r="O31" i="37"/>
  <c r="J31" i="37"/>
  <c r="I31" i="37"/>
  <c r="H31" i="37"/>
  <c r="G31" i="37"/>
  <c r="F31" i="37"/>
  <c r="E31" i="37"/>
  <c r="D31" i="37"/>
  <c r="C31" i="37"/>
  <c r="B31" i="37"/>
  <c r="A31" i="37"/>
  <c r="T31" i="37" s="1"/>
  <c r="Z30" i="37"/>
  <c r="Y30" i="37"/>
  <c r="R30" i="37"/>
  <c r="Q30" i="37"/>
  <c r="P30" i="37"/>
  <c r="O30" i="37"/>
  <c r="J30" i="37"/>
  <c r="I30" i="37"/>
  <c r="H30" i="37"/>
  <c r="G30" i="37"/>
  <c r="F30" i="37"/>
  <c r="E30" i="37"/>
  <c r="D30" i="37"/>
  <c r="C30" i="37"/>
  <c r="B30" i="37"/>
  <c r="A30" i="37"/>
  <c r="T30" i="37" s="1"/>
  <c r="Z29" i="37"/>
  <c r="Y29" i="37"/>
  <c r="R29" i="37"/>
  <c r="Q29" i="37"/>
  <c r="P29" i="37"/>
  <c r="O29" i="37"/>
  <c r="J29" i="37"/>
  <c r="I29" i="37"/>
  <c r="H29" i="37"/>
  <c r="G29" i="37"/>
  <c r="F29" i="37"/>
  <c r="E29" i="37"/>
  <c r="D29" i="37"/>
  <c r="C29" i="37"/>
  <c r="B29" i="37"/>
  <c r="A29" i="37"/>
  <c r="T29" i="37" s="1"/>
  <c r="Z28" i="37"/>
  <c r="Y28" i="37"/>
  <c r="R28" i="37"/>
  <c r="Q28" i="37"/>
  <c r="P28" i="37"/>
  <c r="O28" i="37"/>
  <c r="J28" i="37"/>
  <c r="I28" i="37"/>
  <c r="H28" i="37"/>
  <c r="G28" i="37"/>
  <c r="F28" i="37"/>
  <c r="E28" i="37"/>
  <c r="D28" i="37"/>
  <c r="C28" i="37"/>
  <c r="B28" i="37"/>
  <c r="A28" i="37"/>
  <c r="T28" i="37" s="1"/>
  <c r="Z27" i="37"/>
  <c r="Y27" i="37"/>
  <c r="R27" i="37"/>
  <c r="Q27" i="37"/>
  <c r="P27" i="37"/>
  <c r="O27" i="37"/>
  <c r="J27" i="37"/>
  <c r="I27" i="37"/>
  <c r="H27" i="37"/>
  <c r="G27" i="37"/>
  <c r="F27" i="37"/>
  <c r="E27" i="37"/>
  <c r="D27" i="37"/>
  <c r="C27" i="37"/>
  <c r="B27" i="37"/>
  <c r="A27" i="37"/>
  <c r="T27" i="37" s="1"/>
  <c r="Z26" i="37"/>
  <c r="Y26" i="37"/>
  <c r="R26" i="37"/>
  <c r="Q26" i="37"/>
  <c r="P26" i="37"/>
  <c r="O26" i="37"/>
  <c r="J26" i="37"/>
  <c r="I26" i="37"/>
  <c r="H26" i="37"/>
  <c r="G26" i="37"/>
  <c r="F26" i="37"/>
  <c r="E26" i="37"/>
  <c r="D26" i="37"/>
  <c r="C26" i="37"/>
  <c r="B26" i="37"/>
  <c r="A26" i="37"/>
  <c r="T26" i="37" s="1"/>
  <c r="Z25" i="37"/>
  <c r="Y25" i="37"/>
  <c r="R25" i="37"/>
  <c r="Q25" i="37"/>
  <c r="P25" i="37"/>
  <c r="O25" i="37"/>
  <c r="J25" i="37"/>
  <c r="I25" i="37"/>
  <c r="H25" i="37"/>
  <c r="G25" i="37"/>
  <c r="F25" i="37"/>
  <c r="E25" i="37"/>
  <c r="D25" i="37"/>
  <c r="C25" i="37"/>
  <c r="B25" i="37"/>
  <c r="A25" i="37"/>
  <c r="T25" i="37" s="1"/>
  <c r="Z24" i="37"/>
  <c r="Y24" i="37"/>
  <c r="R24" i="37"/>
  <c r="Q24" i="37"/>
  <c r="P24" i="37"/>
  <c r="O24" i="37"/>
  <c r="J24" i="37"/>
  <c r="I24" i="37"/>
  <c r="H24" i="37"/>
  <c r="G24" i="37"/>
  <c r="F24" i="37"/>
  <c r="E24" i="37"/>
  <c r="D24" i="37"/>
  <c r="C24" i="37"/>
  <c r="B24" i="37"/>
  <c r="A24" i="37"/>
  <c r="T24" i="37" s="1"/>
  <c r="Z23" i="37"/>
  <c r="Y23" i="37"/>
  <c r="R23" i="37"/>
  <c r="Q23" i="37"/>
  <c r="P23" i="37"/>
  <c r="O23" i="37"/>
  <c r="J23" i="37"/>
  <c r="I23" i="37"/>
  <c r="H23" i="37"/>
  <c r="G23" i="37"/>
  <c r="F23" i="37"/>
  <c r="E23" i="37"/>
  <c r="D23" i="37"/>
  <c r="C23" i="37"/>
  <c r="B23" i="37"/>
  <c r="A23" i="37"/>
  <c r="T23" i="37" s="1"/>
  <c r="Z22" i="37"/>
  <c r="Y22" i="37"/>
  <c r="R22" i="37"/>
  <c r="Q22" i="37"/>
  <c r="P22" i="37"/>
  <c r="O22" i="37"/>
  <c r="J22" i="37"/>
  <c r="I22" i="37"/>
  <c r="H22" i="37"/>
  <c r="G22" i="37"/>
  <c r="F22" i="37"/>
  <c r="E22" i="37"/>
  <c r="D22" i="37"/>
  <c r="C22" i="37"/>
  <c r="B22" i="37"/>
  <c r="A22" i="37"/>
  <c r="T22" i="37" s="1"/>
  <c r="Z21" i="37"/>
  <c r="Y21" i="37"/>
  <c r="R21" i="37"/>
  <c r="Q21" i="37"/>
  <c r="P21" i="37"/>
  <c r="O21" i="37"/>
  <c r="J21" i="37"/>
  <c r="I21" i="37"/>
  <c r="H21" i="37"/>
  <c r="G21" i="37"/>
  <c r="F21" i="37"/>
  <c r="E21" i="37"/>
  <c r="D21" i="37"/>
  <c r="C21" i="37"/>
  <c r="B21" i="37"/>
  <c r="A21" i="37"/>
  <c r="T21" i="37" s="1"/>
  <c r="Z20" i="37"/>
  <c r="Y20" i="37"/>
  <c r="R20" i="37"/>
  <c r="Q20" i="37"/>
  <c r="P20" i="37"/>
  <c r="O20" i="37"/>
  <c r="J20" i="37"/>
  <c r="I20" i="37"/>
  <c r="H20" i="37"/>
  <c r="G20" i="37"/>
  <c r="F20" i="37"/>
  <c r="E20" i="37"/>
  <c r="D20" i="37"/>
  <c r="C20" i="37"/>
  <c r="B20" i="37"/>
  <c r="A20" i="37"/>
  <c r="T20" i="37" s="1"/>
  <c r="Z19" i="37"/>
  <c r="Y19" i="37"/>
  <c r="R19" i="37"/>
  <c r="Q19" i="37"/>
  <c r="P19" i="37"/>
  <c r="O19" i="37"/>
  <c r="J19" i="37"/>
  <c r="I19" i="37"/>
  <c r="H19" i="37"/>
  <c r="G19" i="37"/>
  <c r="F19" i="37"/>
  <c r="E19" i="37"/>
  <c r="D19" i="37"/>
  <c r="C19" i="37"/>
  <c r="B19" i="37"/>
  <c r="A19" i="37"/>
  <c r="T19" i="37" s="1"/>
  <c r="Z18" i="37"/>
  <c r="Y18" i="37"/>
  <c r="R18" i="37"/>
  <c r="Q18" i="37"/>
  <c r="P18" i="37"/>
  <c r="O18" i="37"/>
  <c r="J18" i="37"/>
  <c r="I18" i="37"/>
  <c r="H18" i="37"/>
  <c r="G18" i="37"/>
  <c r="F18" i="37"/>
  <c r="E18" i="37"/>
  <c r="D18" i="37"/>
  <c r="C18" i="37"/>
  <c r="B18" i="37"/>
  <c r="A18" i="37"/>
  <c r="T18" i="37" s="1"/>
  <c r="Z17" i="37"/>
  <c r="Y17" i="37"/>
  <c r="R17" i="37"/>
  <c r="Q17" i="37"/>
  <c r="P17" i="37"/>
  <c r="O17" i="37"/>
  <c r="J17" i="37"/>
  <c r="I17" i="37"/>
  <c r="H17" i="37"/>
  <c r="G17" i="37"/>
  <c r="F17" i="37"/>
  <c r="E17" i="37"/>
  <c r="D17" i="37"/>
  <c r="C17" i="37"/>
  <c r="B17" i="37"/>
  <c r="A17" i="37"/>
  <c r="T17" i="37" s="1"/>
  <c r="Z14" i="37"/>
  <c r="Y14" i="37"/>
  <c r="R14" i="37"/>
  <c r="Q14" i="37"/>
  <c r="P14" i="37"/>
  <c r="O14" i="37"/>
  <c r="J14" i="37"/>
  <c r="I14" i="37"/>
  <c r="H14" i="37"/>
  <c r="G14" i="37"/>
  <c r="F14" i="37"/>
  <c r="E14" i="37"/>
  <c r="D14" i="37"/>
  <c r="C14" i="37"/>
  <c r="B14" i="37"/>
  <c r="A14" i="37"/>
  <c r="T14" i="37" s="1"/>
  <c r="Z13" i="37"/>
  <c r="Y13" i="37"/>
  <c r="R13" i="37"/>
  <c r="Q13" i="37"/>
  <c r="P13" i="37"/>
  <c r="O13" i="37"/>
  <c r="J13" i="37"/>
  <c r="I13" i="37"/>
  <c r="H13" i="37"/>
  <c r="G13" i="37"/>
  <c r="F13" i="37"/>
  <c r="E13" i="37"/>
  <c r="D13" i="37"/>
  <c r="C13" i="37"/>
  <c r="B13" i="37"/>
  <c r="A13" i="37"/>
  <c r="T13" i="37" s="1"/>
  <c r="Z12" i="37"/>
  <c r="Y12" i="37"/>
  <c r="R12" i="37"/>
  <c r="Q12" i="37"/>
  <c r="P12" i="37"/>
  <c r="O12" i="37"/>
  <c r="J12" i="37"/>
  <c r="I12" i="37"/>
  <c r="H12" i="37"/>
  <c r="G12" i="37"/>
  <c r="F12" i="37"/>
  <c r="E12" i="37"/>
  <c r="D12" i="37"/>
  <c r="C12" i="37"/>
  <c r="B12" i="37"/>
  <c r="A12" i="37"/>
  <c r="T12" i="37" s="1"/>
  <c r="Z11" i="37"/>
  <c r="Y11" i="37"/>
  <c r="R11" i="37"/>
  <c r="Q11" i="37"/>
  <c r="P11" i="37"/>
  <c r="O11" i="37"/>
  <c r="J11" i="37"/>
  <c r="I11" i="37"/>
  <c r="H11" i="37"/>
  <c r="G11" i="37"/>
  <c r="F11" i="37"/>
  <c r="E11" i="37"/>
  <c r="D11" i="37"/>
  <c r="C11" i="37"/>
  <c r="B11" i="37"/>
  <c r="A11" i="37"/>
  <c r="T11" i="37" s="1"/>
  <c r="Z10" i="37"/>
  <c r="Y10" i="37"/>
  <c r="R10" i="37"/>
  <c r="Q10" i="37"/>
  <c r="P10" i="37"/>
  <c r="O10" i="37"/>
  <c r="J10" i="37"/>
  <c r="I10" i="37"/>
  <c r="H10" i="37"/>
  <c r="G10" i="37"/>
  <c r="F10" i="37"/>
  <c r="E10" i="37"/>
  <c r="D10" i="37"/>
  <c r="C10" i="37"/>
  <c r="B10" i="37"/>
  <c r="A10" i="37"/>
  <c r="T10" i="37" s="1"/>
  <c r="Z9" i="37"/>
  <c r="Y9" i="37"/>
  <c r="R9" i="37"/>
  <c r="Q9" i="37"/>
  <c r="P9" i="37"/>
  <c r="O9" i="37"/>
  <c r="J9" i="37"/>
  <c r="I9" i="37"/>
  <c r="H9" i="37"/>
  <c r="G9" i="37"/>
  <c r="F9" i="37"/>
  <c r="E9" i="37"/>
  <c r="D9" i="37"/>
  <c r="C9" i="37"/>
  <c r="B9" i="37"/>
  <c r="A9" i="37"/>
  <c r="T9" i="37" s="1"/>
  <c r="Z8" i="37"/>
  <c r="Y8" i="37"/>
  <c r="R8" i="37"/>
  <c r="Q8" i="37"/>
  <c r="P8" i="37"/>
  <c r="O8" i="37"/>
  <c r="J8" i="37"/>
  <c r="I8" i="37"/>
  <c r="H8" i="37"/>
  <c r="G8" i="37"/>
  <c r="F8" i="37"/>
  <c r="E8" i="37"/>
  <c r="D8" i="37"/>
  <c r="C8" i="37"/>
  <c r="B8" i="37"/>
  <c r="A8" i="37"/>
  <c r="T8" i="37" s="1"/>
  <c r="S15" i="35"/>
  <c r="T15" i="35"/>
  <c r="Y15" i="35"/>
  <c r="Z15" i="35"/>
  <c r="S16" i="35"/>
  <c r="T16" i="35"/>
  <c r="Y16" i="35"/>
  <c r="Z16" i="35"/>
  <c r="A15" i="35"/>
  <c r="B15" i="35"/>
  <c r="C15" i="35"/>
  <c r="D15" i="35"/>
  <c r="E15" i="35"/>
  <c r="F15" i="35"/>
  <c r="G15" i="35"/>
  <c r="H15" i="35"/>
  <c r="I15" i="35"/>
  <c r="J15" i="35"/>
  <c r="O15" i="35"/>
  <c r="P15" i="35"/>
  <c r="Q15" i="35"/>
  <c r="R15" i="35"/>
  <c r="A16" i="35"/>
  <c r="B16" i="35"/>
  <c r="C16" i="35"/>
  <c r="D16" i="35"/>
  <c r="E16" i="35"/>
  <c r="F16" i="35"/>
  <c r="G16" i="35"/>
  <c r="H16" i="35"/>
  <c r="I16" i="35"/>
  <c r="J16" i="35"/>
  <c r="O16" i="35"/>
  <c r="P16" i="35"/>
  <c r="Q16" i="35"/>
  <c r="R16" i="35"/>
  <c r="Z36" i="35"/>
  <c r="Y36" i="35"/>
  <c r="R36" i="35"/>
  <c r="Q36" i="35"/>
  <c r="P36" i="35"/>
  <c r="O36" i="35"/>
  <c r="J36" i="35"/>
  <c r="I36" i="35"/>
  <c r="H36" i="35"/>
  <c r="G36" i="35"/>
  <c r="F36" i="35"/>
  <c r="E36" i="35"/>
  <c r="D36" i="35"/>
  <c r="C36" i="35"/>
  <c r="B36" i="35"/>
  <c r="A36" i="35"/>
  <c r="T36" i="35" s="1"/>
  <c r="Z35" i="35"/>
  <c r="Y35" i="35"/>
  <c r="R35" i="35"/>
  <c r="Q35" i="35"/>
  <c r="P35" i="35"/>
  <c r="O35" i="35"/>
  <c r="J35" i="35"/>
  <c r="I35" i="35"/>
  <c r="H35" i="35"/>
  <c r="G35" i="35"/>
  <c r="F35" i="35"/>
  <c r="E35" i="35"/>
  <c r="D35" i="35"/>
  <c r="C35" i="35"/>
  <c r="B35" i="35"/>
  <c r="A35" i="35"/>
  <c r="T35" i="35" s="1"/>
  <c r="Z34" i="35"/>
  <c r="Y34" i="35"/>
  <c r="R34" i="35"/>
  <c r="Q34" i="35"/>
  <c r="P34" i="35"/>
  <c r="O34" i="35"/>
  <c r="J34" i="35"/>
  <c r="I34" i="35"/>
  <c r="H34" i="35"/>
  <c r="G34" i="35"/>
  <c r="F34" i="35"/>
  <c r="E34" i="35"/>
  <c r="D34" i="35"/>
  <c r="C34" i="35"/>
  <c r="B34" i="35"/>
  <c r="A34" i="35"/>
  <c r="T34" i="35" s="1"/>
  <c r="Z33" i="35"/>
  <c r="Y33" i="35"/>
  <c r="R33" i="35"/>
  <c r="Q33" i="35"/>
  <c r="P33" i="35"/>
  <c r="O33" i="35"/>
  <c r="J33" i="35"/>
  <c r="I33" i="35"/>
  <c r="H33" i="35"/>
  <c r="G33" i="35"/>
  <c r="F33" i="35"/>
  <c r="E33" i="35"/>
  <c r="D33" i="35"/>
  <c r="C33" i="35"/>
  <c r="B33" i="35"/>
  <c r="A33" i="35"/>
  <c r="T33" i="35" s="1"/>
  <c r="Z32" i="35"/>
  <c r="Y32" i="35"/>
  <c r="R32" i="35"/>
  <c r="Q32" i="35"/>
  <c r="P32" i="35"/>
  <c r="O32" i="35"/>
  <c r="J32" i="35"/>
  <c r="I32" i="35"/>
  <c r="H32" i="35"/>
  <c r="G32" i="35"/>
  <c r="F32" i="35"/>
  <c r="E32" i="35"/>
  <c r="D32" i="35"/>
  <c r="C32" i="35"/>
  <c r="B32" i="35"/>
  <c r="A32" i="35"/>
  <c r="T32" i="35" s="1"/>
  <c r="Z31" i="35"/>
  <c r="Y31" i="35"/>
  <c r="R31" i="35"/>
  <c r="Q31" i="35"/>
  <c r="P31" i="35"/>
  <c r="O31" i="35"/>
  <c r="J31" i="35"/>
  <c r="I31" i="35"/>
  <c r="H31" i="35"/>
  <c r="G31" i="35"/>
  <c r="F31" i="35"/>
  <c r="E31" i="35"/>
  <c r="D31" i="35"/>
  <c r="C31" i="35"/>
  <c r="B31" i="35"/>
  <c r="A31" i="35"/>
  <c r="T31" i="35" s="1"/>
  <c r="Z30" i="35"/>
  <c r="Y30" i="35"/>
  <c r="R30" i="35"/>
  <c r="Q30" i="35"/>
  <c r="P30" i="35"/>
  <c r="O30" i="35"/>
  <c r="J30" i="35"/>
  <c r="I30" i="35"/>
  <c r="H30" i="35"/>
  <c r="G30" i="35"/>
  <c r="F30" i="35"/>
  <c r="E30" i="35"/>
  <c r="D30" i="35"/>
  <c r="C30" i="35"/>
  <c r="B30" i="35"/>
  <c r="A30" i="35"/>
  <c r="T30" i="35" s="1"/>
  <c r="Z29" i="35"/>
  <c r="Y29" i="35"/>
  <c r="R29" i="35"/>
  <c r="Q29" i="35"/>
  <c r="P29" i="35"/>
  <c r="O29" i="35"/>
  <c r="J29" i="35"/>
  <c r="I29" i="35"/>
  <c r="H29" i="35"/>
  <c r="G29" i="35"/>
  <c r="F29" i="35"/>
  <c r="E29" i="35"/>
  <c r="D29" i="35"/>
  <c r="C29" i="35"/>
  <c r="B29" i="35"/>
  <c r="A29" i="35"/>
  <c r="T29" i="35" s="1"/>
  <c r="Z28" i="35"/>
  <c r="Y28" i="35"/>
  <c r="R28" i="35"/>
  <c r="Q28" i="35"/>
  <c r="P28" i="35"/>
  <c r="O28" i="35"/>
  <c r="J28" i="35"/>
  <c r="I28" i="35"/>
  <c r="H28" i="35"/>
  <c r="G28" i="35"/>
  <c r="F28" i="35"/>
  <c r="E28" i="35"/>
  <c r="D28" i="35"/>
  <c r="C28" i="35"/>
  <c r="B28" i="35"/>
  <c r="A28" i="35"/>
  <c r="T28" i="35" s="1"/>
  <c r="Z27" i="35"/>
  <c r="Y27" i="35"/>
  <c r="R27" i="35"/>
  <c r="Q27" i="35"/>
  <c r="P27" i="35"/>
  <c r="O27" i="35"/>
  <c r="J27" i="35"/>
  <c r="I27" i="35"/>
  <c r="H27" i="35"/>
  <c r="G27" i="35"/>
  <c r="F27" i="35"/>
  <c r="E27" i="35"/>
  <c r="D27" i="35"/>
  <c r="C27" i="35"/>
  <c r="B27" i="35"/>
  <c r="A27" i="35"/>
  <c r="T27" i="35" s="1"/>
  <c r="Z26" i="35"/>
  <c r="Y26" i="35"/>
  <c r="R26" i="35"/>
  <c r="Q26" i="35"/>
  <c r="P26" i="35"/>
  <c r="O26" i="35"/>
  <c r="J26" i="35"/>
  <c r="I26" i="35"/>
  <c r="H26" i="35"/>
  <c r="G26" i="35"/>
  <c r="F26" i="35"/>
  <c r="E26" i="35"/>
  <c r="D26" i="35"/>
  <c r="C26" i="35"/>
  <c r="B26" i="35"/>
  <c r="A26" i="35"/>
  <c r="T26" i="35" s="1"/>
  <c r="Z25" i="35"/>
  <c r="Y25" i="35"/>
  <c r="R25" i="35"/>
  <c r="Q25" i="35"/>
  <c r="P25" i="35"/>
  <c r="O25" i="35"/>
  <c r="J25" i="35"/>
  <c r="I25" i="35"/>
  <c r="H25" i="35"/>
  <c r="G25" i="35"/>
  <c r="F25" i="35"/>
  <c r="E25" i="35"/>
  <c r="D25" i="35"/>
  <c r="C25" i="35"/>
  <c r="B25" i="35"/>
  <c r="A25" i="35"/>
  <c r="T25" i="35" s="1"/>
  <c r="Z24" i="35"/>
  <c r="Y24" i="35"/>
  <c r="R24" i="35"/>
  <c r="Q24" i="35"/>
  <c r="P24" i="35"/>
  <c r="O24" i="35"/>
  <c r="J24" i="35"/>
  <c r="I24" i="35"/>
  <c r="H24" i="35"/>
  <c r="G24" i="35"/>
  <c r="F24" i="35"/>
  <c r="E24" i="35"/>
  <c r="D24" i="35"/>
  <c r="C24" i="35"/>
  <c r="B24" i="35"/>
  <c r="A24" i="35"/>
  <c r="T24" i="35" s="1"/>
  <c r="Z23" i="35"/>
  <c r="Y23" i="35"/>
  <c r="R23" i="35"/>
  <c r="Q23" i="35"/>
  <c r="P23" i="35"/>
  <c r="O23" i="35"/>
  <c r="J23" i="35"/>
  <c r="I23" i="35"/>
  <c r="H23" i="35"/>
  <c r="G23" i="35"/>
  <c r="F23" i="35"/>
  <c r="E23" i="35"/>
  <c r="D23" i="35"/>
  <c r="C23" i="35"/>
  <c r="B23" i="35"/>
  <c r="A23" i="35"/>
  <c r="T23" i="35" s="1"/>
  <c r="Z22" i="35"/>
  <c r="Y22" i="35"/>
  <c r="R22" i="35"/>
  <c r="Q22" i="35"/>
  <c r="P22" i="35"/>
  <c r="O22" i="35"/>
  <c r="J22" i="35"/>
  <c r="I22" i="35"/>
  <c r="H22" i="35"/>
  <c r="G22" i="35"/>
  <c r="F22" i="35"/>
  <c r="E22" i="35"/>
  <c r="D22" i="35"/>
  <c r="C22" i="35"/>
  <c r="B22" i="35"/>
  <c r="A22" i="35"/>
  <c r="T22" i="35" s="1"/>
  <c r="Z21" i="35"/>
  <c r="Y21" i="35"/>
  <c r="R21" i="35"/>
  <c r="Q21" i="35"/>
  <c r="P21" i="35"/>
  <c r="O21" i="35"/>
  <c r="J21" i="35"/>
  <c r="I21" i="35"/>
  <c r="H21" i="35"/>
  <c r="G21" i="35"/>
  <c r="F21" i="35"/>
  <c r="E21" i="35"/>
  <c r="D21" i="35"/>
  <c r="C21" i="35"/>
  <c r="B21" i="35"/>
  <c r="A21" i="35"/>
  <c r="T21" i="35" s="1"/>
  <c r="Z20" i="35"/>
  <c r="Y20" i="35"/>
  <c r="R20" i="35"/>
  <c r="Q20" i="35"/>
  <c r="P20" i="35"/>
  <c r="O20" i="35"/>
  <c r="J20" i="35"/>
  <c r="I20" i="35"/>
  <c r="H20" i="35"/>
  <c r="G20" i="35"/>
  <c r="F20" i="35"/>
  <c r="E20" i="35"/>
  <c r="D20" i="35"/>
  <c r="C20" i="35"/>
  <c r="B20" i="35"/>
  <c r="A20" i="35"/>
  <c r="T20" i="35" s="1"/>
  <c r="Z19" i="35"/>
  <c r="Y19" i="35"/>
  <c r="R19" i="35"/>
  <c r="Q19" i="35"/>
  <c r="P19" i="35"/>
  <c r="O19" i="35"/>
  <c r="J19" i="35"/>
  <c r="I19" i="35"/>
  <c r="H19" i="35"/>
  <c r="G19" i="35"/>
  <c r="F19" i="35"/>
  <c r="E19" i="35"/>
  <c r="D19" i="35"/>
  <c r="C19" i="35"/>
  <c r="B19" i="35"/>
  <c r="A19" i="35"/>
  <c r="T19" i="35" s="1"/>
  <c r="Z18" i="35"/>
  <c r="Y18" i="35"/>
  <c r="R18" i="35"/>
  <c r="Q18" i="35"/>
  <c r="P18" i="35"/>
  <c r="O18" i="35"/>
  <c r="J18" i="35"/>
  <c r="I18" i="35"/>
  <c r="H18" i="35"/>
  <c r="G18" i="35"/>
  <c r="F18" i="35"/>
  <c r="E18" i="35"/>
  <c r="D18" i="35"/>
  <c r="C18" i="35"/>
  <c r="B18" i="35"/>
  <c r="A18" i="35"/>
  <c r="T18" i="35" s="1"/>
  <c r="Z17" i="35"/>
  <c r="Y17" i="35"/>
  <c r="R17" i="35"/>
  <c r="Q17" i="35"/>
  <c r="P17" i="35"/>
  <c r="O17" i="35"/>
  <c r="J17" i="35"/>
  <c r="I17" i="35"/>
  <c r="H17" i="35"/>
  <c r="G17" i="35"/>
  <c r="F17" i="35"/>
  <c r="E17" i="35"/>
  <c r="D17" i="35"/>
  <c r="C17" i="35"/>
  <c r="B17" i="35"/>
  <c r="A17" i="35"/>
  <c r="T17" i="35" s="1"/>
  <c r="Z14" i="35"/>
  <c r="Y14" i="35"/>
  <c r="R14" i="35"/>
  <c r="Q14" i="35"/>
  <c r="P14" i="35"/>
  <c r="O14" i="35"/>
  <c r="J14" i="35"/>
  <c r="I14" i="35"/>
  <c r="H14" i="35"/>
  <c r="G14" i="35"/>
  <c r="F14" i="35"/>
  <c r="E14" i="35"/>
  <c r="D14" i="35"/>
  <c r="C14" i="35"/>
  <c r="B14" i="35"/>
  <c r="A14" i="35"/>
  <c r="T14" i="35" s="1"/>
  <c r="Z13" i="35"/>
  <c r="Y13" i="35"/>
  <c r="R13" i="35"/>
  <c r="Q13" i="35"/>
  <c r="P13" i="35"/>
  <c r="O13" i="35"/>
  <c r="J13" i="35"/>
  <c r="I13" i="35"/>
  <c r="H13" i="35"/>
  <c r="G13" i="35"/>
  <c r="F13" i="35"/>
  <c r="E13" i="35"/>
  <c r="D13" i="35"/>
  <c r="C13" i="35"/>
  <c r="B13" i="35"/>
  <c r="A13" i="35"/>
  <c r="T13" i="35" s="1"/>
  <c r="Z12" i="35"/>
  <c r="Y12" i="35"/>
  <c r="R12" i="35"/>
  <c r="Q12" i="35"/>
  <c r="P12" i="35"/>
  <c r="O12" i="35"/>
  <c r="J12" i="35"/>
  <c r="I12" i="35"/>
  <c r="H12" i="35"/>
  <c r="G12" i="35"/>
  <c r="F12" i="35"/>
  <c r="E12" i="35"/>
  <c r="D12" i="35"/>
  <c r="C12" i="35"/>
  <c r="B12" i="35"/>
  <c r="A12" i="35"/>
  <c r="T12" i="35" s="1"/>
  <c r="Z11" i="35"/>
  <c r="Y11" i="35"/>
  <c r="R11" i="35"/>
  <c r="Q11" i="35"/>
  <c r="P11" i="35"/>
  <c r="O11" i="35"/>
  <c r="J11" i="35"/>
  <c r="I11" i="35"/>
  <c r="H11" i="35"/>
  <c r="G11" i="35"/>
  <c r="F11" i="35"/>
  <c r="E11" i="35"/>
  <c r="D11" i="35"/>
  <c r="C11" i="35"/>
  <c r="B11" i="35"/>
  <c r="A11" i="35"/>
  <c r="T11" i="35" s="1"/>
  <c r="Z10" i="35"/>
  <c r="Y10" i="35"/>
  <c r="R10" i="35"/>
  <c r="Q10" i="35"/>
  <c r="P10" i="35"/>
  <c r="O10" i="35"/>
  <c r="J10" i="35"/>
  <c r="I10" i="35"/>
  <c r="H10" i="35"/>
  <c r="G10" i="35"/>
  <c r="F10" i="35"/>
  <c r="E10" i="35"/>
  <c r="D10" i="35"/>
  <c r="C10" i="35"/>
  <c r="B10" i="35"/>
  <c r="A10" i="35"/>
  <c r="T10" i="35" s="1"/>
  <c r="Z9" i="35"/>
  <c r="Y9" i="35"/>
  <c r="R9" i="35"/>
  <c r="Q9" i="35"/>
  <c r="P9" i="35"/>
  <c r="O9" i="35"/>
  <c r="J9" i="35"/>
  <c r="I9" i="35"/>
  <c r="H9" i="35"/>
  <c r="G9" i="35"/>
  <c r="F9" i="35"/>
  <c r="E9" i="35"/>
  <c r="D9" i="35"/>
  <c r="C9" i="35"/>
  <c r="B9" i="35"/>
  <c r="A9" i="35"/>
  <c r="T9" i="35" s="1"/>
  <c r="Z8" i="35"/>
  <c r="Y8" i="35"/>
  <c r="R8" i="35"/>
  <c r="Q8" i="35"/>
  <c r="P8" i="35"/>
  <c r="O8" i="35"/>
  <c r="J8" i="35"/>
  <c r="I8" i="35"/>
  <c r="H8" i="35"/>
  <c r="G8" i="35"/>
  <c r="F8" i="35"/>
  <c r="E8" i="35"/>
  <c r="D8" i="35"/>
  <c r="C8" i="35"/>
  <c r="B8" i="35"/>
  <c r="A8" i="35"/>
  <c r="T8" i="35" s="1"/>
  <c r="Z36" i="33"/>
  <c r="Y36" i="33"/>
  <c r="R36" i="33"/>
  <c r="Q36" i="33"/>
  <c r="S36" i="33" s="1"/>
  <c r="P36" i="33"/>
  <c r="O36" i="33"/>
  <c r="J36" i="33"/>
  <c r="I36" i="33"/>
  <c r="H36" i="33"/>
  <c r="G36" i="33"/>
  <c r="F36" i="33"/>
  <c r="E36" i="33"/>
  <c r="D36" i="33"/>
  <c r="C36" i="33"/>
  <c r="B36" i="33"/>
  <c r="A36" i="33"/>
  <c r="T36" i="33" s="1"/>
  <c r="Z35" i="33"/>
  <c r="Y35" i="33"/>
  <c r="R35" i="33"/>
  <c r="Q35" i="33"/>
  <c r="S35" i="33" s="1"/>
  <c r="P35" i="33"/>
  <c r="O35" i="33"/>
  <c r="J35" i="33"/>
  <c r="I35" i="33"/>
  <c r="H35" i="33"/>
  <c r="G35" i="33"/>
  <c r="F35" i="33"/>
  <c r="E35" i="33"/>
  <c r="D35" i="33"/>
  <c r="C35" i="33"/>
  <c r="B35" i="33"/>
  <c r="A35" i="33"/>
  <c r="T35" i="33" s="1"/>
  <c r="Z34" i="33"/>
  <c r="Y34" i="33"/>
  <c r="R34" i="33"/>
  <c r="O34" i="33"/>
  <c r="S34" i="33" s="1"/>
  <c r="P34" i="33"/>
  <c r="Q34" i="33"/>
  <c r="J34" i="33"/>
  <c r="I34" i="33"/>
  <c r="H34" i="33"/>
  <c r="G34" i="33"/>
  <c r="F34" i="33"/>
  <c r="E34" i="33"/>
  <c r="D34" i="33"/>
  <c r="C34" i="33"/>
  <c r="B34" i="33"/>
  <c r="A34" i="33"/>
  <c r="T34" i="33" s="1"/>
  <c r="Z33" i="33"/>
  <c r="Y33" i="33"/>
  <c r="R33" i="33"/>
  <c r="O33" i="33"/>
  <c r="S33" i="33" s="1"/>
  <c r="P33" i="33"/>
  <c r="Q33" i="33"/>
  <c r="J33" i="33"/>
  <c r="I33" i="33"/>
  <c r="H33" i="33"/>
  <c r="G33" i="33"/>
  <c r="F33" i="33"/>
  <c r="E33" i="33"/>
  <c r="D33" i="33"/>
  <c r="C33" i="33"/>
  <c r="B33" i="33"/>
  <c r="A33" i="33"/>
  <c r="T33" i="33" s="1"/>
  <c r="Z32" i="33"/>
  <c r="Y32" i="33"/>
  <c r="R32" i="33"/>
  <c r="Q32" i="33"/>
  <c r="S32" i="33" s="1"/>
  <c r="P32" i="33"/>
  <c r="O32" i="33"/>
  <c r="J32" i="33"/>
  <c r="I32" i="33"/>
  <c r="H32" i="33"/>
  <c r="G32" i="33"/>
  <c r="F32" i="33"/>
  <c r="E32" i="33"/>
  <c r="D32" i="33"/>
  <c r="C32" i="33"/>
  <c r="B32" i="33"/>
  <c r="A32" i="33"/>
  <c r="T32" i="33" s="1"/>
  <c r="Z31" i="33"/>
  <c r="Y31" i="33"/>
  <c r="R31" i="33"/>
  <c r="Q31" i="33"/>
  <c r="P31" i="33"/>
  <c r="O31" i="33"/>
  <c r="J31" i="33"/>
  <c r="I31" i="33"/>
  <c r="H31" i="33"/>
  <c r="G31" i="33"/>
  <c r="F31" i="33"/>
  <c r="E31" i="33"/>
  <c r="D31" i="33"/>
  <c r="C31" i="33"/>
  <c r="B31" i="33"/>
  <c r="A31" i="33"/>
  <c r="T31" i="33" s="1"/>
  <c r="Z30" i="33"/>
  <c r="Y30" i="33"/>
  <c r="R30" i="33"/>
  <c r="Q30" i="33"/>
  <c r="P30" i="33"/>
  <c r="O30" i="33"/>
  <c r="J30" i="33"/>
  <c r="I30" i="33"/>
  <c r="H30" i="33"/>
  <c r="G30" i="33"/>
  <c r="F30" i="33"/>
  <c r="E30" i="33"/>
  <c r="D30" i="33"/>
  <c r="C30" i="33"/>
  <c r="B30" i="33"/>
  <c r="A30" i="33"/>
  <c r="T30" i="33" s="1"/>
  <c r="Z29" i="33"/>
  <c r="Y29" i="33"/>
  <c r="R29" i="33"/>
  <c r="Q29" i="33"/>
  <c r="P29" i="33"/>
  <c r="O29" i="33"/>
  <c r="J29" i="33"/>
  <c r="I29" i="33"/>
  <c r="H29" i="33"/>
  <c r="G29" i="33"/>
  <c r="F29" i="33"/>
  <c r="E29" i="33"/>
  <c r="D29" i="33"/>
  <c r="C29" i="33"/>
  <c r="B29" i="33"/>
  <c r="A29" i="33"/>
  <c r="T29" i="33" s="1"/>
  <c r="Z28" i="33"/>
  <c r="Y28" i="33"/>
  <c r="R28" i="33"/>
  <c r="Q28" i="33"/>
  <c r="P28" i="33"/>
  <c r="O28" i="33"/>
  <c r="J28" i="33"/>
  <c r="I28" i="33"/>
  <c r="H28" i="33"/>
  <c r="G28" i="33"/>
  <c r="F28" i="33"/>
  <c r="E28" i="33"/>
  <c r="D28" i="33"/>
  <c r="C28" i="33"/>
  <c r="B28" i="33"/>
  <c r="A28" i="33"/>
  <c r="T28" i="33" s="1"/>
  <c r="Z27" i="33"/>
  <c r="Y27" i="33"/>
  <c r="R27" i="33"/>
  <c r="O27" i="33"/>
  <c r="P27" i="33"/>
  <c r="Q27" i="33"/>
  <c r="J27" i="33"/>
  <c r="I27" i="33"/>
  <c r="H27" i="33"/>
  <c r="G27" i="33"/>
  <c r="F27" i="33"/>
  <c r="E27" i="33"/>
  <c r="D27" i="33"/>
  <c r="C27" i="33"/>
  <c r="B27" i="33"/>
  <c r="A27" i="33"/>
  <c r="T27" i="33" s="1"/>
  <c r="Z26" i="33"/>
  <c r="Y26" i="33"/>
  <c r="R26" i="33"/>
  <c r="Q26" i="33"/>
  <c r="S26" i="33" s="1"/>
  <c r="P26" i="33"/>
  <c r="O26" i="33"/>
  <c r="J26" i="33"/>
  <c r="I26" i="33"/>
  <c r="H26" i="33"/>
  <c r="G26" i="33"/>
  <c r="F26" i="33"/>
  <c r="E26" i="33"/>
  <c r="D26" i="33"/>
  <c r="C26" i="33"/>
  <c r="B26" i="33"/>
  <c r="A26" i="33"/>
  <c r="T26" i="33" s="1"/>
  <c r="Z25" i="33"/>
  <c r="Y25" i="33"/>
  <c r="R25" i="33"/>
  <c r="Q25" i="33"/>
  <c r="O25" i="33"/>
  <c r="P25" i="33"/>
  <c r="J25" i="33"/>
  <c r="I25" i="33"/>
  <c r="H25" i="33"/>
  <c r="G25" i="33"/>
  <c r="F25" i="33"/>
  <c r="E25" i="33"/>
  <c r="D25" i="33"/>
  <c r="C25" i="33"/>
  <c r="B25" i="33"/>
  <c r="A25" i="33"/>
  <c r="T25" i="33" s="1"/>
  <c r="Z24" i="33"/>
  <c r="Y24" i="33"/>
  <c r="R24" i="33"/>
  <c r="Q24" i="33"/>
  <c r="P24" i="33"/>
  <c r="O24" i="33"/>
  <c r="J24" i="33"/>
  <c r="I24" i="33"/>
  <c r="H24" i="33"/>
  <c r="G24" i="33"/>
  <c r="F24" i="33"/>
  <c r="E24" i="33"/>
  <c r="D24" i="33"/>
  <c r="C24" i="33"/>
  <c r="B24" i="33"/>
  <c r="A24" i="33"/>
  <c r="T24" i="33" s="1"/>
  <c r="Z23" i="33"/>
  <c r="Y23" i="33"/>
  <c r="R23" i="33"/>
  <c r="Q23" i="33"/>
  <c r="O23" i="33"/>
  <c r="P23" i="33"/>
  <c r="J23" i="33"/>
  <c r="I23" i="33"/>
  <c r="H23" i="33"/>
  <c r="G23" i="33"/>
  <c r="F23" i="33"/>
  <c r="E23" i="33"/>
  <c r="D23" i="33"/>
  <c r="C23" i="33"/>
  <c r="B23" i="33"/>
  <c r="A23" i="33"/>
  <c r="T23" i="33" s="1"/>
  <c r="Z22" i="33"/>
  <c r="Y22" i="33"/>
  <c r="R22" i="33"/>
  <c r="Q22" i="33"/>
  <c r="P22" i="33"/>
  <c r="O22" i="33"/>
  <c r="J22" i="33"/>
  <c r="I22" i="33"/>
  <c r="H22" i="33"/>
  <c r="G22" i="33"/>
  <c r="F22" i="33"/>
  <c r="E22" i="33"/>
  <c r="D22" i="33"/>
  <c r="C22" i="33"/>
  <c r="B22" i="33"/>
  <c r="A22" i="33"/>
  <c r="T22" i="33" s="1"/>
  <c r="Z21" i="33"/>
  <c r="Y21" i="33"/>
  <c r="R21" i="33"/>
  <c r="Q21" i="33"/>
  <c r="S21" i="33" s="1"/>
  <c r="P21" i="33"/>
  <c r="O21" i="33"/>
  <c r="J21" i="33"/>
  <c r="I21" i="33"/>
  <c r="H21" i="33"/>
  <c r="G21" i="33"/>
  <c r="F21" i="33"/>
  <c r="E21" i="33"/>
  <c r="D21" i="33"/>
  <c r="C21" i="33"/>
  <c r="B21" i="33"/>
  <c r="A21" i="33"/>
  <c r="T21" i="33" s="1"/>
  <c r="Z20" i="33"/>
  <c r="Y20" i="33"/>
  <c r="R20" i="33"/>
  <c r="Q20" i="33"/>
  <c r="O20" i="33"/>
  <c r="P20" i="33"/>
  <c r="J20" i="33"/>
  <c r="I20" i="33"/>
  <c r="H20" i="33"/>
  <c r="G20" i="33"/>
  <c r="F20" i="33"/>
  <c r="E20" i="33"/>
  <c r="D20" i="33"/>
  <c r="C20" i="33"/>
  <c r="B20" i="33"/>
  <c r="A20" i="33"/>
  <c r="T20" i="33" s="1"/>
  <c r="Z19" i="33"/>
  <c r="Y19" i="33"/>
  <c r="R19" i="33"/>
  <c r="Q19" i="33"/>
  <c r="P19" i="33"/>
  <c r="O19" i="33"/>
  <c r="J19" i="33"/>
  <c r="I19" i="33"/>
  <c r="H19" i="33"/>
  <c r="G19" i="33"/>
  <c r="F19" i="33"/>
  <c r="E19" i="33"/>
  <c r="D19" i="33"/>
  <c r="C19" i="33"/>
  <c r="B19" i="33"/>
  <c r="A19" i="33"/>
  <c r="T19" i="33" s="1"/>
  <c r="Z18" i="33"/>
  <c r="Y18" i="33"/>
  <c r="R18" i="33"/>
  <c r="Q18" i="33"/>
  <c r="P18" i="33"/>
  <c r="O18" i="33"/>
  <c r="J18" i="33"/>
  <c r="I18" i="33"/>
  <c r="H18" i="33"/>
  <c r="G18" i="33"/>
  <c r="F18" i="33"/>
  <c r="E18" i="33"/>
  <c r="D18" i="33"/>
  <c r="C18" i="33"/>
  <c r="B18" i="33"/>
  <c r="A18" i="33"/>
  <c r="T18" i="33" s="1"/>
  <c r="Z17" i="33"/>
  <c r="Y17" i="33"/>
  <c r="R17" i="33"/>
  <c r="Q17" i="33"/>
  <c r="O17" i="33"/>
  <c r="P17" i="33"/>
  <c r="J17" i="33"/>
  <c r="I17" i="33"/>
  <c r="H17" i="33"/>
  <c r="G17" i="33"/>
  <c r="F17" i="33"/>
  <c r="E17" i="33"/>
  <c r="D17" i="33"/>
  <c r="C17" i="33"/>
  <c r="B17" i="33"/>
  <c r="A17" i="33"/>
  <c r="T17" i="33" s="1"/>
  <c r="Z16" i="33"/>
  <c r="Y16" i="33"/>
  <c r="R16" i="33"/>
  <c r="Q16" i="33"/>
  <c r="O16" i="33"/>
  <c r="P16" i="33"/>
  <c r="J16" i="33"/>
  <c r="I16" i="33"/>
  <c r="H16" i="33"/>
  <c r="G16" i="33"/>
  <c r="F16" i="33"/>
  <c r="E16" i="33"/>
  <c r="D16" i="33"/>
  <c r="C16" i="33"/>
  <c r="B16" i="33"/>
  <c r="A16" i="33"/>
  <c r="T16" i="33" s="1"/>
  <c r="Z15" i="33"/>
  <c r="Y15" i="33"/>
  <c r="R15" i="33"/>
  <c r="Q15" i="33"/>
  <c r="O15" i="33"/>
  <c r="P15" i="33"/>
  <c r="J15" i="33"/>
  <c r="I15" i="33"/>
  <c r="H15" i="33"/>
  <c r="G15" i="33"/>
  <c r="F15" i="33"/>
  <c r="E15" i="33"/>
  <c r="D15" i="33"/>
  <c r="C15" i="33"/>
  <c r="B15" i="33"/>
  <c r="A15" i="33"/>
  <c r="T15" i="33" s="1"/>
  <c r="Z14" i="33"/>
  <c r="Y14" i="33"/>
  <c r="R14" i="33"/>
  <c r="Q14" i="33"/>
  <c r="P14" i="33"/>
  <c r="O14" i="33"/>
  <c r="J14" i="33"/>
  <c r="I14" i="33"/>
  <c r="H14" i="33"/>
  <c r="G14" i="33"/>
  <c r="F14" i="33"/>
  <c r="E14" i="33"/>
  <c r="D14" i="33"/>
  <c r="C14" i="33"/>
  <c r="B14" i="33"/>
  <c r="A14" i="33"/>
  <c r="T14" i="33" s="1"/>
  <c r="Z13" i="33"/>
  <c r="Y13" i="33"/>
  <c r="R13" i="33"/>
  <c r="Q13" i="33"/>
  <c r="O13" i="33"/>
  <c r="P13" i="33"/>
  <c r="J13" i="33"/>
  <c r="I13" i="33"/>
  <c r="H13" i="33"/>
  <c r="G13" i="33"/>
  <c r="F13" i="33"/>
  <c r="E13" i="33"/>
  <c r="D13" i="33"/>
  <c r="C13" i="33"/>
  <c r="B13" i="33"/>
  <c r="A13" i="33"/>
  <c r="T13" i="33" s="1"/>
  <c r="Z12" i="33"/>
  <c r="Y12" i="33"/>
  <c r="R12" i="33"/>
  <c r="Q12" i="33"/>
  <c r="O12" i="33"/>
  <c r="P12" i="33"/>
  <c r="J12" i="33"/>
  <c r="I12" i="33"/>
  <c r="H12" i="33"/>
  <c r="G12" i="33"/>
  <c r="F12" i="33"/>
  <c r="E12" i="33"/>
  <c r="D12" i="33"/>
  <c r="C12" i="33"/>
  <c r="B12" i="33"/>
  <c r="A12" i="33"/>
  <c r="T12" i="33" s="1"/>
  <c r="Z11" i="33"/>
  <c r="Y11" i="33"/>
  <c r="R11" i="33"/>
  <c r="Q11" i="33"/>
  <c r="P11" i="33"/>
  <c r="O11" i="33"/>
  <c r="J11" i="33"/>
  <c r="I11" i="33"/>
  <c r="H11" i="33"/>
  <c r="G11" i="33"/>
  <c r="F11" i="33"/>
  <c r="E11" i="33"/>
  <c r="D11" i="33"/>
  <c r="C11" i="33"/>
  <c r="B11" i="33"/>
  <c r="A11" i="33"/>
  <c r="T11" i="33" s="1"/>
  <c r="Z10" i="33"/>
  <c r="Y10" i="33"/>
  <c r="R10" i="33"/>
  <c r="Q10" i="33"/>
  <c r="P10" i="33"/>
  <c r="O10" i="33"/>
  <c r="J10" i="33"/>
  <c r="I10" i="33"/>
  <c r="H10" i="33"/>
  <c r="G10" i="33"/>
  <c r="F10" i="33"/>
  <c r="E10" i="33"/>
  <c r="D10" i="33"/>
  <c r="C10" i="33"/>
  <c r="B10" i="33"/>
  <c r="A10" i="33"/>
  <c r="T10" i="33" s="1"/>
  <c r="Z9" i="33"/>
  <c r="Y9" i="33"/>
  <c r="R9" i="33"/>
  <c r="Q9" i="33"/>
  <c r="O9" i="33"/>
  <c r="P9" i="33"/>
  <c r="J9" i="33"/>
  <c r="I9" i="33"/>
  <c r="H9" i="33"/>
  <c r="G9" i="33"/>
  <c r="F9" i="33"/>
  <c r="E9" i="33"/>
  <c r="D9" i="33"/>
  <c r="C9" i="33"/>
  <c r="B9" i="33"/>
  <c r="A9" i="33"/>
  <c r="T9" i="33" s="1"/>
  <c r="Z8" i="33"/>
  <c r="Y8" i="33"/>
  <c r="R8" i="33"/>
  <c r="Q8" i="33"/>
  <c r="O8" i="33"/>
  <c r="P8" i="33"/>
  <c r="J8" i="33"/>
  <c r="I8" i="33"/>
  <c r="H8" i="33"/>
  <c r="G8" i="33"/>
  <c r="F8" i="33"/>
  <c r="E8" i="33"/>
  <c r="D8" i="33"/>
  <c r="C8" i="33"/>
  <c r="B8" i="33"/>
  <c r="A8" i="33"/>
  <c r="T8" i="33" s="1"/>
  <c r="D32" i="31"/>
  <c r="K32" i="31" s="1"/>
  <c r="E32" i="31"/>
  <c r="O32" i="31"/>
  <c r="D31" i="31"/>
  <c r="E31" i="31"/>
  <c r="K31" i="31" s="1"/>
  <c r="O31" i="31"/>
  <c r="D28" i="31"/>
  <c r="E28" i="31"/>
  <c r="O28" i="31"/>
  <c r="D27" i="31"/>
  <c r="E27" i="31"/>
  <c r="F27" i="31"/>
  <c r="G27" i="31"/>
  <c r="H27" i="31"/>
  <c r="I27" i="31"/>
  <c r="J27" i="31"/>
  <c r="O27" i="31"/>
  <c r="D24" i="31"/>
  <c r="E24" i="31"/>
  <c r="F24" i="31"/>
  <c r="G24" i="31"/>
  <c r="K24" i="31" s="1"/>
  <c r="H24" i="31"/>
  <c r="I24" i="31"/>
  <c r="J24" i="31"/>
  <c r="O24" i="31"/>
  <c r="D14" i="31"/>
  <c r="E14" i="31"/>
  <c r="F14" i="31"/>
  <c r="G14" i="31"/>
  <c r="K14" i="31" s="1"/>
  <c r="H14" i="31"/>
  <c r="I14" i="31"/>
  <c r="J14" i="31"/>
  <c r="O14" i="31"/>
  <c r="D19" i="31"/>
  <c r="E19" i="31"/>
  <c r="F19" i="31"/>
  <c r="G19" i="31"/>
  <c r="H19" i="31"/>
  <c r="I19" i="31"/>
  <c r="J19" i="31"/>
  <c r="P19" i="31"/>
  <c r="W19" i="31"/>
  <c r="X19" i="31"/>
  <c r="D20" i="31"/>
  <c r="E20" i="31"/>
  <c r="K20" i="31" s="1"/>
  <c r="F20" i="31"/>
  <c r="G20" i="31"/>
  <c r="H20" i="31"/>
  <c r="I20" i="31"/>
  <c r="J20" i="31"/>
  <c r="O20" i="31"/>
  <c r="W20" i="31"/>
  <c r="X20" i="31"/>
  <c r="D21" i="31"/>
  <c r="E21" i="31"/>
  <c r="P21" i="31"/>
  <c r="W21" i="31"/>
  <c r="X21" i="31"/>
  <c r="D36" i="31"/>
  <c r="K36" i="31" s="1"/>
  <c r="E36" i="31"/>
  <c r="O36" i="31"/>
  <c r="D35" i="31"/>
  <c r="E35" i="31"/>
  <c r="O35" i="31"/>
  <c r="D34" i="31"/>
  <c r="E34" i="31"/>
  <c r="O34" i="31"/>
  <c r="D33" i="31"/>
  <c r="K33" i="31" s="1"/>
  <c r="E33" i="31"/>
  <c r="Q33" i="31"/>
  <c r="D30" i="31"/>
  <c r="E30" i="31"/>
  <c r="K30" i="31" s="1"/>
  <c r="O30" i="31"/>
  <c r="D29" i="31"/>
  <c r="E29" i="31"/>
  <c r="Q29" i="31"/>
  <c r="D26" i="31"/>
  <c r="E26" i="31"/>
  <c r="F26" i="31"/>
  <c r="G26" i="31"/>
  <c r="K26" i="31" s="1"/>
  <c r="H26" i="31"/>
  <c r="I26" i="31"/>
  <c r="J26" i="31"/>
  <c r="O26" i="31"/>
  <c r="D25" i="31"/>
  <c r="E25" i="31"/>
  <c r="F25" i="31"/>
  <c r="G25" i="31"/>
  <c r="H25" i="31"/>
  <c r="I25" i="31"/>
  <c r="J25" i="31"/>
  <c r="O25" i="31"/>
  <c r="D23" i="31"/>
  <c r="E23" i="31"/>
  <c r="F23" i="31"/>
  <c r="G23" i="31"/>
  <c r="K23" i="31" s="1"/>
  <c r="H23" i="31"/>
  <c r="I23" i="31"/>
  <c r="J23" i="31"/>
  <c r="O23" i="31"/>
  <c r="D22" i="31"/>
  <c r="E22" i="31"/>
  <c r="F22" i="31"/>
  <c r="G22" i="31"/>
  <c r="K22" i="31" s="1"/>
  <c r="H22" i="31"/>
  <c r="I22" i="31"/>
  <c r="J22" i="31"/>
  <c r="O22" i="31"/>
  <c r="D18" i="31"/>
  <c r="E18" i="31"/>
  <c r="F18" i="31"/>
  <c r="G18" i="31"/>
  <c r="K18" i="31" s="1"/>
  <c r="H18" i="31"/>
  <c r="I18" i="31"/>
  <c r="J18" i="31"/>
  <c r="O18" i="31"/>
  <c r="D17" i="31"/>
  <c r="E17" i="31"/>
  <c r="F17" i="31"/>
  <c r="G17" i="31"/>
  <c r="K17" i="31" s="1"/>
  <c r="H17" i="31"/>
  <c r="I17" i="31"/>
  <c r="J17" i="31"/>
  <c r="P17" i="31"/>
  <c r="D16" i="31"/>
  <c r="E16" i="31"/>
  <c r="F16" i="31"/>
  <c r="G16" i="31"/>
  <c r="K16" i="31" s="1"/>
  <c r="H16" i="31"/>
  <c r="I16" i="31"/>
  <c r="J16" i="31"/>
  <c r="D15" i="31"/>
  <c r="K15" i="31" s="1"/>
  <c r="E15" i="31"/>
  <c r="F15" i="31"/>
  <c r="G15" i="31"/>
  <c r="H15" i="31"/>
  <c r="I15" i="31"/>
  <c r="J15" i="31"/>
  <c r="Q15" i="31"/>
  <c r="D13" i="31"/>
  <c r="K13" i="31" s="1"/>
  <c r="E13" i="31"/>
  <c r="F13" i="31"/>
  <c r="G13" i="31"/>
  <c r="H13" i="31"/>
  <c r="I13" i="31"/>
  <c r="J13" i="31"/>
  <c r="O13" i="31"/>
  <c r="D12" i="31"/>
  <c r="K12" i="31" s="1"/>
  <c r="E12" i="31"/>
  <c r="F12" i="31"/>
  <c r="G12" i="31"/>
  <c r="H12" i="31"/>
  <c r="I12" i="31"/>
  <c r="J12" i="31"/>
  <c r="Q12" i="31"/>
  <c r="D10" i="31"/>
  <c r="K10" i="31" s="1"/>
  <c r="E10" i="31"/>
  <c r="F10" i="31"/>
  <c r="G10" i="31"/>
  <c r="H10" i="31"/>
  <c r="I10" i="31"/>
  <c r="J10" i="31"/>
  <c r="D11" i="31"/>
  <c r="E11" i="31"/>
  <c r="K11" i="31" s="1"/>
  <c r="F11" i="31"/>
  <c r="G11" i="31"/>
  <c r="H11" i="31"/>
  <c r="I11" i="31"/>
  <c r="J11" i="31"/>
  <c r="D9" i="31"/>
  <c r="E9" i="31"/>
  <c r="F9" i="31"/>
  <c r="K9" i="31" s="1"/>
  <c r="G9" i="31"/>
  <c r="H9" i="31"/>
  <c r="I9" i="31"/>
  <c r="J9" i="31"/>
  <c r="D8" i="31"/>
  <c r="E8" i="31"/>
  <c r="F8" i="31"/>
  <c r="G8" i="31"/>
  <c r="H8" i="31"/>
  <c r="I8" i="31"/>
  <c r="J8" i="31"/>
  <c r="O8" i="31"/>
  <c r="O19" i="31"/>
  <c r="Q19" i="31"/>
  <c r="R19" i="31"/>
  <c r="P20" i="31"/>
  <c r="Q20" i="31"/>
  <c r="R20" i="31"/>
  <c r="O21" i="31"/>
  <c r="Q21" i="31"/>
  <c r="R21" i="31"/>
  <c r="A19" i="31"/>
  <c r="B19" i="31"/>
  <c r="C19" i="31"/>
  <c r="A20" i="31"/>
  <c r="B20" i="31"/>
  <c r="C20" i="31"/>
  <c r="A21" i="31"/>
  <c r="B21" i="31"/>
  <c r="C21" i="31"/>
  <c r="X36" i="31"/>
  <c r="W36" i="31"/>
  <c r="R36" i="31"/>
  <c r="Q36" i="31"/>
  <c r="P36" i="31"/>
  <c r="C36" i="31"/>
  <c r="B36" i="31"/>
  <c r="A36" i="31"/>
  <c r="X35" i="31"/>
  <c r="W35" i="31"/>
  <c r="R35" i="31"/>
  <c r="Q35" i="31"/>
  <c r="P35" i="31"/>
  <c r="C35" i="31"/>
  <c r="B35" i="31"/>
  <c r="A35" i="31"/>
  <c r="X34" i="31"/>
  <c r="W34" i="31"/>
  <c r="R34" i="31"/>
  <c r="Q34" i="31"/>
  <c r="P34" i="31"/>
  <c r="C34" i="31"/>
  <c r="B34" i="31"/>
  <c r="A34" i="31"/>
  <c r="X33" i="31"/>
  <c r="W33" i="31"/>
  <c r="R33" i="31"/>
  <c r="P33" i="31"/>
  <c r="O33" i="31"/>
  <c r="C33" i="31"/>
  <c r="B33" i="31"/>
  <c r="A33" i="31"/>
  <c r="X32" i="31"/>
  <c r="W32" i="31"/>
  <c r="R32" i="31"/>
  <c r="Q32" i="31"/>
  <c r="P32" i="31"/>
  <c r="C32" i="31"/>
  <c r="B32" i="31"/>
  <c r="A32" i="31"/>
  <c r="X31" i="31"/>
  <c r="W31" i="31"/>
  <c r="R31" i="31"/>
  <c r="Q31" i="31"/>
  <c r="P31" i="31"/>
  <c r="C31" i="31"/>
  <c r="B31" i="31"/>
  <c r="A31" i="31"/>
  <c r="X30" i="31"/>
  <c r="W30" i="31"/>
  <c r="R30" i="31"/>
  <c r="Q30" i="31"/>
  <c r="P30" i="31"/>
  <c r="C30" i="31"/>
  <c r="B30" i="31"/>
  <c r="A30" i="31"/>
  <c r="X29" i="31"/>
  <c r="W29" i="31"/>
  <c r="R29" i="31"/>
  <c r="P29" i="31"/>
  <c r="O29" i="31"/>
  <c r="C29" i="31"/>
  <c r="B29" i="31"/>
  <c r="A29" i="31"/>
  <c r="X28" i="31"/>
  <c r="W28" i="31"/>
  <c r="R28" i="31"/>
  <c r="Q28" i="31"/>
  <c r="P28" i="31"/>
  <c r="C28" i="31"/>
  <c r="B28" i="31"/>
  <c r="A28" i="31"/>
  <c r="X27" i="31"/>
  <c r="W27" i="31"/>
  <c r="R27" i="31"/>
  <c r="Q27" i="31"/>
  <c r="P27" i="31"/>
  <c r="C27" i="31"/>
  <c r="B27" i="31"/>
  <c r="A27" i="31"/>
  <c r="X26" i="31"/>
  <c r="W26" i="31"/>
  <c r="R26" i="31"/>
  <c r="Q26" i="31"/>
  <c r="P26" i="31"/>
  <c r="C26" i="31"/>
  <c r="B26" i="31"/>
  <c r="A26" i="31"/>
  <c r="X25" i="31"/>
  <c r="W25" i="31"/>
  <c r="R25" i="31"/>
  <c r="Q25" i="31"/>
  <c r="P25" i="31"/>
  <c r="C25" i="31"/>
  <c r="B25" i="31"/>
  <c r="A25" i="31"/>
  <c r="X24" i="31"/>
  <c r="W24" i="31"/>
  <c r="R24" i="31"/>
  <c r="Q24" i="31"/>
  <c r="P24" i="31"/>
  <c r="C24" i="31"/>
  <c r="B24" i="31"/>
  <c r="A24" i="31"/>
  <c r="X23" i="31"/>
  <c r="W23" i="31"/>
  <c r="R23" i="31"/>
  <c r="Q23" i="31"/>
  <c r="P23" i="31"/>
  <c r="C23" i="31"/>
  <c r="B23" i="31"/>
  <c r="A23" i="31"/>
  <c r="X22" i="31"/>
  <c r="W22" i="31"/>
  <c r="R22" i="31"/>
  <c r="Q22" i="31"/>
  <c r="P22" i="31"/>
  <c r="C22" i="31"/>
  <c r="B22" i="31"/>
  <c r="A22" i="31"/>
  <c r="X18" i="31"/>
  <c r="W18" i="31"/>
  <c r="R18" i="31"/>
  <c r="Q18" i="31"/>
  <c r="P18" i="31"/>
  <c r="C18" i="31"/>
  <c r="B18" i="31"/>
  <c r="A18" i="31"/>
  <c r="X17" i="31"/>
  <c r="W17" i="31"/>
  <c r="R17" i="31"/>
  <c r="Q17" i="31"/>
  <c r="O17" i="31"/>
  <c r="C17" i="31"/>
  <c r="B17" i="31"/>
  <c r="A17" i="31"/>
  <c r="X16" i="31"/>
  <c r="W16" i="31"/>
  <c r="R16" i="31"/>
  <c r="Q16" i="31"/>
  <c r="P16" i="31"/>
  <c r="O16" i="31"/>
  <c r="C16" i="31"/>
  <c r="B16" i="31"/>
  <c r="A16" i="31"/>
  <c r="X15" i="31"/>
  <c r="W15" i="31"/>
  <c r="R15" i="31"/>
  <c r="P15" i="31"/>
  <c r="O15" i="31"/>
  <c r="C15" i="31"/>
  <c r="B15" i="31"/>
  <c r="A15" i="31"/>
  <c r="X14" i="31"/>
  <c r="W14" i="31"/>
  <c r="R14" i="31"/>
  <c r="Q14" i="31"/>
  <c r="P14" i="31"/>
  <c r="C14" i="31"/>
  <c r="B14" i="31"/>
  <c r="A14" i="31"/>
  <c r="X13" i="31"/>
  <c r="W13" i="31"/>
  <c r="R13" i="31"/>
  <c r="Q13" i="31"/>
  <c r="P13" i="31"/>
  <c r="C13" i="31"/>
  <c r="B13" i="31"/>
  <c r="A13" i="31"/>
  <c r="X12" i="31"/>
  <c r="W12" i="31"/>
  <c r="R12" i="31"/>
  <c r="P12" i="31"/>
  <c r="O12" i="31"/>
  <c r="C12" i="31"/>
  <c r="B12" i="31"/>
  <c r="A12" i="31"/>
  <c r="X11" i="31"/>
  <c r="W11" i="31"/>
  <c r="R11" i="31"/>
  <c r="Q11" i="31"/>
  <c r="P11" i="31"/>
  <c r="O11" i="31"/>
  <c r="C11" i="31"/>
  <c r="B11" i="31"/>
  <c r="A11" i="31"/>
  <c r="X10" i="31"/>
  <c r="W10" i="31"/>
  <c r="R10" i="31"/>
  <c r="Q10" i="31"/>
  <c r="P10" i="31"/>
  <c r="O10" i="31"/>
  <c r="C10" i="31"/>
  <c r="B10" i="31"/>
  <c r="A10" i="31"/>
  <c r="X9" i="31"/>
  <c r="W9" i="31"/>
  <c r="R9" i="31"/>
  <c r="Q9" i="31"/>
  <c r="P9" i="31"/>
  <c r="O9" i="31"/>
  <c r="C9" i="31"/>
  <c r="B9" i="31"/>
  <c r="A9" i="31"/>
  <c r="X8" i="31"/>
  <c r="W8" i="31"/>
  <c r="R8" i="31"/>
  <c r="Q8" i="31"/>
  <c r="P8" i="31"/>
  <c r="C8" i="31"/>
  <c r="B8" i="31"/>
  <c r="A8" i="31"/>
  <c r="W32" i="29"/>
  <c r="X32" i="29"/>
  <c r="O32" i="29"/>
  <c r="P32" i="29"/>
  <c r="Q32" i="29"/>
  <c r="R32" i="29"/>
  <c r="D32" i="29"/>
  <c r="E32" i="29"/>
  <c r="K32" i="29"/>
  <c r="M32" i="29" s="1"/>
  <c r="A32" i="29"/>
  <c r="B32" i="29"/>
  <c r="C32" i="29"/>
  <c r="W28" i="29"/>
  <c r="X28" i="29"/>
  <c r="O28" i="29"/>
  <c r="P28" i="29"/>
  <c r="Q28" i="29"/>
  <c r="R28" i="29"/>
  <c r="D28" i="29"/>
  <c r="E28" i="29"/>
  <c r="K28" i="29" s="1"/>
  <c r="A28" i="29"/>
  <c r="B28" i="29"/>
  <c r="C28" i="29"/>
  <c r="W24" i="29"/>
  <c r="X24" i="29"/>
  <c r="O24" i="29"/>
  <c r="P24" i="29"/>
  <c r="Q24" i="29"/>
  <c r="R24" i="29"/>
  <c r="D24" i="29"/>
  <c r="E24" i="29"/>
  <c r="F24" i="29"/>
  <c r="G24" i="29"/>
  <c r="H24" i="29"/>
  <c r="I24" i="29"/>
  <c r="J24" i="29"/>
  <c r="A24" i="29"/>
  <c r="B24" i="29"/>
  <c r="C24" i="29"/>
  <c r="W21" i="29"/>
  <c r="X21" i="29"/>
  <c r="O21" i="29"/>
  <c r="P21" i="29"/>
  <c r="Q21" i="29"/>
  <c r="R21" i="29"/>
  <c r="D21" i="29"/>
  <c r="E21" i="29"/>
  <c r="F21" i="29"/>
  <c r="G21" i="29"/>
  <c r="H21" i="29"/>
  <c r="I21" i="29"/>
  <c r="J21" i="29"/>
  <c r="A21" i="29"/>
  <c r="B21" i="29"/>
  <c r="C21" i="29"/>
  <c r="W14" i="29"/>
  <c r="X14" i="29"/>
  <c r="W15" i="29"/>
  <c r="X15" i="29"/>
  <c r="W16" i="29"/>
  <c r="X16" i="29"/>
  <c r="O14" i="29"/>
  <c r="P14" i="29"/>
  <c r="Q14" i="29"/>
  <c r="R14" i="29"/>
  <c r="O15" i="29"/>
  <c r="P15" i="29"/>
  <c r="Q15" i="29"/>
  <c r="R15" i="29"/>
  <c r="O16" i="29"/>
  <c r="P16" i="29"/>
  <c r="Q16" i="29"/>
  <c r="R16" i="29"/>
  <c r="D14" i="29"/>
  <c r="E14" i="29"/>
  <c r="F14" i="29"/>
  <c r="G14" i="29"/>
  <c r="H14" i="29"/>
  <c r="I14" i="29"/>
  <c r="J14" i="29"/>
  <c r="D15" i="29"/>
  <c r="E15" i="29"/>
  <c r="F15" i="29"/>
  <c r="G15" i="29"/>
  <c r="H15" i="29"/>
  <c r="I15" i="29"/>
  <c r="J15" i="29"/>
  <c r="D16" i="29"/>
  <c r="E16" i="29"/>
  <c r="F16" i="29"/>
  <c r="G16" i="29"/>
  <c r="H16" i="29"/>
  <c r="I16" i="29"/>
  <c r="J16" i="29"/>
  <c r="A14" i="29"/>
  <c r="B14" i="29"/>
  <c r="C14" i="29"/>
  <c r="A15" i="29"/>
  <c r="B15" i="29"/>
  <c r="C15" i="29"/>
  <c r="A16" i="29"/>
  <c r="B16" i="29"/>
  <c r="C16" i="29"/>
  <c r="J8" i="29"/>
  <c r="I8" i="29"/>
  <c r="H8" i="29"/>
  <c r="G8" i="29"/>
  <c r="F8" i="29"/>
  <c r="E8" i="29"/>
  <c r="D8" i="29"/>
  <c r="X33" i="29"/>
  <c r="W33" i="29"/>
  <c r="R33" i="29"/>
  <c r="Q33" i="29"/>
  <c r="P33" i="29"/>
  <c r="O33" i="29"/>
  <c r="E33" i="29"/>
  <c r="D33" i="29"/>
  <c r="C33" i="29"/>
  <c r="B33" i="29"/>
  <c r="A33" i="29"/>
  <c r="X31" i="29"/>
  <c r="W31" i="29"/>
  <c r="R31" i="29"/>
  <c r="Q31" i="29"/>
  <c r="P31" i="29"/>
  <c r="O31" i="29"/>
  <c r="E31" i="29"/>
  <c r="D31" i="29"/>
  <c r="C31" i="29"/>
  <c r="B31" i="29"/>
  <c r="A31" i="29"/>
  <c r="X30" i="29"/>
  <c r="W30" i="29"/>
  <c r="R30" i="29"/>
  <c r="Q30" i="29"/>
  <c r="P30" i="29"/>
  <c r="O30" i="29"/>
  <c r="E30" i="29"/>
  <c r="D30" i="29"/>
  <c r="C30" i="29"/>
  <c r="B30" i="29"/>
  <c r="A30" i="29"/>
  <c r="X29" i="29"/>
  <c r="W29" i="29"/>
  <c r="R29" i="29"/>
  <c r="Q29" i="29"/>
  <c r="P29" i="29"/>
  <c r="O29" i="29"/>
  <c r="E29" i="29"/>
  <c r="D29" i="29"/>
  <c r="C29" i="29"/>
  <c r="B29" i="29"/>
  <c r="A29" i="29"/>
  <c r="X27" i="29"/>
  <c r="W27" i="29"/>
  <c r="R27" i="29"/>
  <c r="Q27" i="29"/>
  <c r="P27" i="29"/>
  <c r="O27" i="29"/>
  <c r="E27" i="29"/>
  <c r="D27" i="29"/>
  <c r="K27" i="29"/>
  <c r="L27" i="29" s="1"/>
  <c r="C27" i="29"/>
  <c r="B27" i="29"/>
  <c r="A27" i="29"/>
  <c r="X26" i="29"/>
  <c r="W26" i="29"/>
  <c r="R26" i="29"/>
  <c r="Q26" i="29"/>
  <c r="P26" i="29"/>
  <c r="O26" i="29"/>
  <c r="E26" i="29"/>
  <c r="D26" i="29"/>
  <c r="K26" i="29"/>
  <c r="L26" i="29" s="1"/>
  <c r="C26" i="29"/>
  <c r="B26" i="29"/>
  <c r="A26" i="29"/>
  <c r="X25" i="29"/>
  <c r="W25" i="29"/>
  <c r="R25" i="29"/>
  <c r="Q25" i="29"/>
  <c r="P25" i="29"/>
  <c r="O25" i="29"/>
  <c r="E25" i="29"/>
  <c r="D25" i="29"/>
  <c r="K25" i="29" s="1"/>
  <c r="C25" i="29"/>
  <c r="B25" i="29"/>
  <c r="A25" i="29"/>
  <c r="X23" i="29"/>
  <c r="W23" i="29"/>
  <c r="R23" i="29"/>
  <c r="Q23" i="29"/>
  <c r="P23" i="29"/>
  <c r="O23" i="29"/>
  <c r="J23" i="29"/>
  <c r="I23" i="29"/>
  <c r="H23" i="29"/>
  <c r="G23" i="29"/>
  <c r="F23" i="29"/>
  <c r="E23" i="29"/>
  <c r="D23" i="29"/>
  <c r="C23" i="29"/>
  <c r="B23" i="29"/>
  <c r="A23" i="29"/>
  <c r="X22" i="29"/>
  <c r="W22" i="29"/>
  <c r="R22" i="29"/>
  <c r="Q22" i="29"/>
  <c r="P22" i="29"/>
  <c r="O22" i="29"/>
  <c r="J22" i="29"/>
  <c r="I22" i="29"/>
  <c r="H22" i="29"/>
  <c r="G22" i="29"/>
  <c r="F22" i="29"/>
  <c r="E22" i="29"/>
  <c r="D22" i="29"/>
  <c r="C22" i="29"/>
  <c r="B22" i="29"/>
  <c r="A22" i="29"/>
  <c r="X20" i="29"/>
  <c r="W20" i="29"/>
  <c r="R20" i="29"/>
  <c r="Q20" i="29"/>
  <c r="P20" i="29"/>
  <c r="O20" i="29"/>
  <c r="J20" i="29"/>
  <c r="I20" i="29"/>
  <c r="H20" i="29"/>
  <c r="G20" i="29"/>
  <c r="F20" i="29"/>
  <c r="E20" i="29"/>
  <c r="D20" i="29"/>
  <c r="C20" i="29"/>
  <c r="B20" i="29"/>
  <c r="A20" i="29"/>
  <c r="X19" i="29"/>
  <c r="W19" i="29"/>
  <c r="R19" i="29"/>
  <c r="Q19" i="29"/>
  <c r="P19" i="29"/>
  <c r="O19" i="29"/>
  <c r="J19" i="29"/>
  <c r="I19" i="29"/>
  <c r="H19" i="29"/>
  <c r="G19" i="29"/>
  <c r="F19" i="29"/>
  <c r="E19" i="29"/>
  <c r="D19" i="29"/>
  <c r="C19" i="29"/>
  <c r="B19" i="29"/>
  <c r="A19" i="29"/>
  <c r="X18" i="29"/>
  <c r="W18" i="29"/>
  <c r="R18" i="29"/>
  <c r="Q18" i="29"/>
  <c r="P18" i="29"/>
  <c r="O18" i="29"/>
  <c r="J18" i="29"/>
  <c r="I18" i="29"/>
  <c r="H18" i="29"/>
  <c r="G18" i="29"/>
  <c r="F18" i="29"/>
  <c r="E18" i="29"/>
  <c r="D18" i="29"/>
  <c r="C18" i="29"/>
  <c r="B18" i="29"/>
  <c r="A18" i="29"/>
  <c r="X17" i="29"/>
  <c r="W17" i="29"/>
  <c r="R17" i="29"/>
  <c r="Q17" i="29"/>
  <c r="P17" i="29"/>
  <c r="O17" i="29"/>
  <c r="J17" i="29"/>
  <c r="I17" i="29"/>
  <c r="H17" i="29"/>
  <c r="G17" i="29"/>
  <c r="F17" i="29"/>
  <c r="E17" i="29"/>
  <c r="D17" i="29"/>
  <c r="C17" i="29"/>
  <c r="B17" i="29"/>
  <c r="A17" i="29"/>
  <c r="X13" i="29"/>
  <c r="W13" i="29"/>
  <c r="R13" i="29"/>
  <c r="Q13" i="29"/>
  <c r="P13" i="29"/>
  <c r="O13" i="29"/>
  <c r="J13" i="29"/>
  <c r="I13" i="29"/>
  <c r="H13" i="29"/>
  <c r="G13" i="29"/>
  <c r="F13" i="29"/>
  <c r="E13" i="29"/>
  <c r="D13" i="29"/>
  <c r="C13" i="29"/>
  <c r="B13" i="29"/>
  <c r="A13" i="29"/>
  <c r="X12" i="29"/>
  <c r="W12" i="29"/>
  <c r="R12" i="29"/>
  <c r="Q12" i="29"/>
  <c r="P12" i="29"/>
  <c r="O12" i="29"/>
  <c r="J12" i="29"/>
  <c r="I12" i="29"/>
  <c r="H12" i="29"/>
  <c r="G12" i="29"/>
  <c r="F12" i="29"/>
  <c r="E12" i="29"/>
  <c r="D12" i="29"/>
  <c r="C12" i="29"/>
  <c r="B12" i="29"/>
  <c r="A12" i="29"/>
  <c r="X11" i="29"/>
  <c r="W11" i="29"/>
  <c r="R11" i="29"/>
  <c r="Q11" i="29"/>
  <c r="P11" i="29"/>
  <c r="O11" i="29"/>
  <c r="J11" i="29"/>
  <c r="I11" i="29"/>
  <c r="H11" i="29"/>
  <c r="G11" i="29"/>
  <c r="F11" i="29"/>
  <c r="E11" i="29"/>
  <c r="D11" i="29"/>
  <c r="C11" i="29"/>
  <c r="B11" i="29"/>
  <c r="A11" i="29"/>
  <c r="X10" i="29"/>
  <c r="W10" i="29"/>
  <c r="R10" i="29"/>
  <c r="Q10" i="29"/>
  <c r="P10" i="29"/>
  <c r="O10" i="29"/>
  <c r="J10" i="29"/>
  <c r="I10" i="29"/>
  <c r="H10" i="29"/>
  <c r="G10" i="29"/>
  <c r="F10" i="29"/>
  <c r="E10" i="29"/>
  <c r="D10" i="29"/>
  <c r="C10" i="29"/>
  <c r="B10" i="29"/>
  <c r="A10" i="29"/>
  <c r="X9" i="29"/>
  <c r="W9" i="29"/>
  <c r="R9" i="29"/>
  <c r="Q9" i="29"/>
  <c r="P9" i="29"/>
  <c r="O9" i="29"/>
  <c r="J9" i="29"/>
  <c r="I9" i="29"/>
  <c r="H9" i="29"/>
  <c r="G9" i="29"/>
  <c r="F9" i="29"/>
  <c r="E9" i="29"/>
  <c r="D9" i="29"/>
  <c r="C9" i="29"/>
  <c r="B9" i="29"/>
  <c r="A9" i="29"/>
  <c r="X8" i="29"/>
  <c r="W8" i="29"/>
  <c r="R8" i="29"/>
  <c r="Q8" i="29"/>
  <c r="P8" i="29"/>
  <c r="O8" i="29"/>
  <c r="C8" i="29"/>
  <c r="B8" i="29"/>
  <c r="A8" i="29"/>
  <c r="K29" i="29"/>
  <c r="K30" i="29"/>
  <c r="M30" i="29" s="1"/>
  <c r="D13" i="26"/>
  <c r="E13" i="26"/>
  <c r="F13" i="26"/>
  <c r="G13" i="26"/>
  <c r="H13" i="26"/>
  <c r="I13" i="26"/>
  <c r="J13" i="26"/>
  <c r="Q13" i="26"/>
  <c r="D12" i="26"/>
  <c r="E12" i="26"/>
  <c r="F12" i="26"/>
  <c r="G12" i="26"/>
  <c r="H12" i="26"/>
  <c r="I12" i="26"/>
  <c r="J12" i="26"/>
  <c r="R12" i="26"/>
  <c r="D8" i="26"/>
  <c r="E8" i="26"/>
  <c r="K8" i="26"/>
  <c r="M8" i="26" s="1"/>
  <c r="R8" i="26"/>
  <c r="D24" i="26"/>
  <c r="E24" i="26"/>
  <c r="D21" i="26"/>
  <c r="E21" i="26"/>
  <c r="K21" i="26" s="1"/>
  <c r="X26" i="26"/>
  <c r="W26" i="26"/>
  <c r="R26" i="26"/>
  <c r="Q26" i="26"/>
  <c r="P26" i="26"/>
  <c r="O26" i="26"/>
  <c r="E26" i="26"/>
  <c r="D26" i="26"/>
  <c r="K26" i="26" s="1"/>
  <c r="C26" i="26"/>
  <c r="B26" i="26"/>
  <c r="A26" i="26"/>
  <c r="X25" i="26"/>
  <c r="W25" i="26"/>
  <c r="R25" i="26"/>
  <c r="Q25" i="26"/>
  <c r="P25" i="26"/>
  <c r="O25" i="26"/>
  <c r="E25" i="26"/>
  <c r="D25" i="26"/>
  <c r="K25" i="26"/>
  <c r="M25" i="26" s="1"/>
  <c r="C25" i="26"/>
  <c r="B25" i="26"/>
  <c r="A25" i="26"/>
  <c r="X24" i="26"/>
  <c r="W24" i="26"/>
  <c r="R24" i="26"/>
  <c r="Q24" i="26"/>
  <c r="P24" i="26"/>
  <c r="O24" i="26"/>
  <c r="C24" i="26"/>
  <c r="B24" i="26"/>
  <c r="A24" i="26"/>
  <c r="X23" i="26"/>
  <c r="W23" i="26"/>
  <c r="R23" i="26"/>
  <c r="Q23" i="26"/>
  <c r="P23" i="26"/>
  <c r="O23" i="26"/>
  <c r="E23" i="26"/>
  <c r="D23" i="26"/>
  <c r="K23" i="26" s="1"/>
  <c r="C23" i="26"/>
  <c r="B23" i="26"/>
  <c r="A23" i="26"/>
  <c r="X22" i="26"/>
  <c r="W22" i="26"/>
  <c r="R22" i="26"/>
  <c r="Q22" i="26"/>
  <c r="P22" i="26"/>
  <c r="O22" i="26"/>
  <c r="E22" i="26"/>
  <c r="D22" i="26"/>
  <c r="K22" i="26" s="1"/>
  <c r="C22" i="26"/>
  <c r="B22" i="26"/>
  <c r="A22" i="26"/>
  <c r="X21" i="26"/>
  <c r="W21" i="26"/>
  <c r="R21" i="26"/>
  <c r="Q21" i="26"/>
  <c r="P21" i="26"/>
  <c r="O21" i="26"/>
  <c r="C21" i="26"/>
  <c r="B21" i="26"/>
  <c r="A21" i="26"/>
  <c r="X20" i="26"/>
  <c r="W20" i="26"/>
  <c r="R20" i="26"/>
  <c r="Q20" i="26"/>
  <c r="P20" i="26"/>
  <c r="O20" i="26"/>
  <c r="E20" i="26"/>
  <c r="D20" i="26"/>
  <c r="K20" i="26" s="1"/>
  <c r="C20" i="26"/>
  <c r="B20" i="26"/>
  <c r="A20" i="26"/>
  <c r="X19" i="26"/>
  <c r="W19" i="26"/>
  <c r="R19" i="26"/>
  <c r="Q19" i="26"/>
  <c r="P19" i="26"/>
  <c r="O19" i="26"/>
  <c r="J19" i="26"/>
  <c r="I19" i="26"/>
  <c r="H19" i="26"/>
  <c r="G19" i="26"/>
  <c r="F19" i="26"/>
  <c r="E19" i="26"/>
  <c r="D19" i="26"/>
  <c r="C19" i="26"/>
  <c r="B19" i="26"/>
  <c r="A19" i="26"/>
  <c r="X18" i="26"/>
  <c r="W18" i="26"/>
  <c r="R18" i="26"/>
  <c r="Q18" i="26"/>
  <c r="P18" i="26"/>
  <c r="O18" i="26"/>
  <c r="J18" i="26"/>
  <c r="I18" i="26"/>
  <c r="H18" i="26"/>
  <c r="G18" i="26"/>
  <c r="F18" i="26"/>
  <c r="E18" i="26"/>
  <c r="D18" i="26"/>
  <c r="K18" i="26" s="1"/>
  <c r="C18" i="26"/>
  <c r="B18" i="26"/>
  <c r="A18" i="26"/>
  <c r="X17" i="26"/>
  <c r="W17" i="26"/>
  <c r="R17" i="26"/>
  <c r="Q17" i="26"/>
  <c r="P17" i="26"/>
  <c r="O17" i="26"/>
  <c r="J17" i="26"/>
  <c r="I17" i="26"/>
  <c r="H17" i="26"/>
  <c r="G17" i="26"/>
  <c r="F17" i="26"/>
  <c r="E17" i="26"/>
  <c r="D17" i="26"/>
  <c r="K17" i="26" s="1"/>
  <c r="C17" i="26"/>
  <c r="B17" i="26"/>
  <c r="A17" i="26"/>
  <c r="X16" i="26"/>
  <c r="W16" i="26"/>
  <c r="R16" i="26"/>
  <c r="Q16" i="26"/>
  <c r="P16" i="26"/>
  <c r="O16" i="26"/>
  <c r="J16" i="26"/>
  <c r="I16" i="26"/>
  <c r="H16" i="26"/>
  <c r="G16" i="26"/>
  <c r="F16" i="26"/>
  <c r="E16" i="26"/>
  <c r="D16" i="26"/>
  <c r="K16" i="26" s="1"/>
  <c r="C16" i="26"/>
  <c r="B16" i="26"/>
  <c r="A16" i="26"/>
  <c r="X15" i="26"/>
  <c r="W15" i="26"/>
  <c r="R15" i="26"/>
  <c r="Q15" i="26"/>
  <c r="P15" i="26"/>
  <c r="O15" i="26"/>
  <c r="J15" i="26"/>
  <c r="I15" i="26"/>
  <c r="H15" i="26"/>
  <c r="G15" i="26"/>
  <c r="F15" i="26"/>
  <c r="E15" i="26"/>
  <c r="D15" i="26"/>
  <c r="K15" i="26" s="1"/>
  <c r="C15" i="26"/>
  <c r="B15" i="26"/>
  <c r="A15" i="26"/>
  <c r="X14" i="26"/>
  <c r="W14" i="26"/>
  <c r="R14" i="26"/>
  <c r="Q14" i="26"/>
  <c r="P14" i="26"/>
  <c r="O14" i="26"/>
  <c r="J14" i="26"/>
  <c r="I14" i="26"/>
  <c r="H14" i="26"/>
  <c r="G14" i="26"/>
  <c r="F14" i="26"/>
  <c r="E14" i="26"/>
  <c r="D14" i="26"/>
  <c r="C14" i="26"/>
  <c r="B14" i="26"/>
  <c r="A14" i="26"/>
  <c r="X13" i="26"/>
  <c r="W13" i="26"/>
  <c r="R13" i="26"/>
  <c r="P13" i="26"/>
  <c r="O13" i="26"/>
  <c r="C13" i="26"/>
  <c r="B13" i="26"/>
  <c r="A13" i="26"/>
  <c r="X12" i="26"/>
  <c r="W12" i="26"/>
  <c r="Q12" i="26"/>
  <c r="P12" i="26"/>
  <c r="O12" i="26"/>
  <c r="C12" i="26"/>
  <c r="B12" i="26"/>
  <c r="A12" i="26"/>
  <c r="X11" i="26"/>
  <c r="W11" i="26"/>
  <c r="R11" i="26"/>
  <c r="Q11" i="26"/>
  <c r="P11" i="26"/>
  <c r="O11" i="26"/>
  <c r="J11" i="26"/>
  <c r="I11" i="26"/>
  <c r="H11" i="26"/>
  <c r="G11" i="26"/>
  <c r="F11" i="26"/>
  <c r="E11" i="26"/>
  <c r="D11" i="26"/>
  <c r="C11" i="26"/>
  <c r="B11" i="26"/>
  <c r="A11" i="26"/>
  <c r="X10" i="26"/>
  <c r="W10" i="26"/>
  <c r="R10" i="26"/>
  <c r="Q10" i="26"/>
  <c r="P10" i="26"/>
  <c r="O10" i="26"/>
  <c r="J10" i="26"/>
  <c r="I10" i="26"/>
  <c r="H10" i="26"/>
  <c r="G10" i="26"/>
  <c r="F10" i="26"/>
  <c r="E10" i="26"/>
  <c r="D10" i="26"/>
  <c r="K10" i="26" s="1"/>
  <c r="C10" i="26"/>
  <c r="B10" i="26"/>
  <c r="A10" i="26"/>
  <c r="X9" i="26"/>
  <c r="W9" i="26"/>
  <c r="R9" i="26"/>
  <c r="Q9" i="26"/>
  <c r="P9" i="26"/>
  <c r="O9" i="26"/>
  <c r="J9" i="26"/>
  <c r="I9" i="26"/>
  <c r="H9" i="26"/>
  <c r="G9" i="26"/>
  <c r="F9" i="26"/>
  <c r="E9" i="26"/>
  <c r="D9" i="26"/>
  <c r="K9" i="26" s="1"/>
  <c r="C9" i="26"/>
  <c r="B9" i="26"/>
  <c r="A9" i="26"/>
  <c r="X8" i="26"/>
  <c r="W8" i="26"/>
  <c r="Q8" i="26"/>
  <c r="P8" i="26"/>
  <c r="O8" i="26"/>
  <c r="C8" i="26"/>
  <c r="B8" i="26"/>
  <c r="A8" i="26"/>
  <c r="C34" i="2"/>
  <c r="C33" i="2"/>
  <c r="C32" i="2"/>
  <c r="C31" i="2"/>
  <c r="C30" i="2"/>
  <c r="C35" i="2"/>
  <c r="C29" i="2"/>
  <c r="E13" i="2"/>
  <c r="B9" i="2"/>
  <c r="B10" i="2"/>
  <c r="B11" i="2"/>
  <c r="B12" i="2"/>
  <c r="B13" i="2"/>
  <c r="B14" i="2"/>
  <c r="D9" i="2"/>
  <c r="E9" i="2"/>
  <c r="E15" i="2"/>
  <c r="E16" i="2"/>
  <c r="D10" i="2"/>
  <c r="D11" i="2"/>
  <c r="D12" i="2"/>
  <c r="D13" i="2"/>
  <c r="D15" i="2"/>
  <c r="D16" i="2"/>
  <c r="D14" i="2"/>
  <c r="E14" i="2"/>
  <c r="E53" i="2"/>
  <c r="E54" i="2"/>
  <c r="E55" i="2"/>
  <c r="E40" i="2"/>
  <c r="E41" i="2"/>
  <c r="E42" i="2"/>
  <c r="E43" i="2"/>
  <c r="E44" i="2"/>
  <c r="C40" i="2"/>
  <c r="C46" i="2"/>
  <c r="C41" i="2"/>
  <c r="C42" i="2"/>
  <c r="C43" i="2"/>
  <c r="C44" i="2"/>
  <c r="C23" i="2"/>
  <c r="C24" i="2"/>
  <c r="C53" i="2"/>
  <c r="C55" i="2"/>
  <c r="C56" i="2"/>
  <c r="C57" i="2"/>
  <c r="C9" i="2"/>
  <c r="C10" i="2"/>
  <c r="C11" i="2"/>
  <c r="C12" i="2"/>
  <c r="C13" i="2"/>
  <c r="C14" i="2"/>
  <c r="F42" i="7"/>
  <c r="F41" i="7"/>
  <c r="C41" i="7"/>
  <c r="F34" i="7"/>
  <c r="C34" i="7"/>
  <c r="F33" i="7"/>
  <c r="C33" i="7"/>
  <c r="F32" i="7"/>
  <c r="C32" i="7"/>
  <c r="F31" i="7"/>
  <c r="F37" i="7"/>
  <c r="C31" i="7"/>
  <c r="F24" i="7"/>
  <c r="C24" i="7"/>
  <c r="C23" i="7"/>
  <c r="C22" i="7"/>
  <c r="C21" i="7"/>
  <c r="F20" i="7"/>
  <c r="F26" i="7"/>
  <c r="F27" i="7"/>
  <c r="C20" i="7"/>
  <c r="C26" i="7"/>
  <c r="C27" i="7"/>
  <c r="C9" i="7"/>
  <c r="C10" i="7"/>
  <c r="C11" i="7"/>
  <c r="C12" i="7"/>
  <c r="C13" i="7"/>
  <c r="C14" i="7"/>
  <c r="D9" i="7"/>
  <c r="D10" i="7"/>
  <c r="D11" i="7"/>
  <c r="D12" i="7"/>
  <c r="D13" i="7"/>
  <c r="D14" i="7"/>
  <c r="E9" i="7"/>
  <c r="E10" i="7"/>
  <c r="E11" i="7"/>
  <c r="E12" i="7"/>
  <c r="E15" i="7"/>
  <c r="E16" i="7"/>
  <c r="E13" i="7"/>
  <c r="E14" i="7"/>
  <c r="F9" i="7"/>
  <c r="F13" i="7"/>
  <c r="F14" i="7"/>
  <c r="G9" i="7"/>
  <c r="G10" i="7"/>
  <c r="G11" i="7"/>
  <c r="G15" i="7"/>
  <c r="G16" i="7"/>
  <c r="G12" i="7"/>
  <c r="G13" i="7"/>
  <c r="G14" i="7"/>
  <c r="B9" i="7"/>
  <c r="B15" i="7"/>
  <c r="B16" i="7"/>
  <c r="B10" i="7"/>
  <c r="B11" i="7"/>
  <c r="B12" i="7"/>
  <c r="B13" i="7"/>
  <c r="B14" i="7"/>
  <c r="F25" i="7"/>
  <c r="C25" i="7"/>
  <c r="F43" i="7"/>
  <c r="F35" i="7"/>
  <c r="C43" i="7"/>
  <c r="C35" i="7"/>
  <c r="D45" i="12"/>
  <c r="D46" i="12"/>
  <c r="D47" i="12"/>
  <c r="D48" i="12"/>
  <c r="D49" i="12"/>
  <c r="D50" i="12"/>
  <c r="D51" i="12"/>
  <c r="D52" i="12"/>
  <c r="D53" i="12"/>
  <c r="C31" i="12"/>
  <c r="C34" i="12"/>
  <c r="C35" i="12"/>
  <c r="C38" i="12"/>
  <c r="C39" i="12"/>
  <c r="D31" i="12"/>
  <c r="D32" i="12"/>
  <c r="D33" i="12"/>
  <c r="D34" i="12"/>
  <c r="D35" i="12"/>
  <c r="D36" i="12"/>
  <c r="D37" i="12"/>
  <c r="D38" i="12"/>
  <c r="D39" i="12"/>
  <c r="C13" i="12"/>
  <c r="C11" i="12"/>
  <c r="C10" i="12"/>
  <c r="C9" i="12"/>
  <c r="C45" i="12"/>
  <c r="D24" i="12"/>
  <c r="C24" i="12"/>
  <c r="D23" i="12"/>
  <c r="C23" i="12"/>
  <c r="D22" i="12"/>
  <c r="C22" i="12"/>
  <c r="D21" i="12"/>
  <c r="C21" i="12"/>
  <c r="D20" i="12"/>
  <c r="C20" i="12"/>
  <c r="C12" i="12"/>
  <c r="C14" i="12"/>
  <c r="D9" i="12"/>
  <c r="D10" i="12"/>
  <c r="D11" i="12"/>
  <c r="D12" i="12"/>
  <c r="D13" i="12"/>
  <c r="D14" i="12"/>
  <c r="E9" i="12"/>
  <c r="E10" i="12"/>
  <c r="E11" i="12"/>
  <c r="E12" i="12"/>
  <c r="E13" i="12"/>
  <c r="E14" i="12"/>
  <c r="F9" i="12"/>
  <c r="F10" i="12"/>
  <c r="F11" i="12"/>
  <c r="F12" i="12"/>
  <c r="F13" i="12"/>
  <c r="F14" i="12"/>
  <c r="B9" i="12"/>
  <c r="B10" i="12"/>
  <c r="B11" i="12"/>
  <c r="B12" i="12"/>
  <c r="B15" i="12"/>
  <c r="B16" i="12"/>
  <c r="B13" i="12"/>
  <c r="B14" i="12"/>
  <c r="D25" i="12"/>
  <c r="C53" i="12"/>
  <c r="C25" i="12"/>
  <c r="C88" i="16"/>
  <c r="C87" i="16"/>
  <c r="C89" i="16"/>
  <c r="C90" i="16"/>
  <c r="C81" i="16"/>
  <c r="C80" i="16"/>
  <c r="C82" i="16"/>
  <c r="C83" i="16"/>
  <c r="C74" i="16"/>
  <c r="C73" i="16"/>
  <c r="C75" i="16"/>
  <c r="C76" i="16"/>
  <c r="C67" i="16"/>
  <c r="C66" i="16"/>
  <c r="C59" i="16"/>
  <c r="C61" i="16"/>
  <c r="C62" i="16"/>
  <c r="C60" i="16"/>
  <c r="C53" i="16"/>
  <c r="F25" i="16"/>
  <c r="F24" i="16"/>
  <c r="F23" i="16"/>
  <c r="F22" i="16"/>
  <c r="F21" i="16"/>
  <c r="F20" i="16"/>
  <c r="F26" i="16"/>
  <c r="F27" i="16"/>
  <c r="D53" i="16"/>
  <c r="D52" i="16"/>
  <c r="D51" i="16"/>
  <c r="D50" i="16"/>
  <c r="D49" i="16"/>
  <c r="D48" i="16"/>
  <c r="D47" i="16"/>
  <c r="D46" i="16"/>
  <c r="D45" i="16"/>
  <c r="C45" i="16"/>
  <c r="D39" i="16"/>
  <c r="C39" i="16"/>
  <c r="D38" i="16"/>
  <c r="C38" i="16"/>
  <c r="D37" i="16"/>
  <c r="D36" i="16"/>
  <c r="D35" i="16"/>
  <c r="C35" i="16"/>
  <c r="D34" i="16"/>
  <c r="C34" i="16"/>
  <c r="D33" i="16"/>
  <c r="D32" i="16"/>
  <c r="D31" i="16"/>
  <c r="C31" i="16"/>
  <c r="D25" i="16"/>
  <c r="D24" i="16"/>
  <c r="D23" i="16"/>
  <c r="D22" i="16"/>
  <c r="D26" i="16"/>
  <c r="D27" i="16"/>
  <c r="D21" i="16"/>
  <c r="D20" i="16"/>
  <c r="E14" i="16"/>
  <c r="D14" i="16"/>
  <c r="C14" i="16"/>
  <c r="B14" i="16"/>
  <c r="E13" i="16"/>
  <c r="D13" i="16"/>
  <c r="C13" i="16"/>
  <c r="B13" i="16"/>
  <c r="E12" i="16"/>
  <c r="D12" i="16"/>
  <c r="C12" i="16"/>
  <c r="B12" i="16"/>
  <c r="C11" i="16"/>
  <c r="D11" i="16"/>
  <c r="E11" i="16"/>
  <c r="B11" i="16"/>
  <c r="E10" i="16"/>
  <c r="D10" i="16"/>
  <c r="C10" i="16"/>
  <c r="B10" i="16"/>
  <c r="E9" i="16"/>
  <c r="E15" i="16"/>
  <c r="E16" i="16"/>
  <c r="D9" i="16"/>
  <c r="C9" i="16"/>
  <c r="B9" i="16"/>
  <c r="C54" i="16"/>
  <c r="C55" i="16"/>
  <c r="C41" i="16"/>
  <c r="B15" i="16"/>
  <c r="B16" i="16"/>
  <c r="B11" i="20"/>
  <c r="C31" i="20"/>
  <c r="C32" i="20"/>
  <c r="C34" i="20"/>
  <c r="C35" i="20"/>
  <c r="C36" i="20"/>
  <c r="C38" i="20"/>
  <c r="C39" i="20"/>
  <c r="C45" i="20"/>
  <c r="C46" i="20"/>
  <c r="C48" i="20"/>
  <c r="C49" i="20"/>
  <c r="C50" i="20"/>
  <c r="C52" i="20"/>
  <c r="C53" i="20"/>
  <c r="G9" i="20"/>
  <c r="H9" i="20"/>
  <c r="G10" i="20"/>
  <c r="G15" i="20"/>
  <c r="G16" i="20"/>
  <c r="H10" i="20"/>
  <c r="G11" i="20"/>
  <c r="H11" i="20"/>
  <c r="G12" i="20"/>
  <c r="H12" i="20"/>
  <c r="G13" i="20"/>
  <c r="H13" i="20"/>
  <c r="G14" i="20"/>
  <c r="H14" i="20"/>
  <c r="F9" i="20"/>
  <c r="F10" i="20"/>
  <c r="F11" i="20"/>
  <c r="F12" i="20"/>
  <c r="F13" i="20"/>
  <c r="F14" i="20"/>
  <c r="B9" i="20"/>
  <c r="C88" i="20"/>
  <c r="C89" i="20"/>
  <c r="C90" i="20"/>
  <c r="C87" i="20"/>
  <c r="C81" i="20"/>
  <c r="C82" i="20"/>
  <c r="C83" i="20"/>
  <c r="C80" i="20"/>
  <c r="C74" i="20"/>
  <c r="C73" i="20"/>
  <c r="C75" i="20"/>
  <c r="C76" i="20"/>
  <c r="C67" i="20"/>
  <c r="C66" i="20"/>
  <c r="C60" i="20"/>
  <c r="C61" i="20"/>
  <c r="C62" i="20"/>
  <c r="C59" i="20"/>
  <c r="D53" i="20"/>
  <c r="D52" i="20"/>
  <c r="D51" i="20"/>
  <c r="D50" i="20"/>
  <c r="D49" i="20"/>
  <c r="D48" i="20"/>
  <c r="D47" i="20"/>
  <c r="D46" i="20"/>
  <c r="D45" i="20"/>
  <c r="D39" i="20"/>
  <c r="D38" i="20"/>
  <c r="D37" i="20"/>
  <c r="D36" i="20"/>
  <c r="D35" i="20"/>
  <c r="D34" i="20"/>
  <c r="D33" i="20"/>
  <c r="D32" i="20"/>
  <c r="D31" i="20"/>
  <c r="I25" i="20"/>
  <c r="D25" i="20"/>
  <c r="I24" i="20"/>
  <c r="D24" i="20"/>
  <c r="I23" i="20"/>
  <c r="D23" i="20"/>
  <c r="I22" i="20"/>
  <c r="D22" i="20"/>
  <c r="I21" i="20"/>
  <c r="D21" i="20"/>
  <c r="I20" i="20"/>
  <c r="I26" i="20"/>
  <c r="I27" i="20"/>
  <c r="D20" i="20"/>
  <c r="D26" i="20"/>
  <c r="D27" i="20"/>
  <c r="E14" i="20"/>
  <c r="D14" i="20"/>
  <c r="C14" i="20"/>
  <c r="B14" i="20"/>
  <c r="E13" i="20"/>
  <c r="D13" i="20"/>
  <c r="C13" i="20"/>
  <c r="B13" i="20"/>
  <c r="E12" i="20"/>
  <c r="D12" i="20"/>
  <c r="C12" i="20"/>
  <c r="B12" i="20"/>
  <c r="E11" i="20"/>
  <c r="E15" i="20"/>
  <c r="D11" i="20"/>
  <c r="C11" i="20"/>
  <c r="E10" i="20"/>
  <c r="D10" i="20"/>
  <c r="C10" i="20"/>
  <c r="B10" i="20"/>
  <c r="E9" i="20"/>
  <c r="D9" i="20"/>
  <c r="D15" i="20"/>
  <c r="D16" i="20"/>
  <c r="C9" i="20"/>
  <c r="E16" i="20"/>
  <c r="D9" i="25"/>
  <c r="E9" i="25"/>
  <c r="F9" i="25"/>
  <c r="K9" i="25" s="1"/>
  <c r="G9" i="25"/>
  <c r="H9" i="25"/>
  <c r="I9" i="25"/>
  <c r="J9" i="25"/>
  <c r="D10" i="25"/>
  <c r="E10" i="25"/>
  <c r="K10" i="25" s="1"/>
  <c r="F10" i="25"/>
  <c r="G10" i="25"/>
  <c r="H10" i="25"/>
  <c r="I10" i="25"/>
  <c r="J10" i="25"/>
  <c r="D11" i="25"/>
  <c r="E11" i="25"/>
  <c r="F11" i="25"/>
  <c r="G11" i="25"/>
  <c r="H11" i="25"/>
  <c r="K11" i="25" s="1"/>
  <c r="I11" i="25"/>
  <c r="J11" i="25"/>
  <c r="D12" i="25"/>
  <c r="E12" i="25"/>
  <c r="K12" i="25" s="1"/>
  <c r="F12" i="25"/>
  <c r="G12" i="25"/>
  <c r="H12" i="25"/>
  <c r="I12" i="25"/>
  <c r="J12" i="25"/>
  <c r="D13" i="25"/>
  <c r="E13" i="25"/>
  <c r="F13" i="25"/>
  <c r="K13" i="25" s="1"/>
  <c r="G13" i="25"/>
  <c r="H13" i="25"/>
  <c r="I13" i="25"/>
  <c r="J13" i="25"/>
  <c r="D14" i="25"/>
  <c r="E14" i="25"/>
  <c r="F14" i="25"/>
  <c r="G14" i="25"/>
  <c r="K14" i="25" s="1"/>
  <c r="H14" i="25"/>
  <c r="I14" i="25"/>
  <c r="J14" i="25"/>
  <c r="D15" i="25"/>
  <c r="E15" i="25"/>
  <c r="F15" i="25"/>
  <c r="G15" i="25"/>
  <c r="H15" i="25"/>
  <c r="I15" i="25"/>
  <c r="J15" i="25"/>
  <c r="D16" i="25"/>
  <c r="E16" i="25"/>
  <c r="K16" i="25" s="1"/>
  <c r="F16" i="25"/>
  <c r="G16" i="25"/>
  <c r="H16" i="25"/>
  <c r="I16" i="25"/>
  <c r="J16" i="25"/>
  <c r="D17" i="25"/>
  <c r="E17" i="25"/>
  <c r="F17" i="25"/>
  <c r="K17" i="25" s="1"/>
  <c r="G17" i="25"/>
  <c r="H17" i="25"/>
  <c r="I17" i="25"/>
  <c r="J17" i="25"/>
  <c r="D18" i="25"/>
  <c r="E18" i="25"/>
  <c r="F18" i="25"/>
  <c r="K18" i="25" s="1"/>
  <c r="G18" i="25"/>
  <c r="H18" i="25"/>
  <c r="I18" i="25"/>
  <c r="J18" i="25"/>
  <c r="D19" i="25"/>
  <c r="E19" i="25"/>
  <c r="F19" i="25"/>
  <c r="G19" i="25"/>
  <c r="K19" i="25" s="1"/>
  <c r="H19" i="25"/>
  <c r="I19" i="25"/>
  <c r="J19" i="25"/>
  <c r="D20" i="25"/>
  <c r="K20" i="25" s="1"/>
  <c r="E20" i="25"/>
  <c r="D21" i="25"/>
  <c r="K21" i="25"/>
  <c r="L21" i="25" s="1"/>
  <c r="E21" i="25"/>
  <c r="D22" i="25"/>
  <c r="E22" i="25"/>
  <c r="K22" i="25" s="1"/>
  <c r="D23" i="25"/>
  <c r="E23" i="25"/>
  <c r="D24" i="25"/>
  <c r="K24" i="25" s="1"/>
  <c r="E24" i="25"/>
  <c r="D25" i="25"/>
  <c r="K25" i="25" s="1"/>
  <c r="E25" i="25"/>
  <c r="D26" i="25"/>
  <c r="E26" i="25"/>
  <c r="K26" i="25" s="1"/>
  <c r="D8" i="25"/>
  <c r="K8" i="25" s="1"/>
  <c r="E8" i="25"/>
  <c r="F8" i="25"/>
  <c r="G8" i="25"/>
  <c r="H8" i="25"/>
  <c r="I8" i="25"/>
  <c r="J8" i="25"/>
  <c r="R26" i="25"/>
  <c r="R25" i="25"/>
  <c r="R22" i="25"/>
  <c r="Q24" i="25"/>
  <c r="R23" i="25"/>
  <c r="Q21" i="25"/>
  <c r="R20" i="25"/>
  <c r="R19" i="25"/>
  <c r="R18" i="25"/>
  <c r="R17" i="25"/>
  <c r="R16" i="25"/>
  <c r="R15" i="25"/>
  <c r="R9" i="25"/>
  <c r="R10" i="25"/>
  <c r="R11" i="25"/>
  <c r="R12" i="25"/>
  <c r="Q13" i="25"/>
  <c r="R8" i="25"/>
  <c r="W9" i="25"/>
  <c r="X9" i="25"/>
  <c r="W10" i="25"/>
  <c r="X10" i="25"/>
  <c r="W11" i="25"/>
  <c r="X11" i="25"/>
  <c r="W12" i="25"/>
  <c r="X12" i="25"/>
  <c r="W13" i="25"/>
  <c r="X13" i="25"/>
  <c r="W14" i="25"/>
  <c r="X14" i="25"/>
  <c r="W15" i="25"/>
  <c r="X15" i="25"/>
  <c r="W16" i="25"/>
  <c r="X16" i="25"/>
  <c r="W17" i="25"/>
  <c r="X17" i="25"/>
  <c r="W18" i="25"/>
  <c r="X18" i="25"/>
  <c r="W19" i="25"/>
  <c r="X19" i="25"/>
  <c r="W20" i="25"/>
  <c r="X20" i="25"/>
  <c r="W21" i="25"/>
  <c r="X21" i="25"/>
  <c r="W22" i="25"/>
  <c r="X22" i="25"/>
  <c r="W23" i="25"/>
  <c r="X23" i="25"/>
  <c r="W24" i="25"/>
  <c r="X24" i="25"/>
  <c r="W25" i="25"/>
  <c r="X25" i="25"/>
  <c r="W26" i="25"/>
  <c r="X26" i="25"/>
  <c r="X8" i="25"/>
  <c r="W8" i="25"/>
  <c r="O9" i="25"/>
  <c r="P9" i="25"/>
  <c r="Q9" i="25"/>
  <c r="O10" i="25"/>
  <c r="P10" i="25"/>
  <c r="Q10" i="25"/>
  <c r="O11" i="25"/>
  <c r="P11" i="25"/>
  <c r="Q11" i="25"/>
  <c r="O12" i="25"/>
  <c r="P12" i="25"/>
  <c r="Q12" i="25"/>
  <c r="O13" i="25"/>
  <c r="P13" i="25"/>
  <c r="R13" i="25"/>
  <c r="O14" i="25"/>
  <c r="P14" i="25"/>
  <c r="Q14" i="25"/>
  <c r="R14" i="25"/>
  <c r="O15" i="25"/>
  <c r="P15" i="25"/>
  <c r="Q15" i="25"/>
  <c r="O16" i="25"/>
  <c r="P16" i="25"/>
  <c r="Q16" i="25"/>
  <c r="O17" i="25"/>
  <c r="P17" i="25"/>
  <c r="Q17" i="25"/>
  <c r="O18" i="25"/>
  <c r="P18" i="25"/>
  <c r="Q18" i="25"/>
  <c r="O19" i="25"/>
  <c r="P19" i="25"/>
  <c r="Q19" i="25"/>
  <c r="O20" i="25"/>
  <c r="P20" i="25"/>
  <c r="Q20" i="25"/>
  <c r="O21" i="25"/>
  <c r="P21" i="25"/>
  <c r="R21" i="25"/>
  <c r="O22" i="25"/>
  <c r="P22" i="25"/>
  <c r="Q22" i="25"/>
  <c r="O23" i="25"/>
  <c r="P23" i="25"/>
  <c r="Q23" i="25"/>
  <c r="O24" i="25"/>
  <c r="P24" i="25"/>
  <c r="R24" i="25"/>
  <c r="O25" i="25"/>
  <c r="P25" i="25"/>
  <c r="Q25" i="25"/>
  <c r="O26" i="25"/>
  <c r="P26" i="25"/>
  <c r="Q26" i="25"/>
  <c r="P8" i="25"/>
  <c r="Q8" i="25"/>
  <c r="O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8" i="25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A25" i="25"/>
  <c r="A26" i="25"/>
  <c r="A23" i="25"/>
  <c r="A24" i="25"/>
  <c r="A21" i="25"/>
  <c r="A22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B8" i="25"/>
  <c r="A8" i="25"/>
  <c r="C41" i="12"/>
  <c r="C15" i="12"/>
  <c r="C16" i="12"/>
  <c r="C37" i="7"/>
  <c r="C68" i="20"/>
  <c r="C69" i="20"/>
  <c r="C44" i="7"/>
  <c r="C45" i="7"/>
  <c r="K23" i="25"/>
  <c r="L8" i="26"/>
  <c r="L25" i="26"/>
  <c r="L30" i="29"/>
  <c r="D55" i="12"/>
  <c r="C55" i="20"/>
  <c r="D15" i="12"/>
  <c r="D16" i="12"/>
  <c r="C36" i="2"/>
  <c r="K11" i="26"/>
  <c r="M11" i="26"/>
  <c r="N11" i="26"/>
  <c r="K14" i="26"/>
  <c r="K19" i="26"/>
  <c r="M19" i="26" s="1"/>
  <c r="K24" i="26"/>
  <c r="C68" i="16"/>
  <c r="C69" i="16"/>
  <c r="D26" i="12"/>
  <c r="D27" i="12"/>
  <c r="B15" i="20"/>
  <c r="B16" i="20"/>
  <c r="C15" i="2"/>
  <c r="C16" i="2"/>
  <c r="D15" i="7"/>
  <c r="D16" i="7"/>
  <c r="F45" i="7"/>
  <c r="C25" i="2"/>
  <c r="C26" i="2"/>
  <c r="K28" i="31"/>
  <c r="M28" i="31"/>
  <c r="N28" i="31" s="1"/>
  <c r="S28" i="31" s="1"/>
  <c r="L23" i="25"/>
  <c r="M23" i="25"/>
  <c r="N23" i="25" s="1"/>
  <c r="K15" i="25"/>
  <c r="L15" i="25" s="1"/>
  <c r="M14" i="26"/>
  <c r="L14" i="26"/>
  <c r="H15" i="20"/>
  <c r="H16" i="20"/>
  <c r="D15" i="16"/>
  <c r="D16" i="16"/>
  <c r="M29" i="29"/>
  <c r="L29" i="29"/>
  <c r="D41" i="16"/>
  <c r="B15" i="2"/>
  <c r="B16" i="2"/>
  <c r="F15" i="20"/>
  <c r="F16" i="20"/>
  <c r="C41" i="20"/>
  <c r="F15" i="12"/>
  <c r="F16" i="12"/>
  <c r="E57" i="2"/>
  <c r="S11" i="26"/>
  <c r="L11" i="26"/>
  <c r="L24" i="26"/>
  <c r="M24" i="26"/>
  <c r="C15" i="20"/>
  <c r="C16" i="20"/>
  <c r="D41" i="20"/>
  <c r="D55" i="20"/>
  <c r="E15" i="12"/>
  <c r="E16" i="12"/>
  <c r="C26" i="12"/>
  <c r="C27" i="12"/>
  <c r="C54" i="12"/>
  <c r="C55" i="12"/>
  <c r="D41" i="12"/>
  <c r="F15" i="7"/>
  <c r="F16" i="7"/>
  <c r="C15" i="7"/>
  <c r="C16" i="7"/>
  <c r="E46" i="2"/>
  <c r="K22" i="29"/>
  <c r="M22" i="29" s="1"/>
  <c r="C15" i="16"/>
  <c r="C16" i="16"/>
  <c r="D55" i="16"/>
  <c r="K12" i="26"/>
  <c r="K13" i="26"/>
  <c r="K33" i="29"/>
  <c r="M33" i="29" s="1"/>
  <c r="K14" i="29"/>
  <c r="K31" i="29"/>
  <c r="K9" i="29"/>
  <c r="M9" i="29" s="1"/>
  <c r="K12" i="29"/>
  <c r="M12" i="29" s="1"/>
  <c r="K13" i="29"/>
  <c r="K17" i="29"/>
  <c r="K18" i="29"/>
  <c r="L18" i="29" s="1"/>
  <c r="K20" i="29"/>
  <c r="K23" i="29"/>
  <c r="K21" i="31"/>
  <c r="M21" i="31" s="1"/>
  <c r="K25" i="31"/>
  <c r="M25" i="31" s="1"/>
  <c r="K34" i="31"/>
  <c r="M34" i="31" s="1"/>
  <c r="N34" i="31" s="1"/>
  <c r="S34" i="31" s="1"/>
  <c r="L14" i="29"/>
  <c r="M14" i="29"/>
  <c r="M31" i="29"/>
  <c r="L31" i="29"/>
  <c r="L12" i="29"/>
  <c r="L13" i="29"/>
  <c r="M13" i="29"/>
  <c r="L17" i="29"/>
  <c r="M17" i="29"/>
  <c r="L20" i="29"/>
  <c r="M20" i="29"/>
  <c r="L23" i="29"/>
  <c r="M23" i="29"/>
  <c r="M26" i="29"/>
  <c r="L32" i="29"/>
  <c r="M27" i="29"/>
  <c r="K8" i="31"/>
  <c r="M8" i="31" s="1"/>
  <c r="K29" i="31"/>
  <c r="L29" i="31" s="1"/>
  <c r="K27" i="31"/>
  <c r="L27" i="31" s="1"/>
  <c r="K35" i="31"/>
  <c r="L35" i="31" s="1"/>
  <c r="L21" i="31"/>
  <c r="L34" i="31"/>
  <c r="L28" i="31"/>
  <c r="K19" i="31"/>
  <c r="M19" i="31" s="1"/>
  <c r="U11" i="26"/>
  <c r="T11" i="26"/>
  <c r="V11" i="26" s="1"/>
  <c r="L22" i="29"/>
  <c r="M18" i="29"/>
  <c r="L9" i="29"/>
  <c r="L33" i="29"/>
  <c r="M12" i="26"/>
  <c r="L12" i="26"/>
  <c r="N29" i="29"/>
  <c r="S29" i="29"/>
  <c r="L13" i="26"/>
  <c r="M13" i="26"/>
  <c r="L25" i="31"/>
  <c r="N14" i="26"/>
  <c r="S14" i="26"/>
  <c r="N24" i="26"/>
  <c r="S24" i="26"/>
  <c r="S23" i="25"/>
  <c r="U23" i="25" s="1"/>
  <c r="S17" i="29"/>
  <c r="N17" i="29"/>
  <c r="N26" i="29"/>
  <c r="S26" i="29"/>
  <c r="N27" i="29"/>
  <c r="S27" i="29"/>
  <c r="N20" i="29"/>
  <c r="S20" i="29"/>
  <c r="N14" i="29"/>
  <c r="S14" i="29"/>
  <c r="S23" i="29"/>
  <c r="N23" i="29"/>
  <c r="N18" i="29"/>
  <c r="N13" i="29"/>
  <c r="S13" i="29"/>
  <c r="N31" i="29"/>
  <c r="S31" i="29"/>
  <c r="T14" i="26"/>
  <c r="V14" i="26" s="1"/>
  <c r="U14" i="26"/>
  <c r="N13" i="26"/>
  <c r="S13" i="26"/>
  <c r="T29" i="29"/>
  <c r="V29" i="29" s="1"/>
  <c r="U29" i="29"/>
  <c r="U24" i="26"/>
  <c r="T24" i="26"/>
  <c r="V24" i="26" s="1"/>
  <c r="S12" i="26"/>
  <c r="N12" i="26"/>
  <c r="U23" i="29"/>
  <c r="T23" i="29"/>
  <c r="V23" i="29" s="1"/>
  <c r="U14" i="29"/>
  <c r="T14" i="29"/>
  <c r="V14" i="29" s="1"/>
  <c r="U20" i="29"/>
  <c r="T20" i="29"/>
  <c r="V20" i="29" s="1"/>
  <c r="T17" i="29"/>
  <c r="V17" i="29" s="1"/>
  <c r="U17" i="29"/>
  <c r="U31" i="29"/>
  <c r="T31" i="29"/>
  <c r="V31" i="29" s="1"/>
  <c r="U13" i="29"/>
  <c r="T13" i="29"/>
  <c r="V13" i="29" s="1"/>
  <c r="U27" i="29"/>
  <c r="U26" i="29"/>
  <c r="T26" i="29"/>
  <c r="V26" i="29" s="1"/>
  <c r="U12" i="26"/>
  <c r="T12" i="26"/>
  <c r="V12" i="26" s="1"/>
  <c r="T13" i="26"/>
  <c r="V13" i="26" s="1"/>
  <c r="U13" i="26"/>
  <c r="S8" i="37" l="1"/>
  <c r="S9" i="37"/>
  <c r="S10" i="37"/>
  <c r="S11" i="37"/>
  <c r="S13" i="37"/>
  <c r="S17" i="37"/>
  <c r="S19" i="37"/>
  <c r="S22" i="37"/>
  <c r="S23" i="37"/>
  <c r="S24" i="37"/>
  <c r="S25" i="37"/>
  <c r="S27" i="37"/>
  <c r="S28" i="37"/>
  <c r="S29" i="37"/>
  <c r="S30" i="37"/>
  <c r="S31" i="37"/>
  <c r="S32" i="37"/>
  <c r="S33" i="37"/>
  <c r="S34" i="37"/>
  <c r="S35" i="37"/>
  <c r="S36" i="37"/>
  <c r="S20" i="37"/>
  <c r="S21" i="37"/>
  <c r="S26" i="37"/>
  <c r="S12" i="37"/>
  <c r="S14" i="37"/>
  <c r="S18" i="37"/>
  <c r="K12" i="37"/>
  <c r="L12" i="37" s="1"/>
  <c r="K21" i="37"/>
  <c r="M21" i="37" s="1"/>
  <c r="N21" i="37" s="1"/>
  <c r="K26" i="37"/>
  <c r="M26" i="37" s="1"/>
  <c r="N26" i="37" s="1"/>
  <c r="K29" i="37"/>
  <c r="L29" i="37" s="1"/>
  <c r="K34" i="37"/>
  <c r="L34" i="37" s="1"/>
  <c r="K9" i="37"/>
  <c r="M9" i="37" s="1"/>
  <c r="K18" i="37"/>
  <c r="M18" i="37" s="1"/>
  <c r="N18" i="37" s="1"/>
  <c r="K10" i="37"/>
  <c r="M10" i="37" s="1"/>
  <c r="N10" i="37" s="1"/>
  <c r="K13" i="37"/>
  <c r="L13" i="37" s="1"/>
  <c r="K17" i="37"/>
  <c r="M17" i="37" s="1"/>
  <c r="N17" i="37" s="1"/>
  <c r="K19" i="37"/>
  <c r="M19" i="37" s="1"/>
  <c r="K22" i="37"/>
  <c r="M22" i="37" s="1"/>
  <c r="K23" i="37"/>
  <c r="M23" i="37" s="1"/>
  <c r="N23" i="37" s="1"/>
  <c r="K25" i="37"/>
  <c r="L25" i="37" s="1"/>
  <c r="K27" i="37"/>
  <c r="M27" i="37" s="1"/>
  <c r="N27" i="37" s="1"/>
  <c r="K30" i="37"/>
  <c r="M30" i="37" s="1"/>
  <c r="N30" i="37" s="1"/>
  <c r="K31" i="37"/>
  <c r="L31" i="37" s="1"/>
  <c r="K33" i="37"/>
  <c r="M33" i="37" s="1"/>
  <c r="K35" i="37"/>
  <c r="L35" i="37" s="1"/>
  <c r="K8" i="37"/>
  <c r="L8" i="37" s="1"/>
  <c r="K11" i="37"/>
  <c r="M11" i="37" s="1"/>
  <c r="N11" i="37" s="1"/>
  <c r="K14" i="37"/>
  <c r="L14" i="37" s="1"/>
  <c r="K20" i="37"/>
  <c r="M20" i="37" s="1"/>
  <c r="N20" i="37" s="1"/>
  <c r="K24" i="37"/>
  <c r="M24" i="37" s="1"/>
  <c r="N24" i="37" s="1"/>
  <c r="K28" i="37"/>
  <c r="L28" i="37" s="1"/>
  <c r="K32" i="37"/>
  <c r="M32" i="37" s="1"/>
  <c r="N32" i="37" s="1"/>
  <c r="K36" i="37"/>
  <c r="L36" i="37" s="1"/>
  <c r="L27" i="37"/>
  <c r="K34" i="33"/>
  <c r="L34" i="33" s="1"/>
  <c r="K15" i="35"/>
  <c r="K16" i="35"/>
  <c r="M16" i="35" s="1"/>
  <c r="L15" i="35"/>
  <c r="M15" i="35"/>
  <c r="N15" i="35" s="1"/>
  <c r="L16" i="35"/>
  <c r="S14" i="35"/>
  <c r="S32" i="35"/>
  <c r="K19" i="35"/>
  <c r="L19" i="35" s="1"/>
  <c r="S8" i="35"/>
  <c r="K11" i="35"/>
  <c r="L11" i="35" s="1"/>
  <c r="K26" i="35"/>
  <c r="M26" i="35" s="1"/>
  <c r="N26" i="35" s="1"/>
  <c r="K27" i="35"/>
  <c r="L27" i="35" s="1"/>
  <c r="K28" i="35"/>
  <c r="M28" i="35" s="1"/>
  <c r="N28" i="35" s="1"/>
  <c r="K29" i="35"/>
  <c r="L29" i="35" s="1"/>
  <c r="K30" i="35"/>
  <c r="M30" i="35" s="1"/>
  <c r="N30" i="35" s="1"/>
  <c r="K31" i="35"/>
  <c r="L31" i="35" s="1"/>
  <c r="K32" i="35"/>
  <c r="M32" i="35" s="1"/>
  <c r="N32" i="35" s="1"/>
  <c r="K33" i="35"/>
  <c r="L33" i="35" s="1"/>
  <c r="K34" i="35"/>
  <c r="M34" i="35" s="1"/>
  <c r="N34" i="35" s="1"/>
  <c r="K35" i="35"/>
  <c r="M35" i="35" s="1"/>
  <c r="N35" i="35" s="1"/>
  <c r="K36" i="35"/>
  <c r="M36" i="35" s="1"/>
  <c r="N36" i="35" s="1"/>
  <c r="S9" i="35"/>
  <c r="S10" i="35"/>
  <c r="S11" i="35"/>
  <c r="S12" i="35"/>
  <c r="S13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31" i="35"/>
  <c r="S33" i="35"/>
  <c r="S34" i="35"/>
  <c r="U34" i="35" s="1"/>
  <c r="S35" i="35"/>
  <c r="S36" i="35"/>
  <c r="K9" i="35"/>
  <c r="M9" i="35" s="1"/>
  <c r="N9" i="35" s="1"/>
  <c r="K18" i="35"/>
  <c r="M18" i="35" s="1"/>
  <c r="N18" i="35" s="1"/>
  <c r="K21" i="35"/>
  <c r="M21" i="35" s="1"/>
  <c r="K24" i="35"/>
  <c r="M24" i="35" s="1"/>
  <c r="N24" i="35" s="1"/>
  <c r="K8" i="35"/>
  <c r="M8" i="35" s="1"/>
  <c r="K12" i="35"/>
  <c r="M12" i="35" s="1"/>
  <c r="N12" i="35" s="1"/>
  <c r="K13" i="35"/>
  <c r="L13" i="35" s="1"/>
  <c r="K10" i="35"/>
  <c r="M10" i="35" s="1"/>
  <c r="N10" i="35" s="1"/>
  <c r="K17" i="35"/>
  <c r="M17" i="35" s="1"/>
  <c r="N17" i="35" s="1"/>
  <c r="K20" i="35"/>
  <c r="M20" i="35" s="1"/>
  <c r="N20" i="35" s="1"/>
  <c r="K22" i="35"/>
  <c r="M22" i="35" s="1"/>
  <c r="N22" i="35" s="1"/>
  <c r="K14" i="35"/>
  <c r="M14" i="35" s="1"/>
  <c r="N14" i="35" s="1"/>
  <c r="K23" i="35"/>
  <c r="L23" i="35" s="1"/>
  <c r="K25" i="35"/>
  <c r="L25" i="35" s="1"/>
  <c r="M33" i="35"/>
  <c r="N33" i="35" s="1"/>
  <c r="L18" i="35"/>
  <c r="L24" i="25"/>
  <c r="M24" i="25"/>
  <c r="M16" i="25"/>
  <c r="L16" i="25"/>
  <c r="L13" i="25"/>
  <c r="M13" i="25"/>
  <c r="L11" i="25"/>
  <c r="M11" i="25"/>
  <c r="L20" i="25"/>
  <c r="M20" i="25"/>
  <c r="M19" i="25"/>
  <c r="L19" i="25"/>
  <c r="L18" i="25"/>
  <c r="M18" i="25"/>
  <c r="M17" i="25"/>
  <c r="L17" i="25"/>
  <c r="L14" i="25"/>
  <c r="M14" i="25"/>
  <c r="L12" i="25"/>
  <c r="M12" i="25"/>
  <c r="L9" i="25"/>
  <c r="M9" i="25"/>
  <c r="L8" i="25"/>
  <c r="M8" i="25"/>
  <c r="M25" i="25"/>
  <c r="L25" i="25"/>
  <c r="L10" i="25"/>
  <c r="M10" i="25"/>
  <c r="L26" i="25"/>
  <c r="M26" i="25"/>
  <c r="L22" i="25"/>
  <c r="M22" i="25"/>
  <c r="T23" i="25"/>
  <c r="V23" i="25" s="1"/>
  <c r="M15" i="25"/>
  <c r="M21" i="25"/>
  <c r="L23" i="26"/>
  <c r="M23" i="26"/>
  <c r="N25" i="26"/>
  <c r="S25" i="26"/>
  <c r="M26" i="26"/>
  <c r="L26" i="26"/>
  <c r="M21" i="26"/>
  <c r="L21" i="26"/>
  <c r="S19" i="26"/>
  <c r="N19" i="26"/>
  <c r="M9" i="26"/>
  <c r="L9" i="26"/>
  <c r="M10" i="26"/>
  <c r="L10" i="26"/>
  <c r="L15" i="26"/>
  <c r="M15" i="26"/>
  <c r="M16" i="26"/>
  <c r="L16" i="26"/>
  <c r="L17" i="26"/>
  <c r="M17" i="26"/>
  <c r="L18" i="26"/>
  <c r="M18" i="26"/>
  <c r="L20" i="26"/>
  <c r="M20" i="26"/>
  <c r="M22" i="26"/>
  <c r="L22" i="26"/>
  <c r="S8" i="26"/>
  <c r="N8" i="26"/>
  <c r="L19" i="26"/>
  <c r="N12" i="29"/>
  <c r="S12" i="29"/>
  <c r="T27" i="29"/>
  <c r="V27" i="29" s="1"/>
  <c r="S9" i="29"/>
  <c r="N9" i="29"/>
  <c r="N33" i="29"/>
  <c r="S33" i="29"/>
  <c r="K10" i="29"/>
  <c r="M10" i="29" s="1"/>
  <c r="K16" i="29"/>
  <c r="L16" i="29" s="1"/>
  <c r="K21" i="29"/>
  <c r="S18" i="29"/>
  <c r="T18" i="29" s="1"/>
  <c r="V18" i="29" s="1"/>
  <c r="K8" i="29"/>
  <c r="M8" i="29" s="1"/>
  <c r="K15" i="29"/>
  <c r="K11" i="29"/>
  <c r="K19" i="29"/>
  <c r="L19" i="29" s="1"/>
  <c r="K24" i="29"/>
  <c r="S30" i="29"/>
  <c r="N30" i="29"/>
  <c r="L8" i="29"/>
  <c r="S32" i="29"/>
  <c r="N32" i="29"/>
  <c r="L10" i="29"/>
  <c r="M21" i="29"/>
  <c r="L21" i="29"/>
  <c r="N22" i="29"/>
  <c r="S22" i="29"/>
  <c r="M15" i="29"/>
  <c r="L15" i="29"/>
  <c r="M28" i="29"/>
  <c r="L28" i="29"/>
  <c r="M11" i="29"/>
  <c r="L11" i="29"/>
  <c r="M19" i="29"/>
  <c r="L25" i="29"/>
  <c r="M25" i="29"/>
  <c r="L24" i="29"/>
  <c r="M24" i="29"/>
  <c r="M9" i="31"/>
  <c r="L9" i="31"/>
  <c r="M11" i="31"/>
  <c r="L11" i="31"/>
  <c r="L10" i="31"/>
  <c r="M10" i="31"/>
  <c r="M12" i="31"/>
  <c r="N12" i="31" s="1"/>
  <c r="S12" i="31" s="1"/>
  <c r="L12" i="31"/>
  <c r="M13" i="31"/>
  <c r="N13" i="31" s="1"/>
  <c r="S13" i="31" s="1"/>
  <c r="L13" i="31"/>
  <c r="M15" i="31"/>
  <c r="L15" i="31"/>
  <c r="M16" i="31"/>
  <c r="L16" i="31"/>
  <c r="L17" i="31"/>
  <c r="M17" i="31"/>
  <c r="L18" i="31"/>
  <c r="M18" i="31"/>
  <c r="M22" i="31"/>
  <c r="L22" i="31"/>
  <c r="L23" i="31"/>
  <c r="M23" i="31"/>
  <c r="N23" i="31" s="1"/>
  <c r="S23" i="31" s="1"/>
  <c r="L26" i="31"/>
  <c r="M26" i="31"/>
  <c r="N26" i="31" s="1"/>
  <c r="S26" i="31" s="1"/>
  <c r="L30" i="31"/>
  <c r="M30" i="31"/>
  <c r="N30" i="31" s="1"/>
  <c r="S30" i="31" s="1"/>
  <c r="L33" i="31"/>
  <c r="M33" i="31"/>
  <c r="N33" i="31" s="1"/>
  <c r="S33" i="31" s="1"/>
  <c r="M36" i="31"/>
  <c r="N36" i="31" s="1"/>
  <c r="S36" i="31" s="1"/>
  <c r="L36" i="31"/>
  <c r="N25" i="31"/>
  <c r="S25" i="31"/>
  <c r="T28" i="31"/>
  <c r="V28" i="31" s="1"/>
  <c r="U28" i="31"/>
  <c r="S8" i="31"/>
  <c r="N8" i="31"/>
  <c r="S21" i="31"/>
  <c r="N21" i="31"/>
  <c r="N19" i="31"/>
  <c r="T34" i="31"/>
  <c r="V34" i="31" s="1"/>
  <c r="U34" i="31"/>
  <c r="M20" i="31"/>
  <c r="L20" i="31"/>
  <c r="M14" i="31"/>
  <c r="L14" i="31"/>
  <c r="L24" i="31"/>
  <c r="M24" i="31"/>
  <c r="L31" i="31"/>
  <c r="M31" i="31"/>
  <c r="L32" i="31"/>
  <c r="M32" i="31"/>
  <c r="N32" i="31" s="1"/>
  <c r="S32" i="31" s="1"/>
  <c r="M35" i="31"/>
  <c r="L19" i="31"/>
  <c r="S19" i="31" s="1"/>
  <c r="M29" i="31"/>
  <c r="N29" i="31" s="1"/>
  <c r="S29" i="31" s="1"/>
  <c r="M27" i="31"/>
  <c r="L8" i="31"/>
  <c r="K36" i="33"/>
  <c r="K8" i="33"/>
  <c r="M8" i="33" s="1"/>
  <c r="N8" i="33" s="1"/>
  <c r="K18" i="33"/>
  <c r="L18" i="33" s="1"/>
  <c r="S19" i="33"/>
  <c r="K22" i="33"/>
  <c r="L22" i="33" s="1"/>
  <c r="S22" i="33"/>
  <c r="S10" i="33"/>
  <c r="K11" i="33"/>
  <c r="L11" i="33" s="1"/>
  <c r="S11" i="33"/>
  <c r="S14" i="33"/>
  <c r="S15" i="33"/>
  <c r="S18" i="33"/>
  <c r="K21" i="33"/>
  <c r="M21" i="33" s="1"/>
  <c r="N21" i="33" s="1"/>
  <c r="K33" i="33"/>
  <c r="K10" i="33"/>
  <c r="M10" i="33" s="1"/>
  <c r="N10" i="33" s="1"/>
  <c r="K20" i="33"/>
  <c r="L20" i="33" s="1"/>
  <c r="S20" i="33"/>
  <c r="K26" i="33"/>
  <c r="M26" i="33" s="1"/>
  <c r="S28" i="33"/>
  <c r="S29" i="33"/>
  <c r="S30" i="33"/>
  <c r="S31" i="33"/>
  <c r="K32" i="33"/>
  <c r="M32" i="33" s="1"/>
  <c r="N32" i="33" s="1"/>
  <c r="S8" i="33"/>
  <c r="K19" i="33"/>
  <c r="L19" i="33" s="1"/>
  <c r="K24" i="33"/>
  <c r="M24" i="33" s="1"/>
  <c r="N24" i="33" s="1"/>
  <c r="S24" i="33"/>
  <c r="K28" i="33"/>
  <c r="K29" i="33"/>
  <c r="M29" i="33" s="1"/>
  <c r="K30" i="33"/>
  <c r="M30" i="33" s="1"/>
  <c r="N30" i="33" s="1"/>
  <c r="L36" i="33"/>
  <c r="M36" i="33"/>
  <c r="N36" i="33" s="1"/>
  <c r="L33" i="33"/>
  <c r="M33" i="33"/>
  <c r="N33" i="33" s="1"/>
  <c r="M20" i="33"/>
  <c r="N20" i="33" s="1"/>
  <c r="L28" i="33"/>
  <c r="M28" i="33"/>
  <c r="N28" i="33" s="1"/>
  <c r="L30" i="33"/>
  <c r="K13" i="33"/>
  <c r="M13" i="33" s="1"/>
  <c r="N13" i="33" s="1"/>
  <c r="K14" i="33"/>
  <c r="L14" i="33" s="1"/>
  <c r="K16" i="33"/>
  <c r="M16" i="33" s="1"/>
  <c r="N16" i="33" s="1"/>
  <c r="S16" i="33"/>
  <c r="K27" i="33"/>
  <c r="L27" i="33" s="1"/>
  <c r="K31" i="33"/>
  <c r="L31" i="33" s="1"/>
  <c r="K15" i="33"/>
  <c r="M15" i="33" s="1"/>
  <c r="N15" i="33" s="1"/>
  <c r="L8" i="33"/>
  <c r="M34" i="33"/>
  <c r="N34" i="33" s="1"/>
  <c r="S17" i="33"/>
  <c r="K23" i="33"/>
  <c r="L23" i="33" s="1"/>
  <c r="S23" i="33"/>
  <c r="S27" i="33"/>
  <c r="K9" i="33"/>
  <c r="M9" i="33" s="1"/>
  <c r="K12" i="33"/>
  <c r="L12" i="33" s="1"/>
  <c r="S9" i="33"/>
  <c r="S12" i="33"/>
  <c r="S13" i="33"/>
  <c r="K17" i="33"/>
  <c r="L17" i="33" s="1"/>
  <c r="K25" i="33"/>
  <c r="L25" i="33" s="1"/>
  <c r="S25" i="33"/>
  <c r="K35" i="33"/>
  <c r="L35" i="33" s="1"/>
  <c r="U8" i="33"/>
  <c r="W8" i="33" s="1"/>
  <c r="M11" i="33"/>
  <c r="L15" i="33"/>
  <c r="L16" i="33"/>
  <c r="M31" i="33"/>
  <c r="M35" i="33"/>
  <c r="L30" i="37" l="1"/>
  <c r="L10" i="37"/>
  <c r="L20" i="37"/>
  <c r="M12" i="37"/>
  <c r="N12" i="37" s="1"/>
  <c r="M13" i="37"/>
  <c r="N13" i="37" s="1"/>
  <c r="L21" i="37"/>
  <c r="L9" i="37"/>
  <c r="M25" i="37"/>
  <c r="N25" i="37" s="1"/>
  <c r="L26" i="37"/>
  <c r="M34" i="37"/>
  <c r="N34" i="37" s="1"/>
  <c r="M35" i="37"/>
  <c r="N35" i="37" s="1"/>
  <c r="L17" i="37"/>
  <c r="N9" i="37"/>
  <c r="U9" i="37"/>
  <c r="W9" i="37" s="1"/>
  <c r="L23" i="37"/>
  <c r="L11" i="37"/>
  <c r="M29" i="37"/>
  <c r="N29" i="37" s="1"/>
  <c r="L32" i="37"/>
  <c r="L18" i="37"/>
  <c r="U18" i="37"/>
  <c r="W18" i="37" s="1"/>
  <c r="M28" i="37"/>
  <c r="N28" i="37" s="1"/>
  <c r="M31" i="37"/>
  <c r="N31" i="37" s="1"/>
  <c r="U26" i="37"/>
  <c r="W26" i="37" s="1"/>
  <c r="L24" i="37"/>
  <c r="M14" i="37"/>
  <c r="N14" i="37" s="1"/>
  <c r="N22" i="37"/>
  <c r="U22" i="37"/>
  <c r="N19" i="37"/>
  <c r="U19" i="37"/>
  <c r="W19" i="37" s="1"/>
  <c r="N33" i="37"/>
  <c r="U33" i="37"/>
  <c r="W33" i="37" s="1"/>
  <c r="M36" i="37"/>
  <c r="N36" i="37" s="1"/>
  <c r="L19" i="37"/>
  <c r="U35" i="37"/>
  <c r="W35" i="37" s="1"/>
  <c r="M8" i="37"/>
  <c r="L33" i="37"/>
  <c r="L22" i="37"/>
  <c r="U32" i="37"/>
  <c r="W32" i="37" s="1"/>
  <c r="U11" i="37"/>
  <c r="W11" i="37" s="1"/>
  <c r="U27" i="37"/>
  <c r="W27" i="37" s="1"/>
  <c r="U21" i="37"/>
  <c r="U23" i="37"/>
  <c r="W23" i="37" s="1"/>
  <c r="U24" i="37"/>
  <c r="U10" i="37"/>
  <c r="U17" i="37"/>
  <c r="U30" i="37"/>
  <c r="U20" i="37"/>
  <c r="U15" i="35"/>
  <c r="U30" i="35"/>
  <c r="W30" i="35" s="1"/>
  <c r="M14" i="33"/>
  <c r="N14" i="33" s="1"/>
  <c r="L32" i="33"/>
  <c r="M23" i="33"/>
  <c r="N23" i="33" s="1"/>
  <c r="L26" i="33"/>
  <c r="N16" i="35"/>
  <c r="U16" i="35"/>
  <c r="L30" i="35"/>
  <c r="M19" i="35"/>
  <c r="N19" i="35" s="1"/>
  <c r="L32" i="35"/>
  <c r="M11" i="35"/>
  <c r="N11" i="35" s="1"/>
  <c r="L24" i="35"/>
  <c r="L35" i="35"/>
  <c r="L28" i="35"/>
  <c r="L10" i="35"/>
  <c r="U10" i="35"/>
  <c r="W10" i="35" s="1"/>
  <c r="M29" i="35"/>
  <c r="N29" i="35" s="1"/>
  <c r="L9" i="35"/>
  <c r="M25" i="35"/>
  <c r="N25" i="35" s="1"/>
  <c r="M27" i="35"/>
  <c r="N27" i="35" s="1"/>
  <c r="L36" i="35"/>
  <c r="L17" i="35"/>
  <c r="L34" i="35"/>
  <c r="M13" i="35"/>
  <c r="N13" i="35" s="1"/>
  <c r="U22" i="35"/>
  <c r="W22" i="35" s="1"/>
  <c r="N21" i="35"/>
  <c r="U21" i="35"/>
  <c r="W21" i="35" s="1"/>
  <c r="L21" i="35"/>
  <c r="M31" i="35"/>
  <c r="N31" i="35" s="1"/>
  <c r="L20" i="35"/>
  <c r="U26" i="35"/>
  <c r="W26" i="35" s="1"/>
  <c r="U18" i="35"/>
  <c r="W18" i="35" s="1"/>
  <c r="L26" i="35"/>
  <c r="L22" i="35"/>
  <c r="U32" i="35"/>
  <c r="W32" i="35" s="1"/>
  <c r="W34" i="35"/>
  <c r="V34" i="35"/>
  <c r="X34" i="35" s="1"/>
  <c r="N8" i="35"/>
  <c r="U8" i="35"/>
  <c r="W8" i="35" s="1"/>
  <c r="L12" i="35"/>
  <c r="U33" i="35"/>
  <c r="W33" i="35" s="1"/>
  <c r="M23" i="35"/>
  <c r="N23" i="35" s="1"/>
  <c r="L14" i="35"/>
  <c r="L8" i="35"/>
  <c r="U9" i="35"/>
  <c r="U12" i="35"/>
  <c r="W12" i="35" s="1"/>
  <c r="V30" i="35"/>
  <c r="X30" i="35" s="1"/>
  <c r="U28" i="35"/>
  <c r="U14" i="35"/>
  <c r="U20" i="35"/>
  <c r="U24" i="35"/>
  <c r="U17" i="35"/>
  <c r="U36" i="35"/>
  <c r="U35" i="35"/>
  <c r="L21" i="33"/>
  <c r="M19" i="33"/>
  <c r="N19" i="33" s="1"/>
  <c r="L24" i="33"/>
  <c r="M18" i="33"/>
  <c r="N18" i="33" s="1"/>
  <c r="M22" i="33"/>
  <c r="S15" i="25"/>
  <c r="N15" i="25"/>
  <c r="N20" i="25"/>
  <c r="S20" i="25"/>
  <c r="N22" i="25"/>
  <c r="S22" i="25"/>
  <c r="N10" i="25"/>
  <c r="S10" i="25"/>
  <c r="S8" i="25"/>
  <c r="N8" i="25"/>
  <c r="S12" i="25"/>
  <c r="N12" i="25"/>
  <c r="N11" i="25"/>
  <c r="S11" i="25"/>
  <c r="N26" i="25"/>
  <c r="S26" i="25"/>
  <c r="S9" i="25"/>
  <c r="N9" i="25"/>
  <c r="N18" i="25"/>
  <c r="S18" i="25"/>
  <c r="S13" i="25"/>
  <c r="N13" i="25"/>
  <c r="S21" i="25"/>
  <c r="N21" i="25"/>
  <c r="N17" i="25"/>
  <c r="S17" i="25"/>
  <c r="N19" i="25"/>
  <c r="S19" i="25"/>
  <c r="S16" i="25"/>
  <c r="N16" i="25"/>
  <c r="N14" i="25"/>
  <c r="S14" i="25"/>
  <c r="S24" i="25"/>
  <c r="N24" i="25"/>
  <c r="N25" i="25"/>
  <c r="S25" i="25"/>
  <c r="S17" i="26"/>
  <c r="N17" i="26"/>
  <c r="S15" i="26"/>
  <c r="N15" i="26"/>
  <c r="U8" i="26"/>
  <c r="T8" i="26"/>
  <c r="V8" i="26" s="1"/>
  <c r="S9" i="26"/>
  <c r="N9" i="26"/>
  <c r="S21" i="26"/>
  <c r="N21" i="26"/>
  <c r="N18" i="26"/>
  <c r="S18" i="26"/>
  <c r="S23" i="26"/>
  <c r="N23" i="26"/>
  <c r="N20" i="26"/>
  <c r="S20" i="26"/>
  <c r="U25" i="26"/>
  <c r="T25" i="26"/>
  <c r="V25" i="26" s="1"/>
  <c r="N22" i="26"/>
  <c r="S22" i="26"/>
  <c r="N16" i="26"/>
  <c r="S16" i="26"/>
  <c r="N10" i="26"/>
  <c r="S10" i="26"/>
  <c r="T19" i="26"/>
  <c r="V19" i="26" s="1"/>
  <c r="U19" i="26"/>
  <c r="N26" i="26"/>
  <c r="S26" i="26"/>
  <c r="T12" i="29"/>
  <c r="V12" i="29" s="1"/>
  <c r="U12" i="29"/>
  <c r="U18" i="29"/>
  <c r="T33" i="29"/>
  <c r="V33" i="29" s="1"/>
  <c r="U33" i="29"/>
  <c r="M16" i="29"/>
  <c r="S16" i="29" s="1"/>
  <c r="U9" i="29"/>
  <c r="T9" i="29"/>
  <c r="V9" i="29" s="1"/>
  <c r="S15" i="29"/>
  <c r="N15" i="29"/>
  <c r="T32" i="29"/>
  <c r="V32" i="29" s="1"/>
  <c r="U32" i="29"/>
  <c r="T30" i="29"/>
  <c r="V30" i="29" s="1"/>
  <c r="U30" i="29"/>
  <c r="S24" i="29"/>
  <c r="N24" i="29"/>
  <c r="S19" i="29"/>
  <c r="N19" i="29"/>
  <c r="N28" i="29"/>
  <c r="S28" i="29"/>
  <c r="N11" i="29"/>
  <c r="S11" i="29"/>
  <c r="S21" i="29"/>
  <c r="N21" i="29"/>
  <c r="U22" i="29"/>
  <c r="T22" i="29"/>
  <c r="V22" i="29" s="1"/>
  <c r="S10" i="29"/>
  <c r="N10" i="29"/>
  <c r="N8" i="29"/>
  <c r="S8" i="29"/>
  <c r="N25" i="29"/>
  <c r="S25" i="29"/>
  <c r="N16" i="29"/>
  <c r="U19" i="31"/>
  <c r="T19" i="31"/>
  <c r="V19" i="31" s="1"/>
  <c r="T32" i="31"/>
  <c r="V32" i="31" s="1"/>
  <c r="U32" i="31"/>
  <c r="N24" i="31"/>
  <c r="S24" i="31"/>
  <c r="T25" i="31"/>
  <c r="V25" i="31" s="1"/>
  <c r="U25" i="31"/>
  <c r="T33" i="31"/>
  <c r="V33" i="31" s="1"/>
  <c r="U33" i="31"/>
  <c r="T26" i="31"/>
  <c r="V26" i="31" s="1"/>
  <c r="U26" i="31"/>
  <c r="N17" i="31"/>
  <c r="S17" i="31"/>
  <c r="S27" i="31"/>
  <c r="N27" i="31"/>
  <c r="U29" i="31"/>
  <c r="T29" i="31"/>
  <c r="V29" i="31" s="1"/>
  <c r="S20" i="31"/>
  <c r="N20" i="31"/>
  <c r="T8" i="31"/>
  <c r="V8" i="31" s="1"/>
  <c r="U8" i="31"/>
  <c r="N22" i="31"/>
  <c r="S22" i="31"/>
  <c r="N15" i="31"/>
  <c r="S15" i="31"/>
  <c r="T12" i="31"/>
  <c r="V12" i="31" s="1"/>
  <c r="U12" i="31"/>
  <c r="S11" i="31"/>
  <c r="N11" i="31"/>
  <c r="T30" i="31"/>
  <c r="V30" i="31" s="1"/>
  <c r="U30" i="31"/>
  <c r="S18" i="31"/>
  <c r="N18" i="31"/>
  <c r="N10" i="31"/>
  <c r="S10" i="31"/>
  <c r="N31" i="31"/>
  <c r="S31" i="31"/>
  <c r="T23" i="31"/>
  <c r="V23" i="31" s="1"/>
  <c r="U23" i="31"/>
  <c r="N35" i="31"/>
  <c r="S35" i="31"/>
  <c r="N14" i="31"/>
  <c r="S14" i="31"/>
  <c r="T21" i="31"/>
  <c r="V21" i="31" s="1"/>
  <c r="U21" i="31"/>
  <c r="T36" i="31"/>
  <c r="V36" i="31" s="1"/>
  <c r="U36" i="31"/>
  <c r="N16" i="31"/>
  <c r="S16" i="31"/>
  <c r="U13" i="31"/>
  <c r="T13" i="31"/>
  <c r="V13" i="31" s="1"/>
  <c r="N9" i="31"/>
  <c r="S9" i="31"/>
  <c r="L29" i="33"/>
  <c r="U24" i="33"/>
  <c r="V24" i="33" s="1"/>
  <c r="X24" i="33" s="1"/>
  <c r="U28" i="33"/>
  <c r="W28" i="33" s="1"/>
  <c r="U36" i="33"/>
  <c r="W36" i="33" s="1"/>
  <c r="U30" i="33"/>
  <c r="W30" i="33" s="1"/>
  <c r="U20" i="33"/>
  <c r="W20" i="33" s="1"/>
  <c r="L10" i="33"/>
  <c r="N29" i="33"/>
  <c r="U29" i="33"/>
  <c r="V29" i="33" s="1"/>
  <c r="X29" i="33" s="1"/>
  <c r="W24" i="33"/>
  <c r="U34" i="33"/>
  <c r="W34" i="33" s="1"/>
  <c r="M25" i="33"/>
  <c r="U21" i="33"/>
  <c r="W21" i="33" s="1"/>
  <c r="M17" i="33"/>
  <c r="N17" i="33" s="1"/>
  <c r="U14" i="33"/>
  <c r="L13" i="33"/>
  <c r="N9" i="33"/>
  <c r="U9" i="33"/>
  <c r="W9" i="33" s="1"/>
  <c r="U13" i="33"/>
  <c r="W13" i="33" s="1"/>
  <c r="W29" i="33"/>
  <c r="U10" i="33"/>
  <c r="M27" i="33"/>
  <c r="U15" i="33"/>
  <c r="M12" i="33"/>
  <c r="N12" i="33" s="1"/>
  <c r="L9" i="33"/>
  <c r="U18" i="33"/>
  <c r="U32" i="33"/>
  <c r="U23" i="33"/>
  <c r="W23" i="33" s="1"/>
  <c r="V30" i="33"/>
  <c r="X30" i="33" s="1"/>
  <c r="U33" i="33"/>
  <c r="N26" i="33"/>
  <c r="U26" i="33"/>
  <c r="U17" i="33"/>
  <c r="U11" i="33"/>
  <c r="N11" i="33"/>
  <c r="U35" i="33"/>
  <c r="N35" i="33"/>
  <c r="U19" i="33"/>
  <c r="U31" i="33"/>
  <c r="N31" i="33"/>
  <c r="U16" i="33"/>
  <c r="V20" i="33"/>
  <c r="X20" i="33" s="1"/>
  <c r="V8" i="33"/>
  <c r="X8" i="33" s="1"/>
  <c r="U25" i="37" l="1"/>
  <c r="W25" i="37" s="1"/>
  <c r="U13" i="37"/>
  <c r="U12" i="37"/>
  <c r="W12" i="37" s="1"/>
  <c r="V9" i="37"/>
  <c r="X9" i="37" s="1"/>
  <c r="U34" i="37"/>
  <c r="V18" i="37"/>
  <c r="X18" i="37" s="1"/>
  <c r="U29" i="37"/>
  <c r="W29" i="37" s="1"/>
  <c r="U14" i="37"/>
  <c r="W14" i="37" s="1"/>
  <c r="V35" i="37"/>
  <c r="X35" i="37" s="1"/>
  <c r="V19" i="37"/>
  <c r="X19" i="37" s="1"/>
  <c r="U28" i="37"/>
  <c r="W28" i="37" s="1"/>
  <c r="V26" i="37"/>
  <c r="X26" i="37" s="1"/>
  <c r="U31" i="37"/>
  <c r="W31" i="37" s="1"/>
  <c r="U36" i="37"/>
  <c r="W36" i="37" s="1"/>
  <c r="V25" i="37"/>
  <c r="X25" i="37" s="1"/>
  <c r="V11" i="37"/>
  <c r="X11" i="37" s="1"/>
  <c r="V32" i="37"/>
  <c r="X32" i="37" s="1"/>
  <c r="N8" i="37"/>
  <c r="U8" i="37"/>
  <c r="V33" i="37"/>
  <c r="X33" i="37" s="1"/>
  <c r="W22" i="37"/>
  <c r="V22" i="37"/>
  <c r="X22" i="37" s="1"/>
  <c r="V23" i="37"/>
  <c r="X23" i="37" s="1"/>
  <c r="V27" i="37"/>
  <c r="X27" i="37" s="1"/>
  <c r="W21" i="37"/>
  <c r="V21" i="37"/>
  <c r="X21" i="37" s="1"/>
  <c r="W17" i="37"/>
  <c r="V17" i="37"/>
  <c r="X17" i="37" s="1"/>
  <c r="W34" i="37"/>
  <c r="V34" i="37"/>
  <c r="X34" i="37" s="1"/>
  <c r="W20" i="37"/>
  <c r="V20" i="37"/>
  <c r="X20" i="37" s="1"/>
  <c r="W10" i="37"/>
  <c r="V10" i="37"/>
  <c r="X10" i="37" s="1"/>
  <c r="W13" i="37"/>
  <c r="V13" i="37"/>
  <c r="X13" i="37" s="1"/>
  <c r="W30" i="37"/>
  <c r="V30" i="37"/>
  <c r="X30" i="37" s="1"/>
  <c r="W24" i="37"/>
  <c r="V24" i="37"/>
  <c r="X24" i="37" s="1"/>
  <c r="U11" i="35"/>
  <c r="U19" i="35"/>
  <c r="W19" i="35" s="1"/>
  <c r="W15" i="35"/>
  <c r="V15" i="35"/>
  <c r="X15" i="35" s="1"/>
  <c r="V23" i="33"/>
  <c r="X23" i="33" s="1"/>
  <c r="V21" i="33"/>
  <c r="X21" i="33" s="1"/>
  <c r="V34" i="33"/>
  <c r="X34" i="33" s="1"/>
  <c r="V36" i="33"/>
  <c r="X36" i="33" s="1"/>
  <c r="U29" i="35"/>
  <c r="W29" i="35" s="1"/>
  <c r="W16" i="35"/>
  <c r="V16" i="35"/>
  <c r="X16" i="35" s="1"/>
  <c r="U13" i="35"/>
  <c r="W13" i="35" s="1"/>
  <c r="V10" i="35"/>
  <c r="X10" i="35" s="1"/>
  <c r="V26" i="35"/>
  <c r="X26" i="35" s="1"/>
  <c r="U27" i="35"/>
  <c r="W27" i="35" s="1"/>
  <c r="V22" i="35"/>
  <c r="X22" i="35" s="1"/>
  <c r="V32" i="35"/>
  <c r="X32" i="35" s="1"/>
  <c r="U23" i="35"/>
  <c r="W23" i="35" s="1"/>
  <c r="U25" i="35"/>
  <c r="V25" i="35" s="1"/>
  <c r="X25" i="35" s="1"/>
  <c r="V21" i="35"/>
  <c r="X21" i="35" s="1"/>
  <c r="V18" i="35"/>
  <c r="X18" i="35" s="1"/>
  <c r="U31" i="35"/>
  <c r="W31" i="35" s="1"/>
  <c r="V8" i="35"/>
  <c r="X8" i="35" s="1"/>
  <c r="V33" i="35"/>
  <c r="X33" i="35" s="1"/>
  <c r="V12" i="35"/>
  <c r="X12" i="35" s="1"/>
  <c r="W9" i="35"/>
  <c r="V9" i="35"/>
  <c r="X9" i="35" s="1"/>
  <c r="W14" i="35"/>
  <c r="V14" i="35"/>
  <c r="X14" i="35" s="1"/>
  <c r="W11" i="35"/>
  <c r="V11" i="35"/>
  <c r="X11" i="35" s="1"/>
  <c r="W35" i="35"/>
  <c r="V35" i="35"/>
  <c r="X35" i="35" s="1"/>
  <c r="W24" i="35"/>
  <c r="V24" i="35"/>
  <c r="X24" i="35" s="1"/>
  <c r="W20" i="35"/>
  <c r="V20" i="35"/>
  <c r="X20" i="35" s="1"/>
  <c r="W36" i="35"/>
  <c r="V36" i="35"/>
  <c r="X36" i="35" s="1"/>
  <c r="W17" i="35"/>
  <c r="V17" i="35"/>
  <c r="X17" i="35" s="1"/>
  <c r="W28" i="35"/>
  <c r="V28" i="35"/>
  <c r="X28" i="35" s="1"/>
  <c r="V28" i="33"/>
  <c r="X28" i="33" s="1"/>
  <c r="V9" i="33"/>
  <c r="X9" i="33" s="1"/>
  <c r="N22" i="33"/>
  <c r="U22" i="33"/>
  <c r="U25" i="25"/>
  <c r="T25" i="25"/>
  <c r="V25" i="25" s="1"/>
  <c r="U14" i="25"/>
  <c r="T14" i="25"/>
  <c r="V14" i="25" s="1"/>
  <c r="U19" i="25"/>
  <c r="T19" i="25"/>
  <c r="V19" i="25" s="1"/>
  <c r="T18" i="25"/>
  <c r="V18" i="25" s="1"/>
  <c r="U18" i="25"/>
  <c r="U26" i="25"/>
  <c r="T26" i="25"/>
  <c r="V26" i="25" s="1"/>
  <c r="T10" i="25"/>
  <c r="V10" i="25" s="1"/>
  <c r="U10" i="25"/>
  <c r="U20" i="25"/>
  <c r="T20" i="25"/>
  <c r="V20" i="25" s="1"/>
  <c r="U21" i="25"/>
  <c r="T21" i="25"/>
  <c r="V21" i="25" s="1"/>
  <c r="U12" i="25"/>
  <c r="T12" i="25"/>
  <c r="V12" i="25" s="1"/>
  <c r="T17" i="25"/>
  <c r="V17" i="25" s="1"/>
  <c r="U17" i="25"/>
  <c r="U11" i="25"/>
  <c r="T11" i="25"/>
  <c r="V11" i="25" s="1"/>
  <c r="T22" i="25"/>
  <c r="V22" i="25" s="1"/>
  <c r="U22" i="25"/>
  <c r="T24" i="25"/>
  <c r="V24" i="25" s="1"/>
  <c r="U24" i="25"/>
  <c r="U16" i="25"/>
  <c r="T16" i="25"/>
  <c r="V16" i="25" s="1"/>
  <c r="T13" i="25"/>
  <c r="V13" i="25" s="1"/>
  <c r="U13" i="25"/>
  <c r="T9" i="25"/>
  <c r="V9" i="25" s="1"/>
  <c r="U9" i="25"/>
  <c r="U8" i="25"/>
  <c r="T8" i="25"/>
  <c r="V8" i="25" s="1"/>
  <c r="T15" i="25"/>
  <c r="V15" i="25" s="1"/>
  <c r="U15" i="25"/>
  <c r="T26" i="26"/>
  <c r="V26" i="26" s="1"/>
  <c r="U26" i="26"/>
  <c r="T22" i="26"/>
  <c r="V22" i="26" s="1"/>
  <c r="U22" i="26"/>
  <c r="U18" i="26"/>
  <c r="T18" i="26"/>
  <c r="V18" i="26" s="1"/>
  <c r="T9" i="26"/>
  <c r="V9" i="26" s="1"/>
  <c r="U9" i="26"/>
  <c r="U16" i="26"/>
  <c r="T16" i="26"/>
  <c r="V16" i="26" s="1"/>
  <c r="U10" i="26"/>
  <c r="T10" i="26"/>
  <c r="V10" i="26" s="1"/>
  <c r="U20" i="26"/>
  <c r="T20" i="26"/>
  <c r="V20" i="26" s="1"/>
  <c r="T15" i="26"/>
  <c r="V15" i="26" s="1"/>
  <c r="U15" i="26"/>
  <c r="U23" i="26"/>
  <c r="T23" i="26"/>
  <c r="V23" i="26" s="1"/>
  <c r="T21" i="26"/>
  <c r="V21" i="26" s="1"/>
  <c r="U21" i="26"/>
  <c r="U17" i="26"/>
  <c r="T17" i="26"/>
  <c r="V17" i="26" s="1"/>
  <c r="U21" i="29"/>
  <c r="T21" i="29"/>
  <c r="V21" i="29" s="1"/>
  <c r="U24" i="29"/>
  <c r="T24" i="29"/>
  <c r="V24" i="29" s="1"/>
  <c r="U25" i="29"/>
  <c r="T25" i="29"/>
  <c r="V25" i="29" s="1"/>
  <c r="T28" i="29"/>
  <c r="V28" i="29" s="1"/>
  <c r="U28" i="29"/>
  <c r="U8" i="29"/>
  <c r="T8" i="29"/>
  <c r="V8" i="29" s="1"/>
  <c r="U10" i="29"/>
  <c r="T10" i="29"/>
  <c r="V10" i="29" s="1"/>
  <c r="T11" i="29"/>
  <c r="V11" i="29" s="1"/>
  <c r="U11" i="29"/>
  <c r="U16" i="29"/>
  <c r="T16" i="29"/>
  <c r="V16" i="29" s="1"/>
  <c r="U19" i="29"/>
  <c r="T19" i="29"/>
  <c r="V19" i="29" s="1"/>
  <c r="U15" i="29"/>
  <c r="T15" i="29"/>
  <c r="V15" i="29" s="1"/>
  <c r="T14" i="31"/>
  <c r="V14" i="31" s="1"/>
  <c r="U14" i="31"/>
  <c r="U10" i="31"/>
  <c r="T10" i="31"/>
  <c r="V10" i="31" s="1"/>
  <c r="T22" i="31"/>
  <c r="V22" i="31" s="1"/>
  <c r="U22" i="31"/>
  <c r="U27" i="31"/>
  <c r="T27" i="31"/>
  <c r="V27" i="31" s="1"/>
  <c r="U9" i="31"/>
  <c r="T9" i="31"/>
  <c r="V9" i="31" s="1"/>
  <c r="U35" i="31"/>
  <c r="T35" i="31"/>
  <c r="V35" i="31" s="1"/>
  <c r="U31" i="31"/>
  <c r="T31" i="31"/>
  <c r="V31" i="31" s="1"/>
  <c r="T15" i="31"/>
  <c r="V15" i="31" s="1"/>
  <c r="U15" i="31"/>
  <c r="U17" i="31"/>
  <c r="T17" i="31"/>
  <c r="V17" i="31" s="1"/>
  <c r="U24" i="31"/>
  <c r="T24" i="31"/>
  <c r="V24" i="31" s="1"/>
  <c r="U20" i="31"/>
  <c r="T20" i="31"/>
  <c r="V20" i="31" s="1"/>
  <c r="T16" i="31"/>
  <c r="V16" i="31" s="1"/>
  <c r="U16" i="31"/>
  <c r="U18" i="31"/>
  <c r="T18" i="31"/>
  <c r="V18" i="31" s="1"/>
  <c r="U11" i="31"/>
  <c r="T11" i="31"/>
  <c r="V11" i="31" s="1"/>
  <c r="N25" i="33"/>
  <c r="U25" i="33"/>
  <c r="W14" i="33"/>
  <c r="V14" i="33"/>
  <c r="X14" i="33" s="1"/>
  <c r="W18" i="33"/>
  <c r="V18" i="33"/>
  <c r="X18" i="33" s="1"/>
  <c r="N27" i="33"/>
  <c r="U27" i="33"/>
  <c r="W26" i="33"/>
  <c r="V26" i="33"/>
  <c r="X26" i="33" s="1"/>
  <c r="W10" i="33"/>
  <c r="V10" i="33"/>
  <c r="X10" i="33" s="1"/>
  <c r="V13" i="33"/>
  <c r="X13" i="33" s="1"/>
  <c r="W33" i="33"/>
  <c r="V33" i="33"/>
  <c r="X33" i="33" s="1"/>
  <c r="W32" i="33"/>
  <c r="V32" i="33"/>
  <c r="X32" i="33" s="1"/>
  <c r="W15" i="33"/>
  <c r="V15" i="33"/>
  <c r="X15" i="33" s="1"/>
  <c r="U12" i="33"/>
  <c r="W11" i="33"/>
  <c r="V11" i="33"/>
  <c r="X11" i="33" s="1"/>
  <c r="V19" i="33"/>
  <c r="X19" i="33" s="1"/>
  <c r="W19" i="33"/>
  <c r="V35" i="33"/>
  <c r="X35" i="33" s="1"/>
  <c r="W35" i="33"/>
  <c r="W16" i="33"/>
  <c r="V16" i="33"/>
  <c r="X16" i="33" s="1"/>
  <c r="W17" i="33"/>
  <c r="V17" i="33"/>
  <c r="X17" i="33" s="1"/>
  <c r="W31" i="33"/>
  <c r="V31" i="33"/>
  <c r="X31" i="33" s="1"/>
  <c r="V31" i="35" l="1"/>
  <c r="X31" i="35" s="1"/>
  <c r="V12" i="37"/>
  <c r="X12" i="37" s="1"/>
  <c r="V29" i="37"/>
  <c r="X29" i="37" s="1"/>
  <c r="V14" i="37"/>
  <c r="X14" i="37" s="1"/>
  <c r="V28" i="37"/>
  <c r="X28" i="37" s="1"/>
  <c r="V36" i="37"/>
  <c r="X36" i="37" s="1"/>
  <c r="V31" i="37"/>
  <c r="X31" i="37" s="1"/>
  <c r="W8" i="37"/>
  <c r="V8" i="37"/>
  <c r="X8" i="37" s="1"/>
  <c r="V27" i="35"/>
  <c r="X27" i="35" s="1"/>
  <c r="V29" i="35"/>
  <c r="X29" i="35" s="1"/>
  <c r="V19" i="35"/>
  <c r="X19" i="35" s="1"/>
  <c r="V13" i="35"/>
  <c r="X13" i="35" s="1"/>
  <c r="V23" i="35"/>
  <c r="X23" i="35" s="1"/>
  <c r="W25" i="35"/>
  <c r="W22" i="33"/>
  <c r="V22" i="33"/>
  <c r="X22" i="33" s="1"/>
  <c r="W25" i="33"/>
  <c r="V25" i="33"/>
  <c r="X25" i="33" s="1"/>
  <c r="W27" i="33"/>
  <c r="V27" i="33"/>
  <c r="X27" i="33" s="1"/>
  <c r="W12" i="33"/>
  <c r="V12" i="33"/>
  <c r="X12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T7" authorId="0" shapeId="0" xr:uid="{4AD4DF8E-2115-EC44-BF27-494F1FFF9D2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E6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F6" authorId="1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6" authorId="1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H6" authorId="1" shapeId="0" xr:uid="{00000000-0006-0000-0A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I6" authorId="1" shapeId="0" xr:uid="{00000000-0006-0000-0A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Energu Saver</t>
        </r>
      </text>
    </comment>
    <comment ref="J6" authorId="0" shapeId="0" xr:uid="{00000000-0006-0000-0A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Freedom</t>
        </r>
      </text>
    </comment>
    <comment ref="K6" authorId="0" shapeId="0" xr:uid="{00000000-0006-0000-0A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 offer</t>
        </r>
      </text>
    </comment>
    <comment ref="B7" authorId="1" shapeId="0" xr:uid="{00000000-0006-0000-0A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20.712 MJ per day</t>
        </r>
      </text>
    </comment>
    <comment ref="B8" authorId="1" shapeId="0" xr:uid="{00000000-0006-0000-0A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20.384 MJ per day MJ per day</t>
        </r>
      </text>
    </comment>
    <comment ref="E8" authorId="1" shapeId="0" xr:uid="{00000000-0006-0000-0A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F8" authorId="1" shapeId="0" xr:uid="{00000000-0006-0000-0A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G8" authorId="1" shapeId="0" xr:uid="{00000000-0006-0000-0A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H8" authorId="1" shapeId="0" xr:uid="{00000000-0006-0000-0A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I8" authorId="1" shapeId="0" xr:uid="{00000000-0006-0000-0A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J8" authorId="1" shapeId="0" xr:uid="{00000000-0006-0000-0A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K8" authorId="1" shapeId="0" xr:uid="{00000000-0006-0000-0A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1" shapeId="0" xr:uid="{00000000-0006-0000-0A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 and tariff includes 2 more blocks that have not been included due to very high consumption threshold.</t>
        </r>
      </text>
    </comment>
    <comment ref="E9" authorId="1" shapeId="0" xr:uid="{00000000-0006-0000-0A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F9" authorId="1" shapeId="0" xr:uid="{00000000-0006-0000-0A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G9" authorId="1" shapeId="0" xr:uid="{00000000-0006-0000-0A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H9" authorId="1" shapeId="0" xr:uid="{00000000-0006-0000-0A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I9" authorId="1" shapeId="0" xr:uid="{00000000-0006-0000-0A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J9" authorId="1" shapeId="0" xr:uid="{00000000-0006-0000-0A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K9" authorId="1" shapeId="0" xr:uid="{00000000-0006-0000-0A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B10" authorId="0" shapeId="0" xr:uid="{00000000-0006-0000-0A00-00001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next 2654.794 MJ per day MJ per day and tariff includes 1 more block that has not been included due to very high consumption threshold.</t>
        </r>
      </text>
    </comment>
    <comment ref="E10" authorId="1" shapeId="0" xr:uid="{00000000-0006-0000-0A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F10" authorId="1" shapeId="0" xr:uid="{00000000-0006-0000-0A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G10" authorId="1" shapeId="0" xr:uid="{00000000-0006-0000-0A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H10" authorId="1" shapeId="0" xr:uid="{00000000-0006-0000-0A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I10" authorId="1" shapeId="0" xr:uid="{00000000-0006-0000-0A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J10" authorId="1" shapeId="0" xr:uid="{00000000-0006-0000-0A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K10" authorId="1" shapeId="0" xr:uid="{00000000-0006-0000-0A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1" shapeId="0" xr:uid="{00000000-0006-0000-0A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5" authorId="1" shapeId="0" xr:uid="{00000000-0006-0000-0A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</t>
        </r>
      </text>
    </comment>
    <comment ref="E18" authorId="0" shapeId="0" xr:uid="{00000000-0006-0000-0A00-00002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F18" authorId="1" shapeId="0" xr:uid="{00000000-0006-0000-0A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18" authorId="1" shapeId="0" xr:uid="{00000000-0006-0000-0A00-000025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H18" authorId="1" shapeId="0" xr:uid="{00000000-0006-0000-0A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I18" authorId="1" shapeId="0" xr:uid="{00000000-0006-0000-0A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Energu Saver</t>
        </r>
      </text>
    </comment>
    <comment ref="J18" authorId="0" shapeId="0" xr:uid="{00000000-0006-0000-0A00-00002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Freedom</t>
        </r>
      </text>
    </comment>
    <comment ref="K18" authorId="0" shapeId="0" xr:uid="{00000000-0006-0000-0A00-00002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 offer</t>
        </r>
      </text>
    </comment>
    <comment ref="B19" authorId="1" shapeId="0" xr:uid="{00000000-0006-0000-0A00-00002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1" shapeId="0" xr:uid="{00000000-0006-0000-0A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1" shapeId="0" xr:uid="{00000000-0006-0000-0A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1" shapeId="0" xr:uid="{00000000-0006-0000-0A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1" shapeId="0" xr:uid="{00000000-0006-0000-0A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J23" authorId="0" shapeId="0" xr:uid="{00000000-0006-0000-0A00-00002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Fact sheet does not mention LPF</t>
        </r>
      </text>
    </comment>
    <comment ref="B24" authorId="1" shapeId="0" xr:uid="{00000000-0006-0000-0A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0B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0B00-000002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F8" authorId="0" shapeId="0" xr:uid="{00000000-0006-0000-0B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G8" authorId="0" shapeId="0" xr:uid="{00000000-0006-0000-0B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1200 Mj +1200Mj</t>
        </r>
      </text>
    </comment>
    <comment ref="F9" authorId="0" shapeId="0" xr:uid="{00000000-0006-0000-0B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G9" authorId="0" shapeId="0" xr:uid="{00000000-0006-0000-0B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2400Mj + 3000 Mj</t>
        </r>
      </text>
    </comment>
    <comment ref="F10" authorId="0" shapeId="0" xr:uid="{00000000-0006-0000-0B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G10" authorId="0" shapeId="0" xr:uid="{00000000-0006-0000-0B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5,400Mj +160,000Mj
</t>
        </r>
      </text>
    </comment>
    <comment ref="A15" authorId="0" shapeId="0" xr:uid="{00000000-0006-0000-0B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0B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0B00-00000B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B19" authorId="0" shapeId="0" xr:uid="{00000000-0006-0000-0B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0B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0B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0B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0B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0B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6" authorId="0" shapeId="0" xr:uid="{00000000-0006-0000-0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F9" authorId="0" shapeId="0" xr:uid="{00000000-0006-0000-0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10" authorId="1" shapeId="0" xr:uid="{00000000-0006-0000-0C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11" authorId="1" shapeId="0" xr:uid="{00000000-0006-0000-0C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24" authorId="0" shapeId="0" xr:uid="{00000000-0006-0000-0C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24" authorId="0" shapeId="0" xr:uid="{00000000-0006-0000-0C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F27" authorId="0" shapeId="0" xr:uid="{00000000-0006-0000-0C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28" authorId="1" shapeId="0" xr:uid="{00000000-0006-0000-0C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29" authorId="1" shapeId="0" xr:uid="{00000000-0006-0000-0C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42" authorId="0" shapeId="0" xr:uid="{00000000-0006-0000-0C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42" authorId="0" shapeId="0" xr:uid="{00000000-0006-0000-0C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48" authorId="0" shapeId="0" xr:uid="{00000000-0006-0000-0C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48" authorId="0" shapeId="0" xr:uid="{00000000-0006-0000-0C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54" authorId="0" shapeId="0" xr:uid="{00000000-0006-0000-0C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54" authorId="0" shapeId="0" xr:uid="{00000000-0006-0000-0C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60" authorId="0" shapeId="0" xr:uid="{00000000-0006-0000-0C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60" authorId="0" shapeId="0" xr:uid="{00000000-0006-0000-0C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66" authorId="0" shapeId="0" xr:uid="{00000000-0006-0000-0C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66" authorId="0" shapeId="0" xr:uid="{00000000-0006-0000-0C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70" authorId="0" shapeId="0" xr:uid="{00000000-0006-0000-0C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70" authorId="0" shapeId="0" xr:uid="{00000000-0006-0000-0C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B71" authorId="0" shapeId="0" xr:uid="{00000000-0006-0000-0C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72" authorId="0" shapeId="0" xr:uid="{00000000-0006-0000-0C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73" authorId="0" shapeId="0" xr:uid="{00000000-0006-0000-0C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74" authorId="0" shapeId="0" xr:uid="{00000000-0006-0000-0C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75" authorId="0" shapeId="0" xr:uid="{00000000-0006-0000-0C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76" authorId="0" shapeId="0" xr:uid="{00000000-0006-0000-0C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F6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6" authorId="0" shapeId="0" xr:uid="{00000000-0006-0000-0D00-000002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H6" authorId="0" shapeId="0" xr:uid="{00000000-0006-0000-0D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B7" authorId="0" shapeId="0" xr:uid="{00000000-0006-0000-0D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0D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</t>
        </r>
      </text>
    </comment>
    <comment ref="E8" authorId="0" shapeId="0" xr:uid="{00000000-0006-0000-0D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8" authorId="0" shapeId="0" xr:uid="{00000000-0006-0000-0D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G8" authorId="0" shapeId="0" xr:uid="{00000000-0006-0000-0D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H8" authorId="0" shapeId="0" xr:uid="{00000000-0006-0000-0D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0D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0D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9" authorId="0" shapeId="0" xr:uid="{00000000-0006-0000-0D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G9" authorId="0" shapeId="0" xr:uid="{00000000-0006-0000-0D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H9" authorId="0" shapeId="0" xr:uid="{00000000-0006-0000-0D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0D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F10" authorId="0" shapeId="0" xr:uid="{00000000-0006-0000-0D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G10" authorId="0" shapeId="0" xr:uid="{00000000-0006-0000-0D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H10" authorId="0" shapeId="0" xr:uid="{00000000-0006-0000-0D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0D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5" authorId="0" shapeId="0" xr:uid="{00000000-0006-0000-0D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bi-monthly consumption of up to 825,000 MJ.</t>
        </r>
      </text>
    </comment>
    <comment ref="F18" authorId="0" shapeId="0" xr:uid="{00000000-0006-0000-0D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18" authorId="0" shapeId="0" xr:uid="{00000000-0006-0000-0D00-000016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H18" authorId="0" shapeId="0" xr:uid="{00000000-0006-0000-0D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B19" authorId="0" shapeId="0" xr:uid="{00000000-0006-0000-0D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0D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0D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0D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0D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0D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1" shapeId="0" xr:uid="{00000000-0006-0000-0D00-00001E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paid by Direct Debit</t>
        </r>
      </text>
    </comment>
    <comment ref="F24" authorId="1" shapeId="0" xr:uid="{00000000-0006-0000-0D00-00001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G6" authorId="1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F8" authorId="0" shapeId="0" xr:uid="{00000000-0006-0000-0E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G8" authorId="0" shapeId="0" xr:uid="{00000000-0006-0000-0E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9" authorId="0" shapeId="0" xr:uid="{00000000-0006-0000-0E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G9" authorId="0" shapeId="0" xr:uid="{00000000-0006-0000-0E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10" authorId="0" shapeId="0" xr:uid="{00000000-0006-0000-0E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G10" authorId="0" shapeId="0" xr:uid="{00000000-0006-0000-0E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0E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0E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0E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G18" authorId="1" shapeId="0" xr:uid="{00000000-0006-0000-0E00-00000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19" authorId="0" shapeId="0" xr:uid="{00000000-0006-0000-0E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0E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0E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G21" authorId="1" shapeId="0" xr:uid="{00000000-0006-0000-0E00-00001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$50 per service (gas and electricity)</t>
        </r>
      </text>
    </comment>
    <comment ref="B22" authorId="0" shapeId="0" xr:uid="{00000000-0006-0000-0E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0E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0E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G24" authorId="1" shapeId="0" xr:uid="{00000000-0006-0000-0E00-00001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Account establishment fee: $28.38
$100 in welcome credit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F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0F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9" authorId="0" shapeId="0" xr:uid="{00000000-0006-0000-0F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10" authorId="1" shapeId="0" xr:uid="{00000000-0006-0000-0F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11" authorId="1" shapeId="0" xr:uid="{00000000-0006-0000-0F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24" authorId="0" shapeId="0" xr:uid="{00000000-0006-0000-0F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24" authorId="0" shapeId="0" xr:uid="{00000000-0006-0000-0F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27" authorId="0" shapeId="0" xr:uid="{00000000-0006-0000-0F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28" authorId="1" shapeId="0" xr:uid="{00000000-0006-0000-0F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29" authorId="1" shapeId="0" xr:uid="{00000000-0006-0000-0F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42" authorId="0" shapeId="0" xr:uid="{00000000-0006-0000-0F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42" authorId="0" shapeId="0" xr:uid="{00000000-0006-0000-0F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48" authorId="0" shapeId="0" xr:uid="{00000000-0006-0000-0F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48" authorId="0" shapeId="0" xr:uid="{00000000-0006-0000-0F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54" authorId="0" shapeId="0" xr:uid="{00000000-0006-0000-0F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54" authorId="0" shapeId="0" xr:uid="{00000000-0006-0000-0F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60" authorId="0" shapeId="0" xr:uid="{00000000-0006-0000-0F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0" authorId="0" shapeId="0" xr:uid="{00000000-0006-0000-0F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66" authorId="0" shapeId="0" xr:uid="{00000000-0006-0000-0F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6" authorId="0" shapeId="0" xr:uid="{00000000-0006-0000-0F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70" authorId="0" shapeId="0" xr:uid="{00000000-0006-0000-0F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70" authorId="0" shapeId="0" xr:uid="{00000000-0006-0000-0F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B71" authorId="0" shapeId="0" xr:uid="{00000000-0006-0000-0F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72" authorId="0" shapeId="0" xr:uid="{00000000-0006-0000-0F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73" authorId="0" shapeId="0" xr:uid="{00000000-0006-0000-0F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74" authorId="0" shapeId="0" xr:uid="{00000000-0006-0000-0F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75" authorId="0" shapeId="0" xr:uid="{00000000-0006-0000-0F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76" authorId="0" shapeId="0" xr:uid="{00000000-0006-0000-0F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76" authorId="1" shapeId="0" xr:uid="{00000000-0006-0000-0F00-00001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F6" authorId="0" shapeId="0" xr:uid="{00000000-0006-0000-10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6" authorId="0" shapeId="0" xr:uid="{00000000-0006-0000-1000-000003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H6" authorId="0" shapeId="0" xr:uid="{00000000-0006-0000-1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I6" authorId="0" shapeId="0" xr:uid="{00000000-0006-0000-10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B7" authorId="0" shapeId="0" xr:uid="{00000000-0006-0000-10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10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</t>
        </r>
      </text>
    </comment>
    <comment ref="E8" authorId="0" shapeId="0" xr:uid="{00000000-0006-0000-10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8" authorId="0" shapeId="0" xr:uid="{00000000-0006-0000-10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G8" authorId="0" shapeId="0" xr:uid="{00000000-0006-0000-10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H8" authorId="0" shapeId="0" xr:uid="{00000000-0006-0000-10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I8" authorId="0" shapeId="0" xr:uid="{00000000-0006-0000-10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B9" authorId="0" shapeId="0" xr:uid="{00000000-0006-0000-10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E9" authorId="0" shapeId="0" xr:uid="{00000000-0006-0000-10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9" authorId="0" shapeId="0" xr:uid="{00000000-0006-0000-10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G9" authorId="0" shapeId="0" xr:uid="{00000000-0006-0000-10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H9" authorId="0" shapeId="0" xr:uid="{00000000-0006-0000-10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I9" authorId="0" shapeId="0" xr:uid="{00000000-0006-0000-10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0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F10" authorId="0" shapeId="0" xr:uid="{00000000-0006-0000-10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G10" authorId="0" shapeId="0" xr:uid="{00000000-0006-0000-10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H10" authorId="0" shapeId="0" xr:uid="{00000000-0006-0000-10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I10" authorId="0" shapeId="0" xr:uid="{00000000-0006-0000-10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10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0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F18" authorId="0" shapeId="0" xr:uid="{00000000-0006-0000-10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18" authorId="0" shapeId="0" xr:uid="{00000000-0006-0000-1000-00001B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H18" authorId="0" shapeId="0" xr:uid="{00000000-0006-0000-10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I18" authorId="0" shapeId="0" xr:uid="{00000000-0006-0000-10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B19" authorId="0" shapeId="0" xr:uid="{00000000-0006-0000-10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10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0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0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0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0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0" shapeId="0" xr:uid="{00000000-0006-0000-10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$75 AGL Shop Voucher and 2% direct debit discount off usage</t>
        </r>
      </text>
    </comment>
    <comment ref="F24" authorId="0" shapeId="0" xr:uid="{00000000-0006-0000-10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1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1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E8" authorId="0" shapeId="0" xr:uid="{00000000-0006-0000-11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8" authorId="0" shapeId="0" xr:uid="{00000000-0006-0000-11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E9" authorId="0" shapeId="0" xr:uid="{00000000-0006-0000-11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9" authorId="0" shapeId="0" xr:uid="{00000000-0006-0000-11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1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F10" authorId="0" shapeId="0" xr:uid="{00000000-0006-0000-11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11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1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11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B19" authorId="0" shapeId="0" xr:uid="{00000000-0006-0000-11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E19" authorId="0" shapeId="0" xr:uid="{00000000-0006-0000-11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12 months</t>
        </r>
      </text>
    </comment>
    <comment ref="B20" authorId="0" shapeId="0" xr:uid="{00000000-0006-0000-11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1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1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1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1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0" shapeId="0" xr:uid="{00000000-0006-0000-11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if signing up for direct debit and 1% off usage if dual fuel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12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2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9" authorId="0" shapeId="0" xr:uid="{00000000-0006-0000-12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10" authorId="1" shapeId="0" xr:uid="{00000000-0006-0000-12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11" authorId="1" shapeId="0" xr:uid="{00000000-0006-0000-12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24" authorId="0" shapeId="0" xr:uid="{00000000-0006-0000-12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24" authorId="0" shapeId="0" xr:uid="{00000000-0006-0000-12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27" authorId="0" shapeId="0" xr:uid="{00000000-0006-0000-12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100 MJ per day</t>
        </r>
      </text>
    </comment>
    <comment ref="F28" authorId="1" shapeId="0" xr:uid="{00000000-0006-0000-12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nest 100Mj per day (6000Mj + 6000Mj)</t>
        </r>
      </text>
    </comment>
    <comment ref="F29" authorId="1" shapeId="0" xr:uid="{00000000-0006-0000-12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stateds next 1200Mj per day (12,000Mj + 73,000Mj)</t>
        </r>
      </text>
    </comment>
    <comment ref="E40" authorId="0" shapeId="0" xr:uid="{00000000-0006-0000-12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40" authorId="0" shapeId="0" xr:uid="{00000000-0006-0000-12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B41" authorId="0" shapeId="0" xr:uid="{00000000-0006-0000-12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42" authorId="0" shapeId="0" xr:uid="{00000000-0006-0000-12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43" authorId="0" shapeId="0" xr:uid="{00000000-0006-0000-12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44" authorId="0" shapeId="0" xr:uid="{00000000-0006-0000-12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45" authorId="0" shapeId="0" xr:uid="{00000000-0006-0000-12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46" authorId="0" shapeId="0" xr:uid="{00000000-0006-0000-12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46" authorId="0" shapeId="0" xr:uid="{00000000-0006-0000-12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10</t>
        </r>
      </text>
    </comment>
    <comment ref="F6" authorId="0" shapeId="0" xr:uid="{00000000-0006-0000-13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6" authorId="0" shapeId="0" xr:uid="{00000000-0006-0000-13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H6" authorId="0" shapeId="0" xr:uid="{00000000-0006-0000-1300-000004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I6" authorId="0" shapeId="0" xr:uid="{00000000-0006-0000-13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J6" authorId="0" shapeId="0" xr:uid="{00000000-0006-0000-13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I7" authorId="0" shapeId="0" xr:uid="{00000000-0006-0000-13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60.274 MJ per day</t>
        </r>
      </text>
    </comment>
    <comment ref="E8" authorId="0" shapeId="0" xr:uid="{00000000-0006-0000-13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F8" authorId="0" shapeId="0" xr:uid="{00000000-0006-0000-13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G8" authorId="0" shapeId="0" xr:uid="{00000000-0006-0000-13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H8" authorId="0" shapeId="0" xr:uid="{00000000-0006-0000-13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J8" authorId="0" shapeId="0" xr:uid="{00000000-0006-0000-13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2500 Mj +3000Mj</t>
        </r>
      </text>
    </comment>
    <comment ref="E9" authorId="0" shapeId="0" xr:uid="{00000000-0006-0000-13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F9" authorId="0" shapeId="0" xr:uid="{00000000-0006-0000-13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G9" authorId="0" shapeId="0" xr:uid="{00000000-0006-0000-13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H9" authorId="0" shapeId="0" xr:uid="{00000000-0006-0000-13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J9" authorId="0" shapeId="0" xr:uid="{00000000-0006-0000-13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5500Mj + 11,500 Mj</t>
        </r>
      </text>
    </comment>
    <comment ref="E10" authorId="0" shapeId="0" xr:uid="{00000000-0006-0000-13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F10" authorId="0" shapeId="0" xr:uid="{00000000-0006-0000-13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G10" authorId="0" shapeId="0" xr:uid="{00000000-0006-0000-13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H10" authorId="0" shapeId="0" xr:uid="{00000000-0006-0000-13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J10" authorId="0" shapeId="0" xr:uid="{00000000-0006-0000-13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Previous 17,000Mj +150,000Mj
</t>
        </r>
      </text>
    </comment>
    <comment ref="A15" authorId="0" shapeId="0" xr:uid="{00000000-0006-0000-13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3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10
Features taken from IPART site as no updated statement on website</t>
        </r>
      </text>
    </comment>
    <comment ref="F18" authorId="0" shapeId="0" xr:uid="{00000000-0006-0000-13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18" authorId="0" shapeId="0" xr:uid="{00000000-0006-0000-13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H18" authorId="0" shapeId="0" xr:uid="{00000000-0006-0000-1300-00001B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I18" authorId="0" shapeId="0" xr:uid="{00000000-0006-0000-13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J18" authorId="0" shapeId="0" xr:uid="{00000000-0006-0000-13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
Features taken from IPART website as product information statement on Lumo website is for South Australia rather than NSW</t>
        </r>
      </text>
    </comment>
    <comment ref="B19" authorId="0" shapeId="0" xr:uid="{00000000-0006-0000-13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0" authorId="0" shapeId="0" xr:uid="{00000000-0006-0000-13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3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3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3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3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0" shapeId="0" xr:uid="{00000000-0006-0000-13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$50 AGL Shop Voucher </t>
        </r>
      </text>
    </comment>
    <comment ref="F24" authorId="0" shapeId="0" xr:uid="{00000000-0006-0000-13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T7" authorId="0" shapeId="0" xr:uid="{177E8DDF-24AA-6143-82E0-E760DA50857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4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B7" authorId="0" shapeId="0" xr:uid="{00000000-0006-0000-14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F7" authorId="0" shapeId="0" xr:uid="{00000000-0006-0000-14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60.274 Mj/day</t>
        </r>
      </text>
    </comment>
    <comment ref="B8" authorId="0" shapeId="0" xr:uid="{00000000-0006-0000-14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B9" authorId="0" shapeId="0" xr:uid="{00000000-0006-0000-14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A15" authorId="0" shapeId="0" xr:uid="{00000000-0006-0000-14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4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14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B19" authorId="0" shapeId="0" xr:uid="{00000000-0006-0000-14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E19" authorId="0" shapeId="0" xr:uid="{00000000-0006-0000-14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12 months</t>
        </r>
      </text>
    </comment>
    <comment ref="B20" authorId="0" shapeId="0" xr:uid="{00000000-0006-0000-14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4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4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4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4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24" authorId="0" shapeId="0" xr:uid="{00000000-0006-0000-14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if signing up for direct debit and 1% off usage if dual fuel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5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F9" authorId="0" shapeId="0" xr:uid="{00000000-0006-0000-15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65.753 MJ per day</t>
        </r>
      </text>
    </comment>
    <comment ref="E18" authorId="0" shapeId="0" xr:uid="{00000000-0006-0000-15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15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E25" authorId="0" shapeId="0" xr:uid="{00000000-0006-0000-15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25" authorId="0" shapeId="0" xr:uid="{00000000-0006-0000-15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B26" authorId="0" shapeId="0" xr:uid="{00000000-0006-0000-15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27" authorId="0" shapeId="0" xr:uid="{00000000-0006-0000-15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8" authorId="0" shapeId="0" xr:uid="{00000000-0006-0000-15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9" authorId="0" shapeId="0" xr:uid="{00000000-0006-0000-15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30" authorId="0" shapeId="0" xr:uid="{00000000-0006-0000-15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31" authorId="0" shapeId="0" xr:uid="{00000000-0006-0000-15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E31" authorId="0" shapeId="0" xr:uid="{00000000-0006-0000-15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600-000001000000}">
      <text>
        <r>
          <rPr>
            <b/>
            <sz val="9"/>
            <color indexed="81"/>
            <rFont val="Verdana"/>
            <family val="2"/>
          </rPr>
          <t xml:space="preserve">May Johnston:
</t>
        </r>
        <r>
          <rPr>
            <sz val="9"/>
            <color indexed="81"/>
            <rFont val="Verdana"/>
            <family val="2"/>
          </rPr>
          <t>Agl Advantage 5
These rates apply to all AGL market offers in this area</t>
        </r>
      </text>
    </comment>
    <comment ref="F6" authorId="0" shapeId="0" xr:uid="{00000000-0006-0000-1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G6" authorId="0" shapeId="0" xr:uid="{00000000-0006-0000-16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Energy Australia's 7% discount offer</t>
        </r>
      </text>
    </comment>
    <comment ref="H6" authorId="0" shapeId="0" xr:uid="{00000000-0006-0000-16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E7" authorId="0" shapeId="0" xr:uid="{00000000-0006-0000-1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F7" authorId="0" shapeId="0" xr:uid="{00000000-0006-0000-16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G7" authorId="0" shapeId="0" xr:uid="{00000000-0006-0000-16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H7" authorId="0" shapeId="0" xr:uid="{00000000-0006-0000-16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60.274 MJ per day</t>
        </r>
      </text>
    </comment>
    <comment ref="E8" authorId="0" shapeId="0" xr:uid="{00000000-0006-0000-16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F8" authorId="0" shapeId="0" xr:uid="{00000000-0006-0000-16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G8" authorId="0" shapeId="0" xr:uid="{00000000-0006-0000-16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E9" authorId="0" shapeId="0" xr:uid="{00000000-0006-0000-16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F9" authorId="0" shapeId="0" xr:uid="{00000000-0006-0000-16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G9" authorId="0" shapeId="0" xr:uid="{00000000-0006-0000-16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A15" authorId="0" shapeId="0" xr:uid="{00000000-0006-0000-16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6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5</t>
        </r>
      </text>
    </comment>
    <comment ref="F18" authorId="0" shapeId="0" xr:uid="{00000000-0006-0000-1600-000011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G18" authorId="0" shapeId="0" xr:uid="{00000000-0006-0000-16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Energy Australia's 7% discount offer</t>
        </r>
      </text>
    </comment>
    <comment ref="H18" authorId="0" shapeId="0" xr:uid="{00000000-0006-0000-16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B19" authorId="0" shapeId="0" xr:uid="{00000000-0006-0000-16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F19" authorId="0" shapeId="0" xr:uid="{00000000-0006-0000-16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B20" authorId="0" shapeId="0" xr:uid="{00000000-0006-0000-16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6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6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6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6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B26" authorId="0" shapeId="0" xr:uid="{00000000-0006-0000-16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700-000001000000}">
      <text>
        <r>
          <rPr>
            <b/>
            <sz val="9"/>
            <color indexed="81"/>
            <rFont val="Verdana"/>
            <family val="2"/>
          </rPr>
          <t>Country Energy Home Gas Plan. Available 
in Tamworth only</t>
        </r>
      </text>
    </comment>
    <comment ref="B11" authorId="0" shapeId="0" xr:uid="{00000000-0006-0000-17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12" authorId="0" shapeId="0" xr:uid="{00000000-0006-0000-17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13" authorId="0" shapeId="0" xr:uid="{00000000-0006-0000-17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14" authorId="0" shapeId="0" xr:uid="{00000000-0006-0000-17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15" authorId="0" shapeId="0" xr:uid="{00000000-0006-0000-17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16" authorId="0" shapeId="0" xr:uid="{00000000-0006-0000-17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B18" authorId="0" shapeId="0" xr:uid="{00000000-0006-0000-17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B7" authorId="0" shapeId="0" xr:uid="{00000000-0006-0000-18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41.096 MJ per day</t>
        </r>
      </text>
    </comment>
    <comment ref="B8" authorId="0" shapeId="0" xr:uid="{00000000-0006-0000-18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49.315 MJ per day MJ per day</t>
        </r>
      </text>
    </comment>
    <comment ref="B9" authorId="0" shapeId="0" xr:uid="{00000000-0006-0000-18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next 189.041 MJ per day MJ per day and tariff includes 2 more blocks that have not been included due to very high consumption threshold.</t>
        </r>
      </text>
    </comment>
    <comment ref="A15" authorId="0" shapeId="0" xr:uid="{00000000-0006-0000-18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E18" authorId="0" shapeId="0" xr:uid="{00000000-0006-0000-18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B19" authorId="0" shapeId="0" xr:uid="{00000000-0006-0000-18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E19" authorId="0" shapeId="0" xr:uid="{00000000-0006-0000-18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B20" authorId="0" shapeId="0" xr:uid="{00000000-0006-0000-18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1" authorId="0" shapeId="0" xr:uid="{00000000-0006-0000-18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2" authorId="0" shapeId="0" xr:uid="{00000000-0006-0000-18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3" authorId="0" shapeId="0" xr:uid="{00000000-0006-0000-18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4" authorId="0" shapeId="0" xr:uid="{00000000-0006-0000-18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B26" authorId="0" shapeId="0" xr:uid="{00000000-0006-0000-18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6" authorId="0" shapeId="0" xr:uid="{00000000-0006-0000-19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F9" authorId="0" shapeId="0" xr:uid="{00000000-0006-0000-19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65.753 MJ per day</t>
        </r>
      </text>
    </comment>
    <comment ref="E18" authorId="0" shapeId="0" xr:uid="{00000000-0006-0000-19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F18" authorId="0" shapeId="0" xr:uid="{00000000-0006-0000-19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E25" authorId="0" shapeId="0" xr:uid="{00000000-0006-0000-19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F25" authorId="0" shapeId="0" xr:uid="{00000000-0006-0000-19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B26" authorId="0" shapeId="0" xr:uid="{00000000-0006-0000-19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E26" authorId="0" shapeId="0" xr:uid="{00000000-0006-0000-19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B27" authorId="0" shapeId="0" xr:uid="{00000000-0006-0000-19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28" authorId="0" shapeId="0" xr:uid="{00000000-0006-0000-19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29" authorId="0" shapeId="0" xr:uid="{00000000-0006-0000-19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30" authorId="0" shapeId="0" xr:uid="{00000000-0006-0000-19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31" authorId="0" shapeId="0" xr:uid="{00000000-0006-0000-19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B33" authorId="0" shapeId="0" xr:uid="{00000000-0006-0000-19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T7" authorId="0" shapeId="0" xr:uid="{DA247C3F-0C6A-1047-AF2B-4C0424C971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S12" authorId="0" shapeId="0" xr:uid="{B05906D8-3991-B34E-B189-C1C1982E484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12" authorId="0" shapeId="0" xr:uid="{DFE8FFE3-257F-BD43-92BD-51BF4ADB4D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3" authorId="0" shapeId="0" xr:uid="{FD2BB23B-4CAE-AE42-9A92-C6BAF86CF05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13" authorId="0" shapeId="0" xr:uid="{6E2964B2-DE9B-CC42-8A2F-BDAF49F7191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23" authorId="0" shapeId="0" xr:uid="{DBC9C72E-CD73-864F-9227-F9B68689B20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23" authorId="0" shapeId="0" xr:uid="{B2393114-B46D-6A4F-9652-4AEA0B77A09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26" authorId="0" shapeId="0" xr:uid="{6EDC8018-C9D3-E844-B50B-2DC3DC9AB3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26" authorId="0" shapeId="0" xr:uid="{3186FC58-EA24-0E40-A981-8B483E26E9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28" authorId="0" shapeId="0" xr:uid="{B6EFCB40-182F-AD45-A6DE-1227046FE02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28" authorId="0" shapeId="0" xr:uid="{009104B5-70DE-C24C-8CF7-03BB00AC5D8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29" authorId="0" shapeId="0" xr:uid="{78D33740-4BF0-AD41-AAAB-6447ECBA5DF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29" authorId="0" shapeId="0" xr:uid="{B54D2FC8-6766-BD45-8B91-DF0894C63A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0" authorId="0" shapeId="0" xr:uid="{0780BC86-5978-284F-8021-D963B3A405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0" authorId="0" shapeId="0" xr:uid="{5BD222BB-BE09-D949-B7EE-71713373C9C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2" authorId="0" shapeId="0" xr:uid="{95D1BFC5-856E-E647-A182-A95A583A22F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2" authorId="0" shapeId="0" xr:uid="{9561DE39-5CCE-7540-ADC8-4921E026EF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3" authorId="0" shapeId="0" xr:uid="{DDFF0330-B79D-334C-ABB8-EDD1D2A114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3" authorId="0" shapeId="0" xr:uid="{0085C423-1AF7-B34B-8A5D-9CB3F5AC2D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4" authorId="0" shapeId="0" xr:uid="{F5778E69-7FB0-0A49-9AAA-0A39FE07E7F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4" authorId="0" shapeId="0" xr:uid="{D311F99E-7391-F44B-891B-B9728967B8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36" authorId="0" shapeId="0" xr:uid="{9CB751FD-A046-174A-AD14-3D93FE3FF3F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Including GST</t>
        </r>
      </text>
    </comment>
    <comment ref="T36" authorId="0" shapeId="0" xr:uid="{A3237B94-27BA-E645-9DDB-982DC1A4C2D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Including GST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B8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C8" authorId="1" shapeId="0" xr:uid="{00000000-0006-0000-03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1" shapeId="0" xr:uid="{00000000-0006-0000-0300-000003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E8" authorId="1" shapeId="0" xr:uid="{00000000-0006-0000-03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8" authorId="1" shapeId="0" xr:uid="{00000000-0006-0000-03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Energu Saver</t>
        </r>
      </text>
    </comment>
    <comment ref="H8" authorId="0" shapeId="0" xr:uid="{00000000-0006-0000-03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 offer</t>
        </r>
      </text>
    </comment>
    <comment ref="A13" authorId="1" shapeId="0" xr:uid="{00000000-0006-0000-03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C19" authorId="1" shapeId="0" xr:uid="{00000000-0006-0000-03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19" authorId="1" shapeId="0" xr:uid="{00000000-0006-0000-0300-000009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E19" authorId="1" shapeId="0" xr:uid="{00000000-0006-0000-03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A24" authorId="1" shapeId="0" xr:uid="{00000000-0006-0000-03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C30" authorId="1" shapeId="0" xr:uid="{00000000-0006-0000-03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30" authorId="1" shapeId="0" xr:uid="{00000000-0006-0000-0300-00000D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C44" authorId="1" shapeId="0" xr:uid="{00000000-0006-0000-03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D44" authorId="1" shapeId="0" xr:uid="{00000000-0006-0000-0300-00000F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C58" authorId="1" shapeId="0" xr:uid="{00000000-0006-0000-03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C65" authorId="1" shapeId="0" xr:uid="{00000000-0006-0000-03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C72" authorId="1" shapeId="0" xr:uid="{00000000-0006-0000-03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C79" authorId="1" shapeId="0" xr:uid="{00000000-0006-0000-03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C86" authorId="1" shapeId="0" xr:uid="{00000000-0006-0000-03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B93" authorId="0" shapeId="0" xr:uid="{00000000-0006-0000-0300-00001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C93" authorId="1" shapeId="0" xr:uid="{00000000-0006-0000-03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D93" authorId="1" shapeId="0" xr:uid="{00000000-0006-0000-0300-000017000000}">
      <text>
        <r>
          <rPr>
            <b/>
            <sz val="9"/>
            <color indexed="81"/>
            <rFont val="Verdana"/>
            <family val="2"/>
          </rPr>
          <t>May Johnston:
Flexi saver</t>
        </r>
      </text>
    </comment>
    <comment ref="E93" authorId="1" shapeId="0" xr:uid="{00000000-0006-0000-03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93" authorId="1" shapeId="0" xr:uid="{00000000-0006-0000-03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Living Energu Saver</t>
        </r>
      </text>
    </comment>
    <comment ref="G93" authorId="0" shapeId="0" xr:uid="{00000000-0006-0000-0300-00001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Freedom</t>
        </r>
      </text>
    </comment>
    <comment ref="H93" authorId="0" shapeId="0" xr:uid="{00000000-0006-0000-0300-00001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No term offer</t>
        </r>
      </text>
    </comment>
    <comment ref="G98" authorId="0" shapeId="0" xr:uid="{00000000-0006-0000-0300-00001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Fact sheet does not mention LPF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B8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8" authorId="0" shapeId="0" xr:uid="{00000000-0006-0000-04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0" shapeId="0" xr:uid="{00000000-0006-0000-0400-000003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8" authorId="0" shapeId="0" xr:uid="{00000000-0006-0000-04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8" authorId="1" shapeId="0" xr:uid="{00000000-0006-0000-04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A13" authorId="0" shapeId="0" xr:uid="{00000000-0006-0000-04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B19" authorId="0" shapeId="0" xr:uid="{00000000-0006-0000-04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19" authorId="0" shapeId="0" xr:uid="{00000000-0006-0000-04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19" authorId="0" shapeId="0" xr:uid="{00000000-0006-0000-0400-000009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19" authorId="0" shapeId="0" xr:uid="{00000000-0006-0000-04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19" authorId="1" shapeId="0" xr:uid="{00000000-0006-0000-04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A24" authorId="0" shapeId="0" xr:uid="{00000000-0006-0000-04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B30" authorId="0" shapeId="0" xr:uid="{00000000-0006-0000-04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30" authorId="0" shapeId="0" xr:uid="{00000000-0006-0000-04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30" authorId="0" shapeId="0" xr:uid="{00000000-0006-0000-0400-00000F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30" authorId="0" shapeId="0" xr:uid="{00000000-0006-0000-04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30" authorId="1" shapeId="0" xr:uid="{00000000-0006-0000-0400-00001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44" authorId="0" shapeId="0" xr:uid="{00000000-0006-0000-04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44" authorId="0" shapeId="0" xr:uid="{00000000-0006-0000-04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44" authorId="0" shapeId="0" xr:uid="{00000000-0006-0000-0400-000014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44" authorId="0" shapeId="0" xr:uid="{00000000-0006-0000-04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44" authorId="1" shapeId="0" xr:uid="{00000000-0006-0000-0400-00001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58" authorId="0" shapeId="0" xr:uid="{00000000-0006-0000-04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58" authorId="0" shapeId="0" xr:uid="{00000000-0006-0000-04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58" authorId="0" shapeId="0" xr:uid="{00000000-0006-0000-0400-000019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58" authorId="0" shapeId="0" xr:uid="{00000000-0006-0000-04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58" authorId="1" shapeId="0" xr:uid="{00000000-0006-0000-0400-00001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65" authorId="0" shapeId="0" xr:uid="{00000000-0006-0000-04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65" authorId="0" shapeId="0" xr:uid="{00000000-0006-0000-04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65" authorId="0" shapeId="0" xr:uid="{00000000-0006-0000-0400-00001E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65" authorId="0" shapeId="0" xr:uid="{00000000-0006-0000-04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65" authorId="1" shapeId="0" xr:uid="{00000000-0006-0000-0400-000020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72" authorId="0" shapeId="0" xr:uid="{00000000-0006-0000-04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72" authorId="0" shapeId="0" xr:uid="{00000000-0006-0000-04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72" authorId="0" shapeId="0" xr:uid="{00000000-0006-0000-0400-000023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72" authorId="0" shapeId="0" xr:uid="{00000000-0006-0000-04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72" authorId="1" shapeId="0" xr:uid="{00000000-0006-0000-0400-00002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79" authorId="0" shapeId="0" xr:uid="{00000000-0006-0000-04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79" authorId="0" shapeId="0" xr:uid="{00000000-0006-0000-04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79" authorId="0" shapeId="0" xr:uid="{00000000-0006-0000-0400-000028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79" authorId="0" shapeId="0" xr:uid="{00000000-0006-0000-0400-00002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79" authorId="1" shapeId="0" xr:uid="{00000000-0006-0000-0400-00002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86" authorId="0" shapeId="0" xr:uid="{00000000-0006-0000-04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86" authorId="0" shapeId="0" xr:uid="{00000000-0006-0000-04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6" authorId="0" shapeId="0" xr:uid="{00000000-0006-0000-0400-00002D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86" authorId="0" shapeId="0" xr:uid="{00000000-0006-0000-04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86" authorId="1" shapeId="0" xr:uid="{00000000-0006-0000-0400-00002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B93" authorId="0" shapeId="0" xr:uid="{00000000-0006-0000-04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93" authorId="0" shapeId="0" xr:uid="{00000000-0006-0000-0400-00003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93" authorId="0" shapeId="0" xr:uid="{00000000-0006-0000-0400-000032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93" authorId="0" shapeId="0" xr:uid="{00000000-0006-0000-0400-00003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93" authorId="1" shapeId="0" xr:uid="{00000000-0006-0000-0400-00003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10% off electricity and gas (omly available as dual fuel product) </t>
        </r>
      </text>
    </comment>
    <comment ref="A94" authorId="0" shapeId="0" xr:uid="{00000000-0006-0000-0400-00003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A95" authorId="0" shapeId="0" xr:uid="{00000000-0006-0000-0400-00003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96" authorId="0" shapeId="0" xr:uid="{00000000-0006-0000-0400-00003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</t>
        </r>
      </text>
    </comment>
    <comment ref="F96" authorId="1" shapeId="0" xr:uid="{00000000-0006-0000-0400-00003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$50 per service (gas and electricity)</t>
        </r>
      </text>
    </comment>
    <comment ref="A98" authorId="0" shapeId="0" xr:uid="{00000000-0006-0000-0400-00003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A99" authorId="0" shapeId="0" xr:uid="{00000000-0006-0000-0400-00003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B99" authorId="1" shapeId="0" xr:uid="{00000000-0006-0000-0400-00003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paid by Direct Debit</t>
        </r>
      </text>
    </comment>
    <comment ref="C99" authorId="1" shapeId="0" xr:uid="{00000000-0006-0000-0400-00003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  <comment ref="F99" authorId="1" shapeId="0" xr:uid="{00000000-0006-0000-0400-00003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Account establishment fee: $28.38
$100 in welcome credit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8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8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8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8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A13" authorId="0" shapeId="0" xr:uid="{00000000-0006-0000-05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A19" authorId="0" shapeId="0" xr:uid="{00000000-0006-0000-0500-000007000000}">
      <text>
        <r>
          <rPr>
            <b/>
            <sz val="9"/>
            <color indexed="81"/>
            <rFont val="Verdana"/>
            <family val="2"/>
          </rPr>
          <t>Boorowa, Goulburn, Yass and Young only</t>
        </r>
      </text>
    </comment>
    <comment ref="B19" authorId="0" shapeId="0" xr:uid="{00000000-0006-0000-05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19" authorId="0" shapeId="0" xr:uid="{00000000-0006-0000-05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19" authorId="0" shapeId="0" xr:uid="{00000000-0006-0000-0500-00000A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19" authorId="0" shapeId="0" xr:uid="{00000000-0006-0000-05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19" authorId="0" shapeId="0" xr:uid="{00000000-0006-0000-05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A24" authorId="0" shapeId="0" xr:uid="{00000000-0006-0000-05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A30" authorId="0" shapeId="0" xr:uid="{00000000-0006-0000-0500-00000E000000}">
      <text>
        <r>
          <rPr>
            <b/>
            <sz val="9"/>
            <color indexed="81"/>
            <rFont val="Verdana"/>
            <family val="2"/>
          </rPr>
          <t>Albury, Jindera, Moama only</t>
        </r>
      </text>
    </comment>
    <comment ref="B30" authorId="0" shapeId="0" xr:uid="{00000000-0006-0000-05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30" authorId="0" shapeId="0" xr:uid="{00000000-0006-0000-05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30" authorId="0" shapeId="0" xr:uid="{00000000-0006-0000-0500-000011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30" authorId="0" shapeId="0" xr:uid="{00000000-0006-0000-05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30" authorId="0" shapeId="0" xr:uid="{00000000-0006-0000-05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A44" authorId="0" shapeId="0" xr:uid="{00000000-0006-0000-0500-000014000000}">
      <text>
        <r>
          <rPr>
            <b/>
            <sz val="9"/>
            <color indexed="81"/>
            <rFont val="Verdana"/>
            <family val="2"/>
          </rPr>
          <t>NSW Murray Valley Towns</t>
        </r>
      </text>
    </comment>
    <comment ref="B44" authorId="0" shapeId="0" xr:uid="{00000000-0006-0000-0500-00001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44" authorId="0" shapeId="0" xr:uid="{00000000-0006-0000-05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44" authorId="0" shapeId="0" xr:uid="{00000000-0006-0000-0500-000017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44" authorId="0" shapeId="0" xr:uid="{00000000-0006-0000-05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44" authorId="0" shapeId="0" xr:uid="{00000000-0006-0000-05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B58" authorId="0" shapeId="0" xr:uid="{00000000-0006-0000-05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Select</t>
        </r>
      </text>
    </comment>
    <comment ref="C58" authorId="0" shapeId="0" xr:uid="{00000000-0006-0000-05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58" authorId="0" shapeId="0" xr:uid="{00000000-0006-0000-0500-00001C000000}">
      <text>
        <r>
          <rPr>
            <b/>
            <sz val="9"/>
            <color indexed="81"/>
            <rFont val="Verdana"/>
            <family val="2"/>
          </rPr>
          <t>May Johnston:
Everyday saver</t>
        </r>
      </text>
    </comment>
    <comment ref="E58" authorId="0" shapeId="0" xr:uid="{00000000-0006-0000-05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</t>
        </r>
      </text>
    </comment>
    <comment ref="F58" authorId="0" shapeId="0" xr:uid="{00000000-0006-0000-05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A59" authorId="0" shapeId="0" xr:uid="{00000000-0006-0000-05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A60" authorId="0" shapeId="0" xr:uid="{00000000-0006-0000-05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61" authorId="0" shapeId="0" xr:uid="{00000000-0006-0000-05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</t>
        </r>
      </text>
    </comment>
    <comment ref="A63" authorId="0" shapeId="0" xr:uid="{00000000-0006-0000-05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A64" authorId="0" shapeId="0" xr:uid="{00000000-0006-0000-05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B64" authorId="0" shapeId="0" xr:uid="{00000000-0006-0000-05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$75 AGL Shop Voucher and 2% direct debit discount off usage</t>
        </r>
      </text>
    </comment>
    <comment ref="C64" authorId="0" shapeId="0" xr:uid="{00000000-0006-0000-05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8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10</t>
        </r>
      </text>
    </comment>
    <comment ref="C8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8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8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8" authorId="0" shapeId="0" xr:uid="{00000000-0006-0000-06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A13" authorId="0" shapeId="0" xr:uid="{00000000-0006-0000-06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A19" authorId="0" shapeId="0" xr:uid="{00000000-0006-0000-0600-000008000000}">
      <text>
        <r>
          <rPr>
            <b/>
            <sz val="9"/>
            <color indexed="81"/>
            <rFont val="Verdana"/>
            <family val="2"/>
          </rPr>
          <t>Boorowa, Goulburn, Yass and Young only</t>
        </r>
      </text>
    </comment>
    <comment ref="C19" authorId="0" shapeId="0" xr:uid="{00000000-0006-0000-06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19" authorId="0" shapeId="0" xr:uid="{00000000-0006-0000-06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19" authorId="0" shapeId="0" xr:uid="{00000000-0006-0000-0600-00000B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19" authorId="0" shapeId="0" xr:uid="{00000000-0006-0000-06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19" authorId="0" shapeId="0" xr:uid="{00000000-0006-0000-06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A24" authorId="0" shapeId="0" xr:uid="{00000000-0006-0000-06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A30" authorId="0" shapeId="0" xr:uid="{00000000-0006-0000-0600-00000F000000}">
      <text>
        <r>
          <rPr>
            <b/>
            <sz val="9"/>
            <color indexed="81"/>
            <rFont val="Verdana"/>
            <family val="2"/>
          </rPr>
          <t>Albury, Jindera, Moama only</t>
        </r>
      </text>
    </comment>
    <comment ref="C30" authorId="0" shapeId="0" xr:uid="{00000000-0006-0000-06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30" authorId="0" shapeId="0" xr:uid="{00000000-0006-0000-06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30" authorId="0" shapeId="0" xr:uid="{00000000-0006-0000-0600-000012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30" authorId="0" shapeId="0" xr:uid="{00000000-0006-0000-06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30" authorId="0" shapeId="0" xr:uid="{00000000-0006-0000-06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A40" authorId="0" shapeId="0" xr:uid="{00000000-0006-0000-0600-000015000000}">
      <text>
        <r>
          <rPr>
            <b/>
            <sz val="9"/>
            <color indexed="81"/>
            <rFont val="Verdana"/>
            <family val="2"/>
          </rPr>
          <t>NSW Murray Valley Towns</t>
        </r>
      </text>
    </comment>
    <comment ref="C40" authorId="0" shapeId="0" xr:uid="{00000000-0006-0000-0600-00001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40" authorId="0" shapeId="0" xr:uid="{00000000-0006-0000-06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40" authorId="0" shapeId="0" xr:uid="{00000000-0006-0000-0600-000018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40" authorId="0" shapeId="0" xr:uid="{00000000-0006-0000-06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40" authorId="0" shapeId="0" xr:uid="{00000000-0006-0000-06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B48" authorId="0" shapeId="0" xr:uid="{00000000-0006-0000-0600-00001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10
Features taken from IPART site as no updated statement on website</t>
        </r>
      </text>
    </comment>
    <comment ref="C48" authorId="0" shapeId="0" xr:uid="{00000000-0006-0000-06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48" authorId="0" shapeId="0" xr:uid="{00000000-0006-0000-0600-00001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48" authorId="0" shapeId="0" xr:uid="{00000000-0006-0000-0600-00001E000000}">
      <text>
        <r>
          <rPr>
            <b/>
            <sz val="9"/>
            <color indexed="81"/>
            <rFont val="Verdana"/>
            <family val="2"/>
          </rPr>
          <t>May Johnston:
7% discount</t>
        </r>
      </text>
    </comment>
    <comment ref="F48" authorId="0" shapeId="0" xr:uid="{00000000-0006-0000-06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</t>
        </r>
      </text>
    </comment>
    <comment ref="G48" authorId="0" shapeId="0" xr:uid="{00000000-0006-0000-06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
Features taken from IPART website as product information statement on Lumo website is for South Australia rather than NSW</t>
        </r>
      </text>
    </comment>
    <comment ref="A49" authorId="0" shapeId="0" xr:uid="{00000000-0006-0000-06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A50" authorId="0" shapeId="0" xr:uid="{00000000-0006-0000-06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51" authorId="0" shapeId="0" xr:uid="{00000000-0006-0000-06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</t>
        </r>
      </text>
    </comment>
    <comment ref="A53" authorId="0" shapeId="0" xr:uid="{00000000-0006-0000-06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A54" authorId="0" shapeId="0" xr:uid="{00000000-0006-0000-06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B54" authorId="0" shapeId="0" xr:uid="{00000000-0006-0000-06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$50 AGL Shop Voucher </t>
        </r>
      </text>
    </comment>
    <comment ref="C54" authorId="0" shapeId="0" xr:uid="{00000000-0006-0000-0600-00002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 and 1% off usage for dual fuel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8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rates apply to all AGL market offers in this area</t>
        </r>
      </text>
    </comment>
    <comment ref="C8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D8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Energy Australia's 7% discount offer</t>
        </r>
      </text>
    </comment>
    <comment ref="E8" authorId="0" shapeId="0" xr:uid="{00000000-0006-0000-07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I8" authorId="0" shapeId="0" xr:uid="{00000000-0006-0000-07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Advantage 5</t>
        </r>
      </text>
    </comment>
    <comment ref="J8" authorId="0" shapeId="0" xr:uid="{00000000-0006-0000-07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K8" authorId="0" shapeId="0" xr:uid="{00000000-0006-0000-07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Energy Australia's 7% discount offer</t>
        </r>
      </text>
    </comment>
    <comment ref="L8" authorId="0" shapeId="0" xr:uid="{00000000-0006-0000-07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H9" authorId="0" shapeId="0" xr:uid="{00000000-0006-0000-07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J9" authorId="0" shapeId="0" xr:uid="{00000000-0006-0000-07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H10" authorId="0" shapeId="0" xr:uid="{00000000-0006-0000-07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H11" authorId="0" shapeId="0" xr:uid="{00000000-0006-0000-07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H12" authorId="0" shapeId="0" xr:uid="{00000000-0006-0000-07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A13" authorId="0" shapeId="0" xr:uid="{00000000-0006-0000-07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H13" authorId="0" shapeId="0" xr:uid="{00000000-0006-0000-07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14" authorId="0" shapeId="0" xr:uid="{00000000-0006-0000-07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16" authorId="0" shapeId="0" xr:uid="{00000000-0006-0000-07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H19" authorId="0" shapeId="0" xr:uid="{00000000-0006-0000-07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H20" authorId="0" shapeId="0" xr:uid="{00000000-0006-0000-07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H21" authorId="0" shapeId="0" xr:uid="{00000000-0006-0000-07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A22" authorId="0" shapeId="0" xr:uid="{00000000-0006-0000-0700-000015000000}">
      <text>
        <r>
          <rPr>
            <b/>
            <sz val="9"/>
            <color indexed="81"/>
            <rFont val="Verdana"/>
            <family val="2"/>
          </rPr>
          <t>Tamworth only</t>
        </r>
      </text>
    </comment>
    <comment ref="C22" authorId="0" shapeId="0" xr:uid="{00000000-0006-0000-0700-000016000000}">
      <text>
        <r>
          <rPr>
            <b/>
            <sz val="9"/>
            <color indexed="81"/>
            <rFont val="Verdana"/>
            <family val="2"/>
          </rPr>
          <t>Country Energy Home Gas Plan. Available 
in Tamworth only</t>
        </r>
      </text>
    </comment>
    <comment ref="H22" authorId="0" shapeId="0" xr:uid="{00000000-0006-0000-0700-00001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H23" authorId="0" shapeId="0" xr:uid="{00000000-0006-0000-0700-00001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24" authorId="0" shapeId="0" xr:uid="{00000000-0006-0000-0700-00001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26" authorId="0" shapeId="0" xr:uid="{00000000-0006-0000-0700-00001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A28" authorId="0" shapeId="0" xr:uid="{00000000-0006-0000-0700-00001B000000}">
      <text>
        <r>
          <rPr>
            <b/>
            <sz val="9"/>
            <color indexed="81"/>
            <rFont val="Verdana"/>
            <family val="2"/>
          </rPr>
          <t>Boorowa, Goulburn, Yass and Young only</t>
        </r>
      </text>
    </comment>
    <comment ref="C28" authorId="0" shapeId="0" xr:uid="{00000000-0006-0000-0700-00001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I28" authorId="0" shapeId="0" xr:uid="{00000000-0006-0000-0700-00001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H29" authorId="0" shapeId="0" xr:uid="{00000000-0006-0000-0700-00001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I29" authorId="0" shapeId="0" xr:uid="{00000000-0006-0000-0700-00001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H30" authorId="0" shapeId="0" xr:uid="{00000000-0006-0000-0700-00002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H31" authorId="0" shapeId="0" xr:uid="{00000000-0006-0000-0700-00002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H32" authorId="0" shapeId="0" xr:uid="{00000000-0006-0000-0700-00002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A33" authorId="0" shapeId="0" xr:uid="{00000000-0006-0000-0700-00002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This is technically the rate for the 5th block but applies to households with a DAILY consumption of up to 13,709.586 MJ.</t>
        </r>
      </text>
    </comment>
    <comment ref="H33" authorId="0" shapeId="0" xr:uid="{00000000-0006-0000-0700-00002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34" authorId="0" shapeId="0" xr:uid="{00000000-0006-0000-0700-00002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36" authorId="0" shapeId="0" xr:uid="{00000000-0006-0000-0700-00002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I38" authorId="0" shapeId="0" xr:uid="{00000000-0006-0000-0700-00002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J38" authorId="0" shapeId="0" xr:uid="{00000000-0006-0000-0700-00002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A39" authorId="0" shapeId="0" xr:uid="{00000000-0006-0000-0700-000029000000}">
      <text>
        <r>
          <rPr>
            <b/>
            <sz val="9"/>
            <color indexed="81"/>
            <rFont val="Verdana"/>
            <family val="2"/>
          </rPr>
          <t>Albury, Jindera, Moama only</t>
        </r>
      </text>
    </comment>
    <comment ref="C39" authorId="0" shapeId="0" xr:uid="{00000000-0006-0000-0700-00002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E39" authorId="0" shapeId="0" xr:uid="{00000000-0006-0000-0700-00002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H39" authorId="0" shapeId="0" xr:uid="{00000000-0006-0000-0700-00002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I39" authorId="0" shapeId="0" xr:uid="{00000000-0006-0000-0700-00002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H40" authorId="0" shapeId="0" xr:uid="{00000000-0006-0000-0700-00002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H41" authorId="0" shapeId="0" xr:uid="{00000000-0006-0000-0700-00002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H42" authorId="0" shapeId="0" xr:uid="{00000000-0006-0000-0700-00003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H43" authorId="0" shapeId="0" xr:uid="{00000000-0006-0000-0700-00003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44" authorId="0" shapeId="0" xr:uid="{00000000-0006-0000-0700-00003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46" authorId="0" shapeId="0" xr:uid="{00000000-0006-0000-0700-00003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  <comment ref="I49" authorId="0" shapeId="0" xr:uid="{00000000-0006-0000-0700-00003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4% off usage for 12 months</t>
        </r>
      </text>
    </comment>
    <comment ref="J49" authorId="0" shapeId="0" xr:uid="{00000000-0006-0000-0700-00003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H50" authorId="0" shapeId="0" xr:uid="{00000000-0006-0000-0700-00003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I50" authorId="0" shapeId="0" xr:uid="{00000000-0006-0000-0700-00003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For the first 12 months</t>
        </r>
      </text>
    </comment>
    <comment ref="H51" authorId="0" shapeId="0" xr:uid="{00000000-0006-0000-0700-00003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A52" authorId="0" shapeId="0" xr:uid="{00000000-0006-0000-0700-000039000000}">
      <text>
        <r>
          <rPr>
            <b/>
            <sz val="9"/>
            <color indexed="81"/>
            <rFont val="Verdana"/>
            <family val="2"/>
          </rPr>
          <t>NSW Murray Valley Towns</t>
        </r>
      </text>
    </comment>
    <comment ref="C52" authorId="0" shapeId="0" xr:uid="{00000000-0006-0000-0700-00003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Origin Daily Saver</t>
        </r>
      </text>
    </comment>
    <comment ref="E52" authorId="0" shapeId="0" xr:uid="{00000000-0006-0000-0700-00003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Tru go for more
NOTE: To take effect on 5/9/11</t>
        </r>
      </text>
    </comment>
    <comment ref="H52" authorId="0" shapeId="0" xr:uid="{00000000-0006-0000-0700-00003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H53" authorId="0" shapeId="0" xr:uid="{00000000-0006-0000-0700-00003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H54" authorId="0" shapeId="0" xr:uid="{00000000-0006-0000-0700-00003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H55" authorId="0" shapeId="0" xr:uid="{00000000-0006-0000-0700-00003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maximum possible fees.</t>
        </r>
      </text>
    </comment>
    <comment ref="H57" authorId="0" shapeId="0" xr:uid="{00000000-0006-0000-0700-00004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</t>
        </r>
      </text>
    </comment>
  </commentList>
</comments>
</file>

<file path=xl/sharedStrings.xml><?xml version="1.0" encoding="utf-8"?>
<sst xmlns="http://schemas.openxmlformats.org/spreadsheetml/2006/main" count="5702" uniqueCount="790">
  <si>
    <t>Annual bill incl conditional discounts (EXC GST)</t>
    <phoneticPr fontId="11" type="noConversion"/>
  </si>
  <si>
    <t>Bi-mothly Off-peak bill 2nd block</t>
    <phoneticPr fontId="11" type="noConversion"/>
  </si>
  <si>
    <t>Bi-mothly Off-peak bill 3rd block</t>
    <phoneticPr fontId="11" type="noConversion"/>
  </si>
  <si>
    <t>ActewAGL 1</t>
    <phoneticPr fontId="11" type="noConversion"/>
  </si>
  <si>
    <t>Boroowa, Goulburn, Yass and Young</t>
    <phoneticPr fontId="11" type="noConversion"/>
  </si>
  <si>
    <t>ActewAGL</t>
    <phoneticPr fontId="11" type="noConversion"/>
  </si>
  <si>
    <t>ActewAGL</t>
    <phoneticPr fontId="11" type="noConversion"/>
  </si>
  <si>
    <t xml:space="preserve">Origin's seven areas </t>
    <phoneticPr fontId="11" type="noConversion"/>
  </si>
  <si>
    <t>Origin 1</t>
    <phoneticPr fontId="11" type="noConversion"/>
  </si>
  <si>
    <t>Origin 2</t>
    <phoneticPr fontId="11" type="noConversion"/>
  </si>
  <si>
    <t>Origin 3</t>
  </si>
  <si>
    <t>Origin 4</t>
  </si>
  <si>
    <t>Origin 5</t>
  </si>
  <si>
    <t>Tumut and Gundagai</t>
    <phoneticPr fontId="11" type="noConversion"/>
  </si>
  <si>
    <t>Temora, Holbrook, Henty, Culcairn and Walla Walla</t>
    <phoneticPr fontId="11" type="noConversion"/>
  </si>
  <si>
    <t>Origin 6</t>
    <phoneticPr fontId="11" type="noConversion"/>
  </si>
  <si>
    <t>Origin 7</t>
    <phoneticPr fontId="11" type="noConversion"/>
  </si>
  <si>
    <t>16% off usage</t>
    <phoneticPr fontId="11" type="noConversion"/>
  </si>
  <si>
    <t>no</t>
    <phoneticPr fontId="11" type="noConversion"/>
  </si>
  <si>
    <t>no</t>
    <phoneticPr fontId="11" type="noConversion"/>
  </si>
  <si>
    <t>no</t>
    <phoneticPr fontId="11" type="noConversion"/>
  </si>
  <si>
    <t>no</t>
    <phoneticPr fontId="11" type="noConversion"/>
  </si>
  <si>
    <t>no</t>
    <phoneticPr fontId="11" type="noConversion"/>
  </si>
  <si>
    <t>1 or 2 years</t>
    <phoneticPr fontId="11" type="noConversion"/>
  </si>
  <si>
    <t>$25 or $75</t>
    <phoneticPr fontId="11" type="noConversion"/>
  </si>
  <si>
    <t>16% off usage</t>
    <phoneticPr fontId="11" type="noConversion"/>
  </si>
  <si>
    <t>no</t>
    <phoneticPr fontId="11" type="noConversion"/>
  </si>
  <si>
    <t>yes</t>
    <phoneticPr fontId="11" type="noConversion"/>
  </si>
  <si>
    <t>Gas market offers</t>
    <phoneticPr fontId="11" type="noConversion"/>
  </si>
  <si>
    <t xml:space="preserve">St Vincent de Paul Society, Workbook 4: Gas market offer in NSW, post July 2012 </t>
    <phoneticPr fontId="11" type="noConversion"/>
  </si>
  <si>
    <t>If you would like to obtain information about energy offers available to you as a customer, go to AER’s "Energy Made Easy" website</t>
    <phoneticPr fontId="11" type="noConversion"/>
  </si>
  <si>
    <t>Wagga Wagga and Uranquity</t>
  </si>
  <si>
    <t>Tamworth</t>
  </si>
  <si>
    <t>Queanbeyan and Bundgendore</t>
  </si>
  <si>
    <t>July 2014</t>
    <phoneticPr fontId="11" type="noConversion"/>
  </si>
  <si>
    <t>Bill impacts for all gas zones post July 2014</t>
    <phoneticPr fontId="11" type="noConversion"/>
  </si>
  <si>
    <t xml:space="preserve">St Vincent de Paul Society, Workbook 4: Gas market offer in NSW, post July 2014 </t>
    <phoneticPr fontId="11" type="noConversion"/>
  </si>
  <si>
    <t>c/MJ 3rd block Off-peak</t>
    <phoneticPr fontId="11" type="noConversion"/>
  </si>
  <si>
    <t>Bi-mothly Peak bill 2nd block</t>
    <phoneticPr fontId="11" type="noConversion"/>
  </si>
  <si>
    <t>St Vincent de Paul Society, Workbook 4: Gas market offer in NSW</t>
    <phoneticPr fontId="11" type="noConversion"/>
  </si>
  <si>
    <t>Gas market offers post July 2015 (exc GST)</t>
    <phoneticPr fontId="11" type="noConversion"/>
  </si>
  <si>
    <t>St Vincent de Paul Society, Workbook 4: Gas market offer in NSW</t>
    <phoneticPr fontId="11" type="noConversion"/>
  </si>
  <si>
    <t>Bill impacts for all gas zones post July 2015</t>
    <phoneticPr fontId="11" type="noConversion"/>
  </si>
  <si>
    <t xml:space="preserve">without prior written permission from the St Vincent de Paul Society. </t>
  </si>
  <si>
    <t>Dodo</t>
    <phoneticPr fontId="11" type="noConversion"/>
  </si>
  <si>
    <t>20% off usage</t>
    <phoneticPr fontId="11" type="noConversion"/>
  </si>
  <si>
    <t>Origin (Tamworth)</t>
    <phoneticPr fontId="11" type="noConversion"/>
  </si>
  <si>
    <t>Origin (Wagga Wagga &amp; Uranquinty)</t>
    <phoneticPr fontId="11" type="noConversion"/>
  </si>
  <si>
    <t>Origin (Tumut &amp; Gundagai)</t>
    <phoneticPr fontId="11" type="noConversion"/>
  </si>
  <si>
    <t>Up to $50</t>
    <phoneticPr fontId="11" type="noConversion"/>
  </si>
  <si>
    <t>no</t>
    <phoneticPr fontId="11" type="noConversion"/>
  </si>
  <si>
    <t>na</t>
    <phoneticPr fontId="11" type="noConversion"/>
  </si>
  <si>
    <t>Jemena/AGL's area</t>
    <phoneticPr fontId="11" type="noConversion"/>
  </si>
  <si>
    <t>Annual bill incl guaranteed discounts (EXC GST)</t>
    <phoneticPr fontId="11" type="noConversion"/>
  </si>
  <si>
    <t>Origin (Temura, Henty, Holbrook, Culcairn &amp; Walla)</t>
    <phoneticPr fontId="11" type="noConversion"/>
  </si>
  <si>
    <t>c/MJ Off-peak balance</t>
  </si>
  <si>
    <t>5% off usage</t>
    <phoneticPr fontId="11" type="noConversion"/>
  </si>
  <si>
    <t>no</t>
    <phoneticPr fontId="11" type="noConversion"/>
  </si>
  <si>
    <t>no</t>
    <phoneticPr fontId="11" type="noConversion"/>
  </si>
  <si>
    <t>Origin (Cooma &amp; Bombala)</t>
    <phoneticPr fontId="11" type="noConversion"/>
  </si>
  <si>
    <t>2 years</t>
    <phoneticPr fontId="11" type="noConversion"/>
  </si>
  <si>
    <t>Sydney, Newcastle, Wollongong, Blue Mountains</t>
  </si>
  <si>
    <t xml:space="preserve">The St Vincent de Paul Society and Alviss Consulting Pty Ltd do not accept liability for any action taken based on the information provided in  </t>
    <phoneticPr fontId="26" type="noConversion"/>
  </si>
  <si>
    <t>changes to domestic energy offers in NSW.  If regularly updated, this tariff-tracking tool can be used to:</t>
    <phoneticPr fontId="11" type="noConversion"/>
  </si>
  <si>
    <t xml:space="preserve">Origin's two areas </t>
    <phoneticPr fontId="11" type="noConversion"/>
  </si>
  <si>
    <t>Number of peak winter bills</t>
  </si>
  <si>
    <t>Number of off peak summer bills</t>
  </si>
  <si>
    <t xml:space="preserve">St Vincent de Paul Society (August 2011), Workbook 4: Gas market offer in NSW, post 1 July 2011 </t>
    <phoneticPr fontId="11" type="noConversion"/>
  </si>
  <si>
    <t>Annual bill</t>
  </si>
  <si>
    <t xml:space="preserve">Bi-mothly bill usage </t>
    <phoneticPr fontId="11" type="noConversion"/>
  </si>
  <si>
    <t>ActewAGL</t>
    <phoneticPr fontId="11" type="noConversion"/>
  </si>
  <si>
    <t>Lumo</t>
    <phoneticPr fontId="11" type="noConversion"/>
  </si>
  <si>
    <t>9% off bill</t>
    <phoneticPr fontId="11" type="noConversion"/>
  </si>
  <si>
    <t>July 2015</t>
    <phoneticPr fontId="11" type="noConversion"/>
  </si>
  <si>
    <t>The main purpose of this workbook is to provide consumer advocates with a tool to track and analyse</t>
  </si>
  <si>
    <t xml:space="preserve">Bi-mothly Peak bill 1st block or all usage </t>
    <phoneticPr fontId="11" type="noConversion"/>
  </si>
  <si>
    <t>Bi-mothly Peak bill balance</t>
    <phoneticPr fontId="11" type="noConversion"/>
  </si>
  <si>
    <t>yes</t>
    <phoneticPr fontId="11" type="noConversion"/>
  </si>
  <si>
    <t>10% off usage</t>
    <phoneticPr fontId="11" type="noConversion"/>
  </si>
  <si>
    <t>no</t>
    <phoneticPr fontId="11" type="noConversion"/>
  </si>
  <si>
    <t>Up to $100</t>
    <phoneticPr fontId="11" type="noConversion"/>
  </si>
  <si>
    <t>na</t>
    <phoneticPr fontId="11" type="noConversion"/>
  </si>
  <si>
    <t>na</t>
    <phoneticPr fontId="11" type="noConversion"/>
  </si>
  <si>
    <t>Cooma &amp; Bombala</t>
    <phoneticPr fontId="11" type="noConversion"/>
  </si>
  <si>
    <t>2% off usage</t>
    <phoneticPr fontId="11"/>
  </si>
  <si>
    <t>3% off usage</t>
    <phoneticPr fontId="11" type="noConversion"/>
  </si>
  <si>
    <t>7% off usage</t>
    <phoneticPr fontId="11"/>
  </si>
  <si>
    <t>7% off usage</t>
    <phoneticPr fontId="11" type="noConversion"/>
  </si>
  <si>
    <r>
      <t>www.energymadeeasy.gov.au</t>
    </r>
    <r>
      <rPr>
        <sz val="10"/>
        <rFont val="Arial"/>
        <family val="2"/>
      </rPr>
      <t xml:space="preserve"> or contact the energy retailers directly.</t>
    </r>
    <phoneticPr fontId="11" type="noConversion"/>
  </si>
  <si>
    <t>published their offers on AER's website.</t>
    <phoneticPr fontId="11" type="noConversion"/>
  </si>
  <si>
    <t xml:space="preserve">Bi-mothly Off-Peak bill 1st block or all usage </t>
    <phoneticPr fontId="11" type="noConversion"/>
  </si>
  <si>
    <t>1st block (MJ/60 gays)</t>
    <phoneticPr fontId="11" type="noConversion"/>
  </si>
  <si>
    <t>2st block (MJ/60 days)</t>
    <phoneticPr fontId="11" type="noConversion"/>
  </si>
  <si>
    <t>4th block (MJ/60 days)</t>
    <phoneticPr fontId="11" type="noConversion"/>
  </si>
  <si>
    <t>3rd block (MJ/60 days)</t>
    <phoneticPr fontId="11" type="noConversion"/>
  </si>
  <si>
    <t>c/MJ 1st block peak/All consumption</t>
    <phoneticPr fontId="11" type="noConversion"/>
  </si>
  <si>
    <t>na</t>
    <phoneticPr fontId="11" type="noConversion"/>
  </si>
  <si>
    <t>c/MJ 4th block</t>
    <phoneticPr fontId="11" type="noConversion"/>
  </si>
  <si>
    <t>Red</t>
    <phoneticPr fontId="11" type="noConversion"/>
  </si>
  <si>
    <t>no</t>
    <phoneticPr fontId="11" type="noConversion"/>
  </si>
  <si>
    <t>10% off bill</t>
    <phoneticPr fontId="11" type="noConversion"/>
  </si>
  <si>
    <t>Covau</t>
  </si>
  <si>
    <t>Covau</t>
    <phoneticPr fontId="11" type="noConversion"/>
  </si>
  <si>
    <t>14% off usage</t>
    <phoneticPr fontId="11" type="noConversion"/>
  </si>
  <si>
    <t>no</t>
    <phoneticPr fontId="11"/>
  </si>
  <si>
    <t>12% off usage</t>
    <phoneticPr fontId="11"/>
  </si>
  <si>
    <t>*Some retailers may not be included in this analysis.  This analysis only contains retailers that have</t>
    <phoneticPr fontId="11" type="noConversion"/>
  </si>
  <si>
    <t>Country 6</t>
    <phoneticPr fontId="11" type="noConversion"/>
  </si>
  <si>
    <t xml:space="preserve">Boorowa, Goulburn, </t>
    <phoneticPr fontId="11" type="noConversion"/>
  </si>
  <si>
    <t xml:space="preserve">The energy offers, tariffs and bill calculations presented in this workbook should be used as a general guide only and should not be </t>
  </si>
  <si>
    <t>This workbook contains:</t>
  </si>
  <si>
    <t>Retailers:</t>
  </si>
  <si>
    <t>c/MJ 2nd block Off-peak</t>
    <phoneticPr fontId="11" type="noConversion"/>
  </si>
  <si>
    <t>Bi-mothly Peak bill 3rd block</t>
    <phoneticPr fontId="11" type="noConversion"/>
  </si>
  <si>
    <t>Residential tariff</t>
    <phoneticPr fontId="11" type="noConversion"/>
  </si>
  <si>
    <t xml:space="preserve">Country Energy's area </t>
    <phoneticPr fontId="11" type="noConversion"/>
  </si>
  <si>
    <t>Origin 1</t>
    <phoneticPr fontId="11" type="noConversion"/>
  </si>
  <si>
    <t xml:space="preserve">St Vincent de Paul Society, NSW Tariff-Tracking Project, Workbook 4: Gas Market Offers </t>
    <phoneticPr fontId="11" type="noConversion"/>
  </si>
  <si>
    <t>Up to $78.1</t>
    <phoneticPr fontId="11" type="noConversion"/>
  </si>
  <si>
    <t>Bi-monthly bill fixed charges</t>
    <phoneticPr fontId="11" type="noConversion"/>
  </si>
  <si>
    <t>Bi-monthly bill</t>
    <phoneticPr fontId="11" type="noConversion"/>
  </si>
  <si>
    <t>Up to $39.67</t>
    <phoneticPr fontId="11" type="noConversion"/>
  </si>
  <si>
    <t>Up to $11.44</t>
    <phoneticPr fontId="11" type="noConversion"/>
  </si>
  <si>
    <t>na</t>
    <phoneticPr fontId="11" type="noConversion"/>
  </si>
  <si>
    <t>Energy Aus</t>
    <phoneticPr fontId="11" type="noConversion"/>
  </si>
  <si>
    <t>7% off bill</t>
    <phoneticPr fontId="11" type="noConversion"/>
  </si>
  <si>
    <t>2 years</t>
    <phoneticPr fontId="11" type="noConversion"/>
  </si>
  <si>
    <t>Up to $50</t>
    <phoneticPr fontId="11" type="noConversion"/>
  </si>
  <si>
    <t>© St Vincent de Paul Society and Alviss Consulting Pty Ltd</t>
  </si>
  <si>
    <t xml:space="preserve">relied upon. The workbook is not an appropriate substitute for obtaining an offer from an energy retailer.  The information presented </t>
  </si>
  <si>
    <t>Host retailer zones</t>
    <phoneticPr fontId="11" type="noConversion"/>
  </si>
  <si>
    <t>Origin 1</t>
    <phoneticPr fontId="11" type="noConversion"/>
  </si>
  <si>
    <t>7% off usage</t>
    <phoneticPr fontId="11" type="noConversion"/>
  </si>
  <si>
    <t>2% off usage</t>
    <phoneticPr fontId="11" type="noConversion"/>
  </si>
  <si>
    <t>yes</t>
    <phoneticPr fontId="11" type="noConversion"/>
  </si>
  <si>
    <t>Jemena/AGL</t>
    <phoneticPr fontId="11" type="noConversion"/>
  </si>
  <si>
    <t>no</t>
    <phoneticPr fontId="11" type="noConversion"/>
  </si>
  <si>
    <t>Energy Aus</t>
    <phoneticPr fontId="11" type="noConversion"/>
  </si>
  <si>
    <t xml:space="preserve">Bi-mothly bill usage </t>
    <phoneticPr fontId="11" type="noConversion"/>
  </si>
  <si>
    <t>Bi-monthly bill fixed charges</t>
    <phoneticPr fontId="11" type="noConversion"/>
  </si>
  <si>
    <t>Bi-monthly bill</t>
    <phoneticPr fontId="11" type="noConversion"/>
  </si>
  <si>
    <t>Up to $119.35</t>
    <phoneticPr fontId="11" type="noConversion"/>
  </si>
  <si>
    <t>Gas market offers post July 2012 (inc GST)</t>
    <phoneticPr fontId="11" type="noConversion"/>
  </si>
  <si>
    <t xml:space="preserve">Bi-mothly Off-Peak bill 1st block </t>
    <phoneticPr fontId="11" type="noConversion"/>
  </si>
  <si>
    <t>Additional discounts</t>
    <phoneticPr fontId="11" type="noConversion"/>
  </si>
  <si>
    <t>Wagga Wagga &amp; Uranquinty</t>
    <phoneticPr fontId="11" type="noConversion"/>
  </si>
  <si>
    <t>Tamworth</t>
    <phoneticPr fontId="11" type="noConversion"/>
  </si>
  <si>
    <t>ActewAGL (Borowa, Goulburn, Yass &amp; Young)</t>
    <phoneticPr fontId="11" type="noConversion"/>
  </si>
  <si>
    <t>Temura, Henty, Holbrook, Culcairn &amp; Walla</t>
    <phoneticPr fontId="11" type="noConversion"/>
  </si>
  <si>
    <t>Tumut &amp; Gundagai</t>
    <phoneticPr fontId="11" type="noConversion"/>
  </si>
  <si>
    <t>Gas market offers post July 2013 (inc GST)</t>
    <phoneticPr fontId="11" type="noConversion"/>
  </si>
  <si>
    <t>*The 'annual bill" cell calculates the annual bill (across both seasons) and includes the supply charge.</t>
  </si>
  <si>
    <t>July 2012</t>
    <phoneticPr fontId="11" type="noConversion"/>
  </si>
  <si>
    <t>July 2011</t>
    <phoneticPr fontId="11" type="noConversion"/>
  </si>
  <si>
    <t xml:space="preserve">Origin (Albury, Jindera, Moama) </t>
    <phoneticPr fontId="11" type="noConversion"/>
  </si>
  <si>
    <t>c/MJ 1st block Off-peak</t>
    <phoneticPr fontId="11" type="noConversion"/>
  </si>
  <si>
    <t xml:space="preserve">workbook, it is suitable for use only as a research and advocacy tool. We do not accept any legal responsibility for errors or inaccuracies. </t>
  </si>
  <si>
    <t>Origin (Murray Valley Towns)</t>
    <phoneticPr fontId="11" type="noConversion"/>
  </si>
  <si>
    <t>na</t>
    <phoneticPr fontId="11" type="noConversion"/>
  </si>
  <si>
    <t>ActewAGL</t>
    <phoneticPr fontId="11" type="noConversion"/>
  </si>
  <si>
    <t>7% off usage</t>
    <phoneticPr fontId="11"/>
  </si>
  <si>
    <t xml:space="preserve">*Analysis of bills (consumption level variable) across networks and retailers </t>
  </si>
  <si>
    <t>Gas market offers post July 2013 (inc GST)</t>
    <phoneticPr fontId="11" type="noConversion"/>
  </si>
  <si>
    <t>allocated to the winter/summer rates according to the retail offer (e.g. 4 month winter peak equals 33.33% of the year)</t>
  </si>
  <si>
    <t>3rd block (MJ/60 days)</t>
  </si>
  <si>
    <t>no</t>
    <phoneticPr fontId="11" type="noConversion"/>
  </si>
  <si>
    <t>Up to $75</t>
    <phoneticPr fontId="11" type="noConversion"/>
  </si>
  <si>
    <t>Bi-monthly bill 2nd block</t>
    <phoneticPr fontId="11" type="noConversion"/>
  </si>
  <si>
    <t>Origin</t>
  </si>
  <si>
    <t>Origin</t>
    <phoneticPr fontId="11" type="noConversion"/>
  </si>
  <si>
    <t>Energy Aus</t>
    <phoneticPr fontId="11" type="noConversion"/>
  </si>
  <si>
    <t>Other features</t>
  </si>
  <si>
    <t>5% off usage</t>
    <phoneticPr fontId="11"/>
  </si>
  <si>
    <t>4% off usage</t>
    <phoneticPr fontId="11" type="noConversion"/>
  </si>
  <si>
    <t>Fixed term</t>
  </si>
  <si>
    <t>2 years</t>
  </si>
  <si>
    <t>1 year</t>
    <phoneticPr fontId="11" type="noConversion"/>
  </si>
  <si>
    <t>Pay on time discount</t>
  </si>
  <si>
    <t>no</t>
  </si>
  <si>
    <t>Residential tariff</t>
    <phoneticPr fontId="11" type="noConversion"/>
  </si>
  <si>
    <t xml:space="preserve">St Vincent de Paul Society, Workbook 4: Gas market offer in NSW, post July 2013 </t>
    <phoneticPr fontId="11" type="noConversion"/>
  </si>
  <si>
    <t>12% off usage</t>
    <phoneticPr fontId="11" type="noConversion"/>
  </si>
  <si>
    <t>no</t>
    <phoneticPr fontId="11" type="noConversion"/>
  </si>
  <si>
    <t>c/MJ 1st block peak</t>
    <phoneticPr fontId="11" type="noConversion"/>
  </si>
  <si>
    <t>Note: If tariff is seasonal, consumption will be allocated to winter peak and summer off-peak as per retail offer (e.g a four month winter peak equals 2 bills)</t>
    <phoneticPr fontId="11" type="noConversion"/>
  </si>
  <si>
    <t>Gas market offers post July 2014 (inc GST)</t>
    <phoneticPr fontId="11" type="noConversion"/>
  </si>
  <si>
    <t>4% off usage</t>
    <phoneticPr fontId="11" type="noConversion"/>
  </si>
  <si>
    <t>1st block (MJ/60 days)</t>
    <phoneticPr fontId="11" type="noConversion"/>
  </si>
  <si>
    <t>By May Mauseth Johnston, Alviss Consulting Pty Ltd</t>
    <phoneticPr fontId="11" type="noConversion"/>
  </si>
  <si>
    <t>3% off bill</t>
    <phoneticPr fontId="11" type="noConversion"/>
  </si>
  <si>
    <t>3 years</t>
    <phoneticPr fontId="11" type="noConversion"/>
  </si>
  <si>
    <t>Up to $90</t>
    <phoneticPr fontId="11" type="noConversion"/>
  </si>
  <si>
    <t>yes</t>
    <phoneticPr fontId="11" type="noConversion"/>
  </si>
  <si>
    <t>Tru</t>
    <phoneticPr fontId="11" type="noConversion"/>
  </si>
  <si>
    <t>3% off bill</t>
    <phoneticPr fontId="11"/>
  </si>
  <si>
    <t>3 years</t>
    <phoneticPr fontId="11" type="noConversion"/>
  </si>
  <si>
    <t>Up to $90</t>
    <phoneticPr fontId="11" type="noConversion"/>
  </si>
  <si>
    <t>2) Monitor the impact tariff changes have on household bills and energy affordability</t>
  </si>
  <si>
    <t>DISCLAIMER:</t>
  </si>
  <si>
    <t>no</t>
    <phoneticPr fontId="11" type="noConversion"/>
  </si>
  <si>
    <t xml:space="preserve">no parts may be adapted, reproduced, copied, stored, distributed, published or put to commercial use </t>
    <phoneticPr fontId="26" type="noConversion"/>
  </si>
  <si>
    <t>2st block (MJ/60 days)</t>
  </si>
  <si>
    <t>c/per day fixed charges</t>
  </si>
  <si>
    <t>Bi-mothly Off-Peak bill balance</t>
    <phoneticPr fontId="11" type="noConversion"/>
  </si>
  <si>
    <t>AGL</t>
  </si>
  <si>
    <t>Purpose of project</t>
  </si>
  <si>
    <t>1st block (MJ/60 days)</t>
  </si>
  <si>
    <t>Bi-monthly bill 3rd block</t>
    <phoneticPr fontId="11" type="noConversion"/>
  </si>
  <si>
    <t>intellectual property and subject to copyright. Apart from any use permitted under the Copyright Act 1968 (Ctw),</t>
    <phoneticPr fontId="26" type="noConversion"/>
  </si>
  <si>
    <t>ID</t>
  </si>
  <si>
    <t>Origin 2</t>
    <phoneticPr fontId="11" type="noConversion"/>
  </si>
  <si>
    <t>Bill impacts for all gas zones post July 2011</t>
    <phoneticPr fontId="11" type="noConversion"/>
  </si>
  <si>
    <t>Gas market offers post 1 July 2011 (inc GST)</t>
    <phoneticPr fontId="11" type="noConversion"/>
  </si>
  <si>
    <t xml:space="preserve">This workbook is copyright. All works contained in it are St Vincent de Paul Society and Alviss Consulting’s  </t>
    <phoneticPr fontId="26" type="noConversion"/>
  </si>
  <si>
    <t>no</t>
    <phoneticPr fontId="11" type="noConversion"/>
  </si>
  <si>
    <t>7% off usage</t>
    <phoneticPr fontId="11" type="noConversion"/>
  </si>
  <si>
    <t>2% off usage</t>
    <phoneticPr fontId="11" type="noConversion"/>
  </si>
  <si>
    <t>10% off usage</t>
    <phoneticPr fontId="11"/>
  </si>
  <si>
    <t>Up to $88</t>
    <phoneticPr fontId="11" type="noConversion"/>
  </si>
  <si>
    <t>Network</t>
    <phoneticPr fontId="11" type="noConversion"/>
  </si>
  <si>
    <t>Jemena</t>
    <phoneticPr fontId="11" type="noConversion"/>
  </si>
  <si>
    <t>Envestra</t>
    <phoneticPr fontId="11" type="noConversion"/>
  </si>
  <si>
    <t>Envestra</t>
    <phoneticPr fontId="11" type="noConversion"/>
  </si>
  <si>
    <t>Up to $41.8</t>
    <phoneticPr fontId="11" type="noConversion"/>
  </si>
  <si>
    <t>no</t>
    <phoneticPr fontId="11" type="noConversion"/>
  </si>
  <si>
    <t xml:space="preserve">in the workbook is not provided as financial advice. While we have taken great care to ensure accuracy of the information provided in this </t>
  </si>
  <si>
    <t>8% off usage</t>
    <phoneticPr fontId="11" type="noConversion"/>
  </si>
  <si>
    <t>8% off bill</t>
    <phoneticPr fontId="11"/>
  </si>
  <si>
    <t>3% off bill</t>
    <phoneticPr fontId="11" type="noConversion"/>
  </si>
  <si>
    <t>Number of off-peak months</t>
    <phoneticPr fontId="11" type="noConversion"/>
  </si>
  <si>
    <t>Guaranteed discount off bill (%)</t>
    <phoneticPr fontId="11" type="noConversion"/>
  </si>
  <si>
    <t>Guaranteed discount off usage (%)</t>
    <phoneticPr fontId="11" type="noConversion"/>
  </si>
  <si>
    <t>POT discount off bill (%)</t>
    <phoneticPr fontId="11" type="noConversion"/>
  </si>
  <si>
    <t>Account establishment fee</t>
    <phoneticPr fontId="11" type="noConversion"/>
  </si>
  <si>
    <t>ETF</t>
  </si>
  <si>
    <t>Bill impacts for all gas zones post July 2012</t>
    <phoneticPr fontId="11" type="noConversion"/>
  </si>
  <si>
    <t>c/MJ peak balance</t>
  </si>
  <si>
    <t xml:space="preserve">Bi-mothly bill 1st block </t>
    <phoneticPr fontId="11" type="noConversion"/>
  </si>
  <si>
    <t>Bi-monthly bill 4th block</t>
    <phoneticPr fontId="11" type="noConversion"/>
  </si>
  <si>
    <t>Shoalhaven</t>
  </si>
  <si>
    <t>Albury, Moama and Jindera</t>
  </si>
  <si>
    <t>Murray Valley Towns</t>
  </si>
  <si>
    <t>c/MJ</t>
    <phoneticPr fontId="11" type="noConversion"/>
  </si>
  <si>
    <t>*All supply charges published as bi-monthly charges have been divided by 60 days.</t>
  </si>
  <si>
    <t>July 2013</t>
    <phoneticPr fontId="11" type="noConversion"/>
  </si>
  <si>
    <t>3% off usage</t>
    <phoneticPr fontId="11" type="noConversion"/>
  </si>
  <si>
    <t>12% off usage</t>
    <phoneticPr fontId="11" type="noConversion"/>
  </si>
  <si>
    <t>no</t>
    <phoneticPr fontId="11" type="noConversion"/>
  </si>
  <si>
    <t>Tab colours:</t>
    <phoneticPr fontId="11" type="noConversion"/>
  </si>
  <si>
    <t>Limited benefit period? (months)</t>
    <phoneticPr fontId="11" type="noConversion"/>
  </si>
  <si>
    <t>Other Direct Debit Incentive (y/n)</t>
    <phoneticPr fontId="11" type="noConversion"/>
  </si>
  <si>
    <t>Other incentives</t>
    <phoneticPr fontId="11" type="noConversion"/>
  </si>
  <si>
    <t>Incentive type</t>
    <phoneticPr fontId="11" type="noConversion"/>
  </si>
  <si>
    <t xml:space="preserve">this workbook or for any loss, economic or otherwise, suffered as a result of reliance on the information presented in this workbook.  </t>
    <phoneticPr fontId="26" type="noConversion"/>
  </si>
  <si>
    <t>c/MJ 1st block peak/consumption</t>
    <phoneticPr fontId="11" type="noConversion"/>
  </si>
  <si>
    <t>Red Energy</t>
    <phoneticPr fontId="11" type="noConversion"/>
  </si>
  <si>
    <t>Project outputs</t>
  </si>
  <si>
    <t>State</t>
    <phoneticPr fontId="11" type="noConversion"/>
  </si>
  <si>
    <t>Pricing zone</t>
    <phoneticPr fontId="11" type="noConversion"/>
  </si>
  <si>
    <t>Effective from</t>
    <phoneticPr fontId="11" type="noConversion"/>
  </si>
  <si>
    <t>Name</t>
    <phoneticPr fontId="11" type="noConversion"/>
  </si>
  <si>
    <t>block type</t>
    <phoneticPr fontId="11" type="noConversion"/>
  </si>
  <si>
    <t>1st step (MJ)</t>
    <phoneticPr fontId="11" type="noConversion"/>
  </si>
  <si>
    <t>2nd step (MJ)</t>
    <phoneticPr fontId="11" type="noConversion"/>
  </si>
  <si>
    <t>3rd step (MJ)</t>
    <phoneticPr fontId="11" type="noConversion"/>
  </si>
  <si>
    <t>4th step (MJ)</t>
    <phoneticPr fontId="11" type="noConversion"/>
  </si>
  <si>
    <t>5th step (MJ)</t>
    <phoneticPr fontId="11" type="noConversion"/>
  </si>
  <si>
    <t>Retailer</t>
  </si>
  <si>
    <t>Supply (c/day)</t>
  </si>
  <si>
    <t>Source: www.resourcesandenergy.nsw.gov.au</t>
  </si>
  <si>
    <t xml:space="preserve">Bi-mothly Peak bill or all usage </t>
    <phoneticPr fontId="11" type="noConversion"/>
  </si>
  <si>
    <t xml:space="preserve">Bi-mothly Off-Peak bill or all usage </t>
    <phoneticPr fontId="11" type="noConversion"/>
  </si>
  <si>
    <t>no</t>
    <phoneticPr fontId="11" type="noConversion"/>
  </si>
  <si>
    <t>Up to $75</t>
    <phoneticPr fontId="11" type="noConversion"/>
  </si>
  <si>
    <t>no</t>
    <phoneticPr fontId="11" type="noConversion"/>
  </si>
  <si>
    <t>Up to $41.39</t>
    <phoneticPr fontId="11" type="noConversion"/>
  </si>
  <si>
    <t>c/MJ all consumption or peak</t>
    <phoneticPr fontId="11" type="noConversion"/>
  </si>
  <si>
    <t>c/MJ Off-peak</t>
    <phoneticPr fontId="11" type="noConversion"/>
  </si>
  <si>
    <t>Source: www.jemena.com.au</t>
    <phoneticPr fontId="11" type="noConversion"/>
  </si>
  <si>
    <t>Cooma and Bombala</t>
  </si>
  <si>
    <t>Bi-mothly bill balance</t>
    <phoneticPr fontId="11" type="noConversion"/>
  </si>
  <si>
    <t>Moving home fee</t>
    <phoneticPr fontId="11" type="noConversion"/>
  </si>
  <si>
    <t>no</t>
    <phoneticPr fontId="11"/>
  </si>
  <si>
    <t xml:space="preserve">St Vincent de Paul Society, Workbook 4: Gas market offer in NSW, post July 2013 </t>
    <phoneticPr fontId="11" type="noConversion"/>
  </si>
  <si>
    <t xml:space="preserve">St Vincent de Paul Society, Workbook 4: Gas market offer in NSW, post July 2013 </t>
    <phoneticPr fontId="11" type="noConversion"/>
  </si>
  <si>
    <t>https://www.agl.com.au/-/media/AGLData/DistributorData/PDFs/PriceFactSheet_AGL187895MR.pdf</t>
  </si>
  <si>
    <t>Changed</t>
    <phoneticPr fontId="11" type="noConversion"/>
  </si>
  <si>
    <t>Rate Saver</t>
    <phoneticPr fontId="11" type="noConversion"/>
  </si>
  <si>
    <t>n</t>
    <phoneticPr fontId="11" type="noConversion"/>
  </si>
  <si>
    <t>N</t>
    <phoneticPr fontId="11" type="noConversion"/>
  </si>
  <si>
    <t>Monthly billing</t>
    <phoneticPr fontId="11" type="noConversion"/>
  </si>
  <si>
    <t>Temora, Henty, Holbrook, Culcairn &amp; Walla</t>
    <phoneticPr fontId="11" type="noConversion"/>
  </si>
  <si>
    <t>Origin (Temora, Henty, Holbrook, Culcairn &amp; Walla)</t>
    <phoneticPr fontId="11" type="noConversion"/>
  </si>
  <si>
    <t xml:space="preserve">Actew AGL's area </t>
    <phoneticPr fontId="11" type="noConversion"/>
  </si>
  <si>
    <t>Yass and Young only</t>
    <phoneticPr fontId="11" type="noConversion"/>
  </si>
  <si>
    <t>Tamworth only</t>
    <phoneticPr fontId="11" type="noConversion"/>
  </si>
  <si>
    <t>5% off bill</t>
    <phoneticPr fontId="11" type="noConversion"/>
  </si>
  <si>
    <t>no</t>
    <phoneticPr fontId="11"/>
  </si>
  <si>
    <t>Albury, Jindera, Moama only</t>
    <phoneticPr fontId="11" type="noConversion"/>
  </si>
  <si>
    <t>NSW Murray Valley Towns</t>
    <phoneticPr fontId="11" type="noConversion"/>
  </si>
  <si>
    <t>Gas market offers post July 2014 (inc GST)</t>
    <phoneticPr fontId="11" type="noConversion"/>
  </si>
  <si>
    <t>https://connectto.dodo.com/EnergySignup2015/pricefactsheet/GetPdfDocument?filepath=PriceFactSheets%5cAusgrid%5cConsumer%5cPower%5cAusgrid+Electricity+%26+Jemena+Gas+Residential+Market+Offer.pdf</t>
  </si>
  <si>
    <t>*Additional contract features (discounts, fees, contract term etc) are listed next to the bill calculations.</t>
    <phoneticPr fontId="11" type="noConversion"/>
  </si>
  <si>
    <t>*As gas prices can be seasonal (winter peak and summer off-peak) the bi-monthly consumption entered is</t>
    <phoneticPr fontId="11" type="noConversion"/>
  </si>
  <si>
    <t>Gas market offers post 1 July 2011 (inc GST)</t>
    <phoneticPr fontId="11" type="noConversion"/>
  </si>
  <si>
    <t>Aus P &amp; G</t>
    <phoneticPr fontId="11" type="noConversion"/>
  </si>
  <si>
    <t>no</t>
    <phoneticPr fontId="11"/>
  </si>
  <si>
    <t>Lumo</t>
    <phoneticPr fontId="11" type="noConversion"/>
  </si>
  <si>
    <t xml:space="preserve">Country </t>
    <phoneticPr fontId="11" type="noConversion"/>
  </si>
  <si>
    <t>Easy Saver 10%</t>
    <phoneticPr fontId="11" type="noConversion"/>
  </si>
  <si>
    <t>Y</t>
    <phoneticPr fontId="11" type="noConversion"/>
  </si>
  <si>
    <t>NSW</t>
    <phoneticPr fontId="11" type="noConversion"/>
  </si>
  <si>
    <t>ActewAGL Boorowa</t>
  </si>
  <si>
    <t>ActewAGL</t>
    <phoneticPr fontId="11" type="noConversion"/>
  </si>
  <si>
    <t>Residential plan</t>
    <phoneticPr fontId="11" type="noConversion"/>
  </si>
  <si>
    <t>bi-monthly</t>
    <phoneticPr fontId="11" type="noConversion"/>
  </si>
  <si>
    <t>1st peak rate (c/MJ)</t>
    <phoneticPr fontId="11" type="noConversion"/>
  </si>
  <si>
    <t>2nd peak rate (c/MJ)</t>
    <phoneticPr fontId="11" type="noConversion"/>
  </si>
  <si>
    <t>3rd peak rate (c/MJ)</t>
    <phoneticPr fontId="11" type="noConversion"/>
  </si>
  <si>
    <t>4th peak rate (c/MJ)</t>
    <phoneticPr fontId="11" type="noConversion"/>
  </si>
  <si>
    <t>5th peak rate (c/MJ)</t>
    <phoneticPr fontId="11" type="noConversion"/>
  </si>
  <si>
    <t>6th peak rate (c/MJ)</t>
    <phoneticPr fontId="11" type="noConversion"/>
  </si>
  <si>
    <t>1st off-peak rate (c/MJ)</t>
    <phoneticPr fontId="11" type="noConversion"/>
  </si>
  <si>
    <t>2nd off-peak rate (c/MJ)</t>
    <phoneticPr fontId="11" type="noConversion"/>
  </si>
  <si>
    <t>3rd off-peak rate (c/MJ)</t>
    <phoneticPr fontId="11" type="noConversion"/>
  </si>
  <si>
    <t>yes</t>
    <phoneticPr fontId="11" type="noConversion"/>
  </si>
  <si>
    <t>10% off usage</t>
    <phoneticPr fontId="11"/>
  </si>
  <si>
    <t>3 years</t>
    <phoneticPr fontId="11" type="noConversion"/>
  </si>
  <si>
    <t xml:space="preserve">Other </t>
  </si>
  <si>
    <t>Energy Aust</t>
    <phoneticPr fontId="11" type="noConversion"/>
  </si>
  <si>
    <t>Areas covered</t>
    <phoneticPr fontId="11" type="noConversion"/>
  </si>
  <si>
    <t>2nd shoulder rate (c/MJ)</t>
    <phoneticPr fontId="11" type="noConversion"/>
  </si>
  <si>
    <t>3rd shoulder rate (c/MJ)</t>
    <phoneticPr fontId="11" type="noConversion"/>
  </si>
  <si>
    <t>4th shoulder rate (c/MJ)</t>
    <phoneticPr fontId="11" type="noConversion"/>
  </si>
  <si>
    <t>5th shoulder rate (c/MJ)</t>
    <phoneticPr fontId="11" type="noConversion"/>
  </si>
  <si>
    <t>6th shoulder rate (c/MJ)</t>
    <phoneticPr fontId="11" type="noConversion"/>
  </si>
  <si>
    <t>Seasonal? (y/n)</t>
    <phoneticPr fontId="11" type="noConversion"/>
  </si>
  <si>
    <t>Summer or winter peak (s/w)</t>
    <phoneticPr fontId="11" type="noConversion"/>
  </si>
  <si>
    <t>Number of peak months</t>
    <phoneticPr fontId="11" type="noConversion"/>
  </si>
  <si>
    <t>https://www.originenergy.com.au/content/dam/origin/residential/docs/energy-price-fact-sheets/nsw/20160616/NSW_Natural%20Gas_Residential_Temora,%20Culcairn,%20Henty,%20Holbrook%20and%20Walla%20Walla_OriginSaver10.PDF</t>
  </si>
  <si>
    <t>POT discount off usage (%)</t>
    <phoneticPr fontId="11" type="noConversion"/>
  </si>
  <si>
    <t>Up to $119.35</t>
    <phoneticPr fontId="11" type="noConversion"/>
  </si>
  <si>
    <t>7% off bill</t>
    <phoneticPr fontId="11"/>
  </si>
  <si>
    <t>2 years</t>
    <phoneticPr fontId="11" type="noConversion"/>
  </si>
  <si>
    <t>8% off bill</t>
    <phoneticPr fontId="11" type="noConversion"/>
  </si>
  <si>
    <t>c/MJ 2nd block peak</t>
    <phoneticPr fontId="11" type="noConversion"/>
  </si>
  <si>
    <t>c/MJ 3rd block peak</t>
    <phoneticPr fontId="11" type="noConversion"/>
  </si>
  <si>
    <t>Residential tariff</t>
    <phoneticPr fontId="11" type="noConversion"/>
  </si>
  <si>
    <t>c/MJ</t>
    <phoneticPr fontId="11" type="noConversion"/>
  </si>
  <si>
    <t>Country</t>
    <phoneticPr fontId="11" type="noConversion"/>
  </si>
  <si>
    <t>https://www.originenergy.com.au/content/dam/origin/residential/docs/energy-price-fact-sheets/nsw/20160616/NSW_Natural%20Gas_Residential_Wagga%20Wagga%20and%20Uranquinty_OriginSaver10.PDF</t>
  </si>
  <si>
    <t>Offer</t>
  </si>
  <si>
    <t>Supply charge</t>
  </si>
  <si>
    <t>Approx. incentive value ($)</t>
    <phoneticPr fontId="11" type="noConversion"/>
  </si>
  <si>
    <t>Dual fuel condition? (Y/N)</t>
    <phoneticPr fontId="11" type="noConversion"/>
  </si>
  <si>
    <t>Comments</t>
    <phoneticPr fontId="11" type="noConversion"/>
  </si>
  <si>
    <t>Source</t>
    <phoneticPr fontId="11" type="noConversion"/>
  </si>
  <si>
    <t>Update status</t>
    <phoneticPr fontId="11" type="noConversion"/>
  </si>
  <si>
    <t>NSW</t>
    <phoneticPr fontId="11" type="noConversion"/>
  </si>
  <si>
    <t>AGL</t>
    <phoneticPr fontId="11" type="noConversion"/>
  </si>
  <si>
    <t>Savers</t>
    <phoneticPr fontId="11" type="noConversion"/>
  </si>
  <si>
    <t>bi-monthly</t>
    <phoneticPr fontId="11" type="noConversion"/>
  </si>
  <si>
    <t>n</t>
    <phoneticPr fontId="11" type="noConversion"/>
  </si>
  <si>
    <t>$50 credit if signing up online</t>
    <phoneticPr fontId="11" type="noConversion"/>
  </si>
  <si>
    <t>Account credit</t>
    <phoneticPr fontId="11" type="noConversion"/>
  </si>
  <si>
    <t>N</t>
    <phoneticPr fontId="11" type="noConversion"/>
  </si>
  <si>
    <t>Timestamp</t>
    <phoneticPr fontId="11" type="noConversion"/>
  </si>
  <si>
    <t>https://www.originenergy.com.au/content/dam/origin/residential/docs/energy-price-fact-sheets/nsw/20160616/NSW_Natural%20Gas_Residential_Tamworth_OriginSaver10.PDF</t>
  </si>
  <si>
    <t>NSW</t>
    <phoneticPr fontId="11" type="noConversion"/>
  </si>
  <si>
    <t>Envestra Albury</t>
  </si>
  <si>
    <t>EnergyAustralia</t>
    <phoneticPr fontId="11" type="noConversion"/>
  </si>
  <si>
    <t xml:space="preserve">Flexi Saver </t>
    <phoneticPr fontId="11" type="noConversion"/>
  </si>
  <si>
    <t>bi-monthly</t>
    <phoneticPr fontId="11" type="noConversion"/>
  </si>
  <si>
    <t>https://secure.energyaustralia.com.au/EnergyPriceFactSheets/Docs/EPFS/G_R_N_GEASY_AL_15_28-07-2016.pdf</t>
  </si>
  <si>
    <t>n</t>
    <phoneticPr fontId="11" type="noConversion"/>
  </si>
  <si>
    <t>N</t>
    <phoneticPr fontId="11" type="noConversion"/>
  </si>
  <si>
    <t>Bill impacts for all gas zones post July 2013</t>
    <phoneticPr fontId="11" type="noConversion"/>
  </si>
  <si>
    <t>ActewAGL 2</t>
  </si>
  <si>
    <t>ActewAGL 3</t>
  </si>
  <si>
    <t>Late payment fee</t>
    <phoneticPr fontId="11" type="noConversion"/>
  </si>
  <si>
    <t>Envestra Murray Valley</t>
    <phoneticPr fontId="11" type="noConversion"/>
  </si>
  <si>
    <t>EnergyAustralia</t>
    <phoneticPr fontId="11" type="noConversion"/>
  </si>
  <si>
    <t>Flexi Saver</t>
    <phoneticPr fontId="11" type="noConversion"/>
  </si>
  <si>
    <t>N</t>
    <phoneticPr fontId="11" type="noConversion"/>
  </si>
  <si>
    <t>https://secure.energyaustralia.com.au/EnergyPriceFactSheets/Docs/EPFS/G_R_N_GEASY_MV_15_28-07-2016.pdf</t>
  </si>
  <si>
    <t>Envestra Murray Valley</t>
    <phoneticPr fontId="11" type="noConversion"/>
  </si>
  <si>
    <t>Origin Energy</t>
    <phoneticPr fontId="11" type="noConversion"/>
  </si>
  <si>
    <t>Saver</t>
    <phoneticPr fontId="11" type="noConversion"/>
  </si>
  <si>
    <t>https://www.redenergy.com.au/docs/nsw_price_fact_sheets/Red-Energy-NSW-Easy-Saver-Gas-10%25-Residential-Jemena-Coastal-Network.pdf</t>
    <phoneticPr fontId="11" type="noConversion"/>
  </si>
  <si>
    <t xml:space="preserve">1) Inform the community about changes to energy retail prices and increase consumer awareness </t>
  </si>
  <si>
    <t>c/MJ balance</t>
    <phoneticPr fontId="11" type="noConversion"/>
  </si>
  <si>
    <t xml:space="preserve">c/MJ 1st block </t>
    <phoneticPr fontId="11" type="noConversion"/>
  </si>
  <si>
    <t>c/MJ 2nd block</t>
    <phoneticPr fontId="11" type="noConversion"/>
  </si>
  <si>
    <t>c/MJ 3rd block</t>
    <phoneticPr fontId="11" type="noConversion"/>
  </si>
  <si>
    <t>Early termination fee</t>
    <phoneticPr fontId="11" type="noConversion"/>
  </si>
  <si>
    <t>4th block (MJ/60 days)</t>
    <phoneticPr fontId="11" type="noConversion"/>
  </si>
  <si>
    <t>n</t>
    <phoneticPr fontId="11" type="noConversion"/>
  </si>
  <si>
    <t>Y</t>
    <phoneticPr fontId="11" type="noConversion"/>
  </si>
  <si>
    <t>4th block</t>
    <phoneticPr fontId="11" type="noConversion"/>
  </si>
  <si>
    <t>5th block</t>
    <phoneticPr fontId="11" type="noConversion"/>
  </si>
  <si>
    <t>y</t>
    <phoneticPr fontId="11" type="noConversion"/>
  </si>
  <si>
    <t>Annual consumption only</t>
    <phoneticPr fontId="11" type="noConversion"/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</si>
  <si>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</si>
  <si>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</si>
  <si>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</si>
  <si>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</si>
  <si>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</si>
  <si>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EnergyAustralia</t>
    <phoneticPr fontId="11" type="noConversion"/>
  </si>
  <si>
    <t xml:space="preserve">Flexi Saver </t>
    <phoneticPr fontId="11" type="noConversion"/>
  </si>
  <si>
    <t>bi-monthly</t>
    <phoneticPr fontId="11" type="noConversion"/>
  </si>
  <si>
    <t>n</t>
    <phoneticPr fontId="11" type="noConversion"/>
  </si>
  <si>
    <t>N</t>
    <phoneticPr fontId="11" type="noConversion"/>
  </si>
  <si>
    <t>https://secure.energyaustralia.com.au/EnergyPriceFactSheets/Docs/EPFS/G_R_N_GEASY_AG_15_28-07-2016.pdf</t>
  </si>
  <si>
    <t>Changed</t>
    <phoneticPr fontId="11" type="noConversion"/>
  </si>
  <si>
    <t>NSW</t>
    <phoneticPr fontId="11" type="noConversion"/>
  </si>
  <si>
    <t>Jemena</t>
    <phoneticPr fontId="11" type="noConversion"/>
  </si>
  <si>
    <t>Origin Energy</t>
    <phoneticPr fontId="11" type="noConversion"/>
  </si>
  <si>
    <t>Saver</t>
    <phoneticPr fontId="11" type="noConversion"/>
  </si>
  <si>
    <t>bi-monthly</t>
    <phoneticPr fontId="11" type="noConversion"/>
  </si>
  <si>
    <t>Annual bill incl guaranteed discounts (incl GST)</t>
    <phoneticPr fontId="11" type="noConversion"/>
  </si>
  <si>
    <t>Annual bill incl conditional discounts (incl GST)</t>
    <phoneticPr fontId="11" type="noConversion"/>
  </si>
  <si>
    <t>Contract length (months)</t>
  </si>
  <si>
    <t>Exit fee (yes/no)</t>
  </si>
  <si>
    <t>Gas offers</t>
    <phoneticPr fontId="11" type="noConversion"/>
  </si>
  <si>
    <t>Gas zone</t>
    <phoneticPr fontId="11" type="noConversion"/>
  </si>
  <si>
    <t>1st block</t>
    <phoneticPr fontId="11" type="noConversion"/>
  </si>
  <si>
    <t>2nd block</t>
    <phoneticPr fontId="11" type="noConversion"/>
  </si>
  <si>
    <t>Balance</t>
    <phoneticPr fontId="11" type="noConversion"/>
  </si>
  <si>
    <t>4th off-peak rate (c/MJ)</t>
    <phoneticPr fontId="11" type="noConversion"/>
  </si>
  <si>
    <t>5th off-peak rate (c/MJ)</t>
    <phoneticPr fontId="11" type="noConversion"/>
  </si>
  <si>
    <t>6th off-peak rate (c/MJ)</t>
    <phoneticPr fontId="11" type="noConversion"/>
  </si>
  <si>
    <t>1st shoulder rate (c/MJ)</t>
    <phoneticPr fontId="11" type="noConversion"/>
  </si>
  <si>
    <t>https://www.redenergy.com.au/docs/nsw_price_fact_sheets/Red-Energy-NSW-Easy-Saver-Gas-10%25-Residential-AGN-Bombala-and-Cooma.pdf</t>
  </si>
  <si>
    <t>New</t>
    <phoneticPr fontId="11" type="noConversion"/>
  </si>
  <si>
    <t>Envestra Temora</t>
  </si>
  <si>
    <t>Origin Energy</t>
    <phoneticPr fontId="11" type="noConversion"/>
  </si>
  <si>
    <t>Saver</t>
    <phoneticPr fontId="11" type="noConversion"/>
  </si>
  <si>
    <t>Annual bill excl discounts (incl GST)</t>
    <phoneticPr fontId="11" type="noConversion"/>
  </si>
  <si>
    <t>Dual fuel condition? (yes/no)</t>
    <phoneticPr fontId="11" type="noConversion"/>
  </si>
  <si>
    <t>Envestra Tumut</t>
  </si>
  <si>
    <t>DD discount off bill (%)</t>
    <phoneticPr fontId="11" type="noConversion"/>
  </si>
  <si>
    <t>DD discount off usage (%)</t>
    <phoneticPr fontId="11" type="noConversion"/>
  </si>
  <si>
    <t>E-bill discount off bill (%)</t>
    <phoneticPr fontId="11" type="noConversion"/>
  </si>
  <si>
    <t>E-bill discount off usage (%)</t>
    <phoneticPr fontId="11" type="noConversion"/>
  </si>
  <si>
    <t>Dual Fuel discount off bill (%)</t>
    <phoneticPr fontId="11" type="noConversion"/>
  </si>
  <si>
    <t>Dual Fuel discount off usage (%)</t>
    <phoneticPr fontId="11" type="noConversion"/>
  </si>
  <si>
    <t>Contract length (months)</t>
    <phoneticPr fontId="11" type="noConversion"/>
  </si>
  <si>
    <t>ETF (Y/N)</t>
    <phoneticPr fontId="11" type="noConversion"/>
  </si>
  <si>
    <t>https://www.originenergy.com.au/content/dam/origin/residential/docs/energy-price-fact-sheets/nsw/20160616/NSW_Natural%20Gas_Residential_Australian%20Gas%20Networks%20Murray%20Valley%20(NSW)_OriginSaver10.PDF</t>
  </si>
  <si>
    <t>NSW</t>
    <phoneticPr fontId="11" type="noConversion"/>
  </si>
  <si>
    <t>Envestra Cooma</t>
  </si>
  <si>
    <t>Origin Energy</t>
    <phoneticPr fontId="11" type="noConversion"/>
  </si>
  <si>
    <t>Saver</t>
    <phoneticPr fontId="11" type="noConversion"/>
  </si>
  <si>
    <t>https://www.originenergy.com.au/content/dam/origin/residential/docs/energy-price-fact-sheets/nsw/20160616/NSW_Natural%20Gas_Residential_Cooma%20and%20Bombala_OriginSaver10.PDF</t>
  </si>
  <si>
    <t>Red Energy</t>
    <phoneticPr fontId="11" type="noConversion"/>
  </si>
  <si>
    <t>Easy Saver 10%</t>
    <phoneticPr fontId="11" type="noConversion"/>
  </si>
  <si>
    <t>https://www.originenergy.com.au/content/dam/origin/residential/docs/energy-price-fact-sheets/nsw/20160616/NSW_Natural%20Gas_Residential_Tumut%20and%20Gundagai_OriginSaver10.PDF</t>
  </si>
  <si>
    <t>https://www.redenergy.com.au/docs/nsw_price_fact_sheets/Red-Energy-NSW-Easy-Saver-Gas-10%25-Residential-AGN-Adelong-Gundagai-and-Tumut.pdf</t>
  </si>
  <si>
    <t>Envestra Wagga Wagga</t>
  </si>
  <si>
    <t>Account establishment fee applies. Note post carbon repeal price.</t>
    <phoneticPr fontId="11" type="noConversion"/>
  </si>
  <si>
    <t>https://www.actewagl.com.au/Product-and-services/Prices/NSW-residential-prices.aspx#elecandgas</t>
  </si>
  <si>
    <t>EnergyAustralia</t>
    <phoneticPr fontId="11" type="noConversion"/>
  </si>
  <si>
    <t xml:space="preserve">Flexi Saver </t>
    <phoneticPr fontId="11" type="noConversion"/>
  </si>
  <si>
    <t>Central Ranges Tamworth</t>
    <phoneticPr fontId="11" type="noConversion"/>
  </si>
  <si>
    <t>Origin Energy</t>
    <phoneticPr fontId="11" type="noConversion"/>
  </si>
  <si>
    <t>Saver</t>
    <phoneticPr fontId="11" type="noConversion"/>
  </si>
  <si>
    <t>n</t>
    <phoneticPr fontId="11" type="noConversion"/>
  </si>
  <si>
    <t>N</t>
    <phoneticPr fontId="11" type="noConversion"/>
  </si>
  <si>
    <t>https://www.originenergy.com.au/content/dam/origin/residential/docs/energy-price-fact-sheets/nsw/20160616/NSW_Natural%20Gas_Residential_Australian%20Gas%20Networks%20Albury_OriginSaver10.PDF</t>
  </si>
  <si>
    <t>https://www.originenergy.com.au/content/dam/origin/residential/docs/energy-price-fact-sheets/nsw/20160616/NSW_Natural%20Gas_Residential_Jemena_OriginSaver10.PDF</t>
    <phoneticPr fontId="11" type="noConversion"/>
  </si>
  <si>
    <t>https://secure.energyaustralia.com.au/EnergyPriceFactSheets/Docs/EPFS/G_R_N_GEASY_RI_15_28-07-2016.pdf</t>
    <phoneticPr fontId="11" type="noConversion"/>
  </si>
  <si>
    <t>3rd block</t>
    <phoneticPr fontId="11" type="noConversion"/>
  </si>
  <si>
    <t>https://www.covau.com.au/Portals/29/pdf/PriceFactSheet/2016-2017/Rate%20Saver%20-%20Residential%20Gas%20Jemena%20-%20COV180691MR.pdf</t>
  </si>
  <si>
    <t>Unchanged</t>
    <phoneticPr fontId="11" type="noConversion"/>
  </si>
  <si>
    <t>NSW</t>
    <phoneticPr fontId="11" type="noConversion"/>
  </si>
  <si>
    <t>Jemena</t>
    <phoneticPr fontId="11" type="noConversion"/>
  </si>
  <si>
    <t>Dodo</t>
    <phoneticPr fontId="11" type="noConversion"/>
  </si>
  <si>
    <t>20 percent</t>
    <phoneticPr fontId="11" type="noConversion"/>
  </si>
  <si>
    <t>bi-monthly</t>
    <phoneticPr fontId="11" type="noConversion"/>
  </si>
  <si>
    <t xml:space="preserve">*The spreadsheets (bills) are interactive spreadsheet where bi-monthly or quarterly consumption can be adjusted. </t>
    <phoneticPr fontId="11" type="noConversion"/>
  </si>
  <si>
    <t>*All spreadsheet are locked so that tariff rates cannot accidentally be changed.</t>
    <phoneticPr fontId="11" type="noConversion"/>
  </si>
  <si>
    <t>July 2016</t>
    <phoneticPr fontId="11" type="noConversion"/>
  </si>
  <si>
    <r>
      <t>Acknowledgement:</t>
    </r>
    <r>
      <rPr>
        <sz val="11"/>
        <rFont val="Arial"/>
        <family val="2"/>
      </rPr>
      <t xml:space="preserve"> The St Vincent de Paul Society received funding from Energy Consumers Australia (ECA)</t>
    </r>
    <phoneticPr fontId="11" type="noConversion"/>
  </si>
  <si>
    <t>St Vincent de Paul Society, NSW Tariff-Tracking Project, Workbook 4: Gas Market Offers</t>
    <phoneticPr fontId="11" type="noConversion"/>
  </si>
  <si>
    <t>NEW SOUTH WALES, JEMENA, ActewAGL &amp; ENVESTRA</t>
    <phoneticPr fontId="11" type="noConversion"/>
  </si>
  <si>
    <t>NSW</t>
    <phoneticPr fontId="4" type="noConversion"/>
  </si>
  <si>
    <t>Jemena</t>
    <phoneticPr fontId="4" type="noConversion"/>
  </si>
  <si>
    <t>AGL</t>
    <phoneticPr fontId="4" type="noConversion"/>
  </si>
  <si>
    <t>Savers</t>
    <phoneticPr fontId="4" type="noConversion"/>
  </si>
  <si>
    <t>n</t>
    <phoneticPr fontId="4" type="noConversion"/>
  </si>
  <si>
    <t>n</t>
    <phoneticPr fontId="4" type="noConversion"/>
  </si>
  <si>
    <t>$50 credit if signing up online</t>
    <phoneticPr fontId="4" type="noConversion"/>
  </si>
  <si>
    <t>Account credit</t>
    <phoneticPr fontId="4" type="noConversion"/>
  </si>
  <si>
    <t>N</t>
    <phoneticPr fontId="4" type="noConversion"/>
  </si>
  <si>
    <t>https://www.agl.com.au/-/media/AGLData/DistributorData/PDFs/PriceFactSheet_AGL366905MR.pdf</t>
  </si>
  <si>
    <t>Changed</t>
  </si>
  <si>
    <t>NSW</t>
    <phoneticPr fontId="4" type="noConversion"/>
  </si>
  <si>
    <t>Jemena</t>
    <phoneticPr fontId="4" type="noConversion"/>
  </si>
  <si>
    <t>Covau</t>
    <phoneticPr fontId="4" type="noConversion"/>
  </si>
  <si>
    <t>Freedom</t>
  </si>
  <si>
    <t>bi-monthly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</si>
  <si>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</si>
  <si>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</si>
  <si>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</si>
  <si>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https://www.covau.com.au/Portals/29/pdf/PriceFactSheet/2017-2018/Jemena_Residential_Offer_July2017_Freedom.pdf</t>
  </si>
  <si>
    <t>New</t>
  </si>
  <si>
    <t>Dodo Power &amp; Gas</t>
    <phoneticPr fontId="6" type="noConversion"/>
  </si>
  <si>
    <t>Market offer</t>
    <phoneticPr fontId="4" type="noConversion"/>
  </si>
  <si>
    <t>Y</t>
    <phoneticPr fontId="4" type="noConversion"/>
  </si>
  <si>
    <t>https://connectto.dodo.com/EnergySignup2015/pricefactsheet/GetPdfDocument?filepath=PriceFactSheets%5cAusgrid%5cConsumer%5cPower%5cAusgrid+Electricity+%26+Jemena+Gas+Residential+Market+Offer+26-05-2017.pdf</t>
  </si>
  <si>
    <t>Unchanged</t>
    <phoneticPr fontId="4" type="noConversion"/>
  </si>
  <si>
    <t>EnergyAustralia</t>
    <phoneticPr fontId="4" type="noConversion"/>
  </si>
  <si>
    <t xml:space="preserve">Flexi Saver </t>
    <phoneticPr fontId="4" type="noConversion"/>
  </si>
  <si>
    <t>$50 credit if signing up online</t>
  </si>
  <si>
    <t>Account credit</t>
    <phoneticPr fontId="4" type="noConversion"/>
  </si>
  <si>
    <t>https://secure.energyaustralia.com.au/EnergyPriceFactSheets/Docs/EPFS/PriceFactSheet_ENE378473MR.pdf</t>
  </si>
  <si>
    <t>Origin Energy</t>
    <phoneticPr fontId="4" type="noConversion"/>
  </si>
  <si>
    <t>Saver</t>
    <phoneticPr fontId="4" type="noConversion"/>
  </si>
  <si>
    <t>n</t>
    <phoneticPr fontId="4" type="noConversion"/>
  </si>
  <si>
    <t>N</t>
    <phoneticPr fontId="4" type="noConversion"/>
  </si>
  <si>
    <t>https://www.originenergy.com.au/content/dam/origin/residential/docs/energy-price-fact-sheets/nsw/1July2017/NSW_Natural%20Gas_Residential_Jemena_OriginSaver10.PDF</t>
  </si>
  <si>
    <t>Red Energy</t>
    <phoneticPr fontId="4" type="noConversion"/>
  </si>
  <si>
    <t>Easy Saver</t>
    <phoneticPr fontId="4" type="noConversion"/>
  </si>
  <si>
    <t>https://www.redenergy.com.au/docs/nsw_price_fact_sheets/Red-Energy-NSW-Easy-Saver-Gas-10%25-Residential-Jemena-Coastal-Network.pdf</t>
  </si>
  <si>
    <t>Unchanged</t>
    <phoneticPr fontId="4" type="noConversion"/>
  </si>
  <si>
    <t>ActewAGL</t>
    <phoneticPr fontId="4" type="noConversion"/>
  </si>
  <si>
    <t>Reward</t>
  </si>
  <si>
    <t>n</t>
    <phoneticPr fontId="4" type="noConversion"/>
  </si>
  <si>
    <t>Y</t>
    <phoneticPr fontId="4" type="noConversion"/>
  </si>
  <si>
    <t>Account establishment fee applies. Note post carbon repeal price.</t>
    <phoneticPr fontId="4" type="noConversion"/>
  </si>
  <si>
    <t>http://www.actewagl.com.au/Product-and-services/Prices/NSW-residential-prices.aspx</t>
  </si>
  <si>
    <t>EnergyAustralia</t>
    <phoneticPr fontId="4" type="noConversion"/>
  </si>
  <si>
    <t xml:space="preserve">Flexi Saver </t>
    <phoneticPr fontId="4" type="noConversion"/>
  </si>
  <si>
    <t>https://secure.energyaustralia.com.au/EnergyPriceFactSheets/Docs/EPFS/PriceFactSheet_ENE378472MR.pdf</t>
  </si>
  <si>
    <t>https://secure.energyaustralia.com.au/EnergyPriceFactSheets/Docs/EPFS/PriceFactSheet_ENE378471MR.pdf</t>
  </si>
  <si>
    <t>https://www.originenergy.com.au/content/dam/origin/residential/docs/energy-price-fact-sheets/nsw/1July2017/NSW_Natural%20Gas_Residential_Australian%20Gas%20Networks%20Albury_OriginSaver10.PDF</t>
  </si>
  <si>
    <t>Envestra Murray Valley</t>
    <phoneticPr fontId="4" type="noConversion"/>
  </si>
  <si>
    <t>Flexi Saver</t>
    <phoneticPr fontId="4" type="noConversion"/>
  </si>
  <si>
    <t>https://secure.energyaustralia.com.au/EnergyPriceFactSheets/Docs/EPFS/PriceFactSheet_ENE378474MR.pdf</t>
  </si>
  <si>
    <t>https://www.originenergy.com.au/content/dam/origin/residential/docs/energy-price-fact-sheets/nsw/1July2017/NSW_Natural%20Gas_Residential_Australian%20Gas%20Networks%20Murray%20Valley%20(NSW)_OriginSaver10.PDF</t>
  </si>
  <si>
    <t>https://www.originenergy.com.au/content/dam/origin/residential/docs/energy-price-fact-sheets/nsw/1July2017/NSW_Natural%20Gas_Residential_Cooma%20and%20Bombala_OriginSaver10.PDF</t>
  </si>
  <si>
    <t>https://www.originenergy.com.au/content/dam/origin/residential/docs/energy-price-fact-sheets/nsw/1July2017/NSW_Natural%20Gas_Residential_Temora,%20Culcairn,%20Henty,%20Holbrook%20and%20Walla%20Walla_OriginSaver10.PDF</t>
  </si>
  <si>
    <t>https://www.originenergy.com.au/content/dam/origin/residential/docs/energy-price-fact-sheets/nsw/1July2017/NSW_Natural%20Gas_Residential_Tumut%20and%20Gundagai_OriginSaver10.PDF</t>
  </si>
  <si>
    <t>https://www.originenergy.com.au/content/dam/origin/residential/docs/energy-price-fact-sheets/nsw/1July2017/NSW_Natural%20Gas_Residential_Wagga%20Wagga%20and%20Uranquinty_OriginSaver10.PDF</t>
  </si>
  <si>
    <t>Central Ranges Tamworth</t>
    <phoneticPr fontId="4" type="noConversion"/>
  </si>
  <si>
    <t>https://www.originenergy.com.au/content/dam/origin/residential/docs/energy-price-fact-sheets/nsw/1July2017/NSW_Natural%20Gas_Residential_Tamworth_OriginSaver10.PDF</t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</si>
  <si>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</si>
  <si>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July 2017</t>
  </si>
  <si>
    <t>July 2018</t>
  </si>
  <si>
    <t>Online sign up discount off bill (%)</t>
  </si>
  <si>
    <t>Online sign up discount off usage (%)</t>
  </si>
  <si>
    <t>Home office product? (y/blank)</t>
  </si>
  <si>
    <t>Price fix (months)</t>
  </si>
  <si>
    <t>Price fix (date)</t>
  </si>
  <si>
    <t>NSW</t>
    <phoneticPr fontId="3" type="noConversion"/>
  </si>
  <si>
    <t>Jemena</t>
    <phoneticPr fontId="3" type="noConversion"/>
  </si>
  <si>
    <t>AGL</t>
    <phoneticPr fontId="3" type="noConversion"/>
  </si>
  <si>
    <t>Savers</t>
  </si>
  <si>
    <t>bi-monthly</t>
    <phoneticPr fontId="3" type="noConversion"/>
  </si>
  <si>
    <t>n</t>
    <phoneticPr fontId="3" type="noConversion"/>
  </si>
  <si>
    <t>$25 credit if signing up online</t>
  </si>
  <si>
    <t>Account credit</t>
    <phoneticPr fontId="3" type="noConversion"/>
  </si>
  <si>
    <t>N</t>
    <phoneticPr fontId="3" type="noConversion"/>
  </si>
  <si>
    <t>Not available</t>
  </si>
  <si>
    <t>Covau</t>
    <phoneticPr fontId="3" type="noConversion"/>
  </si>
  <si>
    <t>NSW</t>
  </si>
  <si>
    <t>Jemena</t>
  </si>
  <si>
    <t>Alinta Energy</t>
    <phoneticPr fontId="3" type="noConversion"/>
  </si>
  <si>
    <t>Fair Deal</t>
    <phoneticPr fontId="3" type="noConversion"/>
  </si>
  <si>
    <t>n</t>
  </si>
  <si>
    <t>Y</t>
  </si>
  <si>
    <t>https://www.alintaenergy.com.au/Alinta/media/Documents/Fair-Deal-Gas_Jemena-Coastal_ALI548701MR.pdf</t>
  </si>
  <si>
    <t>Unchanged</t>
  </si>
  <si>
    <t>EnergyAustralia</t>
    <phoneticPr fontId="3" type="noConversion"/>
  </si>
  <si>
    <t xml:space="preserve">Anytime Saver </t>
    <phoneticPr fontId="3" type="noConversion"/>
  </si>
  <si>
    <t>Origin Energy</t>
    <phoneticPr fontId="3" type="noConversion"/>
  </si>
  <si>
    <t>Saver</t>
    <phoneticPr fontId="3" type="noConversion"/>
  </si>
  <si>
    <t>Red Energy</t>
    <phoneticPr fontId="3" type="noConversion"/>
  </si>
  <si>
    <t>Easy Saver</t>
    <phoneticPr fontId="3" type="noConversion"/>
  </si>
  <si>
    <t>N</t>
  </si>
  <si>
    <t>Amaysim</t>
  </si>
  <si>
    <t>Gas 2</t>
  </si>
  <si>
    <t>bi-monthly</t>
  </si>
  <si>
    <t>Monthly billing</t>
  </si>
  <si>
    <t>Click Energy</t>
    <phoneticPr fontId="3" type="noConversion"/>
  </si>
  <si>
    <t>Lavender</t>
  </si>
  <si>
    <t>Monthly billing</t>
    <phoneticPr fontId="3" type="noConversion"/>
  </si>
  <si>
    <t>Simply Energy</t>
    <phoneticPr fontId="3" type="noConversion"/>
  </si>
  <si>
    <t>Plus</t>
  </si>
  <si>
    <t xml:space="preserve">$50 welcome credit for customers that sign up online </t>
  </si>
  <si>
    <t>Account credit</t>
    <phoneticPr fontId="5" type="noConversion"/>
  </si>
  <si>
    <t>Y</t>
    <phoneticPr fontId="3" type="noConversion"/>
  </si>
  <si>
    <t>ActewAGL</t>
    <phoneticPr fontId="3" type="noConversion"/>
  </si>
  <si>
    <t>Account establishment fee applies. Note post carbon repeal price.</t>
    <phoneticPr fontId="3" type="noConversion"/>
  </si>
  <si>
    <t>Bi-monthly</t>
  </si>
  <si>
    <t>Envestra Murray Valley</t>
    <phoneticPr fontId="3" type="noConversion"/>
  </si>
  <si>
    <t>Envestra Murray Valley</t>
  </si>
  <si>
    <t>Central Ranges Tamworth</t>
    <phoneticPr fontId="3" type="noConversion"/>
  </si>
  <si>
    <t>July 2019</t>
  </si>
  <si>
    <t xml:space="preserve">Report 1: NSW Energy Prices July 2009- July 2011 (July 2011).  </t>
  </si>
  <si>
    <t xml:space="preserve">Report 2: NSW Energy Prices July 2011- July 2012 An update report (July 2012).  </t>
  </si>
  <si>
    <t xml:space="preserve">Report 3: NSW Energy Prices July 2012- July 2013 An update report (August 2013).  </t>
  </si>
  <si>
    <t xml:space="preserve">Report 4: NSW Energy Prices July 2013- July 2014 An update report (August 2014).  </t>
  </si>
  <si>
    <t xml:space="preserve">Report 5: NSW Energy Prices July 2014- July 2015 An update report (July 2015).  </t>
  </si>
  <si>
    <t xml:space="preserve">Report 6: NSW Energy Prices 2016 An update report (October 2016).  </t>
  </si>
  <si>
    <t xml:space="preserve">Report 7: NSW Energy Prices 2017 An update report (July 2017).  </t>
  </si>
  <si>
    <t xml:space="preserve">Report 8: NSW Energy Prices 2018 An update report (July 2018).  </t>
  </si>
  <si>
    <t xml:space="preserve">Report 9: NSW Energy Prices 2019 An update report (July 2019).  </t>
  </si>
  <si>
    <t>Jemena Coastal Network</t>
  </si>
  <si>
    <t>Smart Saver</t>
  </si>
  <si>
    <t>Alinta Energy</t>
    <phoneticPr fontId="4" type="noConversion"/>
  </si>
  <si>
    <t>No Fuss</t>
  </si>
  <si>
    <t>Gas as you go</t>
  </si>
  <si>
    <t>Click Energy</t>
    <phoneticPr fontId="4" type="noConversion"/>
  </si>
  <si>
    <t>Banksia</t>
  </si>
  <si>
    <t>Total Plan</t>
  </si>
  <si>
    <t xml:space="preserve">Flexi </t>
  </si>
  <si>
    <t>Simply Energy</t>
    <phoneticPr fontId="4" type="noConversion"/>
  </si>
  <si>
    <t>Jemena Capital Region</t>
  </si>
  <si>
    <t xml:space="preserve">Evoenergy Queanbeyan </t>
  </si>
  <si>
    <t>Evoenergy Shoalhaven</t>
  </si>
  <si>
    <t>AGN Albury</t>
  </si>
  <si>
    <t>Flexi</t>
  </si>
  <si>
    <t>AGN Murray Valley</t>
  </si>
  <si>
    <t>AGN Cooma</t>
  </si>
  <si>
    <t>AGN Temora</t>
  </si>
  <si>
    <t>AGN Tumut</t>
  </si>
  <si>
    <t>AGN Wagga Wagga</t>
  </si>
  <si>
    <t>Central Ranges Pipeline Tamworth</t>
  </si>
  <si>
    <t/>
  </si>
  <si>
    <t>https://www.energymadeeasy.gov.au/offer/983230?utm_source=amaysim+Energy&amp;utm_campaign=bpi-retailer&amp;utm_medium=retailer&amp;postcode=2000</t>
  </si>
  <si>
    <t>Monthly billing</t>
    <phoneticPr fontId="4" type="noConversion"/>
  </si>
  <si>
    <t xml:space="preserve">$30 credit at every anniversary since start of supply </t>
  </si>
  <si>
    <t>Account credit</t>
  </si>
  <si>
    <t>https://www.energymadeeasy.gov.au/offer/968840?postcode=2620&amp;tab=G</t>
  </si>
  <si>
    <t>https://www.energymadeeasy.gov.au/offer/1000517?postcode=2640&amp;fuelType=G&amp;customerType=M&amp;gasHeater=N&amp;distributor-G=16&amp;provider-G=notSure&amp;gasUsage=N</t>
  </si>
  <si>
    <t>https://www.energymadeeasy.gov.au/offer/1000518?postcode=2647&amp;fuelType=G&amp;customerType=M&amp;gasHeater=N&amp;distributor-G=16&amp;provider-G=notSure&amp;gasUsage=N</t>
  </si>
  <si>
    <t>https://www.energymadeeasy.gov.au/offer/1000513?postcode=2666&amp;fuelType=G&amp;customerType=M&amp;gasHeater=N&amp;distributor-G=16&amp;provider-G=notSure&amp;gasUsage=N</t>
  </si>
  <si>
    <t>https://www.energymadeeasy.gov.au/offer/1000516?postcode=2720&amp;fuelType=G&amp;customerType=M&amp;gasHeater=N&amp;distributor-G=16&amp;gasUsage=N&amp;provider-G=notSure</t>
  </si>
  <si>
    <t>https://www.energymadeeasy.gov.au/offer/1000512?postcode=2650&amp;fuelType=G&amp;customerType=M&amp;gasHeater=N&amp;distributor-G=16&amp;gasUsage=N&amp;provider-G=notSure</t>
  </si>
  <si>
    <t>https://www.energymadeeasy.gov.au/offer/1000515?postcode=2340&amp;fuelType=G&amp;customerType=M&amp;gasHeater=N&amp;distributor-G=7&amp;provider-G=notSure&amp;gasUsage=N</t>
  </si>
  <si>
    <t>Alinta Energy</t>
  </si>
  <si>
    <t>EnergyAustralia</t>
  </si>
  <si>
    <t>Origin Energy</t>
  </si>
  <si>
    <t>Red Energy</t>
  </si>
  <si>
    <t>Click Energy</t>
  </si>
  <si>
    <t>Simply Energy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</si>
  <si>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</si>
  <si>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</si>
  <si>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</si>
  <si>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</si>
  <si>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</si>
  <si>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</si>
  <si>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</si>
  <si>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</si>
  <si>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1st peak rate (c/MJ)</t>
  </si>
  <si>
    <t>Time structure code</t>
  </si>
  <si>
    <t>Mandatory shortened billing cycle (months)</t>
  </si>
  <si>
    <t>Type of discount</t>
  </si>
  <si>
    <t>Discount is inclusive or exclusive of GST</t>
  </si>
  <si>
    <t>July 2020</t>
  </si>
  <si>
    <t>*All red cells contain variables for the user to insert bi-monthly or quarterly consumption (MJ)</t>
  </si>
  <si>
    <t>Insert bi-monthly consumption (MJ):</t>
  </si>
  <si>
    <t>Essentials Saver</t>
  </si>
  <si>
    <t>https://www.energymadeeasy.gov.au/plan?id=AGL15325MRG&amp;postcode=2000</t>
  </si>
  <si>
    <t>Home Deal</t>
  </si>
  <si>
    <t>https://www.energymadeeasy.gov.au/plan?id=ALI13035MRG&amp;postcode=2000</t>
  </si>
  <si>
    <t>https://www.energymadeeasy.gov.au/plan?id=ENE19180MRG&amp;utm_source=EnergyAustralia&amp;utm_campaign=bpi-retailer&amp;utm_medium=retailer&amp;postcode=2000</t>
  </si>
  <si>
    <t>Max Saver</t>
  </si>
  <si>
    <t xml:space="preserve"> </t>
  </si>
  <si>
    <t>Requires online sign up</t>
  </si>
  <si>
    <t>https://www.energymadeeasy.gov.au/plan?id=ORI19065MRG&amp;postcode=2000</t>
  </si>
  <si>
    <t>Living Energy Saver</t>
  </si>
  <si>
    <t>https://www.energymadeeasy.gov.au/plan?id=RED21392MRG&amp;postcode=2000</t>
  </si>
  <si>
    <t>Post-paid gas</t>
  </si>
  <si>
    <t>https://www.energymadeeasy.gov.au/plan?id=AMA62421MRG&amp;utm_source=amaysim%20Energy&amp;utm_campaign=bpi-retailer&amp;utm_medium=retailer&amp;postcode=2000</t>
  </si>
  <si>
    <t>Flora</t>
  </si>
  <si>
    <t>https://www.energymadeeasy.gov.au/plan?id=CLI65221MRG1&amp;postcode=2000</t>
  </si>
  <si>
    <t>Saver</t>
  </si>
  <si>
    <t>https://www.energymadeeasy.gov.au/plan?id=SIM61628MRG2&amp;postcode=2000</t>
  </si>
  <si>
    <t>GloBird Energy</t>
  </si>
  <si>
    <t>GloSave</t>
  </si>
  <si>
    <t>https://www.energymadeeasy.gov.au/plan?id=GLO51057MRG&amp;postcode=2000</t>
  </si>
  <si>
    <t>https://www.energymadeeasy.gov.au/offer/1115831?utm_source=EnergyAustralia&amp;utm_campaign=bpi-retailer&amp;utm_medium=retailer&amp;postcode=2586</t>
  </si>
  <si>
    <t>ActewAGL</t>
  </si>
  <si>
    <t>https://www.energymadeeasy.gov.au/plan?id=ACT65045MRD&amp;postcode=2586</t>
  </si>
  <si>
    <t>https://www.energymadeeasy.gov.au/offer/1115849?utm_source=EnergyAustralia&amp;utm_campaign=bpi-retailer&amp;utm_medium=retailer&amp;postcode=2620</t>
  </si>
  <si>
    <t>https://www.energymadeeasy.gov.au/plan?id=ACT64640MRD&amp;postcode=2620</t>
  </si>
  <si>
    <t>https://www.energymadeeasy.gov.au/plan?id=ACT65051MRD&amp;postcode=2540</t>
  </si>
  <si>
    <t>https://www.energymadeeasy.gov.au/plan?utm_source=AGL&amp;utm_campaign=bpi-retailer&amp;utm_medium=retailer&amp;id=AGL15330MRG2&amp;postcode=2640</t>
  </si>
  <si>
    <t>https://www.energymadeeasy.gov.au/offer/1115870?utm_source=EnergyAustralia&amp;utm_campaign=bpi-retailer&amp;utm_medium=retailer&amp;postcode=2640</t>
  </si>
  <si>
    <t>https://www.energymadeeasy.gov.au/plan?utm_source=Origin%20Energy&amp;utm_campaign=bpi-retailer&amp;utm_medium=retailer&amp;id=ORI19035MRG3&amp;postcode=2640</t>
  </si>
  <si>
    <t>https://www.energymadeeasy.gov.au/plan?utm_source=AGL&amp;utm_campaign=bpi-retailer&amp;utm_medium=retailer&amp;id=AGL15329MRG2&amp;postcode=2643</t>
  </si>
  <si>
    <t>https://www.energymadeeasy.gov.au/offer/1115861?utm_source=EnergyAustralia&amp;utm_campaign=bpi-retailer&amp;utm_medium=retailer&amp;postcode=2647</t>
  </si>
  <si>
    <t>https://www.energymadeeasy.gov.au/plan?id=RED21391MRG&amp;postcode=2630</t>
  </si>
  <si>
    <t>https://www.energymadeeasy.gov.au/plan?utm_source=AGL&amp;utm_campaign=bpi-retailer&amp;utm_medium=retailer&amp;id=AGL15328MRG2&amp;postcode=2644</t>
  </si>
  <si>
    <t>https://www.energymadeeasy.gov.au/plan?id=RED21368MRG&amp;postcode=2720</t>
  </si>
  <si>
    <t>https://www.energymadeeasy.gov.au/plan?utm_source=AGL&amp;utm_campaign=bpi-retailer&amp;utm_medium=retailer&amp;id=AGL15327MRG2&amp;postcode=2650</t>
  </si>
  <si>
    <t xml:space="preserve">Report 10: NSW Energy Prices 2020 An update report (September 2020).  </t>
  </si>
  <si>
    <t>NSW</t>
    <phoneticPr fontId="0" type="noConversion"/>
  </si>
  <si>
    <t>AGL</t>
    <phoneticPr fontId="0" type="noConversion"/>
  </si>
  <si>
    <t>Super Saver</t>
  </si>
  <si>
    <t>bi-monthly</t>
    <phoneticPr fontId="0" type="noConversion"/>
  </si>
  <si>
    <t>n</t>
    <phoneticPr fontId="0" type="noConversion"/>
  </si>
  <si>
    <t>N</t>
    <phoneticPr fontId="0" type="noConversion"/>
  </si>
  <si>
    <t>E-billing only.</t>
  </si>
  <si>
    <t>https://www.energymadeeasy.gov.au/plan?id=AGL208213MRG&amp;postcode=2000</t>
  </si>
  <si>
    <t>https://www.energymadeeasy.gov.au/plan?id=ALI13114MRG&amp;postcode=2000</t>
  </si>
  <si>
    <t>EnergyAustralia</t>
    <phoneticPr fontId="0" type="noConversion"/>
  </si>
  <si>
    <t>Origin Energy</t>
    <phoneticPr fontId="0" type="noConversion"/>
  </si>
  <si>
    <t>Go</t>
  </si>
  <si>
    <t>https://www.energymadeeasy.gov.au/plan?id=SIM240634MRG&amp;utm_source=Simply%20Energy&amp;utm_campaign=bpi-retailer&amp;utm_medium=retailer&amp;postcode=2000</t>
  </si>
  <si>
    <t>UltraSave</t>
  </si>
  <si>
    <t>https://www.energymadeeasy.gov.au/plan?id=GLO240274MRG&amp;postcode=2000</t>
  </si>
  <si>
    <t>Covau</t>
    <phoneticPr fontId="0" type="noConversion"/>
  </si>
  <si>
    <t>Freedom Plus</t>
  </si>
  <si>
    <t>https://www.energymadeeasy.gov.au/plan?id=COV76270MRG&amp;postcode=2000</t>
  </si>
  <si>
    <t>Sumo Power</t>
    <phoneticPr fontId="0" type="noConversion"/>
  </si>
  <si>
    <t>Assure</t>
  </si>
  <si>
    <t>https://www.energymadeeasy.gov.au/plan?id=SUM93645MRG&amp;postcode=2000</t>
  </si>
  <si>
    <t>ActewAGL</t>
    <phoneticPr fontId="0" type="noConversion"/>
  </si>
  <si>
    <t>Y</t>
    <phoneticPr fontId="0" type="noConversion"/>
  </si>
  <si>
    <t>https://www.energymadeeasy.gov.au/plan?id=AGL208215MRG5&amp;utm_source=AGL&amp;utm_campaign=bpi-retailer&amp;utm_medium=retailer&amp;postcode=2640</t>
  </si>
  <si>
    <t>https://www.energymadeeasy.gov.au/plan?id=ENE19207MRG&amp;utm_source=EnergyAustralia&amp;utm_campaign=bpi-retailer&amp;utm_medium=retailer&amp;postcode=2640</t>
  </si>
  <si>
    <t>https://www.energymadeeasy.gov.au/plan?id=ORI19035MRG9&amp;utm_source=Origin%20Energy&amp;utm_campaign=bpi-retailer&amp;utm_medium=retailer&amp;postcode=2640</t>
  </si>
  <si>
    <t>https://www.energymadeeasy.gov.au/plan?id=AGL208210MRG5&amp;utm_source=AGL&amp;utm_campaign=bpi-retailer&amp;utm_medium=retailer&amp;postcode=2643</t>
  </si>
  <si>
    <t>https://www.energymadeeasy.gov.au/plan?id=ORI19036MRG9&amp;utm_source=Origin%20Energy&amp;utm_campaign=bpi-retailer&amp;utm_medium=retailer&amp;postcode=2643</t>
  </si>
  <si>
    <t>https://www.energymadeeasy.gov.au/plan?id=ORI19130MRG&amp;postcode=2630</t>
  </si>
  <si>
    <t>https://www.energymadeeasy.gov.au/plan?id=AGL208212MRG5&amp;utm_source=AGL&amp;utm_campaign=bpi-retailer&amp;utm_medium=retailer&amp;postcode=2644</t>
  </si>
  <si>
    <t>https://www.energymadeeasy.gov.au/plan?id=ORI19131MRG9&amp;utm_source=Origin%20Energy&amp;utm_campaign=bpi-retailer&amp;utm_medium=retailer&amp;postcode=2644</t>
  </si>
  <si>
    <t>https://www.energymadeeasy.gov.au/plan?id=ORI19128MRG&amp;postcode=2720</t>
  </si>
  <si>
    <t>https://www.energymadeeasy.gov.au/plan?id=AGL208211MRG5&amp;utm_source=AGL&amp;utm_campaign=bpi-retailer&amp;utm_medium=retailer&amp;postcode=2650</t>
  </si>
  <si>
    <t>https://www.energymadeeasy.gov.au/plan?id=ORI19132MRG9&amp;utm_source=Origin%20Energy&amp;utm_campaign=bpi-retailer&amp;utm_medium=retailer&amp;postcode=2650</t>
  </si>
  <si>
    <t>https://www.energymadeeasy.gov.au/plan?id=ORI19129MRG&amp;postcode=2340</t>
  </si>
  <si>
    <t>July 2021</t>
  </si>
  <si>
    <t xml:space="preserve">Report 11: NSW Energy Prices 2021 An update report (October 2021).  </t>
  </si>
  <si>
    <t>Sumo Power</t>
  </si>
  <si>
    <t>Workbook 4: Gas Market Offers in NSW</t>
  </si>
  <si>
    <t xml:space="preserve">NSW Tariff-Tracking Project, St Vincent de Paul Society </t>
  </si>
  <si>
    <t>*Gas market offers post July 2011 - July 2022</t>
  </si>
  <si>
    <t xml:space="preserve">The Tariff-Tracking project has produced 5 workbooks and 12 reports: </t>
  </si>
  <si>
    <t xml:space="preserve">Report 12: NSW Energy Prices 2022 An update report (September 2022).  </t>
  </si>
  <si>
    <t>July 2022</t>
  </si>
  <si>
    <t>https://www.energymadeeasy.gov.au/plan?id=SUM361787MRG&amp;postcode=2000</t>
  </si>
  <si>
    <t>Value Saver</t>
  </si>
  <si>
    <t>$75 sign up credit for new AGL customers</t>
  </si>
  <si>
    <t>Flexi Plan</t>
  </si>
  <si>
    <t>$25 sign up credit</t>
  </si>
  <si>
    <t>Account credit available to customers that sign up via Energy Australia`s website only.</t>
  </si>
  <si>
    <t>https://www.energymadeeasy.gov.au/plan?id=ENE379614MR&amp;utm_source=EnergyAustralia&amp;utm_campaign=bpi-retailer&amp;utm_medium=retailer&amp;postcode=2000</t>
  </si>
  <si>
    <t>Go Variable</t>
  </si>
  <si>
    <t>https://www.energymadeeasy.gov.au/plan?id=ORI431051MRG1&amp;postcode=2000</t>
  </si>
  <si>
    <t>Red Energy</t>
    <phoneticPr fontId="0" type="noConversion"/>
  </si>
  <si>
    <t>https://www.energymadeeasy.gov.au/plan?id=RED21392MRG15&amp;postcode=2000</t>
  </si>
  <si>
    <t>Simply Energy</t>
    <phoneticPr fontId="0" type="noConversion"/>
  </si>
  <si>
    <t>NRMA</t>
  </si>
  <si>
    <t>Only available for NRMA members</t>
  </si>
  <si>
    <t>https://www.energymadeeasy.gov.au/plan?id=SIM422576MRG1&amp;postcode=2000</t>
  </si>
  <si>
    <t>https://www.energymadeeasy.gov.au/plan?id=GLO403798MRG1&amp;postcode=2000</t>
  </si>
  <si>
    <t>Sign up via Sumo's website only</t>
  </si>
  <si>
    <t>Kogan Energy</t>
  </si>
  <si>
    <t>Kogan First</t>
  </si>
  <si>
    <t>To be eligible, you must be an existing Kogan First member or agree to Kogan First membership </t>
  </si>
  <si>
    <t>https://www.energymadeeasy.gov.au/plan?id=KOG365895MRG1&amp;postcode=2000</t>
  </si>
  <si>
    <t>Powershop</t>
  </si>
  <si>
    <t>Carbon Neutral</t>
  </si>
  <si>
    <t>You must have an electricity account with Powershop at the same property.</t>
  </si>
  <si>
    <t>https://www.energymadeeasy.gov.au/plan?id=PSH401433MRG1&amp;postcode=2000</t>
  </si>
  <si>
    <t>https://www.energymadeeasy.gov.au/plan?id=ENE379605MR&amp;utm_source=EnergyAustralia&amp;utm_campaign=bpi-retailer&amp;utm_medium=retailer&amp;postcode=2586</t>
  </si>
  <si>
    <t>https://www.energymadeeasy.gov.au/plan?id=ACT253404MRD&amp;postcode=2586</t>
  </si>
  <si>
    <t>https://www.energymadeeasy.gov.au/plan?id=ENE379600MR&amp;utm_source=EnergyAustralia&amp;utm_campaign=bpi-retailer&amp;utm_medium=retailer&amp;postcode=2620</t>
  </si>
  <si>
    <t>https://www.energymadeeasy.gov.au/plan?id=ACT253416MRD&amp;postcode=2620</t>
  </si>
  <si>
    <t>https://www.energymadeeasy.gov.au/plan?id=ACT253464MRD&amp;postcode=2535</t>
  </si>
  <si>
    <t>https://www.energymadeeasy.gov.au/plan?id=AGL376565MRG2&amp;postcode=2640</t>
  </si>
  <si>
    <t>https://www.energymadeeasy.gov.au/plan?id=ENE379615MR&amp;utm_source=EnergyAustralia&amp;utm_campaign=bpi-retailer&amp;utm_medium=retailer&amp;postcode=2640</t>
  </si>
  <si>
    <t>https://www.energymadeeasy.gov.au/plan?id=ORI431049MRG1&amp;utm_source=Origin%20Energy&amp;utm_campaign=bpi-retailer&amp;utm_medium=retailer&amp;postcode=2640</t>
  </si>
  <si>
    <t>https://www.energymadeeasy.gov.au/plan?id=ENE379611MR&amp;utm_source=EnergyAustralia&amp;utm_campaign=bpi-retailer&amp;utm_medium=retailer&amp;postcode=2647</t>
  </si>
  <si>
    <t>https://www.energymadeeasy.gov.au/plan?id=ORI431050MRG1&amp;utm_source=Origin%20Energy&amp;utm_campaign=bpi-retailer&amp;utm_medium=retailer&amp;postcode=2643</t>
  </si>
  <si>
    <t>https://www.energymadeeasy.gov.au/plan?id=ORI431053MRG&amp;postcode=2630</t>
  </si>
  <si>
    <t>https://www.energymadeeasy.gov.au/plan?id=RED21391MRG14&amp;postcode=2630</t>
  </si>
  <si>
    <t>https://www.energymadeeasy.gov.au/plan?id=ORI431056MRG1&amp;postcode=2666</t>
  </si>
  <si>
    <t>https://www.energymadeeasy.gov.au/plan?id=ORI431054MRG1&amp;postcode=2720</t>
  </si>
  <si>
    <t>https://www.energymadeeasy.gov.au/plan?id=RED21368MRG14&amp;postcode=2720</t>
  </si>
  <si>
    <t>https://www.energymadeeasy.gov.au/plan?id=ORI431057MRG1&amp;utm_source=Origin%20Energy&amp;utm_campaign=bpi-retailer&amp;utm_medium=retailer&amp;postcode=2650</t>
  </si>
  <si>
    <t>https://www.energymadeeasy.gov.au/plan?id=ORI431055MRG&amp;postcode=2340</t>
  </si>
  <si>
    <t>Workbook 1: Regulated electricity offers July 2008 - July 2022</t>
  </si>
  <si>
    <t>Workbook 2: Regulated gas offers July 2009 - July 2022</t>
  </si>
  <si>
    <t>Workbook 3: Published electricity market offers post July 2011 - July 2022</t>
  </si>
  <si>
    <t>Workbook 4: Published gas market offers post July 2011 - July 2022</t>
  </si>
  <si>
    <t>Workbook 5: Solar offers post July 2016 -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</si>
</sst>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_);[Red]\(&quot;$&quot;#,##0\)"/>
    <numFmt numFmtId="165" formatCode="&quot;$&quot;#,##0.00_);[Red]\(&quot;$&quot;#,##0.00\)"/>
    <numFmt numFmtId="166" formatCode="0.0"/>
  </numFmts>
  <fonts count="42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b/>
      <sz val="10"/>
      <color indexed="10"/>
      <name val="Arial"/>
      <family val="2"/>
    </font>
    <font>
      <sz val="10"/>
      <color indexed="18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sz val="10"/>
      <color indexed="18"/>
      <name val="Verdana"/>
      <family val="2"/>
    </font>
    <font>
      <b/>
      <sz val="11"/>
      <color indexed="12"/>
      <name val="Arial"/>
      <family val="2"/>
    </font>
    <font>
      <b/>
      <sz val="11"/>
      <color indexed="57"/>
      <name val="Arial"/>
      <family val="2"/>
    </font>
    <font>
      <sz val="10"/>
      <color indexed="57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Verdana"/>
      <family val="2"/>
    </font>
    <font>
      <sz val="10"/>
      <color indexed="9"/>
      <name val="Arial"/>
      <family val="2"/>
    </font>
    <font>
      <u/>
      <sz val="10"/>
      <color indexed="12"/>
      <name val="Verdana"/>
      <family val="2"/>
    </font>
    <font>
      <b/>
      <sz val="11"/>
      <color indexed="18"/>
      <name val="Arial"/>
      <family val="2"/>
    </font>
    <font>
      <sz val="10"/>
      <color rgb="FFFF0000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</fonts>
  <fills count="3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12">
    <xf numFmtId="0" fontId="0" fillId="0" borderId="0" xfId="0"/>
    <xf numFmtId="0" fontId="12" fillId="0" borderId="0" xfId="0" applyFont="1"/>
    <xf numFmtId="0" fontId="14" fillId="0" borderId="0" xfId="0" applyFont="1" applyFill="1"/>
    <xf numFmtId="0" fontId="0" fillId="0" borderId="0" xfId="0" applyFill="1" applyBorder="1"/>
    <xf numFmtId="0" fontId="12" fillId="2" borderId="0" xfId="0" applyFont="1" applyFill="1"/>
    <xf numFmtId="0" fontId="0" fillId="2" borderId="0" xfId="0" applyFill="1"/>
    <xf numFmtId="0" fontId="18" fillId="0" borderId="2" xfId="0" applyFont="1" applyBorder="1"/>
    <xf numFmtId="0" fontId="0" fillId="0" borderId="2" xfId="0" applyBorder="1"/>
    <xf numFmtId="0" fontId="0" fillId="4" borderId="2" xfId="0" applyFill="1" applyBorder="1"/>
    <xf numFmtId="0" fontId="0" fillId="4" borderId="0" xfId="0" applyFill="1"/>
    <xf numFmtId="0" fontId="18" fillId="0" borderId="0" xfId="0" applyFont="1"/>
    <xf numFmtId="0" fontId="0" fillId="0" borderId="0" xfId="0" applyFill="1"/>
    <xf numFmtId="0" fontId="19" fillId="0" borderId="0" xfId="0" applyFont="1" applyFill="1"/>
    <xf numFmtId="0" fontId="0" fillId="0" borderId="0" xfId="0" applyBorder="1"/>
    <xf numFmtId="0" fontId="0" fillId="4" borderId="0" xfId="0" applyFill="1" applyBorder="1"/>
    <xf numFmtId="0" fontId="0" fillId="0" borderId="1" xfId="0" applyFill="1" applyBorder="1"/>
    <xf numFmtId="0" fontId="0" fillId="0" borderId="1" xfId="0" applyBorder="1"/>
    <xf numFmtId="0" fontId="0" fillId="4" borderId="1" xfId="0" applyFill="1" applyBorder="1"/>
    <xf numFmtId="0" fontId="14" fillId="0" borderId="0" xfId="0" applyFont="1" applyFill="1" applyBorder="1"/>
    <xf numFmtId="0" fontId="19" fillId="0" borderId="0" xfId="0" applyFont="1" applyFill="1" applyProtection="1">
      <protection hidden="1"/>
    </xf>
    <xf numFmtId="0" fontId="22" fillId="0" borderId="0" xfId="0" applyFont="1"/>
    <xf numFmtId="0" fontId="10" fillId="0" borderId="0" xfId="0" applyFont="1" applyFill="1"/>
    <xf numFmtId="1" fontId="0" fillId="0" borderId="0" xfId="0" applyNumberFormat="1"/>
    <xf numFmtId="9" fontId="0" fillId="0" borderId="0" xfId="0" applyNumberFormat="1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left"/>
      <protection hidden="1"/>
    </xf>
    <xf numFmtId="164" fontId="0" fillId="0" borderId="0" xfId="0" applyNumberFormat="1" applyFill="1" applyAlignment="1" applyProtection="1">
      <alignment horizontal="left"/>
      <protection hidden="1"/>
    </xf>
    <xf numFmtId="0" fontId="0" fillId="0" borderId="0" xfId="0" applyFill="1" applyAlignment="1" applyProtection="1">
      <alignment horizontal="left"/>
      <protection hidden="1"/>
    </xf>
    <xf numFmtId="165" fontId="0" fillId="0" borderId="0" xfId="0" applyNumberFormat="1" applyFill="1" applyAlignment="1" applyProtection="1">
      <alignment horizontal="left"/>
      <protection hidden="1"/>
    </xf>
    <xf numFmtId="165" fontId="0" fillId="0" borderId="0" xfId="0" applyNumberFormat="1" applyAlignment="1">
      <alignment horizontal="left"/>
    </xf>
    <xf numFmtId="165" fontId="0" fillId="0" borderId="0" xfId="0" applyNumberFormat="1" applyFill="1" applyAlignment="1">
      <alignment horizontal="left"/>
    </xf>
    <xf numFmtId="9" fontId="0" fillId="0" borderId="0" xfId="0" applyNumberFormat="1" applyFill="1" applyAlignment="1" applyProtection="1">
      <alignment horizontal="left"/>
      <protection hidden="1"/>
    </xf>
    <xf numFmtId="0" fontId="0" fillId="0" borderId="3" xfId="0" applyFill="1" applyBorder="1" applyAlignment="1" applyProtection="1">
      <alignment horizontal="left"/>
      <protection hidden="1"/>
    </xf>
    <xf numFmtId="164" fontId="0" fillId="0" borderId="3" xfId="0" applyNumberFormat="1" applyFill="1" applyBorder="1" applyAlignment="1" applyProtection="1">
      <alignment horizontal="left"/>
      <protection hidden="1"/>
    </xf>
    <xf numFmtId="1" fontId="0" fillId="0" borderId="0" xfId="0" applyNumberFormat="1" applyAlignment="1">
      <alignment horizontal="right"/>
    </xf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0" fontId="0" fillId="2" borderId="1" xfId="0" applyFill="1" applyBorder="1" applyProtection="1">
      <protection hidden="1"/>
    </xf>
    <xf numFmtId="0" fontId="13" fillId="0" borderId="0" xfId="0" applyFont="1" applyProtection="1">
      <protection hidden="1"/>
    </xf>
    <xf numFmtId="0" fontId="14" fillId="0" borderId="0" xfId="0" applyFont="1" applyBorder="1" applyProtection="1">
      <protection hidden="1"/>
    </xf>
    <xf numFmtId="0" fontId="14" fillId="0" borderId="0" xfId="0" applyFont="1" applyProtection="1">
      <protection hidden="1"/>
    </xf>
    <xf numFmtId="0" fontId="15" fillId="0" borderId="0" xfId="0" applyFont="1" applyFill="1" applyProtection="1">
      <protection hidden="1"/>
    </xf>
    <xf numFmtId="0" fontId="14" fillId="0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13" fillId="4" borderId="0" xfId="0" applyFont="1" applyFill="1" applyProtection="1">
      <protection hidden="1"/>
    </xf>
    <xf numFmtId="3" fontId="9" fillId="4" borderId="0" xfId="0" applyNumberFormat="1" applyFont="1" applyFill="1" applyProtection="1">
      <protection hidden="1"/>
    </xf>
    <xf numFmtId="0" fontId="0" fillId="0" borderId="3" xfId="0" applyBorder="1" applyProtection="1">
      <protection hidden="1"/>
    </xf>
    <xf numFmtId="0" fontId="13" fillId="0" borderId="0" xfId="0" applyFont="1" applyFill="1" applyProtection="1">
      <protection hidden="1"/>
    </xf>
    <xf numFmtId="3" fontId="9" fillId="0" borderId="0" xfId="0" applyNumberFormat="1" applyFont="1" applyFill="1" applyProtection="1">
      <protection hidden="1"/>
    </xf>
    <xf numFmtId="0" fontId="0" fillId="0" borderId="0" xfId="0" applyFill="1" applyProtection="1">
      <protection hidden="1"/>
    </xf>
    <xf numFmtId="0" fontId="22" fillId="0" borderId="0" xfId="0" applyFont="1" applyProtection="1">
      <protection hidden="1"/>
    </xf>
    <xf numFmtId="2" fontId="0" fillId="0" borderId="0" xfId="0" applyNumberFormat="1" applyAlignment="1" applyProtection="1">
      <alignment horizontal="right"/>
      <protection hidden="1"/>
    </xf>
    <xf numFmtId="165" fontId="0" fillId="0" borderId="0" xfId="0" applyNumberFormat="1" applyAlignment="1" applyProtection="1">
      <alignment horizontal="left"/>
      <protection hidden="1"/>
    </xf>
    <xf numFmtId="2" fontId="0" fillId="4" borderId="0" xfId="0" applyNumberFormat="1" applyFill="1" applyAlignment="1" applyProtection="1">
      <alignment horizontal="right"/>
      <protection hidden="1"/>
    </xf>
    <xf numFmtId="3" fontId="8" fillId="4" borderId="0" xfId="0" applyNumberFormat="1" applyFont="1" applyFill="1" applyProtection="1">
      <protection hidden="1"/>
    </xf>
    <xf numFmtId="0" fontId="13" fillId="3" borderId="0" xfId="0" applyFont="1" applyFill="1" applyProtection="1">
      <protection locked="0"/>
    </xf>
    <xf numFmtId="0" fontId="0" fillId="5" borderId="1" xfId="0" applyFill="1" applyBorder="1" applyProtection="1">
      <protection hidden="1"/>
    </xf>
    <xf numFmtId="0" fontId="12" fillId="5" borderId="0" xfId="0" applyFont="1" applyFill="1"/>
    <xf numFmtId="0" fontId="0" fillId="5" borderId="0" xfId="0" applyFill="1"/>
    <xf numFmtId="2" fontId="0" fillId="0" borderId="0" xfId="0" applyNumberFormat="1" applyProtection="1">
      <protection hidden="1"/>
    </xf>
    <xf numFmtId="0" fontId="10" fillId="0" borderId="1" xfId="0" applyFont="1" applyFill="1" applyBorder="1"/>
    <xf numFmtId="3" fontId="0" fillId="0" borderId="1" xfId="0" applyNumberFormat="1" applyFill="1" applyBorder="1"/>
    <xf numFmtId="0" fontId="13" fillId="3" borderId="0" xfId="0" applyFont="1" applyFill="1" applyAlignment="1" applyProtection="1">
      <alignment horizontal="left"/>
      <protection locked="0"/>
    </xf>
    <xf numFmtId="0" fontId="0" fillId="5" borderId="0" xfId="0" applyFill="1" applyBorder="1" applyProtection="1">
      <protection hidden="1"/>
    </xf>
    <xf numFmtId="2" fontId="0" fillId="0" borderId="0" xfId="0" applyNumberFormat="1" applyFill="1" applyAlignment="1" applyProtection="1">
      <alignment horizontal="right"/>
      <protection hidden="1"/>
    </xf>
    <xf numFmtId="0" fontId="0" fillId="0" borderId="1" xfId="0" applyBorder="1" applyProtection="1">
      <protection hidden="1"/>
    </xf>
    <xf numFmtId="0" fontId="0" fillId="0" borderId="1" xfId="0" applyFill="1" applyBorder="1" applyAlignment="1" applyProtection="1">
      <alignment horizontal="left"/>
      <protection hidden="1"/>
    </xf>
    <xf numFmtId="164" fontId="0" fillId="0" borderId="1" xfId="0" applyNumberFormat="1" applyFill="1" applyBorder="1" applyAlignment="1" applyProtection="1">
      <alignment horizontal="left"/>
      <protection hidden="1"/>
    </xf>
    <xf numFmtId="3" fontId="0" fillId="0" borderId="0" xfId="0" applyNumberFormat="1" applyFill="1" applyBorder="1"/>
    <xf numFmtId="0" fontId="0" fillId="0" borderId="2" xfId="0" applyFill="1" applyBorder="1"/>
    <xf numFmtId="1" fontId="0" fillId="0" borderId="0" xfId="0" applyNumberFormat="1" applyFill="1"/>
    <xf numFmtId="1" fontId="0" fillId="0" borderId="0" xfId="0" applyNumberFormat="1" applyFill="1" applyAlignment="1">
      <alignment horizontal="right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ill="1" applyBorder="1"/>
    <xf numFmtId="0" fontId="0" fillId="4" borderId="0" xfId="0" applyFill="1" applyBorder="1" applyProtection="1">
      <protection hidden="1"/>
    </xf>
    <xf numFmtId="3" fontId="0" fillId="0" borderId="0" xfId="0" applyNumberFormat="1" applyBorder="1"/>
    <xf numFmtId="2" fontId="7" fillId="0" borderId="0" xfId="0" applyNumberFormat="1" applyFont="1" applyFill="1" applyProtection="1">
      <protection hidden="1"/>
    </xf>
    <xf numFmtId="1" fontId="6" fillId="4" borderId="0" xfId="0" applyNumberFormat="1" applyFont="1" applyFill="1" applyProtection="1">
      <protection hidden="1"/>
    </xf>
    <xf numFmtId="2" fontId="0" fillId="0" borderId="0" xfId="0" applyNumberFormat="1" applyFill="1" applyProtection="1">
      <protection hidden="1"/>
    </xf>
    <xf numFmtId="0" fontId="0" fillId="7" borderId="1" xfId="0" applyFill="1" applyBorder="1" applyProtection="1">
      <protection hidden="1"/>
    </xf>
    <xf numFmtId="0" fontId="0" fillId="7" borderId="0" xfId="0" applyFill="1" applyBorder="1" applyProtection="1">
      <protection hidden="1"/>
    </xf>
    <xf numFmtId="0" fontId="12" fillId="7" borderId="0" xfId="0" applyFont="1" applyFill="1"/>
    <xf numFmtId="0" fontId="0" fillId="7" borderId="0" xfId="0" applyFill="1"/>
    <xf numFmtId="0" fontId="10" fillId="0" borderId="0" xfId="0" applyFont="1" applyFill="1" applyBorder="1"/>
    <xf numFmtId="3" fontId="5" fillId="4" borderId="0" xfId="0" applyNumberFormat="1" applyFont="1" applyFill="1" applyAlignment="1" applyProtection="1">
      <alignment horizontal="right"/>
      <protection hidden="1"/>
    </xf>
    <xf numFmtId="1" fontId="0" fillId="0" borderId="0" xfId="0" applyNumberFormat="1" applyFill="1" applyBorder="1" applyAlignment="1">
      <alignment horizontal="right"/>
    </xf>
    <xf numFmtId="1" fontId="0" fillId="0" borderId="0" xfId="0" applyNumberFormat="1" applyFill="1" applyBorder="1"/>
    <xf numFmtId="0" fontId="0" fillId="0" borderId="1" xfId="0" applyFill="1" applyBorder="1" applyProtection="1">
      <protection hidden="1"/>
    </xf>
    <xf numFmtId="0" fontId="23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8" fillId="6" borderId="6" xfId="0" applyFont="1" applyFill="1" applyBorder="1" applyProtection="1">
      <protection hidden="1"/>
    </xf>
    <xf numFmtId="0" fontId="12" fillId="6" borderId="7" xfId="0" applyFont="1" applyFill="1" applyBorder="1" applyProtection="1">
      <protection hidden="1"/>
    </xf>
    <xf numFmtId="0" fontId="12" fillId="6" borderId="8" xfId="0" applyFont="1" applyFill="1" applyBorder="1" applyProtection="1">
      <protection hidden="1"/>
    </xf>
    <xf numFmtId="0" fontId="24" fillId="6" borderId="0" xfId="0" applyFont="1" applyFill="1" applyProtection="1">
      <protection hidden="1"/>
    </xf>
    <xf numFmtId="0" fontId="25" fillId="6" borderId="0" xfId="0" applyFont="1" applyFill="1" applyProtection="1">
      <protection hidden="1"/>
    </xf>
    <xf numFmtId="0" fontId="12" fillId="6" borderId="4" xfId="0" applyFont="1" applyFill="1" applyBorder="1" applyProtection="1">
      <protection hidden="1"/>
    </xf>
    <xf numFmtId="0" fontId="12" fillId="6" borderId="0" xfId="0" applyFont="1" applyFill="1" applyBorder="1" applyProtection="1">
      <protection hidden="1"/>
    </xf>
    <xf numFmtId="0" fontId="12" fillId="6" borderId="5" xfId="0" applyFont="1" applyFill="1" applyBorder="1" applyProtection="1">
      <protection hidden="1"/>
    </xf>
    <xf numFmtId="0" fontId="13" fillId="6" borderId="0" xfId="0" applyFont="1" applyFill="1" applyProtection="1">
      <protection hidden="1"/>
    </xf>
    <xf numFmtId="0" fontId="28" fillId="6" borderId="0" xfId="0" applyFont="1" applyFill="1" applyProtection="1">
      <protection hidden="1"/>
    </xf>
    <xf numFmtId="0" fontId="29" fillId="6" borderId="0" xfId="0" applyFont="1" applyFill="1" applyProtection="1">
      <protection hidden="1"/>
    </xf>
    <xf numFmtId="0" fontId="12" fillId="6" borderId="9" xfId="0" applyFont="1" applyFill="1" applyBorder="1" applyProtection="1">
      <protection hidden="1"/>
    </xf>
    <xf numFmtId="0" fontId="12" fillId="6" borderId="3" xfId="0" applyFont="1" applyFill="1" applyBorder="1" applyProtection="1">
      <protection hidden="1"/>
    </xf>
    <xf numFmtId="0" fontId="12" fillId="6" borderId="10" xfId="0" applyFont="1" applyFill="1" applyBorder="1" applyProtection="1">
      <protection hidden="1"/>
    </xf>
    <xf numFmtId="0" fontId="0" fillId="6" borderId="7" xfId="0" applyFill="1" applyBorder="1" applyProtection="1">
      <protection hidden="1"/>
    </xf>
    <xf numFmtId="0" fontId="0" fillId="6" borderId="8" xfId="0" applyFill="1" applyBorder="1" applyProtection="1">
      <protection hidden="1"/>
    </xf>
    <xf numFmtId="0" fontId="29" fillId="0" borderId="0" xfId="0" applyFont="1" applyFill="1" applyProtection="1">
      <protection hidden="1"/>
    </xf>
    <xf numFmtId="0" fontId="0" fillId="6" borderId="0" xfId="0" applyFill="1" applyBorder="1" applyProtection="1">
      <protection hidden="1"/>
    </xf>
    <xf numFmtId="0" fontId="0" fillId="6" borderId="5" xfId="0" applyFill="1" applyBorder="1" applyProtection="1">
      <protection hidden="1"/>
    </xf>
    <xf numFmtId="0" fontId="12" fillId="0" borderId="17" xfId="0" applyFont="1" applyBorder="1" applyProtection="1">
      <protection hidden="1"/>
    </xf>
    <xf numFmtId="49" fontId="31" fillId="7" borderId="18" xfId="0" applyNumberFormat="1" applyFont="1" applyFill="1" applyBorder="1" applyProtection="1">
      <protection hidden="1"/>
    </xf>
    <xf numFmtId="49" fontId="31" fillId="5" borderId="18" xfId="0" applyNumberFormat="1" applyFont="1" applyFill="1" applyBorder="1" applyProtection="1">
      <protection hidden="1"/>
    </xf>
    <xf numFmtId="49" fontId="12" fillId="2" borderId="19" xfId="0" applyNumberFormat="1" applyFont="1" applyFill="1" applyBorder="1" applyProtection="1">
      <protection hidden="1"/>
    </xf>
    <xf numFmtId="0" fontId="27" fillId="6" borderId="9" xfId="0" applyFont="1" applyFill="1" applyBorder="1" applyProtection="1">
      <protection hidden="1"/>
    </xf>
    <xf numFmtId="0" fontId="0" fillId="6" borderId="3" xfId="0" applyFill="1" applyBorder="1" applyProtection="1">
      <protection hidden="1"/>
    </xf>
    <xf numFmtId="0" fontId="0" fillId="6" borderId="10" xfId="0" applyFill="1" applyBorder="1" applyProtection="1">
      <protection hidden="1"/>
    </xf>
    <xf numFmtId="0" fontId="28" fillId="6" borderId="6" xfId="0" applyFont="1" applyFill="1" applyBorder="1" applyProtection="1">
      <protection hidden="1"/>
    </xf>
    <xf numFmtId="0" fontId="29" fillId="6" borderId="8" xfId="0" applyFont="1" applyFill="1" applyBorder="1" applyProtection="1">
      <protection hidden="1"/>
    </xf>
    <xf numFmtId="0" fontId="29" fillId="6" borderId="4" xfId="0" applyFont="1" applyFill="1" applyBorder="1" applyProtection="1">
      <protection hidden="1"/>
    </xf>
    <xf numFmtId="0" fontId="29" fillId="6" borderId="5" xfId="0" applyFont="1" applyFill="1" applyBorder="1" applyProtection="1">
      <protection hidden="1"/>
    </xf>
    <xf numFmtId="0" fontId="0" fillId="4" borderId="11" xfId="0" applyFill="1" applyBorder="1" applyProtection="1">
      <protection hidden="1"/>
    </xf>
    <xf numFmtId="0" fontId="0" fillId="4" borderId="12" xfId="0" applyFill="1" applyBorder="1" applyProtection="1">
      <protection hidden="1"/>
    </xf>
    <xf numFmtId="0" fontId="0" fillId="4" borderId="2" xfId="0" applyFill="1" applyBorder="1" applyProtection="1">
      <protection hidden="1"/>
    </xf>
    <xf numFmtId="0" fontId="0" fillId="4" borderId="20" xfId="0" applyFill="1" applyBorder="1" applyProtection="1">
      <protection hidden="1"/>
    </xf>
    <xf numFmtId="0" fontId="29" fillId="6" borderId="13" xfId="0" applyFont="1" applyFill="1" applyBorder="1" applyProtection="1">
      <protection hidden="1"/>
    </xf>
    <xf numFmtId="0" fontId="29" fillId="6" borderId="14" xfId="0" applyFont="1" applyFill="1" applyBorder="1" applyProtection="1">
      <protection hidden="1"/>
    </xf>
    <xf numFmtId="0" fontId="30" fillId="6" borderId="0" xfId="0" applyFont="1" applyFill="1" applyBorder="1" applyProtection="1">
      <protection hidden="1"/>
    </xf>
    <xf numFmtId="0" fontId="0" fillId="6" borderId="14" xfId="0" applyFill="1" applyBorder="1" applyProtection="1">
      <protection hidden="1"/>
    </xf>
    <xf numFmtId="0" fontId="0" fillId="6" borderId="21" xfId="0" applyFill="1" applyBorder="1" applyProtection="1">
      <protection hidden="1"/>
    </xf>
    <xf numFmtId="0" fontId="29" fillId="3" borderId="0" xfId="0" applyFont="1" applyFill="1" applyProtection="1">
      <protection hidden="1"/>
    </xf>
    <xf numFmtId="0" fontId="29" fillId="6" borderId="15" xfId="0" applyFont="1" applyFill="1" applyBorder="1" applyProtection="1">
      <protection hidden="1"/>
    </xf>
    <xf numFmtId="0" fontId="29" fillId="6" borderId="16" xfId="0" applyFont="1" applyFill="1" applyBorder="1" applyProtection="1">
      <protection hidden="1"/>
    </xf>
    <xf numFmtId="0" fontId="30" fillId="6" borderId="1" xfId="0" applyFont="1" applyFill="1" applyBorder="1" applyProtection="1">
      <protection hidden="1"/>
    </xf>
    <xf numFmtId="0" fontId="0" fillId="6" borderId="1" xfId="0" applyFill="1" applyBorder="1" applyProtection="1">
      <protection hidden="1"/>
    </xf>
    <xf numFmtId="0" fontId="0" fillId="6" borderId="16" xfId="0" applyFill="1" applyBorder="1" applyProtection="1">
      <protection hidden="1"/>
    </xf>
    <xf numFmtId="0" fontId="0" fillId="6" borderId="22" xfId="0" applyFill="1" applyBorder="1" applyProtection="1">
      <protection hidden="1"/>
    </xf>
    <xf numFmtId="0" fontId="12" fillId="6" borderId="0" xfId="0" applyFont="1" applyFill="1" applyProtection="1">
      <protection hidden="1"/>
    </xf>
    <xf numFmtId="49" fontId="12" fillId="8" borderId="18" xfId="0" applyNumberFormat="1" applyFont="1" applyFill="1" applyBorder="1" applyProtection="1">
      <protection hidden="1"/>
    </xf>
    <xf numFmtId="0" fontId="0" fillId="8" borderId="1" xfId="0" applyFill="1" applyBorder="1" applyProtection="1">
      <protection hidden="1"/>
    </xf>
    <xf numFmtId="0" fontId="12" fillId="8" borderId="0" xfId="0" applyFont="1" applyFill="1"/>
    <xf numFmtId="0" fontId="0" fillId="8" borderId="0" xfId="0" applyFill="1"/>
    <xf numFmtId="0" fontId="0" fillId="8" borderId="0" xfId="0" applyFill="1" applyBorder="1" applyProtection="1">
      <protection hidden="1"/>
    </xf>
    <xf numFmtId="0" fontId="19" fillId="0" borderId="0" xfId="0" applyFont="1"/>
    <xf numFmtId="164" fontId="0" fillId="0" borderId="0" xfId="0" applyNumberFormat="1" applyFill="1" applyAlignment="1">
      <alignment horizontal="left"/>
    </xf>
    <xf numFmtId="0" fontId="19" fillId="0" borderId="0" xfId="0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2" fontId="0" fillId="0" borderId="0" xfId="0" applyNumberFormat="1" applyFill="1" applyProtection="1">
      <protection hidden="1"/>
    </xf>
    <xf numFmtId="1" fontId="4" fillId="4" borderId="0" xfId="0" applyNumberFormat="1" applyFont="1" applyFill="1" applyProtection="1">
      <protection hidden="1"/>
    </xf>
    <xf numFmtId="49" fontId="31" fillId="9" borderId="18" xfId="0" applyNumberFormat="1" applyFont="1" applyFill="1" applyBorder="1" applyProtection="1">
      <protection hidden="1"/>
    </xf>
    <xf numFmtId="0" fontId="0" fillId="9" borderId="0" xfId="0" applyFill="1"/>
    <xf numFmtId="0" fontId="12" fillId="9" borderId="0" xfId="0" applyFont="1" applyFill="1"/>
    <xf numFmtId="0" fontId="0" fillId="9" borderId="1" xfId="0" applyFill="1" applyBorder="1" applyProtection="1">
      <protection hidden="1"/>
    </xf>
    <xf numFmtId="0" fontId="0" fillId="9" borderId="0" xfId="0" applyFill="1" applyBorder="1" applyProtection="1">
      <protection hidden="1"/>
    </xf>
    <xf numFmtId="3" fontId="6" fillId="4" borderId="0" xfId="0" applyNumberFormat="1" applyFont="1" applyFill="1" applyProtection="1">
      <protection hidden="1"/>
    </xf>
    <xf numFmtId="3" fontId="0" fillId="4" borderId="0" xfId="0" applyNumberFormat="1" applyFill="1" applyAlignment="1" applyProtection="1">
      <alignment horizontal="right"/>
      <protection hidden="1"/>
    </xf>
    <xf numFmtId="3" fontId="9" fillId="4" borderId="0" xfId="0" applyNumberFormat="1" applyFont="1" applyFill="1" applyProtection="1">
      <protection hidden="1"/>
    </xf>
    <xf numFmtId="3" fontId="5" fillId="4" borderId="0" xfId="0" applyNumberFormat="1" applyFont="1" applyFill="1" applyAlignment="1" applyProtection="1">
      <alignment horizontal="right"/>
      <protection hidden="1"/>
    </xf>
    <xf numFmtId="3" fontId="8" fillId="4" borderId="0" xfId="0" applyNumberFormat="1" applyFont="1" applyFill="1" applyProtection="1">
      <protection hidden="1"/>
    </xf>
    <xf numFmtId="3" fontId="0" fillId="4" borderId="0" xfId="0" applyNumberFormat="1" applyFill="1" applyBorder="1" applyProtection="1">
      <protection hidden="1"/>
    </xf>
    <xf numFmtId="3" fontId="4" fillId="4" borderId="0" xfId="0" applyNumberFormat="1" applyFont="1" applyFill="1" applyProtection="1">
      <protection hidden="1"/>
    </xf>
    <xf numFmtId="0" fontId="0" fillId="0" borderId="0" xfId="0" applyFill="1" applyAlignment="1">
      <alignment horizontal="left"/>
    </xf>
    <xf numFmtId="0" fontId="0" fillId="10" borderId="0" xfId="0" applyFill="1" applyAlignment="1">
      <alignment horizontal="right" wrapText="1"/>
    </xf>
    <xf numFmtId="0" fontId="0" fillId="10" borderId="0" xfId="0" applyFill="1" applyAlignment="1">
      <alignment horizontal="left" wrapText="1"/>
    </xf>
    <xf numFmtId="0" fontId="0" fillId="10" borderId="0" xfId="0" applyFill="1" applyAlignment="1">
      <alignment wrapText="1"/>
    </xf>
    <xf numFmtId="0" fontId="0" fillId="10" borderId="0" xfId="0" applyFill="1" applyBorder="1" applyAlignment="1">
      <alignment wrapText="1"/>
    </xf>
    <xf numFmtId="0" fontId="0" fillId="4" borderId="21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14" xfId="0" applyFill="1" applyBorder="1" applyAlignment="1">
      <alignment horizontal="right" wrapText="1"/>
    </xf>
    <xf numFmtId="0" fontId="0" fillId="12" borderId="0" xfId="0" applyFill="1" applyAlignment="1">
      <alignment horizontal="right" wrapText="1"/>
    </xf>
    <xf numFmtId="0" fontId="0" fillId="12" borderId="14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8" borderId="14" xfId="0" applyFill="1" applyBorder="1" applyAlignment="1">
      <alignment horizontal="right" wrapText="1"/>
    </xf>
    <xf numFmtId="0" fontId="0" fillId="13" borderId="0" xfId="0" applyFill="1" applyAlignment="1">
      <alignment horizontal="right" wrapText="1"/>
    </xf>
    <xf numFmtId="0" fontId="0" fillId="13" borderId="14" xfId="0" applyFill="1" applyBorder="1" applyAlignment="1">
      <alignment horizontal="right" wrapText="1"/>
    </xf>
    <xf numFmtId="0" fontId="0" fillId="14" borderId="0" xfId="0" applyFill="1" applyBorder="1" applyAlignment="1">
      <alignment horizontal="center" wrapText="1"/>
    </xf>
    <xf numFmtId="0" fontId="0" fillId="14" borderId="16" xfId="0" applyFill="1" applyBorder="1" applyAlignment="1">
      <alignment horizontal="center" wrapText="1"/>
    </xf>
    <xf numFmtId="0" fontId="0" fillId="15" borderId="0" xfId="0" applyFill="1" applyBorder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5" borderId="0" xfId="0" applyFill="1" applyAlignment="1">
      <alignment horizontal="center" wrapText="1"/>
    </xf>
    <xf numFmtId="0" fontId="0" fillId="15" borderId="0" xfId="0" applyFill="1" applyAlignment="1">
      <alignment horizontal="right" wrapText="1"/>
    </xf>
    <xf numFmtId="0" fontId="0" fillId="12" borderId="0" xfId="0" applyFill="1" applyBorder="1" applyAlignment="1">
      <alignment horizontal="right" wrapText="1"/>
    </xf>
    <xf numFmtId="0" fontId="0" fillId="15" borderId="0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14" xfId="0" applyFill="1" applyBorder="1" applyAlignment="1">
      <alignment horizontal="right" wrapText="1"/>
    </xf>
    <xf numFmtId="0" fontId="0" fillId="10" borderId="0" xfId="0" applyFill="1" applyBorder="1" applyAlignment="1">
      <alignment horizontal="right" wrapText="1"/>
    </xf>
    <xf numFmtId="0" fontId="0" fillId="10" borderId="0" xfId="0" applyFill="1" applyBorder="1" applyAlignment="1">
      <alignment horizontal="left" wrapText="1"/>
    </xf>
    <xf numFmtId="0" fontId="0" fillId="10" borderId="0" xfId="0" applyFill="1" applyBorder="1" applyAlignment="1">
      <alignment horizontal="center" wrapText="1"/>
    </xf>
    <xf numFmtId="0" fontId="0" fillId="10" borderId="23" xfId="0" applyFill="1" applyBorder="1"/>
    <xf numFmtId="14" fontId="0" fillId="2" borderId="23" xfId="0" applyNumberFormat="1" applyFill="1" applyBorder="1"/>
    <xf numFmtId="0" fontId="0" fillId="0" borderId="23" xfId="0" applyBorder="1" applyAlignment="1">
      <alignment horizontal="left"/>
    </xf>
    <xf numFmtId="0" fontId="0" fillId="0" borderId="23" xfId="0" applyBorder="1"/>
    <xf numFmtId="14" fontId="0" fillId="0" borderId="23" xfId="0" applyNumberFormat="1" applyBorder="1"/>
    <xf numFmtId="0" fontId="0" fillId="0" borderId="23" xfId="0" applyBorder="1" applyAlignment="1">
      <alignment horizontal="right"/>
    </xf>
    <xf numFmtId="1" fontId="0" fillId="0" borderId="23" xfId="0" applyNumberFormat="1" applyBorder="1"/>
    <xf numFmtId="0" fontId="0" fillId="0" borderId="23" xfId="0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32" fillId="0" borderId="0" xfId="1" applyFont="1" applyAlignment="1" applyProtection="1"/>
    <xf numFmtId="0" fontId="3" fillId="0" borderId="0" xfId="0" applyFont="1"/>
    <xf numFmtId="1" fontId="0" fillId="0" borderId="0" xfId="0" applyNumberFormat="1" applyFill="1"/>
    <xf numFmtId="0" fontId="0" fillId="0" borderId="23" xfId="0" applyFill="1" applyBorder="1"/>
    <xf numFmtId="0" fontId="29" fillId="13" borderId="0" xfId="0" applyFont="1" applyFill="1" applyProtection="1">
      <protection hidden="1"/>
    </xf>
    <xf numFmtId="0" fontId="0" fillId="13" borderId="0" xfId="0" applyFill="1" applyProtection="1">
      <protection hidden="1"/>
    </xf>
    <xf numFmtId="0" fontId="28" fillId="13" borderId="0" xfId="0" applyFont="1" applyFill="1" applyProtection="1">
      <protection hidden="1"/>
    </xf>
    <xf numFmtId="0" fontId="29" fillId="13" borderId="3" xfId="0" applyFont="1" applyFill="1" applyBorder="1" applyProtection="1">
      <protection hidden="1"/>
    </xf>
    <xf numFmtId="0" fontId="33" fillId="6" borderId="6" xfId="0" applyFont="1" applyFill="1" applyBorder="1" applyProtection="1">
      <protection hidden="1"/>
    </xf>
    <xf numFmtId="0" fontId="33" fillId="6" borderId="7" xfId="0" applyFont="1" applyFill="1" applyBorder="1" applyProtection="1">
      <protection hidden="1"/>
    </xf>
    <xf numFmtId="0" fontId="29" fillId="6" borderId="7" xfId="0" applyFont="1" applyFill="1" applyBorder="1" applyProtection="1">
      <protection hidden="1"/>
    </xf>
    <xf numFmtId="0" fontId="29" fillId="6" borderId="0" xfId="0" applyFont="1" applyFill="1" applyBorder="1" applyProtection="1">
      <protection hidden="1"/>
    </xf>
    <xf numFmtId="0" fontId="0" fillId="0" borderId="4" xfId="0" applyBorder="1" applyProtection="1">
      <protection hidden="1"/>
    </xf>
    <xf numFmtId="2" fontId="0" fillId="0" borderId="0" xfId="0" applyNumberFormat="1" applyBorder="1" applyProtection="1">
      <protection hidden="1"/>
    </xf>
    <xf numFmtId="2" fontId="0" fillId="2" borderId="0" xfId="0" applyNumberFormat="1" applyFill="1" applyBorder="1" applyProtection="1">
      <protection hidden="1"/>
    </xf>
    <xf numFmtId="1" fontId="0" fillId="2" borderId="0" xfId="0" applyNumberFormat="1" applyFill="1" applyBorder="1" applyProtection="1">
      <protection hidden="1"/>
    </xf>
    <xf numFmtId="3" fontId="2" fillId="0" borderId="0" xfId="0" applyNumberFormat="1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9" xfId="0" applyBorder="1" applyProtection="1">
      <protection hidden="1"/>
    </xf>
    <xf numFmtId="2" fontId="0" fillId="0" borderId="3" xfId="0" applyNumberFormat="1" applyBorder="1" applyProtection="1">
      <protection hidden="1"/>
    </xf>
    <xf numFmtId="1" fontId="0" fillId="0" borderId="3" xfId="0" applyNumberFormat="1" applyBorder="1" applyProtection="1">
      <protection hidden="1"/>
    </xf>
    <xf numFmtId="3" fontId="2" fillId="0" borderId="3" xfId="0" applyNumberFormat="1" applyFont="1" applyBorder="1" applyProtection="1">
      <protection hidden="1"/>
    </xf>
    <xf numFmtId="1" fontId="0" fillId="2" borderId="3" xfId="0" applyNumberFormat="1" applyFill="1" applyBorder="1" applyProtection="1"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3" fontId="28" fillId="3" borderId="0" xfId="0" applyNumberFormat="1" applyFont="1" applyFill="1" applyBorder="1" applyProtection="1">
      <protection locked="0"/>
    </xf>
    <xf numFmtId="49" fontId="1" fillId="13" borderId="18" xfId="0" applyNumberFormat="1" applyFont="1" applyFill="1" applyBorder="1" applyProtection="1">
      <protection hidden="1"/>
    </xf>
    <xf numFmtId="14" fontId="0" fillId="16" borderId="23" xfId="0" applyNumberFormat="1" applyFill="1" applyBorder="1"/>
    <xf numFmtId="0" fontId="29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28" fillId="17" borderId="0" xfId="0" applyFont="1" applyFill="1" applyProtection="1">
      <protection hidden="1"/>
    </xf>
    <xf numFmtId="0" fontId="29" fillId="17" borderId="3" xfId="0" applyFont="1" applyFill="1" applyBorder="1" applyProtection="1">
      <protection hidden="1"/>
    </xf>
    <xf numFmtId="49" fontId="0" fillId="18" borderId="18" xfId="0" applyNumberFormat="1" applyFont="1" applyFill="1" applyBorder="1" applyProtection="1">
      <protection hidden="1"/>
    </xf>
    <xf numFmtId="49" fontId="0" fillId="19" borderId="18" xfId="0" applyNumberFormat="1" applyFont="1" applyFill="1" applyBorder="1" applyProtection="1">
      <protection hidden="1"/>
    </xf>
    <xf numFmtId="0" fontId="29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28" fillId="19" borderId="0" xfId="0" applyFont="1" applyFill="1" applyProtection="1">
      <protection hidden="1"/>
    </xf>
    <xf numFmtId="0" fontId="29" fillId="19" borderId="3" xfId="0" applyFont="1" applyFill="1" applyBorder="1" applyProtection="1">
      <protection hidden="1"/>
    </xf>
    <xf numFmtId="0" fontId="1" fillId="15" borderId="0" xfId="0" applyFont="1" applyFill="1" applyBorder="1" applyAlignment="1">
      <alignment horizontal="center" wrapText="1"/>
    </xf>
    <xf numFmtId="0" fontId="1" fillId="12" borderId="14" xfId="0" applyFont="1" applyFill="1" applyBorder="1" applyAlignment="1">
      <alignment horizontal="center" wrapText="1"/>
    </xf>
    <xf numFmtId="14" fontId="1" fillId="0" borderId="23" xfId="0" applyNumberFormat="1" applyFont="1" applyFill="1" applyBorder="1"/>
    <xf numFmtId="0" fontId="1" fillId="0" borderId="0" xfId="0" applyFont="1"/>
    <xf numFmtId="0" fontId="1" fillId="0" borderId="23" xfId="0" applyFont="1" applyBorder="1" applyAlignment="1">
      <alignment horizontal="left"/>
    </xf>
    <xf numFmtId="1" fontId="0" fillId="0" borderId="23" xfId="0" applyNumberFormat="1" applyFill="1" applyBorder="1"/>
    <xf numFmtId="14" fontId="0" fillId="0" borderId="23" xfId="0" applyNumberFormat="1" applyBorder="1" applyAlignment="1">
      <alignment horizontal="left"/>
    </xf>
    <xf numFmtId="14" fontId="0" fillId="0" borderId="23" xfId="0" applyNumberFormat="1" applyBorder="1" applyAlignment="1">
      <alignment horizontal="right"/>
    </xf>
    <xf numFmtId="0" fontId="1" fillId="0" borderId="23" xfId="0" applyFont="1" applyBorder="1" applyAlignment="1">
      <alignment horizontal="center"/>
    </xf>
    <xf numFmtId="0" fontId="1" fillId="0" borderId="23" xfId="0" applyFont="1" applyBorder="1"/>
    <xf numFmtId="0" fontId="0" fillId="0" borderId="23" xfId="0" applyFill="1" applyBorder="1" applyAlignment="1">
      <alignment horizontal="right"/>
    </xf>
    <xf numFmtId="0" fontId="0" fillId="0" borderId="21" xfId="0" applyFill="1" applyBorder="1"/>
    <xf numFmtId="0" fontId="0" fillId="0" borderId="23" xfId="0" applyFill="1" applyBorder="1" applyAlignment="1">
      <alignment horizontal="left"/>
    </xf>
    <xf numFmtId="0" fontId="29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28" fillId="20" borderId="0" xfId="0" applyFont="1" applyFill="1" applyProtection="1">
      <protection hidden="1"/>
    </xf>
    <xf numFmtId="0" fontId="29" fillId="20" borderId="3" xfId="0" applyFont="1" applyFill="1" applyBorder="1" applyProtection="1">
      <protection hidden="1"/>
    </xf>
    <xf numFmtId="49" fontId="1" fillId="20" borderId="18" xfId="0" applyNumberFormat="1" applyFont="1" applyFill="1" applyBorder="1" applyProtection="1">
      <protection hidden="1"/>
    </xf>
    <xf numFmtId="14" fontId="1" fillId="0" borderId="23" xfId="0" applyNumberFormat="1" applyFont="1" applyBorder="1"/>
    <xf numFmtId="166" fontId="1" fillId="0" borderId="23" xfId="0" applyNumberFormat="1" applyFont="1" applyBorder="1"/>
    <xf numFmtId="2" fontId="1" fillId="0" borderId="23" xfId="0" applyNumberFormat="1" applyFont="1" applyBorder="1"/>
    <xf numFmtId="38" fontId="0" fillId="0" borderId="23" xfId="0" applyNumberFormat="1" applyBorder="1" applyAlignment="1">
      <alignment horizontal="center"/>
    </xf>
    <xf numFmtId="166" fontId="1" fillId="0" borderId="23" xfId="0" applyNumberFormat="1" applyFont="1" applyFill="1" applyBorder="1"/>
    <xf numFmtId="2" fontId="1" fillId="0" borderId="23" xfId="0" applyNumberFormat="1" applyFont="1" applyFill="1" applyBorder="1"/>
    <xf numFmtId="3" fontId="2" fillId="21" borderId="0" xfId="0" applyNumberFormat="1" applyFont="1" applyFill="1" applyBorder="1" applyProtection="1">
      <protection hidden="1"/>
    </xf>
    <xf numFmtId="0" fontId="1" fillId="10" borderId="0" xfId="2" applyFill="1" applyAlignment="1">
      <alignment horizontal="right" wrapText="1"/>
    </xf>
    <xf numFmtId="0" fontId="1" fillId="10" borderId="0" xfId="2" applyFill="1" applyAlignment="1">
      <alignment horizontal="left" wrapText="1"/>
    </xf>
    <xf numFmtId="0" fontId="1" fillId="10" borderId="0" xfId="2" applyFill="1" applyAlignment="1">
      <alignment wrapText="1"/>
    </xf>
    <xf numFmtId="0" fontId="1" fillId="4" borderId="21" xfId="2" applyFill="1" applyBorder="1" applyAlignment="1">
      <alignment horizontal="right" wrapText="1"/>
    </xf>
    <xf numFmtId="2" fontId="1" fillId="4" borderId="0" xfId="2" applyNumberFormat="1" applyFill="1" applyAlignment="1">
      <alignment horizontal="right" wrapText="1"/>
    </xf>
    <xf numFmtId="2" fontId="1" fillId="22" borderId="0" xfId="2" applyNumberFormat="1" applyFill="1" applyAlignment="1">
      <alignment horizontal="right" wrapText="1"/>
    </xf>
    <xf numFmtId="0" fontId="1" fillId="11" borderId="0" xfId="2" applyFill="1" applyAlignment="1">
      <alignment horizontal="right" wrapText="1"/>
    </xf>
    <xf numFmtId="0" fontId="1" fillId="11" borderId="14" xfId="2" applyFill="1" applyBorder="1" applyAlignment="1">
      <alignment horizontal="right" wrapText="1"/>
    </xf>
    <xf numFmtId="0" fontId="1" fillId="23" borderId="0" xfId="2" applyFill="1" applyAlignment="1">
      <alignment horizontal="right" wrapText="1"/>
    </xf>
    <xf numFmtId="0" fontId="1" fillId="23" borderId="14" xfId="2" applyFill="1" applyBorder="1" applyAlignment="1">
      <alignment horizontal="right" wrapText="1"/>
    </xf>
    <xf numFmtId="0" fontId="1" fillId="12" borderId="0" xfId="2" applyFill="1" applyAlignment="1">
      <alignment horizontal="right" wrapText="1"/>
    </xf>
    <xf numFmtId="0" fontId="1" fillId="12" borderId="14" xfId="2" applyFill="1" applyBorder="1" applyAlignment="1">
      <alignment horizontal="right" wrapText="1"/>
    </xf>
    <xf numFmtId="0" fontId="1" fillId="8" borderId="0" xfId="2" applyFill="1" applyAlignment="1">
      <alignment horizontal="right" wrapText="1"/>
    </xf>
    <xf numFmtId="0" fontId="1" fillId="8" borderId="14" xfId="2" applyFill="1" applyBorder="1" applyAlignment="1">
      <alignment horizontal="right" wrapText="1"/>
    </xf>
    <xf numFmtId="0" fontId="1" fillId="13" borderId="0" xfId="2" applyFill="1" applyAlignment="1">
      <alignment horizontal="right" wrapText="1"/>
    </xf>
    <xf numFmtId="0" fontId="1" fillId="13" borderId="14" xfId="2" applyFill="1" applyBorder="1" applyAlignment="1">
      <alignment horizontal="right" wrapText="1"/>
    </xf>
    <xf numFmtId="0" fontId="1" fillId="14" borderId="0" xfId="2" applyFill="1" applyAlignment="1">
      <alignment horizontal="center" wrapText="1"/>
    </xf>
    <xf numFmtId="0" fontId="1" fillId="14" borderId="16" xfId="2" applyFill="1" applyBorder="1" applyAlignment="1">
      <alignment horizontal="center" wrapText="1"/>
    </xf>
    <xf numFmtId="0" fontId="1" fillId="24" borderId="0" xfId="2" applyFill="1" applyAlignment="1">
      <alignment horizontal="center" wrapText="1"/>
    </xf>
    <xf numFmtId="0" fontId="1" fillId="15" borderId="0" xfId="2" applyFill="1" applyAlignment="1">
      <alignment horizontal="center" wrapText="1"/>
    </xf>
    <xf numFmtId="0" fontId="1" fillId="12" borderId="0" xfId="2" applyFill="1" applyAlignment="1">
      <alignment horizontal="center" wrapText="1"/>
    </xf>
    <xf numFmtId="0" fontId="1" fillId="15" borderId="0" xfId="2" applyFill="1" applyAlignment="1">
      <alignment horizontal="right" wrapText="1"/>
    </xf>
    <xf numFmtId="0" fontId="1" fillId="12" borderId="14" xfId="2" applyFill="1" applyBorder="1" applyAlignment="1">
      <alignment horizontal="center" wrapText="1"/>
    </xf>
    <xf numFmtId="0" fontId="1" fillId="10" borderId="0" xfId="2" applyFill="1" applyAlignment="1">
      <alignment horizontal="center" wrapText="1"/>
    </xf>
    <xf numFmtId="0" fontId="1" fillId="10" borderId="14" xfId="2" applyFill="1" applyBorder="1" applyAlignment="1">
      <alignment horizontal="right" wrapText="1"/>
    </xf>
    <xf numFmtId="0" fontId="1" fillId="0" borderId="0" xfId="2"/>
    <xf numFmtId="0" fontId="1" fillId="10" borderId="23" xfId="2" applyFill="1" applyBorder="1"/>
    <xf numFmtId="14" fontId="1" fillId="0" borderId="23" xfId="2" applyNumberFormat="1" applyBorder="1"/>
    <xf numFmtId="0" fontId="1" fillId="0" borderId="23" xfId="2" applyBorder="1" applyAlignment="1">
      <alignment horizontal="left"/>
    </xf>
    <xf numFmtId="0" fontId="1" fillId="0" borderId="23" xfId="2" applyBorder="1"/>
    <xf numFmtId="166" fontId="1" fillId="0" borderId="23" xfId="2" applyNumberFormat="1" applyBorder="1"/>
    <xf numFmtId="0" fontId="1" fillId="0" borderId="23" xfId="2" applyBorder="1" applyAlignment="1">
      <alignment horizontal="right"/>
    </xf>
    <xf numFmtId="1" fontId="1" fillId="0" borderId="23" xfId="2" applyNumberFormat="1" applyBorder="1"/>
    <xf numFmtId="2" fontId="1" fillId="0" borderId="23" xfId="2" applyNumberFormat="1" applyBorder="1"/>
    <xf numFmtId="0" fontId="1" fillId="0" borderId="23" xfId="2" applyBorder="1" applyAlignment="1">
      <alignment horizontal="center"/>
    </xf>
    <xf numFmtId="14" fontId="1" fillId="0" borderId="23" xfId="2" applyNumberFormat="1" applyBorder="1" applyAlignment="1">
      <alignment horizontal="left"/>
    </xf>
    <xf numFmtId="38" fontId="1" fillId="0" borderId="23" xfId="2" applyNumberFormat="1" applyBorder="1" applyAlignment="1">
      <alignment horizontal="center"/>
    </xf>
    <xf numFmtId="14" fontId="1" fillId="0" borderId="23" xfId="2" applyNumberFormat="1" applyBorder="1" applyAlignment="1">
      <alignment horizontal="right"/>
    </xf>
    <xf numFmtId="0" fontId="33" fillId="6" borderId="6" xfId="2" applyFont="1" applyFill="1" applyBorder="1" applyProtection="1">
      <protection hidden="1"/>
    </xf>
    <xf numFmtId="0" fontId="33" fillId="6" borderId="7" xfId="2" applyFont="1" applyFill="1" applyBorder="1" applyProtection="1">
      <protection hidden="1"/>
    </xf>
    <xf numFmtId="0" fontId="29" fillId="6" borderId="7" xfId="2" applyFont="1" applyFill="1" applyBorder="1" applyProtection="1">
      <protection hidden="1"/>
    </xf>
    <xf numFmtId="0" fontId="29" fillId="6" borderId="8" xfId="2" applyFont="1" applyFill="1" applyBorder="1" applyProtection="1">
      <protection hidden="1"/>
    </xf>
    <xf numFmtId="0" fontId="29" fillId="6" borderId="4" xfId="2" applyFont="1" applyFill="1" applyBorder="1" applyProtection="1">
      <protection hidden="1"/>
    </xf>
    <xf numFmtId="0" fontId="29" fillId="6" borderId="0" xfId="2" applyFont="1" applyFill="1" applyProtection="1">
      <protection hidden="1"/>
    </xf>
    <xf numFmtId="3" fontId="28" fillId="3" borderId="0" xfId="2" applyNumberFormat="1" applyFont="1" applyFill="1" applyProtection="1">
      <protection locked="0"/>
    </xf>
    <xf numFmtId="0" fontId="1" fillId="0" borderId="0" xfId="2" applyProtection="1">
      <protection hidden="1"/>
    </xf>
    <xf numFmtId="0" fontId="29" fillId="6" borderId="5" xfId="2" applyFont="1" applyFill="1" applyBorder="1" applyProtection="1">
      <protection hidden="1"/>
    </xf>
    <xf numFmtId="0" fontId="1" fillId="0" borderId="4" xfId="2" applyBorder="1" applyProtection="1">
      <protection hidden="1"/>
    </xf>
    <xf numFmtId="2" fontId="1" fillId="0" borderId="0" xfId="2" applyNumberFormat="1" applyProtection="1">
      <protection hidden="1"/>
    </xf>
    <xf numFmtId="3" fontId="2" fillId="0" borderId="0" xfId="2" applyNumberFormat="1" applyFont="1" applyProtection="1">
      <protection hidden="1"/>
    </xf>
    <xf numFmtId="0" fontId="29" fillId="0" borderId="21" xfId="2" applyFont="1" applyBorder="1" applyProtection="1">
      <protection hidden="1"/>
    </xf>
    <xf numFmtId="0" fontId="1" fillId="0" borderId="0" xfId="2" applyAlignment="1" applyProtection="1">
      <alignment horizontal="center"/>
      <protection hidden="1"/>
    </xf>
    <xf numFmtId="0" fontId="1" fillId="0" borderId="5" xfId="2" applyBorder="1" applyAlignment="1" applyProtection="1">
      <alignment horizontal="center"/>
      <protection hidden="1"/>
    </xf>
    <xf numFmtId="0" fontId="1" fillId="0" borderId="9" xfId="2" applyBorder="1" applyProtection="1">
      <protection hidden="1"/>
    </xf>
    <xf numFmtId="0" fontId="1" fillId="0" borderId="3" xfId="2" applyBorder="1" applyProtection="1">
      <protection hidden="1"/>
    </xf>
    <xf numFmtId="2" fontId="1" fillId="0" borderId="3" xfId="2" applyNumberFormat="1" applyBorder="1" applyProtection="1">
      <protection hidden="1"/>
    </xf>
    <xf numFmtId="3" fontId="2" fillId="0" borderId="3" xfId="2" applyNumberFormat="1" applyFont="1" applyBorder="1" applyProtection="1">
      <protection hidden="1"/>
    </xf>
    <xf numFmtId="0" fontId="29" fillId="0" borderId="24" xfId="2" applyFont="1" applyBorder="1" applyProtection="1">
      <protection hidden="1"/>
    </xf>
    <xf numFmtId="0" fontId="1" fillId="0" borderId="3" xfId="2" applyBorder="1" applyAlignment="1" applyProtection="1">
      <alignment horizontal="center"/>
      <protection hidden="1"/>
    </xf>
    <xf numFmtId="0" fontId="1" fillId="0" borderId="10" xfId="2" applyBorder="1" applyAlignment="1" applyProtection="1">
      <alignment horizontal="center"/>
      <protection hidden="1"/>
    </xf>
    <xf numFmtId="38" fontId="1" fillId="0" borderId="0" xfId="2" applyNumberFormat="1" applyAlignment="1" applyProtection="1">
      <alignment horizontal="center"/>
      <protection hidden="1"/>
    </xf>
    <xf numFmtId="38" fontId="1" fillId="0" borderId="3" xfId="2" applyNumberFormat="1" applyBorder="1" applyAlignment="1" applyProtection="1">
      <alignment horizontal="center"/>
      <protection hidden="1"/>
    </xf>
    <xf numFmtId="49" fontId="1" fillId="26" borderId="18" xfId="0" applyNumberFormat="1" applyFont="1" applyFill="1" applyBorder="1" applyProtection="1">
      <protection hidden="1"/>
    </xf>
    <xf numFmtId="0" fontId="29" fillId="26" borderId="0" xfId="2" applyFont="1" applyFill="1" applyProtection="1">
      <protection hidden="1"/>
    </xf>
    <xf numFmtId="0" fontId="1" fillId="26" borderId="0" xfId="2" applyFill="1" applyProtection="1">
      <protection hidden="1"/>
    </xf>
    <xf numFmtId="0" fontId="28" fillId="26" borderId="0" xfId="2" applyFont="1" applyFill="1" applyProtection="1">
      <protection hidden="1"/>
    </xf>
    <xf numFmtId="0" fontId="29" fillId="26" borderId="3" xfId="2" applyFont="1" applyFill="1" applyBorder="1" applyProtection="1">
      <protection hidden="1"/>
    </xf>
    <xf numFmtId="0" fontId="32" fillId="0" borderId="23" xfId="1" applyBorder="1" applyAlignment="1" applyProtection="1"/>
    <xf numFmtId="0" fontId="33" fillId="4" borderId="26" xfId="2" applyFont="1" applyFill="1" applyBorder="1" applyAlignment="1" applyProtection="1">
      <alignment wrapText="1"/>
      <protection hidden="1"/>
    </xf>
    <xf numFmtId="0" fontId="33" fillId="4" borderId="27" xfId="2" applyFont="1" applyFill="1" applyBorder="1" applyAlignment="1" applyProtection="1">
      <alignment wrapText="1"/>
      <protection hidden="1"/>
    </xf>
    <xf numFmtId="0" fontId="33" fillId="4" borderId="28" xfId="2" applyFont="1" applyFill="1" applyBorder="1" applyAlignment="1" applyProtection="1">
      <alignment wrapText="1"/>
      <protection hidden="1"/>
    </xf>
    <xf numFmtId="0" fontId="28" fillId="4" borderId="23" xfId="2" applyFont="1" applyFill="1" applyBorder="1" applyAlignment="1" applyProtection="1">
      <alignment wrapText="1"/>
      <protection hidden="1"/>
    </xf>
    <xf numFmtId="0" fontId="29" fillId="4" borderId="28" xfId="2" applyFont="1" applyFill="1" applyBorder="1" applyAlignment="1" applyProtection="1">
      <alignment horizontal="center" wrapText="1"/>
      <protection hidden="1"/>
    </xf>
    <xf numFmtId="0" fontId="29" fillId="4" borderId="23" xfId="2" applyFont="1" applyFill="1" applyBorder="1" applyAlignment="1" applyProtection="1">
      <alignment horizontal="center" wrapText="1"/>
      <protection hidden="1"/>
    </xf>
    <xf numFmtId="0" fontId="29" fillId="25" borderId="23" xfId="2" applyFont="1" applyFill="1" applyBorder="1" applyAlignment="1" applyProtection="1">
      <alignment horizontal="center" wrapText="1"/>
      <protection hidden="1"/>
    </xf>
    <xf numFmtId="0" fontId="28" fillId="25" borderId="23" xfId="2" applyFont="1" applyFill="1" applyBorder="1" applyAlignment="1" applyProtection="1">
      <alignment horizontal="center" wrapText="1"/>
      <protection hidden="1"/>
    </xf>
    <xf numFmtId="0" fontId="1" fillId="0" borderId="31" xfId="2" applyBorder="1" applyProtection="1">
      <protection hidden="1"/>
    </xf>
    <xf numFmtId="0" fontId="1" fillId="0" borderId="32" xfId="2" applyBorder="1" applyProtection="1">
      <protection hidden="1"/>
    </xf>
    <xf numFmtId="2" fontId="1" fillId="0" borderId="32" xfId="2" applyNumberFormat="1" applyBorder="1" applyProtection="1">
      <protection hidden="1"/>
    </xf>
    <xf numFmtId="3" fontId="2" fillId="0" borderId="32" xfId="2" applyNumberFormat="1" applyFont="1" applyBorder="1" applyProtection="1">
      <protection hidden="1"/>
    </xf>
    <xf numFmtId="0" fontId="29" fillId="0" borderId="33" xfId="2" applyFont="1" applyBorder="1" applyProtection="1">
      <protection hidden="1"/>
    </xf>
    <xf numFmtId="0" fontId="1" fillId="0" borderId="32" xfId="2" applyBorder="1" applyAlignment="1" applyProtection="1">
      <alignment horizontal="center"/>
      <protection hidden="1"/>
    </xf>
    <xf numFmtId="0" fontId="1" fillId="0" borderId="34" xfId="2" applyBorder="1" applyAlignment="1" applyProtection="1">
      <alignment horizontal="center"/>
      <protection hidden="1"/>
    </xf>
    <xf numFmtId="0" fontId="1" fillId="0" borderId="36" xfId="2" applyBorder="1" applyProtection="1">
      <protection hidden="1"/>
    </xf>
    <xf numFmtId="0" fontId="1" fillId="0" borderId="37" xfId="2" applyBorder="1" applyProtection="1">
      <protection hidden="1"/>
    </xf>
    <xf numFmtId="2" fontId="1" fillId="0" borderId="37" xfId="2" applyNumberFormat="1" applyBorder="1" applyProtection="1">
      <protection hidden="1"/>
    </xf>
    <xf numFmtId="3" fontId="2" fillId="0" borderId="37" xfId="2" applyNumberFormat="1" applyFont="1" applyBorder="1" applyProtection="1">
      <protection hidden="1"/>
    </xf>
    <xf numFmtId="0" fontId="29" fillId="0" borderId="38" xfId="2" applyFont="1" applyBorder="1" applyProtection="1">
      <protection hidden="1"/>
    </xf>
    <xf numFmtId="0" fontId="1" fillId="0" borderId="37" xfId="2" applyBorder="1" applyAlignment="1" applyProtection="1">
      <alignment horizontal="center"/>
      <protection hidden="1"/>
    </xf>
    <xf numFmtId="0" fontId="1" fillId="0" borderId="39" xfId="2" applyBorder="1" applyAlignment="1" applyProtection="1">
      <alignment horizontal="center"/>
      <protection hidden="1"/>
    </xf>
    <xf numFmtId="0" fontId="1" fillId="0" borderId="35" xfId="2" applyBorder="1" applyProtection="1">
      <protection hidden="1"/>
    </xf>
    <xf numFmtId="0" fontId="1" fillId="0" borderId="40" xfId="2" applyBorder="1" applyProtection="1">
      <protection hidden="1"/>
    </xf>
    <xf numFmtId="2" fontId="1" fillId="0" borderId="40" xfId="2" applyNumberFormat="1" applyBorder="1" applyProtection="1">
      <protection hidden="1"/>
    </xf>
    <xf numFmtId="3" fontId="2" fillId="0" borderId="40" xfId="2" applyNumberFormat="1" applyFont="1" applyBorder="1" applyProtection="1">
      <protection hidden="1"/>
    </xf>
    <xf numFmtId="0" fontId="29" fillId="0" borderId="41" xfId="2" applyFont="1" applyBorder="1" applyProtection="1">
      <protection hidden="1"/>
    </xf>
    <xf numFmtId="0" fontId="1" fillId="0" borderId="40" xfId="2" applyBorder="1" applyAlignment="1" applyProtection="1">
      <alignment horizontal="center"/>
      <protection hidden="1"/>
    </xf>
    <xf numFmtId="0" fontId="1" fillId="0" borderId="42" xfId="2" applyBorder="1" applyAlignment="1" applyProtection="1">
      <alignment horizontal="center"/>
      <protection hidden="1"/>
    </xf>
    <xf numFmtId="3" fontId="2" fillId="0" borderId="32" xfId="2" applyNumberFormat="1" applyFont="1" applyFill="1" applyBorder="1" applyProtection="1">
      <protection hidden="1"/>
    </xf>
    <xf numFmtId="0" fontId="1" fillId="0" borderId="0" xfId="2" applyBorder="1" applyProtection="1">
      <protection hidden="1"/>
    </xf>
    <xf numFmtId="2" fontId="1" fillId="0" borderId="0" xfId="2" applyNumberFormat="1" applyBorder="1" applyProtection="1">
      <protection hidden="1"/>
    </xf>
    <xf numFmtId="3" fontId="2" fillId="0" borderId="0" xfId="2" applyNumberFormat="1" applyFont="1" applyFill="1" applyBorder="1" applyProtection="1">
      <protection hidden="1"/>
    </xf>
    <xf numFmtId="0" fontId="1" fillId="0" borderId="0" xfId="2" applyBorder="1" applyAlignment="1" applyProtection="1">
      <alignment horizontal="center"/>
      <protection hidden="1"/>
    </xf>
    <xf numFmtId="38" fontId="1" fillId="0" borderId="0" xfId="2" applyNumberFormat="1" applyBorder="1" applyAlignment="1" applyProtection="1">
      <alignment horizontal="center"/>
      <protection hidden="1"/>
    </xf>
    <xf numFmtId="0" fontId="1" fillId="26" borderId="0" xfId="2" applyFill="1" applyBorder="1" applyProtection="1">
      <protection hidden="1"/>
    </xf>
    <xf numFmtId="3" fontId="2" fillId="0" borderId="37" xfId="2" applyNumberFormat="1" applyFont="1" applyFill="1" applyBorder="1" applyProtection="1">
      <protection hidden="1"/>
    </xf>
    <xf numFmtId="38" fontId="1" fillId="0" borderId="32" xfId="2" applyNumberFormat="1" applyBorder="1" applyAlignment="1" applyProtection="1">
      <alignment horizontal="center"/>
      <protection hidden="1"/>
    </xf>
    <xf numFmtId="0" fontId="28" fillId="25" borderId="23" xfId="2" applyFont="1" applyFill="1" applyBorder="1" applyAlignment="1" applyProtection="1">
      <alignment wrapText="1"/>
      <protection hidden="1"/>
    </xf>
    <xf numFmtId="0" fontId="29" fillId="25" borderId="23" xfId="2" applyFont="1" applyFill="1" applyBorder="1" applyAlignment="1" applyProtection="1">
      <alignment wrapText="1"/>
      <protection hidden="1"/>
    </xf>
    <xf numFmtId="2" fontId="1" fillId="0" borderId="0" xfId="2" applyNumberFormat="1" applyFill="1" applyProtection="1">
      <protection hidden="1"/>
    </xf>
    <xf numFmtId="1" fontId="1" fillId="0" borderId="0" xfId="2" applyNumberFormat="1" applyFill="1" applyProtection="1">
      <protection hidden="1"/>
    </xf>
    <xf numFmtId="2" fontId="1" fillId="0" borderId="32" xfId="2" applyNumberFormat="1" applyFill="1" applyBorder="1" applyProtection="1">
      <protection hidden="1"/>
    </xf>
    <xf numFmtId="1" fontId="1" fillId="0" borderId="32" xfId="2" applyNumberFormat="1" applyFill="1" applyBorder="1" applyProtection="1">
      <protection hidden="1"/>
    </xf>
    <xf numFmtId="2" fontId="1" fillId="0" borderId="37" xfId="2" applyNumberFormat="1" applyFill="1" applyBorder="1" applyProtection="1">
      <protection hidden="1"/>
    </xf>
    <xf numFmtId="1" fontId="1" fillId="0" borderId="37" xfId="2" applyNumberFormat="1" applyFill="1" applyBorder="1" applyProtection="1">
      <protection hidden="1"/>
    </xf>
    <xf numFmtId="2" fontId="1" fillId="0" borderId="40" xfId="2" applyNumberFormat="1" applyFill="1" applyBorder="1" applyProtection="1">
      <protection hidden="1"/>
    </xf>
    <xf numFmtId="1" fontId="1" fillId="0" borderId="40" xfId="2" applyNumberFormat="1" applyFill="1" applyBorder="1" applyProtection="1">
      <protection hidden="1"/>
    </xf>
    <xf numFmtId="2" fontId="1" fillId="0" borderId="0" xfId="2" applyNumberFormat="1" applyFill="1" applyBorder="1" applyProtection="1">
      <protection hidden="1"/>
    </xf>
    <xf numFmtId="1" fontId="1" fillId="0" borderId="0" xfId="2" applyNumberFormat="1" applyFill="1" applyBorder="1" applyProtection="1">
      <protection hidden="1"/>
    </xf>
    <xf numFmtId="2" fontId="1" fillId="0" borderId="3" xfId="2" applyNumberFormat="1" applyFill="1" applyBorder="1" applyProtection="1">
      <protection hidden="1"/>
    </xf>
    <xf numFmtId="1" fontId="1" fillId="0" borderId="3" xfId="2" applyNumberFormat="1" applyFill="1" applyBorder="1" applyProtection="1">
      <protection hidden="1"/>
    </xf>
    <xf numFmtId="3" fontId="29" fillId="0" borderId="0" xfId="2" applyNumberFormat="1" applyFont="1" applyFill="1" applyProtection="1">
      <protection hidden="1"/>
    </xf>
    <xf numFmtId="3" fontId="29" fillId="0" borderId="32" xfId="2" applyNumberFormat="1" applyFont="1" applyFill="1" applyBorder="1" applyProtection="1">
      <protection hidden="1"/>
    </xf>
    <xf numFmtId="3" fontId="29" fillId="0" borderId="37" xfId="2" applyNumberFormat="1" applyFont="1" applyFill="1" applyBorder="1" applyProtection="1">
      <protection hidden="1"/>
    </xf>
    <xf numFmtId="3" fontId="29" fillId="0" borderId="40" xfId="2" applyNumberFormat="1" applyFont="1" applyFill="1" applyBorder="1" applyProtection="1">
      <protection hidden="1"/>
    </xf>
    <xf numFmtId="3" fontId="29" fillId="0" borderId="0" xfId="2" applyNumberFormat="1" applyFont="1" applyFill="1" applyBorder="1" applyProtection="1">
      <protection hidden="1"/>
    </xf>
    <xf numFmtId="3" fontId="29" fillId="0" borderId="25" xfId="2" applyNumberFormat="1" applyFont="1" applyFill="1" applyBorder="1" applyProtection="1">
      <protection hidden="1"/>
    </xf>
    <xf numFmtId="3" fontId="29" fillId="0" borderId="3" xfId="2" applyNumberFormat="1" applyFont="1" applyFill="1" applyBorder="1" applyProtection="1">
      <protection hidden="1"/>
    </xf>
    <xf numFmtId="0" fontId="28" fillId="21" borderId="23" xfId="2" applyFont="1" applyFill="1" applyBorder="1" applyAlignment="1" applyProtection="1">
      <alignment horizontal="center" wrapText="1"/>
      <protection hidden="1"/>
    </xf>
    <xf numFmtId="3" fontId="28" fillId="21" borderId="2" xfId="2" applyNumberFormat="1" applyFont="1" applyFill="1" applyBorder="1" applyProtection="1">
      <protection hidden="1"/>
    </xf>
    <xf numFmtId="3" fontId="28" fillId="21" borderId="0" xfId="2" applyNumberFormat="1" applyFont="1" applyFill="1" applyBorder="1" applyProtection="1">
      <protection hidden="1"/>
    </xf>
    <xf numFmtId="3" fontId="28" fillId="21" borderId="32" xfId="2" applyNumberFormat="1" applyFont="1" applyFill="1" applyBorder="1" applyProtection="1">
      <protection hidden="1"/>
    </xf>
    <xf numFmtId="3" fontId="28" fillId="21" borderId="37" xfId="2" applyNumberFormat="1" applyFont="1" applyFill="1" applyBorder="1" applyProtection="1">
      <protection hidden="1"/>
    </xf>
    <xf numFmtId="3" fontId="28" fillId="21" borderId="40" xfId="2" applyNumberFormat="1" applyFont="1" applyFill="1" applyBorder="1" applyProtection="1">
      <protection hidden="1"/>
    </xf>
    <xf numFmtId="3" fontId="28" fillId="21" borderId="3" xfId="2" applyNumberFormat="1" applyFont="1" applyFill="1" applyBorder="1" applyProtection="1">
      <protection hidden="1"/>
    </xf>
    <xf numFmtId="0" fontId="29" fillId="4" borderId="43" xfId="2" applyFont="1" applyFill="1" applyBorder="1" applyAlignment="1" applyProtection="1">
      <alignment horizontal="center" wrapText="1"/>
      <protection hidden="1"/>
    </xf>
    <xf numFmtId="0" fontId="33" fillId="4" borderId="26" xfId="0" applyFont="1" applyFill="1" applyBorder="1" applyAlignment="1" applyProtection="1">
      <alignment wrapText="1"/>
      <protection hidden="1"/>
    </xf>
    <xf numFmtId="0" fontId="33" fillId="4" borderId="27" xfId="0" applyFont="1" applyFill="1" applyBorder="1" applyAlignment="1" applyProtection="1">
      <alignment wrapText="1"/>
      <protection hidden="1"/>
    </xf>
    <xf numFmtId="0" fontId="33" fillId="4" borderId="23" xfId="0" applyFont="1" applyFill="1" applyBorder="1" applyAlignment="1" applyProtection="1">
      <alignment wrapText="1"/>
      <protection hidden="1"/>
    </xf>
    <xf numFmtId="0" fontId="33" fillId="4" borderId="28" xfId="0" applyFont="1" applyFill="1" applyBorder="1" applyAlignment="1" applyProtection="1">
      <alignment wrapText="1"/>
      <protection hidden="1"/>
    </xf>
    <xf numFmtId="0" fontId="28" fillId="4" borderId="23" xfId="0" applyFont="1" applyFill="1" applyBorder="1" applyAlignment="1" applyProtection="1">
      <alignment wrapText="1"/>
      <protection hidden="1"/>
    </xf>
    <xf numFmtId="0" fontId="29" fillId="4" borderId="23" xfId="0" applyFont="1" applyFill="1" applyBorder="1" applyAlignment="1" applyProtection="1">
      <alignment wrapText="1"/>
      <protection hidden="1"/>
    </xf>
    <xf numFmtId="0" fontId="29" fillId="4" borderId="28" xfId="0" applyFont="1" applyFill="1" applyBorder="1" applyAlignment="1" applyProtection="1">
      <alignment horizontal="center" wrapText="1"/>
      <protection hidden="1"/>
    </xf>
    <xf numFmtId="0" fontId="29" fillId="4" borderId="23" xfId="0" applyFont="1" applyFill="1" applyBorder="1" applyAlignment="1" applyProtection="1">
      <alignment horizontal="center" wrapText="1"/>
      <protection hidden="1"/>
    </xf>
    <xf numFmtId="0" fontId="28" fillId="4" borderId="23" xfId="0" applyFont="1" applyFill="1" applyBorder="1" applyAlignment="1" applyProtection="1">
      <alignment horizontal="center" wrapText="1"/>
      <protection hidden="1"/>
    </xf>
    <xf numFmtId="0" fontId="29" fillId="4" borderId="29" xfId="0" applyFont="1" applyFill="1" applyBorder="1" applyAlignment="1" applyProtection="1">
      <alignment horizontal="center" wrapText="1"/>
      <protection hidden="1"/>
    </xf>
    <xf numFmtId="0" fontId="29" fillId="4" borderId="30" xfId="0" applyFont="1" applyFill="1" applyBorder="1" applyAlignment="1" applyProtection="1">
      <alignment horizontal="center" wrapText="1"/>
      <protection hidden="1"/>
    </xf>
    <xf numFmtId="0" fontId="29" fillId="4" borderId="43" xfId="0" applyFont="1" applyFill="1" applyBorder="1" applyAlignment="1" applyProtection="1">
      <alignment horizontal="center" wrapText="1"/>
      <protection hidden="1"/>
    </xf>
    <xf numFmtId="0" fontId="28" fillId="25" borderId="23" xfId="0" applyFont="1" applyFill="1" applyBorder="1" applyAlignment="1" applyProtection="1">
      <alignment horizontal="center" wrapText="1"/>
      <protection hidden="1"/>
    </xf>
    <xf numFmtId="0" fontId="28" fillId="25" borderId="23" xfId="0" applyFont="1" applyFill="1" applyBorder="1" applyAlignment="1" applyProtection="1">
      <alignment wrapText="1"/>
      <protection hidden="1"/>
    </xf>
    <xf numFmtId="0" fontId="29" fillId="25" borderId="23" xfId="0" applyFont="1" applyFill="1" applyBorder="1" applyAlignment="1" applyProtection="1">
      <alignment wrapText="1"/>
      <protection hidden="1"/>
    </xf>
    <xf numFmtId="2" fontId="0" fillId="0" borderId="0" xfId="0" applyNumberFormat="1" applyFill="1" applyBorder="1" applyProtection="1">
      <protection hidden="1"/>
    </xf>
    <xf numFmtId="1" fontId="0" fillId="0" borderId="0" xfId="0" applyNumberFormat="1" applyFill="1" applyBorder="1" applyProtection="1">
      <protection hidden="1"/>
    </xf>
    <xf numFmtId="3" fontId="2" fillId="0" borderId="0" xfId="0" applyNumberFormat="1" applyFont="1" applyFill="1" applyBorder="1" applyProtection="1">
      <protection hidden="1"/>
    </xf>
    <xf numFmtId="1" fontId="34" fillId="0" borderId="0" xfId="0" applyNumberFormat="1" applyFont="1" applyFill="1" applyBorder="1" applyProtection="1">
      <protection hidden="1"/>
    </xf>
    <xf numFmtId="2" fontId="0" fillId="0" borderId="3" xfId="0" applyNumberFormat="1" applyFill="1" applyBorder="1" applyProtection="1">
      <protection hidden="1"/>
    </xf>
    <xf numFmtId="1" fontId="0" fillId="0" borderId="3" xfId="0" applyNumberFormat="1" applyFill="1" applyBorder="1" applyProtection="1">
      <protection hidden="1"/>
    </xf>
    <xf numFmtId="3" fontId="2" fillId="0" borderId="3" xfId="0" applyNumberFormat="1" applyFont="1" applyFill="1" applyBorder="1" applyProtection="1">
      <protection hidden="1"/>
    </xf>
    <xf numFmtId="0" fontId="0" fillId="0" borderId="3" xfId="0" applyFill="1" applyBorder="1" applyProtection="1">
      <protection hidden="1"/>
    </xf>
    <xf numFmtId="2" fontId="0" fillId="0" borderId="40" xfId="0" applyNumberFormat="1" applyFill="1" applyBorder="1" applyProtection="1">
      <protection hidden="1"/>
    </xf>
    <xf numFmtId="1" fontId="0" fillId="0" borderId="40" xfId="0" applyNumberFormat="1" applyFill="1" applyBorder="1" applyProtection="1">
      <protection hidden="1"/>
    </xf>
    <xf numFmtId="3" fontId="2" fillId="0" borderId="40" xfId="0" applyNumberFormat="1" applyFont="1" applyFill="1" applyBorder="1" applyProtection="1">
      <protection hidden="1"/>
    </xf>
    <xf numFmtId="0" fontId="0" fillId="0" borderId="40" xfId="0" applyFill="1" applyBorder="1" applyProtection="1">
      <protection hidden="1"/>
    </xf>
    <xf numFmtId="3" fontId="2" fillId="21" borderId="40" xfId="0" applyNumberFormat="1" applyFont="1" applyFill="1" applyBorder="1" applyProtection="1">
      <protection hidden="1"/>
    </xf>
    <xf numFmtId="0" fontId="0" fillId="0" borderId="31" xfId="0" applyBorder="1" applyProtection="1">
      <protection hidden="1"/>
    </xf>
    <xf numFmtId="0" fontId="0" fillId="0" borderId="32" xfId="0" applyBorder="1" applyProtection="1">
      <protection hidden="1"/>
    </xf>
    <xf numFmtId="2" fontId="0" fillId="0" borderId="32" xfId="0" applyNumberFormat="1" applyBorder="1" applyProtection="1">
      <protection hidden="1"/>
    </xf>
    <xf numFmtId="2" fontId="0" fillId="0" borderId="32" xfId="0" applyNumberFormat="1" applyFill="1" applyBorder="1" applyProtection="1">
      <protection hidden="1"/>
    </xf>
    <xf numFmtId="1" fontId="0" fillId="0" borderId="32" xfId="0" applyNumberFormat="1" applyFill="1" applyBorder="1" applyProtection="1">
      <protection hidden="1"/>
    </xf>
    <xf numFmtId="3" fontId="2" fillId="0" borderId="32" xfId="0" applyNumberFormat="1" applyFont="1" applyFill="1" applyBorder="1" applyProtection="1">
      <protection hidden="1"/>
    </xf>
    <xf numFmtId="0" fontId="0" fillId="0" borderId="32" xfId="0" applyFill="1" applyBorder="1" applyProtection="1">
      <protection hidden="1"/>
    </xf>
    <xf numFmtId="3" fontId="2" fillId="0" borderId="32" xfId="0" applyNumberFormat="1" applyFont="1" applyBorder="1" applyProtection="1">
      <protection hidden="1"/>
    </xf>
    <xf numFmtId="0" fontId="0" fillId="0" borderId="32" xfId="0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0" borderId="37" xfId="0" applyBorder="1" applyProtection="1">
      <protection hidden="1"/>
    </xf>
    <xf numFmtId="2" fontId="0" fillId="0" borderId="37" xfId="0" applyNumberFormat="1" applyBorder="1" applyProtection="1">
      <protection hidden="1"/>
    </xf>
    <xf numFmtId="2" fontId="0" fillId="0" borderId="37" xfId="0" applyNumberFormat="1" applyFill="1" applyBorder="1" applyProtection="1">
      <protection hidden="1"/>
    </xf>
    <xf numFmtId="1" fontId="0" fillId="0" borderId="37" xfId="0" applyNumberFormat="1" applyFill="1" applyBorder="1" applyProtection="1">
      <protection hidden="1"/>
    </xf>
    <xf numFmtId="3" fontId="2" fillId="0" borderId="37" xfId="0" applyNumberFormat="1" applyFont="1" applyFill="1" applyBorder="1" applyProtection="1">
      <protection hidden="1"/>
    </xf>
    <xf numFmtId="0" fontId="0" fillId="0" borderId="37" xfId="0" applyFill="1" applyBorder="1" applyProtection="1">
      <protection hidden="1"/>
    </xf>
    <xf numFmtId="3" fontId="2" fillId="0" borderId="37" xfId="0" applyNumberFormat="1" applyFont="1" applyBorder="1" applyProtection="1">
      <protection hidden="1"/>
    </xf>
    <xf numFmtId="0" fontId="0" fillId="0" borderId="37" xfId="0" applyBorder="1" applyAlignment="1" applyProtection="1">
      <alignment horizontal="center"/>
      <protection hidden="1"/>
    </xf>
    <xf numFmtId="0" fontId="0" fillId="0" borderId="39" xfId="0" applyBorder="1" applyAlignment="1" applyProtection="1">
      <alignment horizontal="center"/>
      <protection hidden="1"/>
    </xf>
    <xf numFmtId="0" fontId="0" fillId="0" borderId="35" xfId="0" applyBorder="1" applyProtection="1">
      <protection hidden="1"/>
    </xf>
    <xf numFmtId="0" fontId="0" fillId="0" borderId="40" xfId="0" applyBorder="1" applyProtection="1">
      <protection hidden="1"/>
    </xf>
    <xf numFmtId="2" fontId="0" fillId="0" borderId="40" xfId="0" applyNumberFormat="1" applyBorder="1" applyProtection="1">
      <protection hidden="1"/>
    </xf>
    <xf numFmtId="3" fontId="2" fillId="0" borderId="40" xfId="0" applyNumberFormat="1" applyFont="1" applyBorder="1" applyProtection="1">
      <protection hidden="1"/>
    </xf>
    <xf numFmtId="0" fontId="0" fillId="0" borderId="40" xfId="0" applyBorder="1" applyAlignment="1" applyProtection="1">
      <alignment horizontal="center"/>
      <protection hidden="1"/>
    </xf>
    <xf numFmtId="0" fontId="0" fillId="0" borderId="42" xfId="0" applyBorder="1" applyAlignment="1" applyProtection="1">
      <alignment horizontal="center"/>
      <protection hidden="1"/>
    </xf>
    <xf numFmtId="0" fontId="0" fillId="20" borderId="0" xfId="0" applyFill="1" applyBorder="1" applyProtection="1">
      <protection hidden="1"/>
    </xf>
    <xf numFmtId="1" fontId="34" fillId="0" borderId="32" xfId="0" applyNumberFormat="1" applyFont="1" applyFill="1" applyBorder="1" applyProtection="1">
      <protection hidden="1"/>
    </xf>
    <xf numFmtId="1" fontId="34" fillId="0" borderId="3" xfId="0" applyNumberFormat="1" applyFont="1" applyFill="1" applyBorder="1" applyProtection="1">
      <protection hidden="1"/>
    </xf>
    <xf numFmtId="3" fontId="2" fillId="21" borderId="32" xfId="0" applyNumberFormat="1" applyFont="1" applyFill="1" applyBorder="1" applyProtection="1">
      <protection hidden="1"/>
    </xf>
    <xf numFmtId="3" fontId="2" fillId="21" borderId="37" xfId="0" applyNumberFormat="1" applyFont="1" applyFill="1" applyBorder="1" applyProtection="1">
      <protection hidden="1"/>
    </xf>
    <xf numFmtId="3" fontId="2" fillId="21" borderId="3" xfId="0" applyNumberFormat="1" applyFont="1" applyFill="1" applyBorder="1" applyProtection="1">
      <protection hidden="1"/>
    </xf>
    <xf numFmtId="1" fontId="0" fillId="2" borderId="32" xfId="0" applyNumberFormat="1" applyFill="1" applyBorder="1" applyProtection="1">
      <protection hidden="1"/>
    </xf>
    <xf numFmtId="1" fontId="0" fillId="2" borderId="37" xfId="0" applyNumberFormat="1" applyFill="1" applyBorder="1" applyProtection="1">
      <protection hidden="1"/>
    </xf>
    <xf numFmtId="0" fontId="0" fillId="19" borderId="0" xfId="0" applyFill="1" applyBorder="1" applyProtection="1">
      <protection hidden="1"/>
    </xf>
    <xf numFmtId="1" fontId="0" fillId="0" borderId="32" xfId="0" applyNumberFormat="1" applyBorder="1" applyProtection="1">
      <protection hidden="1"/>
    </xf>
    <xf numFmtId="1" fontId="0" fillId="0" borderId="37" xfId="0" applyNumberFormat="1" applyBorder="1" applyProtection="1">
      <protection hidden="1"/>
    </xf>
    <xf numFmtId="1" fontId="0" fillId="0" borderId="40" xfId="0" applyNumberFormat="1" applyBorder="1" applyProtection="1">
      <protection hidden="1"/>
    </xf>
    <xf numFmtId="1" fontId="0" fillId="2" borderId="40" xfId="0" applyNumberFormat="1" applyFill="1" applyBorder="1" applyProtection="1">
      <protection hidden="1"/>
    </xf>
    <xf numFmtId="0" fontId="0" fillId="17" borderId="0" xfId="0" applyFill="1" applyBorder="1" applyProtection="1">
      <protection hidden="1"/>
    </xf>
    <xf numFmtId="0" fontId="0" fillId="13" borderId="0" xfId="0" applyFill="1" applyBorder="1" applyProtection="1">
      <protection hidden="1"/>
    </xf>
    <xf numFmtId="0" fontId="38" fillId="0" borderId="23" xfId="0" applyFont="1" applyBorder="1"/>
    <xf numFmtId="14" fontId="38" fillId="0" borderId="23" xfId="0" applyNumberFormat="1" applyFont="1" applyBorder="1" applyAlignment="1">
      <alignment vertical="center"/>
    </xf>
    <xf numFmtId="0" fontId="38" fillId="0" borderId="23" xfId="0" applyFont="1" applyBorder="1" applyAlignment="1">
      <alignment horizontal="left"/>
    </xf>
    <xf numFmtId="14" fontId="38" fillId="0" borderId="23" xfId="0" applyNumberFormat="1" applyFont="1" applyBorder="1"/>
    <xf numFmtId="2" fontId="38" fillId="0" borderId="23" xfId="0" applyNumberFormat="1" applyFont="1" applyBorder="1"/>
    <xf numFmtId="2" fontId="39" fillId="0" borderId="23" xfId="0" applyNumberFormat="1" applyFont="1" applyBorder="1"/>
    <xf numFmtId="0" fontId="38" fillId="0" borderId="23" xfId="0" applyFont="1" applyBorder="1" applyAlignment="1">
      <alignment horizontal="right"/>
    </xf>
    <xf numFmtId="1" fontId="38" fillId="0" borderId="23" xfId="0" applyNumberFormat="1" applyFont="1" applyBorder="1"/>
    <xf numFmtId="0" fontId="38" fillId="0" borderId="23" xfId="0" applyFont="1" applyBorder="1" applyAlignment="1">
      <alignment horizontal="center"/>
    </xf>
    <xf numFmtId="0" fontId="38" fillId="0" borderId="23" xfId="0" applyFont="1" applyBorder="1" applyAlignment="1">
      <alignment vertical="center"/>
    </xf>
    <xf numFmtId="0" fontId="38" fillId="0" borderId="23" xfId="0" applyFont="1" applyBorder="1" applyAlignment="1">
      <alignment horizontal="left" vertical="center"/>
    </xf>
    <xf numFmtId="0" fontId="38" fillId="0" borderId="23" xfId="0" applyFont="1" applyBorder="1" applyAlignment="1">
      <alignment horizontal="center" vertical="center"/>
    </xf>
    <xf numFmtId="0" fontId="32" fillId="0" borderId="0" xfId="1" applyBorder="1" applyAlignment="1" applyProtection="1"/>
    <xf numFmtId="14" fontId="38" fillId="0" borderId="23" xfId="0" applyNumberFormat="1" applyFont="1" applyBorder="1" applyAlignment="1">
      <alignment horizontal="left"/>
    </xf>
    <xf numFmtId="38" fontId="38" fillId="0" borderId="23" xfId="0" applyNumberFormat="1" applyFont="1" applyBorder="1" applyAlignment="1">
      <alignment horizontal="center"/>
    </xf>
    <xf numFmtId="14" fontId="38" fillId="0" borderId="23" xfId="0" applyNumberFormat="1" applyFont="1" applyBorder="1" applyAlignment="1">
      <alignment horizontal="right"/>
    </xf>
    <xf numFmtId="14" fontId="38" fillId="0" borderId="23" xfId="0" applyNumberFormat="1" applyFont="1" applyBorder="1" applyAlignment="1">
      <alignment horizontal="center"/>
    </xf>
    <xf numFmtId="0" fontId="32" fillId="0" borderId="0" xfId="1" applyFill="1" applyBorder="1" applyAlignment="1" applyProtection="1"/>
    <xf numFmtId="0" fontId="32" fillId="0" borderId="0" xfId="1" applyBorder="1" applyAlignment="1" applyProtection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2" fillId="0" borderId="23" xfId="1" applyFill="1" applyBorder="1" applyAlignment="1" applyProtection="1"/>
    <xf numFmtId="3" fontId="2" fillId="0" borderId="0" xfId="2" applyNumberFormat="1" applyFont="1" applyBorder="1" applyProtection="1">
      <protection hidden="1"/>
    </xf>
    <xf numFmtId="0" fontId="29" fillId="0" borderId="0" xfId="2" applyFont="1" applyBorder="1" applyProtection="1">
      <protection hidden="1"/>
    </xf>
    <xf numFmtId="0" fontId="29" fillId="0" borderId="37" xfId="2" applyFont="1" applyBorder="1" applyProtection="1">
      <protection hidden="1"/>
    </xf>
    <xf numFmtId="0" fontId="0" fillId="27" borderId="0" xfId="0" applyFill="1"/>
    <xf numFmtId="0" fontId="2" fillId="27" borderId="0" xfId="0" applyFont="1" applyFill="1"/>
    <xf numFmtId="0" fontId="29" fillId="6" borderId="0" xfId="2" applyFont="1" applyFill="1" applyBorder="1" applyProtection="1">
      <protection hidden="1"/>
    </xf>
    <xf numFmtId="3" fontId="28" fillId="3" borderId="0" xfId="2" applyNumberFormat="1" applyFont="1" applyFill="1" applyBorder="1" applyProtection="1">
      <protection locked="0"/>
    </xf>
    <xf numFmtId="49" fontId="1" fillId="27" borderId="18" xfId="0" applyNumberFormat="1" applyFont="1" applyFill="1" applyBorder="1" applyProtection="1">
      <protection hidden="1"/>
    </xf>
    <xf numFmtId="0" fontId="29" fillId="28" borderId="0" xfId="0" applyFont="1" applyFill="1" applyProtection="1">
      <protection hidden="1"/>
    </xf>
    <xf numFmtId="49" fontId="40" fillId="29" borderId="18" xfId="0" applyNumberFormat="1" applyFont="1" applyFill="1" applyBorder="1" applyProtection="1">
      <protection hidden="1"/>
    </xf>
    <xf numFmtId="0" fontId="0" fillId="29" borderId="0" xfId="0" applyFill="1"/>
    <xf numFmtId="0" fontId="2" fillId="29" borderId="0" xfId="0" applyFont="1" applyFill="1"/>
    <xf numFmtId="0" fontId="40" fillId="29" borderId="0" xfId="0" applyFont="1" applyFill="1"/>
    <xf numFmtId="0" fontId="41" fillId="29" borderId="0" xfId="0" applyFont="1" applyFill="1"/>
    <xf numFmtId="0" fontId="29" fillId="0" borderId="43" xfId="2" applyFont="1" applyFill="1" applyBorder="1" applyAlignment="1" applyProtection="1">
      <alignment horizontal="center" wrapText="1"/>
      <protection hidden="1"/>
    </xf>
    <xf numFmtId="0" fontId="1" fillId="0" borderId="5" xfId="2" applyFill="1" applyBorder="1" applyAlignment="1" applyProtection="1">
      <alignment horizontal="center"/>
      <protection hidden="1"/>
    </xf>
    <xf numFmtId="0" fontId="1" fillId="0" borderId="39" xfId="2" applyFill="1" applyBorder="1" applyAlignment="1" applyProtection="1">
      <alignment horizontal="center"/>
      <protection hidden="1"/>
    </xf>
    <xf numFmtId="0" fontId="1" fillId="0" borderId="34" xfId="2" applyFill="1" applyBorder="1" applyAlignment="1" applyProtection="1">
      <alignment horizontal="center"/>
      <protection hidden="1"/>
    </xf>
    <xf numFmtId="0" fontId="1" fillId="0" borderId="42" xfId="2" applyFill="1" applyBorder="1" applyAlignment="1" applyProtection="1">
      <alignment horizontal="center"/>
      <protection hidden="1"/>
    </xf>
    <xf numFmtId="0" fontId="1" fillId="0" borderId="10" xfId="2" applyFill="1" applyBorder="1" applyAlignment="1" applyProtection="1">
      <alignment horizontal="center"/>
      <protection hidden="1"/>
    </xf>
    <xf numFmtId="0" fontId="1" fillId="0" borderId="0" xfId="2" applyFill="1" applyBorder="1" applyAlignment="1" applyProtection="1">
      <alignment horizontal="center"/>
      <protection hidden="1"/>
    </xf>
    <xf numFmtId="0" fontId="32" fillId="0" borderId="23" xfId="1" applyBorder="1" applyAlignment="1" applyProtection="1">
      <alignment horizontal="left"/>
    </xf>
    <xf numFmtId="0" fontId="1" fillId="0" borderId="37" xfId="2" applyFill="1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</cellXfs>
  <cellStyles count="3">
    <cellStyle name="Hyperlink" xfId="1" builtinId="8"/>
    <cellStyle name="Normal" xfId="0" builtinId="0"/>
    <cellStyle name="Normal 2" xfId="2" xr:uid="{4F2BC26D-8D5E-FD42-B252-2455A3277019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77</xdr:row>
      <xdr:rowOff>25400</xdr:rowOff>
    </xdr:from>
    <xdr:to>
      <xdr:col>13</xdr:col>
      <xdr:colOff>482600</xdr:colOff>
      <xdr:row>126</xdr:row>
      <xdr:rowOff>101600</xdr:rowOff>
    </xdr:to>
    <xdr:pic>
      <xdr:nvPicPr>
        <xdr:cNvPr id="3" name="Picture 2" descr="Screen Shot Jemena NSW Gas ZONE PM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2852400"/>
          <a:ext cx="11468100" cy="8166100"/>
        </a:xfrm>
        <a:prstGeom prst="rect">
          <a:avLst/>
        </a:prstGeom>
      </xdr:spPr>
    </xdr:pic>
    <xdr:clientData/>
  </xdr:twoCellAnchor>
  <xdr:twoCellAnchor editAs="oneCell">
    <xdr:from>
      <xdr:col>10</xdr:col>
      <xdr:colOff>330200</xdr:colOff>
      <xdr:row>0</xdr:row>
      <xdr:rowOff>0</xdr:rowOff>
    </xdr:from>
    <xdr:to>
      <xdr:col>12</xdr:col>
      <xdr:colOff>317500</xdr:colOff>
      <xdr:row>4</xdr:row>
      <xdr:rowOff>57785</xdr:rowOff>
    </xdr:to>
    <xdr:pic>
      <xdr:nvPicPr>
        <xdr:cNvPr id="4" name="Picture 3" descr="Alviss-Consulting-Logo-Inline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0" y="0"/>
          <a:ext cx="1638300" cy="75628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33</xdr:row>
      <xdr:rowOff>88900</xdr:rowOff>
    </xdr:from>
    <xdr:to>
      <xdr:col>17</xdr:col>
      <xdr:colOff>368300</xdr:colOff>
      <xdr:row>75</xdr:row>
      <xdr:rowOff>114300</xdr:rowOff>
    </xdr:to>
    <xdr:pic>
      <xdr:nvPicPr>
        <xdr:cNvPr id="5" name="Picture 4" descr="Screen Shot 2015-07-09 at 10.51.21 AM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58100" y="6019800"/>
          <a:ext cx="8077200" cy="7162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</xdr:rowOff>
    </xdr:from>
    <xdr:to>
      <xdr:col>9</xdr:col>
      <xdr:colOff>669567</xdr:colOff>
      <xdr:row>4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1700" y="1"/>
          <a:ext cx="4327167" cy="69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SIM240634MRG&amp;utm_source=Simply%20Energy&amp;utm_campaign=bpi-retailer&amp;utm_medium=retailer&amp;postcode=2000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nergymadeeasy.gov.au/plan?id=GLO51057MRG&amp;postcode=2000" TargetMode="External"/><Relationship Id="rId1" Type="http://schemas.openxmlformats.org/officeDocument/2006/relationships/hyperlink" Target="https://www.energymadeeasy.gov.au/plan?id=ALI13035MRG&amp;postcode=2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E180"/>
  <sheetViews>
    <sheetView showGridLines="0" tabSelected="1" workbookViewId="0">
      <selection activeCell="A5" sqref="A5"/>
    </sheetView>
  </sheetViews>
  <sheetFormatPr defaultColWidth="10.84375" defaultRowHeight="13.5" x14ac:dyDescent="0.3"/>
  <cols>
    <col min="1" max="3" width="10.84375" style="35"/>
    <col min="4" max="4" width="14.3046875" style="35" customWidth="1"/>
    <col min="5" max="5" width="15" style="35" customWidth="1"/>
    <col min="6" max="6" width="15.4609375" style="35" customWidth="1"/>
    <col min="7" max="13" width="10.84375" style="35"/>
    <col min="14" max="14" width="13" style="35" customWidth="1"/>
    <col min="15" max="15" width="12.3046875" style="35" customWidth="1"/>
    <col min="16" max="16" width="10.84375" style="35"/>
    <col min="17" max="17" width="12.3046875" style="35" customWidth="1"/>
    <col min="18" max="18" width="11.84375" style="35" customWidth="1"/>
    <col min="19" max="20" width="14.15234375" style="35" customWidth="1"/>
    <col min="21" max="16384" width="10.84375" style="35"/>
  </cols>
  <sheetData>
    <row r="1" spans="1:100" ht="14" x14ac:dyDescent="0.3">
      <c r="A1" s="90" t="s">
        <v>738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2" t="s">
        <v>128</v>
      </c>
      <c r="O1" s="93"/>
      <c r="P1" s="93"/>
      <c r="Q1" s="93"/>
      <c r="R1" s="93"/>
      <c r="S1" s="93"/>
      <c r="T1" s="94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</row>
    <row r="2" spans="1:100" ht="14" x14ac:dyDescent="0.3">
      <c r="A2" s="90" t="s">
        <v>188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7" t="s">
        <v>213</v>
      </c>
      <c r="O2" s="98"/>
      <c r="P2" s="98"/>
      <c r="Q2" s="98"/>
      <c r="R2" s="98"/>
      <c r="S2" s="98"/>
      <c r="T2" s="99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</row>
    <row r="3" spans="1:100" ht="14" x14ac:dyDescent="0.3">
      <c r="A3" s="95" t="s">
        <v>737</v>
      </c>
      <c r="B3" s="96"/>
      <c r="C3" s="96"/>
      <c r="D3" s="96"/>
      <c r="E3" s="96"/>
      <c r="F3" s="96"/>
      <c r="G3" s="91"/>
      <c r="H3" s="91"/>
      <c r="I3" s="91"/>
      <c r="J3" s="91"/>
      <c r="K3" s="91"/>
      <c r="L3" s="91"/>
      <c r="M3" s="91"/>
      <c r="N3" s="97" t="s">
        <v>208</v>
      </c>
      <c r="O3" s="98"/>
      <c r="P3" s="98"/>
      <c r="Q3" s="98"/>
      <c r="R3" s="98"/>
      <c r="S3" s="98"/>
      <c r="T3" s="99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</row>
    <row r="4" spans="1:100" x14ac:dyDescent="0.3">
      <c r="A4" s="100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7" t="s">
        <v>200</v>
      </c>
      <c r="O4" s="98"/>
      <c r="P4" s="98"/>
      <c r="Q4" s="98"/>
      <c r="R4" s="98"/>
      <c r="S4" s="98"/>
      <c r="T4" s="99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</row>
    <row r="5" spans="1:100" ht="14.5" thickBot="1" x14ac:dyDescent="0.35">
      <c r="A5" s="101" t="s">
        <v>205</v>
      </c>
      <c r="B5" s="102"/>
      <c r="C5" s="102"/>
      <c r="D5" s="102"/>
      <c r="E5" s="102"/>
      <c r="F5" s="102"/>
      <c r="G5" s="102"/>
      <c r="H5" s="102"/>
      <c r="I5" s="102"/>
      <c r="J5" s="91"/>
      <c r="K5" s="91"/>
      <c r="L5" s="91"/>
      <c r="M5" s="91"/>
      <c r="N5" s="103" t="s">
        <v>43</v>
      </c>
      <c r="O5" s="104"/>
      <c r="P5" s="104"/>
      <c r="Q5" s="104"/>
      <c r="R5" s="104"/>
      <c r="S5" s="104"/>
      <c r="T5" s="105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</row>
    <row r="6" spans="1:100" ht="14" x14ac:dyDescent="0.3">
      <c r="A6" s="102" t="s">
        <v>74</v>
      </c>
      <c r="B6" s="102"/>
      <c r="C6" s="102"/>
      <c r="D6" s="102"/>
      <c r="E6" s="102"/>
      <c r="F6" s="102"/>
      <c r="G6" s="102"/>
      <c r="H6" s="102"/>
      <c r="I6" s="10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</row>
    <row r="7" spans="1:100" ht="14.5" thickBot="1" x14ac:dyDescent="0.35">
      <c r="A7" s="102" t="s">
        <v>63</v>
      </c>
      <c r="B7" s="102"/>
      <c r="C7" s="102"/>
      <c r="D7" s="102"/>
      <c r="E7" s="102"/>
      <c r="F7" s="102"/>
      <c r="G7" s="102"/>
      <c r="H7" s="102"/>
      <c r="I7" s="102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</row>
    <row r="8" spans="1:100" ht="14.5" thickBot="1" x14ac:dyDescent="0.35">
      <c r="A8" s="102" t="s">
        <v>389</v>
      </c>
      <c r="B8" s="102"/>
      <c r="C8" s="102"/>
      <c r="D8" s="102"/>
      <c r="E8" s="102"/>
      <c r="F8" s="102"/>
      <c r="G8" s="102"/>
      <c r="H8" s="91"/>
      <c r="I8" s="102"/>
      <c r="J8" s="118" t="s">
        <v>111</v>
      </c>
      <c r="K8" s="119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</row>
    <row r="9" spans="1:100" ht="14" x14ac:dyDescent="0.3">
      <c r="A9" s="102" t="s">
        <v>197</v>
      </c>
      <c r="B9" s="102"/>
      <c r="C9" s="102"/>
      <c r="D9" s="102"/>
      <c r="E9" s="102"/>
      <c r="F9" s="102"/>
      <c r="G9" s="102"/>
      <c r="H9" s="91"/>
      <c r="I9" s="102"/>
      <c r="J9" s="120" t="s">
        <v>204</v>
      </c>
      <c r="K9" s="121"/>
      <c r="L9" s="91"/>
      <c r="M9" s="91"/>
      <c r="N9" s="92" t="s">
        <v>198</v>
      </c>
      <c r="O9" s="93"/>
      <c r="P9" s="93"/>
      <c r="Q9" s="93"/>
      <c r="R9" s="106"/>
      <c r="S9" s="106"/>
      <c r="T9" s="106"/>
      <c r="U9" s="106"/>
      <c r="V9" s="107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</row>
    <row r="10" spans="1:100" ht="14" x14ac:dyDescent="0.3">
      <c r="A10" s="102"/>
      <c r="B10" s="102"/>
      <c r="C10" s="102"/>
      <c r="D10" s="102"/>
      <c r="E10" s="102"/>
      <c r="F10" s="102"/>
      <c r="G10" s="91"/>
      <c r="H10" s="91"/>
      <c r="J10" s="120" t="s">
        <v>642</v>
      </c>
      <c r="K10" s="121"/>
      <c r="L10" s="91"/>
      <c r="M10" s="91"/>
      <c r="N10" s="97" t="s">
        <v>109</v>
      </c>
      <c r="O10" s="98"/>
      <c r="P10" s="98"/>
      <c r="Q10" s="98"/>
      <c r="R10" s="98"/>
      <c r="S10" s="98"/>
      <c r="T10" s="98"/>
      <c r="U10" s="98"/>
      <c r="V10" s="99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</row>
    <row r="11" spans="1:100" ht="14" x14ac:dyDescent="0.3">
      <c r="A11" s="101" t="s">
        <v>482</v>
      </c>
      <c r="B11" s="102"/>
      <c r="C11" s="102"/>
      <c r="D11" s="102"/>
      <c r="E11" s="102"/>
      <c r="F11" s="108"/>
      <c r="G11" s="91"/>
      <c r="H11" s="91"/>
      <c r="J11" s="120" t="s">
        <v>643</v>
      </c>
      <c r="K11" s="121"/>
      <c r="L11" s="91"/>
      <c r="M11" s="91"/>
      <c r="N11" s="97" t="s">
        <v>129</v>
      </c>
      <c r="O11" s="98"/>
      <c r="P11" s="98"/>
      <c r="Q11" s="98"/>
      <c r="R11" s="98"/>
      <c r="S11" s="98"/>
      <c r="T11" s="98"/>
      <c r="U11" s="98"/>
      <c r="V11" s="99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</row>
    <row r="12" spans="1:100" ht="14" x14ac:dyDescent="0.3">
      <c r="A12" s="102"/>
      <c r="B12" s="102"/>
      <c r="C12" s="102"/>
      <c r="D12" s="102"/>
      <c r="E12" s="102"/>
      <c r="F12" s="102"/>
      <c r="G12" s="91"/>
      <c r="H12" s="91"/>
      <c r="J12" s="120" t="s">
        <v>644</v>
      </c>
      <c r="K12" s="121"/>
      <c r="L12" s="91"/>
      <c r="M12" s="91"/>
      <c r="N12" s="97" t="s">
        <v>225</v>
      </c>
      <c r="O12" s="98"/>
      <c r="P12" s="98"/>
      <c r="Q12" s="98"/>
      <c r="R12" s="98"/>
      <c r="S12" s="98"/>
      <c r="T12" s="98"/>
      <c r="U12" s="98"/>
      <c r="V12" s="99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</row>
    <row r="13" spans="1:100" ht="14" x14ac:dyDescent="0.3">
      <c r="A13" s="101" t="s">
        <v>256</v>
      </c>
      <c r="B13" s="102"/>
      <c r="C13" s="102"/>
      <c r="D13" s="102"/>
      <c r="E13" s="102"/>
      <c r="F13" s="102"/>
      <c r="G13" s="91"/>
      <c r="H13" s="91"/>
      <c r="J13" s="120" t="s">
        <v>646</v>
      </c>
      <c r="K13" s="121"/>
      <c r="L13" s="91"/>
      <c r="M13" s="91"/>
      <c r="N13" s="97" t="s">
        <v>156</v>
      </c>
      <c r="O13" s="98"/>
      <c r="P13" s="98"/>
      <c r="Q13" s="98"/>
      <c r="R13" s="109"/>
      <c r="S13" s="109"/>
      <c r="T13" s="109"/>
      <c r="U13" s="109"/>
      <c r="V13" s="110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</row>
    <row r="14" spans="1:100" ht="14" x14ac:dyDescent="0.3">
      <c r="A14" s="102" t="s">
        <v>740</v>
      </c>
      <c r="B14" s="102"/>
      <c r="C14" s="102"/>
      <c r="D14" s="102"/>
      <c r="E14" s="102"/>
      <c r="F14" s="102"/>
      <c r="G14" s="91"/>
      <c r="H14" s="91"/>
      <c r="J14" s="120" t="s">
        <v>680</v>
      </c>
      <c r="K14" s="121"/>
      <c r="L14" s="91"/>
      <c r="M14" s="91"/>
      <c r="N14" s="97" t="s">
        <v>62</v>
      </c>
      <c r="O14" s="98"/>
      <c r="P14" s="98"/>
      <c r="Q14" s="98"/>
      <c r="R14" s="109"/>
      <c r="S14" s="109"/>
      <c r="T14" s="109"/>
      <c r="U14" s="109"/>
      <c r="V14" s="110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</row>
    <row r="15" spans="1:100" ht="14" x14ac:dyDescent="0.3">
      <c r="A15" s="102" t="s">
        <v>785</v>
      </c>
      <c r="B15" s="102"/>
      <c r="C15" s="102"/>
      <c r="D15" s="102"/>
      <c r="E15" s="102"/>
      <c r="F15" s="102"/>
      <c r="G15" s="91"/>
      <c r="H15" s="91"/>
      <c r="J15" s="120" t="s">
        <v>736</v>
      </c>
      <c r="K15" s="121"/>
      <c r="L15" s="91"/>
      <c r="M15" s="91"/>
      <c r="N15" s="97" t="s">
        <v>253</v>
      </c>
      <c r="O15" s="98"/>
      <c r="P15" s="98"/>
      <c r="Q15" s="98"/>
      <c r="R15" s="109"/>
      <c r="S15" s="109"/>
      <c r="T15" s="109"/>
      <c r="U15" s="109"/>
      <c r="V15" s="110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</row>
    <row r="16" spans="1:100" ht="14" x14ac:dyDescent="0.3">
      <c r="A16" s="102" t="s">
        <v>786</v>
      </c>
      <c r="B16" s="102"/>
      <c r="C16" s="102"/>
      <c r="D16" s="102"/>
      <c r="E16" s="102"/>
      <c r="F16" s="102"/>
      <c r="G16" s="91"/>
      <c r="H16" s="91"/>
      <c r="J16" s="120" t="s">
        <v>760</v>
      </c>
      <c r="K16" s="121"/>
      <c r="L16" s="91"/>
      <c r="M16" s="91"/>
      <c r="N16" s="97" t="s">
        <v>30</v>
      </c>
      <c r="O16" s="98"/>
      <c r="P16" s="98"/>
      <c r="Q16" s="98"/>
      <c r="R16" s="109"/>
      <c r="S16" s="109"/>
      <c r="T16" s="109"/>
      <c r="U16" s="109"/>
      <c r="V16" s="110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</row>
    <row r="17" spans="1:100" ht="14.5" thickBot="1" x14ac:dyDescent="0.35">
      <c r="A17" s="102" t="s">
        <v>787</v>
      </c>
      <c r="B17" s="102"/>
      <c r="C17" s="102"/>
      <c r="D17" s="102"/>
      <c r="E17" s="102"/>
      <c r="F17" s="102"/>
      <c r="G17" s="91"/>
      <c r="H17" s="91"/>
      <c r="J17" s="120" t="s">
        <v>764</v>
      </c>
      <c r="K17" s="110"/>
      <c r="L17" s="91"/>
      <c r="M17" s="91"/>
      <c r="N17" s="115" t="s">
        <v>88</v>
      </c>
      <c r="O17" s="104"/>
      <c r="P17" s="104"/>
      <c r="Q17" s="104"/>
      <c r="R17" s="116"/>
      <c r="S17" s="116"/>
      <c r="T17" s="116"/>
      <c r="U17" s="116"/>
      <c r="V17" s="117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</row>
    <row r="18" spans="1:100" ht="14.5" thickBot="1" x14ac:dyDescent="0.35">
      <c r="A18" s="102" t="s">
        <v>788</v>
      </c>
      <c r="B18" s="102"/>
      <c r="C18" s="102"/>
      <c r="D18" s="102"/>
      <c r="E18" s="102"/>
      <c r="F18" s="102"/>
      <c r="G18" s="91"/>
      <c r="H18" s="91"/>
      <c r="J18" s="217" t="s">
        <v>684</v>
      </c>
      <c r="K18" s="51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</row>
    <row r="19" spans="1:100" ht="14.5" thickBot="1" x14ac:dyDescent="0.35">
      <c r="A19" s="102" t="s">
        <v>789</v>
      </c>
      <c r="B19" s="102"/>
      <c r="C19" s="102"/>
      <c r="D19" s="102"/>
      <c r="E19" s="102"/>
      <c r="F19" s="102"/>
      <c r="G19" s="91"/>
      <c r="H19" s="91"/>
      <c r="I19" s="102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</row>
    <row r="20" spans="1:100" ht="14" x14ac:dyDescent="0.3">
      <c r="A20" s="102" t="s">
        <v>599</v>
      </c>
      <c r="B20" s="102"/>
      <c r="C20" s="102"/>
      <c r="D20" s="102"/>
      <c r="E20" s="102"/>
      <c r="F20" s="102"/>
      <c r="G20" s="91"/>
      <c r="H20" s="91"/>
      <c r="I20" s="102"/>
      <c r="J20" s="111" t="s">
        <v>248</v>
      </c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</row>
    <row r="21" spans="1:100" ht="14" x14ac:dyDescent="0.3">
      <c r="A21" s="102" t="s">
        <v>600</v>
      </c>
      <c r="B21" s="102"/>
      <c r="C21" s="102"/>
      <c r="D21" s="102"/>
      <c r="E21" s="102"/>
      <c r="F21" s="102"/>
      <c r="G21" s="91"/>
      <c r="H21" s="91"/>
      <c r="I21" s="102"/>
      <c r="J21" s="497" t="s">
        <v>742</v>
      </c>
      <c r="K21" s="91"/>
      <c r="L21" s="91"/>
      <c r="M21" s="91"/>
      <c r="N21" s="122" t="s">
        <v>130</v>
      </c>
      <c r="O21" s="123"/>
      <c r="P21" s="122" t="s">
        <v>330</v>
      </c>
      <c r="Q21" s="124"/>
      <c r="R21" s="124"/>
      <c r="S21" s="123"/>
      <c r="T21" s="125" t="s">
        <v>219</v>
      </c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</row>
    <row r="22" spans="1:100" ht="14" x14ac:dyDescent="0.3">
      <c r="A22" s="102" t="s">
        <v>601</v>
      </c>
      <c r="B22" s="102"/>
      <c r="C22" s="102"/>
      <c r="D22" s="102"/>
      <c r="E22" s="102"/>
      <c r="F22" s="102"/>
      <c r="G22" s="91"/>
      <c r="H22" s="91"/>
      <c r="I22" s="102"/>
      <c r="J22" s="495" t="s">
        <v>734</v>
      </c>
      <c r="K22" s="91"/>
      <c r="L22" s="91"/>
      <c r="M22" s="91"/>
      <c r="N22" s="126" t="s">
        <v>204</v>
      </c>
      <c r="O22" s="127"/>
      <c r="P22" s="126" t="s">
        <v>61</v>
      </c>
      <c r="Q22" s="128"/>
      <c r="R22" s="109"/>
      <c r="S22" s="129"/>
      <c r="T22" s="130" t="s">
        <v>220</v>
      </c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</row>
    <row r="23" spans="1:100" ht="14" x14ac:dyDescent="0.3">
      <c r="A23" s="102" t="s">
        <v>602</v>
      </c>
      <c r="B23" s="102"/>
      <c r="C23" s="102"/>
      <c r="D23" s="102"/>
      <c r="E23" s="102"/>
      <c r="F23" s="102"/>
      <c r="G23" s="91"/>
      <c r="H23" s="91"/>
      <c r="I23" s="102"/>
      <c r="J23" s="324" t="s">
        <v>660</v>
      </c>
      <c r="K23" s="91"/>
      <c r="L23" s="91"/>
      <c r="M23" s="91"/>
      <c r="N23" s="126" t="s">
        <v>8</v>
      </c>
      <c r="O23" s="127"/>
      <c r="P23" s="126" t="s">
        <v>279</v>
      </c>
      <c r="Q23" s="128"/>
      <c r="R23" s="109"/>
      <c r="S23" s="129"/>
      <c r="T23" s="130" t="s">
        <v>221</v>
      </c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</row>
    <row r="24" spans="1:100" ht="14" x14ac:dyDescent="0.3">
      <c r="A24" s="102" t="s">
        <v>603</v>
      </c>
      <c r="B24" s="102"/>
      <c r="C24" s="102"/>
      <c r="D24" s="102"/>
      <c r="E24" s="102"/>
      <c r="F24" s="102"/>
      <c r="G24" s="91"/>
      <c r="H24" s="91"/>
      <c r="I24" s="102"/>
      <c r="J24" s="254" t="s">
        <v>598</v>
      </c>
      <c r="K24" s="91"/>
      <c r="L24" s="91"/>
      <c r="M24" s="91"/>
      <c r="N24" s="126" t="s">
        <v>9</v>
      </c>
      <c r="O24" s="127"/>
      <c r="P24" s="126" t="s">
        <v>14</v>
      </c>
      <c r="Q24" s="128"/>
      <c r="R24" s="109"/>
      <c r="S24" s="129"/>
      <c r="T24" s="130" t="s">
        <v>221</v>
      </c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</row>
    <row r="25" spans="1:100" ht="14" x14ac:dyDescent="0.3">
      <c r="A25" s="102" t="s">
        <v>604</v>
      </c>
      <c r="B25" s="91"/>
      <c r="C25" s="91"/>
      <c r="D25" s="91"/>
      <c r="E25" s="102"/>
      <c r="F25" s="102"/>
      <c r="G25" s="91"/>
      <c r="H25" s="91"/>
      <c r="I25" s="102"/>
      <c r="J25" s="232" t="s">
        <v>548</v>
      </c>
      <c r="K25" s="91"/>
      <c r="L25" s="91"/>
      <c r="M25" s="91"/>
      <c r="N25" s="126" t="s">
        <v>10</v>
      </c>
      <c r="O25" s="127"/>
      <c r="P25" s="126" t="s">
        <v>13</v>
      </c>
      <c r="Q25" s="128"/>
      <c r="R25" s="109"/>
      <c r="S25" s="129"/>
      <c r="T25" s="130" t="s">
        <v>222</v>
      </c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</row>
    <row r="26" spans="1:100" ht="14" x14ac:dyDescent="0.3">
      <c r="A26" s="102" t="s">
        <v>605</v>
      </c>
      <c r="B26" s="91"/>
      <c r="C26" s="91"/>
      <c r="D26" s="91"/>
      <c r="E26" s="91"/>
      <c r="F26" s="91"/>
      <c r="G26" s="91"/>
      <c r="H26" s="91"/>
      <c r="I26" s="102"/>
      <c r="J26" s="231" t="s">
        <v>547</v>
      </c>
      <c r="K26" s="91"/>
      <c r="L26" s="91"/>
      <c r="M26" s="91"/>
      <c r="N26" s="126" t="s">
        <v>11</v>
      </c>
      <c r="O26" s="127"/>
      <c r="P26" s="126" t="s">
        <v>31</v>
      </c>
      <c r="Q26" s="128"/>
      <c r="R26" s="109"/>
      <c r="S26" s="129"/>
      <c r="T26" s="130" t="s">
        <v>221</v>
      </c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</row>
    <row r="27" spans="1:100" ht="14" x14ac:dyDescent="0.3">
      <c r="A27" s="102" t="s">
        <v>606</v>
      </c>
      <c r="B27" s="91"/>
      <c r="C27" s="91"/>
      <c r="D27" s="91"/>
      <c r="E27" s="91"/>
      <c r="F27" s="91"/>
      <c r="G27" s="91"/>
      <c r="H27" s="91"/>
      <c r="I27" s="102"/>
      <c r="J27" s="225" t="s">
        <v>481</v>
      </c>
      <c r="K27" s="91"/>
      <c r="L27" s="91"/>
      <c r="M27" s="91"/>
      <c r="N27" s="126" t="s">
        <v>12</v>
      </c>
      <c r="O27" s="127"/>
      <c r="P27" s="126" t="s">
        <v>32</v>
      </c>
      <c r="Q27" s="128"/>
      <c r="R27" s="109"/>
      <c r="S27" s="129"/>
      <c r="T27" s="130" t="s">
        <v>222</v>
      </c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</row>
    <row r="28" spans="1:100" ht="14" x14ac:dyDescent="0.3">
      <c r="A28" s="102" t="s">
        <v>607</v>
      </c>
      <c r="B28" s="91"/>
      <c r="C28" s="91"/>
      <c r="D28" s="91"/>
      <c r="E28" s="91"/>
      <c r="F28" s="91"/>
      <c r="G28" s="91"/>
      <c r="H28" s="102"/>
      <c r="I28" s="102"/>
      <c r="J28" s="150" t="s">
        <v>73</v>
      </c>
      <c r="K28" s="91"/>
      <c r="L28" s="91"/>
      <c r="M28" s="91"/>
      <c r="N28" s="126" t="s">
        <v>3</v>
      </c>
      <c r="O28" s="127"/>
      <c r="P28" s="126" t="s">
        <v>4</v>
      </c>
      <c r="Q28" s="128"/>
      <c r="R28" s="109"/>
      <c r="S28" s="129"/>
      <c r="T28" s="130" t="s">
        <v>5</v>
      </c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</row>
    <row r="29" spans="1:100" ht="14" x14ac:dyDescent="0.3">
      <c r="A29" s="496" t="s">
        <v>698</v>
      </c>
      <c r="B29" s="91"/>
      <c r="C29" s="91"/>
      <c r="D29" s="91"/>
      <c r="E29" s="91"/>
      <c r="F29" s="91"/>
      <c r="G29" s="91"/>
      <c r="H29" s="102"/>
      <c r="I29" s="102"/>
      <c r="J29" s="139" t="s">
        <v>34</v>
      </c>
      <c r="K29" s="91"/>
      <c r="L29" s="91"/>
      <c r="M29" s="91"/>
      <c r="N29" s="126" t="s">
        <v>377</v>
      </c>
      <c r="O29" s="127"/>
      <c r="P29" s="126" t="s">
        <v>33</v>
      </c>
      <c r="Q29" s="128"/>
      <c r="R29" s="109"/>
      <c r="S29" s="129"/>
      <c r="T29" s="130" t="s">
        <v>5</v>
      </c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</row>
    <row r="30" spans="1:100" ht="14" x14ac:dyDescent="0.3">
      <c r="A30" s="496" t="s">
        <v>735</v>
      </c>
      <c r="B30" s="91"/>
      <c r="C30" s="91"/>
      <c r="D30" s="91"/>
      <c r="E30" s="91"/>
      <c r="F30" s="91"/>
      <c r="G30" s="91"/>
      <c r="H30" s="102"/>
      <c r="I30" s="102"/>
      <c r="J30" s="112" t="s">
        <v>244</v>
      </c>
      <c r="K30" s="91"/>
      <c r="L30" s="91"/>
      <c r="M30" s="91"/>
      <c r="N30" s="126" t="s">
        <v>378</v>
      </c>
      <c r="O30" s="127"/>
      <c r="P30" s="126" t="s">
        <v>239</v>
      </c>
      <c r="Q30" s="128"/>
      <c r="R30" s="109"/>
      <c r="S30" s="129"/>
      <c r="T30" s="130" t="s">
        <v>6</v>
      </c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</row>
    <row r="31" spans="1:100" ht="14" x14ac:dyDescent="0.3">
      <c r="A31" s="496" t="s">
        <v>741</v>
      </c>
      <c r="B31" s="102"/>
      <c r="C31" s="102"/>
      <c r="D31" s="102"/>
      <c r="E31" s="102"/>
      <c r="F31" s="102"/>
      <c r="G31" s="91"/>
      <c r="H31" s="102"/>
      <c r="I31" s="102"/>
      <c r="J31" s="113" t="s">
        <v>152</v>
      </c>
      <c r="K31" s="91"/>
      <c r="L31" s="91"/>
      <c r="M31" s="91"/>
      <c r="N31" s="126" t="s">
        <v>15</v>
      </c>
      <c r="O31" s="127"/>
      <c r="P31" s="126" t="s">
        <v>240</v>
      </c>
      <c r="Q31" s="128"/>
      <c r="R31" s="109"/>
      <c r="S31" s="129"/>
      <c r="T31" s="130" t="s">
        <v>221</v>
      </c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</row>
    <row r="32" spans="1:100" ht="14.5" thickBot="1" x14ac:dyDescent="0.35">
      <c r="A32" s="496" t="s">
        <v>546</v>
      </c>
      <c r="H32" s="102"/>
      <c r="I32" s="102"/>
      <c r="J32" s="114" t="s">
        <v>153</v>
      </c>
      <c r="K32" s="91"/>
      <c r="L32" s="91"/>
      <c r="M32" s="91"/>
      <c r="N32" s="132" t="s">
        <v>16</v>
      </c>
      <c r="O32" s="133"/>
      <c r="P32" s="132" t="s">
        <v>241</v>
      </c>
      <c r="Q32" s="134"/>
      <c r="R32" s="135"/>
      <c r="S32" s="136"/>
      <c r="T32" s="137" t="s">
        <v>221</v>
      </c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</row>
    <row r="33" spans="1:100" ht="14" x14ac:dyDescent="0.3">
      <c r="A33" s="101"/>
      <c r="B33" s="102"/>
      <c r="C33" s="102"/>
      <c r="D33" s="102"/>
      <c r="E33" s="102"/>
      <c r="F33" s="102"/>
      <c r="G33" s="102"/>
      <c r="H33" s="102"/>
      <c r="I33" s="102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</row>
    <row r="34" spans="1:100" ht="14" customHeight="1" x14ac:dyDescent="0.3">
      <c r="A34" s="101" t="s">
        <v>110</v>
      </c>
      <c r="B34" s="102"/>
      <c r="C34" s="102"/>
      <c r="D34" s="102"/>
      <c r="E34" s="102"/>
      <c r="F34" s="102"/>
      <c r="G34" s="102"/>
      <c r="H34" s="102"/>
      <c r="I34" s="102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</row>
    <row r="35" spans="1:100" ht="14" customHeight="1" x14ac:dyDescent="0.3">
      <c r="A35" s="102" t="s">
        <v>739</v>
      </c>
      <c r="B35" s="102"/>
      <c r="C35" s="102"/>
      <c r="D35" s="102"/>
      <c r="E35" s="102"/>
      <c r="F35" s="102"/>
      <c r="G35" s="102"/>
      <c r="H35" s="102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</row>
    <row r="36" spans="1:100" ht="14" x14ac:dyDescent="0.3">
      <c r="A36" s="102" t="s">
        <v>161</v>
      </c>
      <c r="B36" s="102"/>
      <c r="C36" s="102"/>
      <c r="D36" s="102"/>
      <c r="E36" s="102"/>
      <c r="F36" s="102"/>
      <c r="G36" s="91"/>
      <c r="H36" s="102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</row>
    <row r="37" spans="1:100" ht="14" customHeight="1" x14ac:dyDescent="0.3">
      <c r="A37" s="102" t="s">
        <v>302</v>
      </c>
      <c r="B37" s="102"/>
      <c r="C37" s="102"/>
      <c r="D37" s="102"/>
      <c r="E37" s="91"/>
      <c r="F37" s="91"/>
      <c r="G37" s="102"/>
      <c r="H37" s="102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</row>
    <row r="38" spans="1:100" ht="14" customHeight="1" x14ac:dyDescent="0.3">
      <c r="A38" s="91"/>
      <c r="B38" s="91"/>
      <c r="C38" s="91"/>
      <c r="D38" s="91"/>
      <c r="E38" s="102"/>
      <c r="F38" s="102"/>
      <c r="G38" s="102"/>
      <c r="H38" s="102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</row>
    <row r="39" spans="1:100" ht="14" customHeight="1" x14ac:dyDescent="0.3">
      <c r="A39" s="102" t="s">
        <v>479</v>
      </c>
      <c r="B39" s="102"/>
      <c r="C39" s="102"/>
      <c r="D39" s="102"/>
      <c r="E39" s="102"/>
      <c r="F39" s="102"/>
      <c r="H39" s="102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</row>
    <row r="40" spans="1:100" ht="14" customHeight="1" x14ac:dyDescent="0.3">
      <c r="A40" s="102" t="s">
        <v>661</v>
      </c>
      <c r="B40" s="102"/>
      <c r="C40" s="102"/>
      <c r="D40" s="102"/>
      <c r="E40" s="102"/>
      <c r="F40" s="102"/>
      <c r="G40" s="131"/>
      <c r="H40" s="102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</row>
    <row r="41" spans="1:100" ht="14" x14ac:dyDescent="0.3">
      <c r="A41" s="102"/>
      <c r="B41" s="102"/>
      <c r="C41" s="102"/>
      <c r="D41" s="102"/>
      <c r="E41" s="102"/>
      <c r="F41" s="102"/>
      <c r="G41" s="102"/>
      <c r="H41" s="102"/>
      <c r="I41" s="138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</row>
    <row r="42" spans="1:100" ht="14" x14ac:dyDescent="0.3">
      <c r="A42" s="102" t="s">
        <v>303</v>
      </c>
      <c r="B42" s="102"/>
      <c r="C42" s="102"/>
      <c r="D42" s="102"/>
      <c r="E42" s="102"/>
      <c r="F42" s="102"/>
      <c r="G42" s="102"/>
      <c r="H42" s="102"/>
      <c r="I42" s="138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</row>
    <row r="43" spans="1:100" ht="14" customHeight="1" x14ac:dyDescent="0.3">
      <c r="A43" s="102" t="s">
        <v>163</v>
      </c>
      <c r="B43" s="102"/>
      <c r="C43" s="102"/>
      <c r="D43" s="102"/>
      <c r="E43" s="102"/>
      <c r="F43" s="102"/>
      <c r="G43" s="102"/>
      <c r="H43" s="102"/>
      <c r="I43" s="138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</row>
    <row r="44" spans="1:100" ht="14" x14ac:dyDescent="0.3">
      <c r="A44" s="102" t="s">
        <v>151</v>
      </c>
      <c r="B44" s="102"/>
      <c r="C44" s="102"/>
      <c r="D44" s="102"/>
      <c r="E44" s="102"/>
      <c r="F44" s="102"/>
      <c r="G44" s="102"/>
      <c r="H44" s="138"/>
      <c r="I44" s="138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</row>
    <row r="45" spans="1:100" ht="14" x14ac:dyDescent="0.3">
      <c r="A45" s="102"/>
      <c r="B45" s="102"/>
      <c r="C45" s="102"/>
      <c r="D45" s="102"/>
      <c r="E45" s="102"/>
      <c r="F45" s="102"/>
      <c r="G45" s="102"/>
      <c r="H45" s="138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</row>
    <row r="46" spans="1:100" ht="14" x14ac:dyDescent="0.3">
      <c r="A46" s="102" t="s">
        <v>480</v>
      </c>
      <c r="B46" s="102"/>
      <c r="C46" s="102"/>
      <c r="D46" s="102"/>
      <c r="E46" s="102"/>
      <c r="F46" s="102"/>
      <c r="G46" s="102"/>
      <c r="H46" s="138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</row>
    <row r="47" spans="1:100" ht="14" x14ac:dyDescent="0.3">
      <c r="A47" s="102" t="s">
        <v>243</v>
      </c>
      <c r="B47" s="102"/>
      <c r="C47" s="102"/>
      <c r="D47" s="102"/>
      <c r="E47" s="102"/>
      <c r="F47" s="102"/>
      <c r="G47" s="102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</row>
    <row r="48" spans="1:100" ht="14" x14ac:dyDescent="0.3">
      <c r="A48" s="102" t="s">
        <v>106</v>
      </c>
      <c r="B48" s="102"/>
      <c r="C48" s="102"/>
      <c r="D48" s="102"/>
      <c r="E48" s="102"/>
      <c r="F48" s="102"/>
      <c r="G48" s="138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</row>
    <row r="49" spans="1:100" ht="14" x14ac:dyDescent="0.3">
      <c r="A49" s="102" t="s">
        <v>89</v>
      </c>
      <c r="B49" s="102"/>
      <c r="C49" s="102"/>
      <c r="D49" s="102"/>
      <c r="E49" s="138"/>
      <c r="F49" s="138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</row>
    <row r="50" spans="1:100" x14ac:dyDescent="0.3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</row>
    <row r="51" spans="1:100" x14ac:dyDescent="0.3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</row>
    <row r="52" spans="1:100" x14ac:dyDescent="0.3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</row>
    <row r="53" spans="1:100" x14ac:dyDescent="0.3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</row>
    <row r="54" spans="1:100" x14ac:dyDescent="0.3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</row>
    <row r="55" spans="1:100" x14ac:dyDescent="0.3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</row>
    <row r="56" spans="1:100" x14ac:dyDescent="0.3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</row>
    <row r="57" spans="1:100" x14ac:dyDescent="0.3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</row>
    <row r="58" spans="1:100" x14ac:dyDescent="0.3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</row>
    <row r="59" spans="1:100" x14ac:dyDescent="0.3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</row>
    <row r="60" spans="1:100" x14ac:dyDescent="0.3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</row>
    <row r="61" spans="1:100" x14ac:dyDescent="0.3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</row>
    <row r="62" spans="1:100" x14ac:dyDescent="0.3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</row>
    <row r="63" spans="1:100" x14ac:dyDescent="0.3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</row>
    <row r="64" spans="1:100" x14ac:dyDescent="0.3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</row>
    <row r="65" spans="1:265" x14ac:dyDescent="0.3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</row>
    <row r="66" spans="1:265" x14ac:dyDescent="0.3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</row>
    <row r="67" spans="1:265" x14ac:dyDescent="0.3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</row>
    <row r="68" spans="1:265" x14ac:dyDescent="0.3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</row>
    <row r="69" spans="1:265" x14ac:dyDescent="0.3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</row>
    <row r="70" spans="1:265" x14ac:dyDescent="0.3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</row>
    <row r="71" spans="1:265" x14ac:dyDescent="0.3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</row>
    <row r="72" spans="1:265" x14ac:dyDescent="0.3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</row>
    <row r="73" spans="1:265" x14ac:dyDescent="0.3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</row>
    <row r="74" spans="1:265" x14ac:dyDescent="0.3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</row>
    <row r="75" spans="1:265" x14ac:dyDescent="0.3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</row>
    <row r="76" spans="1:265" x14ac:dyDescent="0.3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</row>
    <row r="77" spans="1:265" x14ac:dyDescent="0.3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 t="s">
        <v>269</v>
      </c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</row>
    <row r="78" spans="1:265" x14ac:dyDescent="0.3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</row>
    <row r="79" spans="1:265" x14ac:dyDescent="0.3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</row>
    <row r="80" spans="1:265" x14ac:dyDescent="0.3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</row>
    <row r="81" spans="1:265" x14ac:dyDescent="0.3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</row>
    <row r="82" spans="1:265" x14ac:dyDescent="0.3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</row>
    <row r="83" spans="1:265" x14ac:dyDescent="0.3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</row>
    <row r="84" spans="1:265" x14ac:dyDescent="0.3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</row>
    <row r="85" spans="1:265" x14ac:dyDescent="0.3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</row>
    <row r="86" spans="1:265" x14ac:dyDescent="0.3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</row>
    <row r="87" spans="1:265" x14ac:dyDescent="0.3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</row>
    <row r="88" spans="1:265" x14ac:dyDescent="0.3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</row>
    <row r="89" spans="1:265" x14ac:dyDescent="0.3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</row>
    <row r="90" spans="1:265" x14ac:dyDescent="0.3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</row>
    <row r="91" spans="1:265" x14ac:dyDescent="0.3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</row>
    <row r="92" spans="1:265" x14ac:dyDescent="0.3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</row>
    <row r="93" spans="1:265" x14ac:dyDescent="0.3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</row>
    <row r="94" spans="1:265" x14ac:dyDescent="0.3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</row>
    <row r="95" spans="1:265" x14ac:dyDescent="0.3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</row>
    <row r="96" spans="1:265" x14ac:dyDescent="0.3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</row>
    <row r="97" spans="1:265" x14ac:dyDescent="0.3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</row>
    <row r="98" spans="1:265" x14ac:dyDescent="0.3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</row>
    <row r="99" spans="1:265" x14ac:dyDescent="0.3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</row>
    <row r="100" spans="1:265" x14ac:dyDescent="0.3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</row>
    <row r="101" spans="1:265" x14ac:dyDescent="0.3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</row>
    <row r="102" spans="1:265" x14ac:dyDescent="0.3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</row>
    <row r="103" spans="1:265" x14ac:dyDescent="0.3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</row>
    <row r="104" spans="1:265" x14ac:dyDescent="0.3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</row>
    <row r="105" spans="1:265" x14ac:dyDescent="0.3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</row>
    <row r="106" spans="1:265" x14ac:dyDescent="0.3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</row>
    <row r="107" spans="1:265" x14ac:dyDescent="0.3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</row>
    <row r="108" spans="1:265" x14ac:dyDescent="0.3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</row>
    <row r="109" spans="1:265" x14ac:dyDescent="0.3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</row>
    <row r="110" spans="1:265" x14ac:dyDescent="0.3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</row>
    <row r="111" spans="1:265" x14ac:dyDescent="0.3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</row>
    <row r="112" spans="1:265" x14ac:dyDescent="0.3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</row>
    <row r="113" spans="1:265" x14ac:dyDescent="0.3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</row>
    <row r="114" spans="1:265" x14ac:dyDescent="0.3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</row>
    <row r="115" spans="1:265" x14ac:dyDescent="0.3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</row>
    <row r="116" spans="1:265" x14ac:dyDescent="0.3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</row>
    <row r="117" spans="1:265" x14ac:dyDescent="0.3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</row>
    <row r="118" spans="1:265" x14ac:dyDescent="0.3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1"/>
      <c r="DB118" s="91"/>
      <c r="DC118" s="91"/>
      <c r="DD118" s="91"/>
      <c r="DE118" s="91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</row>
    <row r="119" spans="1:265" x14ac:dyDescent="0.3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1"/>
      <c r="DB119" s="91"/>
      <c r="DC119" s="91"/>
      <c r="DD119" s="91"/>
      <c r="DE119" s="91"/>
      <c r="DF119" s="91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</row>
    <row r="120" spans="1:265" x14ac:dyDescent="0.3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1"/>
      <c r="DB120" s="91"/>
      <c r="DC120" s="91"/>
      <c r="DD120" s="91"/>
      <c r="DE120" s="91"/>
      <c r="DF120" s="91"/>
      <c r="DG120" s="91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</row>
    <row r="121" spans="1:265" x14ac:dyDescent="0.3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1"/>
      <c r="DB121" s="91"/>
      <c r="DC121" s="91"/>
      <c r="DD121" s="91"/>
      <c r="DE121" s="91"/>
      <c r="DF121" s="91"/>
      <c r="DG121" s="91"/>
      <c r="DH121" s="91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</row>
    <row r="122" spans="1:265" x14ac:dyDescent="0.3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1"/>
      <c r="DB122" s="91"/>
      <c r="DC122" s="91"/>
      <c r="DD122" s="91"/>
      <c r="DE122" s="91"/>
      <c r="DF122" s="91"/>
      <c r="DG122" s="91"/>
      <c r="DH122" s="91"/>
      <c r="DI122" s="91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</row>
    <row r="123" spans="1:265" x14ac:dyDescent="0.3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1"/>
      <c r="DF123" s="91"/>
      <c r="DG123" s="91"/>
      <c r="DH123" s="91"/>
      <c r="DI123" s="91"/>
      <c r="DJ123" s="91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</row>
    <row r="124" spans="1:265" x14ac:dyDescent="0.3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1"/>
      <c r="DF124" s="91"/>
      <c r="DG124" s="91"/>
      <c r="DH124" s="91"/>
      <c r="DI124" s="91"/>
      <c r="DJ124" s="91"/>
      <c r="DK124" s="91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</row>
    <row r="125" spans="1:265" x14ac:dyDescent="0.3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1"/>
      <c r="DF125" s="91"/>
      <c r="DG125" s="91"/>
      <c r="DH125" s="91"/>
      <c r="DI125" s="91"/>
      <c r="DJ125" s="91"/>
      <c r="DK125" s="91"/>
      <c r="DL125" s="91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</row>
    <row r="126" spans="1:265" x14ac:dyDescent="0.3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1"/>
      <c r="DF126" s="91"/>
      <c r="DG126" s="91"/>
      <c r="DH126" s="91"/>
      <c r="DI126" s="91"/>
      <c r="DJ126" s="91"/>
      <c r="DK126" s="91"/>
      <c r="DL126" s="91"/>
      <c r="DM126" s="91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</row>
    <row r="127" spans="1:265" x14ac:dyDescent="0.3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1"/>
      <c r="DB127" s="91"/>
      <c r="DC127" s="91"/>
      <c r="DD127" s="91"/>
      <c r="DE127" s="91"/>
      <c r="DF127" s="91"/>
      <c r="DG127" s="91"/>
      <c r="DH127" s="91"/>
      <c r="DI127" s="91"/>
      <c r="DJ127" s="91"/>
      <c r="DK127" s="91"/>
      <c r="DL127" s="91"/>
      <c r="DM127" s="91"/>
      <c r="DN127" s="91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</row>
    <row r="128" spans="1:265" x14ac:dyDescent="0.3">
      <c r="A128" s="91" t="s">
        <v>278</v>
      </c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1"/>
      <c r="DF128" s="91"/>
      <c r="DG128" s="91"/>
      <c r="DH128" s="91"/>
      <c r="DI128" s="91"/>
      <c r="DJ128" s="91"/>
      <c r="DK128" s="91"/>
      <c r="DL128" s="91"/>
      <c r="DM128" s="91"/>
      <c r="DN128" s="91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</row>
    <row r="129" spans="1:265" x14ac:dyDescent="0.3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91"/>
      <c r="CD129" s="91"/>
      <c r="CE129" s="91"/>
      <c r="CF129" s="91"/>
      <c r="CG129" s="91"/>
      <c r="CH129" s="91"/>
      <c r="CI129" s="91"/>
      <c r="CJ129" s="91"/>
      <c r="CK129" s="9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1"/>
      <c r="DB129" s="91"/>
      <c r="DC129" s="91"/>
      <c r="DD129" s="91"/>
      <c r="DE129" s="91"/>
      <c r="DF129" s="91"/>
      <c r="DG129" s="91"/>
      <c r="DH129" s="91"/>
      <c r="DI129" s="91"/>
      <c r="DJ129" s="91"/>
      <c r="DK129" s="91"/>
      <c r="DL129" s="91"/>
      <c r="DM129" s="91"/>
      <c r="DN129" s="91"/>
      <c r="DO129" s="91"/>
      <c r="DP129" s="91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</row>
    <row r="130" spans="1:265" x14ac:dyDescent="0.3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1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</row>
    <row r="131" spans="1:265" x14ac:dyDescent="0.3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1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</row>
    <row r="132" spans="1:265" x14ac:dyDescent="0.3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1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</row>
    <row r="133" spans="1:265" x14ac:dyDescent="0.3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1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</row>
    <row r="134" spans="1:265" x14ac:dyDescent="0.3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1"/>
      <c r="DF134" s="91"/>
      <c r="DG134" s="91"/>
      <c r="DH134" s="91"/>
      <c r="DI134" s="91"/>
      <c r="DJ134" s="91"/>
      <c r="DK134" s="91"/>
      <c r="DL134" s="91"/>
      <c r="DM134" s="91"/>
      <c r="DN134" s="91"/>
      <c r="DO134" s="91"/>
      <c r="DP134" s="91"/>
      <c r="DQ134" s="91"/>
      <c r="DR134" s="91"/>
      <c r="DS134" s="91"/>
      <c r="DT134" s="91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</row>
    <row r="135" spans="1:265" x14ac:dyDescent="0.3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1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</row>
    <row r="136" spans="1:265" x14ac:dyDescent="0.3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1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</row>
    <row r="137" spans="1:265" x14ac:dyDescent="0.3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1"/>
      <c r="DF137" s="91"/>
      <c r="DG137" s="91"/>
      <c r="DH137" s="91"/>
      <c r="DI137" s="91"/>
      <c r="DJ137" s="91"/>
      <c r="DK137" s="91"/>
      <c r="DL137" s="91"/>
      <c r="DM137" s="91"/>
      <c r="DN137" s="91"/>
      <c r="DO137" s="91"/>
      <c r="DP137" s="91"/>
      <c r="DQ137" s="91"/>
      <c r="DR137" s="91"/>
      <c r="DS137" s="91"/>
      <c r="DT137" s="91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</row>
    <row r="138" spans="1:265" x14ac:dyDescent="0.3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1"/>
      <c r="DB138" s="91"/>
      <c r="DC138" s="91"/>
      <c r="DD138" s="91"/>
      <c r="DE138" s="91"/>
      <c r="DF138" s="91"/>
      <c r="DG138" s="91"/>
      <c r="DH138" s="91"/>
      <c r="DI138" s="91"/>
      <c r="DJ138" s="91"/>
      <c r="DK138" s="91"/>
      <c r="DL138" s="91"/>
      <c r="DM138" s="91"/>
      <c r="DN138" s="91"/>
      <c r="DO138" s="91"/>
      <c r="DP138" s="91"/>
      <c r="DQ138" s="91"/>
      <c r="DR138" s="91"/>
      <c r="DS138" s="91"/>
      <c r="DT138" s="91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</row>
    <row r="139" spans="1:265" x14ac:dyDescent="0.3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1"/>
      <c r="DB139" s="91"/>
      <c r="DC139" s="91"/>
      <c r="DD139" s="91"/>
      <c r="DE139" s="91"/>
      <c r="DF139" s="91"/>
      <c r="DG139" s="91"/>
      <c r="DH139" s="91"/>
      <c r="DI139" s="91"/>
      <c r="DJ139" s="91"/>
      <c r="DK139" s="91"/>
      <c r="DL139" s="91"/>
      <c r="DM139" s="91"/>
      <c r="DN139" s="91"/>
      <c r="DO139" s="91"/>
      <c r="DP139" s="91"/>
      <c r="DQ139" s="91"/>
      <c r="DR139" s="91"/>
      <c r="DS139" s="91"/>
      <c r="DT139" s="91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</row>
    <row r="140" spans="1:265" x14ac:dyDescent="0.3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1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</row>
    <row r="141" spans="1:265" x14ac:dyDescent="0.3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1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</row>
    <row r="142" spans="1:265" x14ac:dyDescent="0.3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1"/>
      <c r="DB142" s="91"/>
      <c r="DC142" s="91"/>
      <c r="DD142" s="91"/>
      <c r="DE142" s="91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  <c r="DQ142" s="91"/>
      <c r="DR142" s="91"/>
      <c r="DS142" s="91"/>
      <c r="DT142" s="91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</row>
    <row r="143" spans="1:265" x14ac:dyDescent="0.3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1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  <c r="DQ143" s="91"/>
      <c r="DR143" s="91"/>
      <c r="DS143" s="91"/>
      <c r="DT143" s="91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</row>
    <row r="144" spans="1:265" x14ac:dyDescent="0.3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1"/>
      <c r="DF144" s="91"/>
      <c r="DG144" s="91"/>
      <c r="DH144" s="91"/>
      <c r="DI144" s="91"/>
      <c r="DJ144" s="91"/>
      <c r="DK144" s="91"/>
      <c r="DL144" s="91"/>
      <c r="DM144" s="91"/>
      <c r="DN144" s="91"/>
      <c r="DO144" s="91"/>
      <c r="DP144" s="91"/>
      <c r="DQ144" s="91"/>
      <c r="DR144" s="91"/>
      <c r="DS144" s="91"/>
      <c r="DT144" s="91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</row>
    <row r="145" spans="1:265" x14ac:dyDescent="0.3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1"/>
      <c r="DB145" s="91"/>
      <c r="DC145" s="91"/>
      <c r="DD145" s="91"/>
      <c r="DE145" s="91"/>
      <c r="DF145" s="91"/>
      <c r="DG145" s="91"/>
      <c r="DH145" s="91"/>
      <c r="DI145" s="91"/>
      <c r="DJ145" s="91"/>
      <c r="DK145" s="91"/>
      <c r="DL145" s="91"/>
      <c r="DM145" s="91"/>
      <c r="DN145" s="91"/>
      <c r="DO145" s="91"/>
      <c r="DP145" s="91"/>
      <c r="DQ145" s="91"/>
      <c r="DR145" s="91"/>
      <c r="DS145" s="91"/>
      <c r="DT145" s="91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</row>
    <row r="146" spans="1:265" x14ac:dyDescent="0.3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1"/>
      <c r="DF146" s="91"/>
      <c r="DG146" s="91"/>
      <c r="DH146" s="91"/>
      <c r="DI146" s="91"/>
      <c r="DJ146" s="91"/>
      <c r="DK146" s="91"/>
      <c r="DL146" s="91"/>
      <c r="DM146" s="91"/>
      <c r="DN146" s="91"/>
      <c r="DO146" s="91"/>
      <c r="DP146" s="91"/>
      <c r="DQ146" s="91"/>
      <c r="DR146" s="91"/>
      <c r="DS146" s="91"/>
      <c r="DT146" s="91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</row>
    <row r="147" spans="1:265" x14ac:dyDescent="0.3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1"/>
      <c r="DF147" s="91"/>
      <c r="DG147" s="91"/>
      <c r="DH147" s="91"/>
      <c r="DI147" s="91"/>
      <c r="DJ147" s="91"/>
      <c r="DK147" s="91"/>
      <c r="DL147" s="91"/>
      <c r="DM147" s="91"/>
      <c r="DN147" s="91"/>
      <c r="DO147" s="91"/>
      <c r="DP147" s="91"/>
      <c r="DQ147" s="91"/>
      <c r="DR147" s="91"/>
      <c r="DS147" s="91"/>
      <c r="DT147" s="91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</row>
    <row r="148" spans="1:265" x14ac:dyDescent="0.3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1"/>
      <c r="DB148" s="91"/>
      <c r="DC148" s="91"/>
      <c r="DD148" s="91"/>
      <c r="DE148" s="91"/>
      <c r="DF148" s="91"/>
      <c r="DG148" s="91"/>
      <c r="DH148" s="91"/>
      <c r="DI148" s="91"/>
      <c r="DJ148" s="91"/>
      <c r="DK148" s="91"/>
      <c r="DL148" s="91"/>
      <c r="DM148" s="91"/>
      <c r="DN148" s="91"/>
      <c r="DO148" s="91"/>
      <c r="DP148" s="91"/>
      <c r="DQ148" s="91"/>
      <c r="DR148" s="91"/>
      <c r="DS148" s="91"/>
      <c r="DT148" s="91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</row>
    <row r="149" spans="1:265" x14ac:dyDescent="0.3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1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</row>
    <row r="150" spans="1:265" x14ac:dyDescent="0.3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</row>
    <row r="151" spans="1:265" x14ac:dyDescent="0.3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1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</row>
    <row r="152" spans="1:265" x14ac:dyDescent="0.3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</row>
    <row r="153" spans="1:265" x14ac:dyDescent="0.3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1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</row>
    <row r="154" spans="1:265" x14ac:dyDescent="0.3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1"/>
      <c r="DF154" s="91"/>
      <c r="DG154" s="91"/>
      <c r="DH154" s="91"/>
      <c r="DI154" s="91"/>
      <c r="DJ154" s="91"/>
      <c r="DK154" s="91"/>
      <c r="DL154" s="91"/>
      <c r="DM154" s="91"/>
      <c r="DN154" s="91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</row>
    <row r="155" spans="1:265" x14ac:dyDescent="0.3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1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</row>
    <row r="156" spans="1:265" x14ac:dyDescent="0.3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  <c r="EJ156" s="91"/>
      <c r="EK156" s="91"/>
      <c r="EL156" s="91"/>
      <c r="EM156" s="91"/>
      <c r="EN156" s="91"/>
      <c r="EO156" s="91"/>
      <c r="EP156" s="91"/>
      <c r="EQ156" s="91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</row>
    <row r="157" spans="1:265" x14ac:dyDescent="0.3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1"/>
      <c r="DB157" s="91"/>
      <c r="DC157" s="91"/>
      <c r="DD157" s="91"/>
      <c r="DE157" s="91"/>
      <c r="DF157" s="91"/>
      <c r="DG157" s="91"/>
      <c r="DH157" s="91"/>
      <c r="DI157" s="91"/>
      <c r="DJ157" s="91"/>
      <c r="DK157" s="91"/>
      <c r="DL157" s="91"/>
      <c r="DM157" s="91"/>
      <c r="DN157" s="91"/>
      <c r="DO157" s="91"/>
      <c r="DP157" s="91"/>
      <c r="DQ157" s="91"/>
      <c r="DR157" s="91"/>
      <c r="DS157" s="91"/>
      <c r="DT157" s="91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  <c r="EJ157" s="91"/>
      <c r="EK157" s="91"/>
      <c r="EL157" s="91"/>
      <c r="EM157" s="91"/>
      <c r="EN157" s="91"/>
      <c r="EO157" s="91"/>
      <c r="EP157" s="91"/>
      <c r="EQ157" s="91"/>
      <c r="ER157" s="91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</row>
    <row r="158" spans="1:265" x14ac:dyDescent="0.3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1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  <c r="EJ158" s="91"/>
      <c r="EK158" s="91"/>
      <c r="EL158" s="91"/>
      <c r="EM158" s="91"/>
      <c r="EN158" s="91"/>
      <c r="EO158" s="91"/>
      <c r="EP158" s="91"/>
      <c r="EQ158" s="91"/>
      <c r="ER158" s="91"/>
      <c r="ES158" s="91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</row>
    <row r="159" spans="1:265" x14ac:dyDescent="0.3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1"/>
      <c r="DB159" s="91"/>
      <c r="DC159" s="91"/>
      <c r="DD159" s="91"/>
      <c r="DE159" s="91"/>
      <c r="DF159" s="91"/>
      <c r="DG159" s="91"/>
      <c r="DH159" s="91"/>
      <c r="DI159" s="91"/>
      <c r="DJ159" s="91"/>
      <c r="DK159" s="91"/>
      <c r="DL159" s="91"/>
      <c r="DM159" s="91"/>
      <c r="DN159" s="91"/>
      <c r="DO159" s="91"/>
      <c r="DP159" s="91"/>
      <c r="DQ159" s="91"/>
      <c r="DR159" s="91"/>
      <c r="DS159" s="91"/>
      <c r="DT159" s="91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  <c r="EJ159" s="91"/>
      <c r="EK159" s="91"/>
      <c r="EL159" s="91"/>
      <c r="EM159" s="91"/>
      <c r="EN159" s="91"/>
      <c r="EO159" s="91"/>
      <c r="EP159" s="91"/>
      <c r="EQ159" s="91"/>
      <c r="ER159" s="91"/>
      <c r="ES159" s="91"/>
      <c r="ET159" s="91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</row>
    <row r="160" spans="1:265" x14ac:dyDescent="0.3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1"/>
      <c r="DB160" s="91"/>
      <c r="DC160" s="91"/>
      <c r="DD160" s="91"/>
      <c r="DE160" s="91"/>
      <c r="DF160" s="91"/>
      <c r="DG160" s="91"/>
      <c r="DH160" s="91"/>
      <c r="DI160" s="91"/>
      <c r="DJ160" s="91"/>
      <c r="DK160" s="91"/>
      <c r="DL160" s="91"/>
      <c r="DM160" s="91"/>
      <c r="DN160" s="91"/>
      <c r="DO160" s="91"/>
      <c r="DP160" s="91"/>
      <c r="DQ160" s="91"/>
      <c r="DR160" s="91"/>
      <c r="DS160" s="91"/>
      <c r="DT160" s="91"/>
      <c r="DU160" s="91"/>
      <c r="DV160" s="91"/>
      <c r="DW160" s="91"/>
      <c r="DX160" s="91"/>
      <c r="DY160" s="91"/>
      <c r="DZ160" s="91"/>
      <c r="EA160" s="91"/>
      <c r="EB160" s="91"/>
      <c r="EC160" s="91"/>
      <c r="ED160" s="91"/>
      <c r="EE160" s="91"/>
      <c r="EF160" s="91"/>
      <c r="EG160" s="91"/>
      <c r="EH160" s="91"/>
      <c r="EI160" s="91"/>
      <c r="EJ160" s="91"/>
      <c r="EK160" s="91"/>
      <c r="EL160" s="91"/>
      <c r="EM160" s="91"/>
      <c r="EN160" s="91"/>
      <c r="EO160" s="91"/>
      <c r="EP160" s="91"/>
      <c r="EQ160" s="91"/>
      <c r="ER160" s="91"/>
      <c r="ES160" s="91"/>
      <c r="ET160" s="91"/>
      <c r="EU160" s="91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</row>
    <row r="161" spans="1:265" x14ac:dyDescent="0.3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1"/>
      <c r="DB161" s="91"/>
      <c r="DC161" s="91"/>
      <c r="DD161" s="91"/>
      <c r="DE161" s="91"/>
      <c r="DF161" s="91"/>
      <c r="DG161" s="91"/>
      <c r="DH161" s="91"/>
      <c r="DI161" s="91"/>
      <c r="DJ161" s="91"/>
      <c r="DK161" s="91"/>
      <c r="DL161" s="91"/>
      <c r="DM161" s="91"/>
      <c r="DN161" s="91"/>
      <c r="DO161" s="91"/>
      <c r="DP161" s="91"/>
      <c r="DQ161" s="91"/>
      <c r="DR161" s="91"/>
      <c r="DS161" s="91"/>
      <c r="DT161" s="91"/>
      <c r="DU161" s="91"/>
      <c r="DV161" s="91"/>
      <c r="DW161" s="91"/>
      <c r="DX161" s="91"/>
      <c r="DY161" s="91"/>
      <c r="DZ161" s="91"/>
      <c r="EA161" s="91"/>
      <c r="EB161" s="91"/>
      <c r="EC161" s="91"/>
      <c r="ED161" s="91"/>
      <c r="EE161" s="91"/>
      <c r="EF161" s="91"/>
      <c r="EG161" s="91"/>
      <c r="EH161" s="91"/>
      <c r="EI161" s="91"/>
      <c r="EJ161" s="91"/>
      <c r="EK161" s="91"/>
      <c r="EL161" s="91"/>
      <c r="EM161" s="91"/>
      <c r="EN161" s="91"/>
      <c r="EO161" s="91"/>
      <c r="EP161" s="91"/>
      <c r="EQ161" s="91"/>
      <c r="ER161" s="91"/>
      <c r="ES161" s="91"/>
      <c r="ET161" s="91"/>
      <c r="EU161" s="91"/>
      <c r="EV161" s="91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</row>
    <row r="162" spans="1:265" x14ac:dyDescent="0.3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1"/>
      <c r="DB162" s="91"/>
      <c r="DC162" s="91"/>
      <c r="DD162" s="91"/>
      <c r="DE162" s="91"/>
      <c r="DF162" s="91"/>
      <c r="DG162" s="91"/>
      <c r="DH162" s="91"/>
      <c r="DI162" s="91"/>
      <c r="DJ162" s="91"/>
      <c r="DK162" s="91"/>
      <c r="DL162" s="91"/>
      <c r="DM162" s="91"/>
      <c r="DN162" s="91"/>
      <c r="DO162" s="91"/>
      <c r="DP162" s="91"/>
      <c r="DQ162" s="91"/>
      <c r="DR162" s="91"/>
      <c r="DS162" s="91"/>
      <c r="DT162" s="91"/>
      <c r="DU162" s="91"/>
      <c r="DV162" s="91"/>
      <c r="DW162" s="91"/>
      <c r="DX162" s="91"/>
      <c r="DY162" s="91"/>
      <c r="DZ162" s="91"/>
      <c r="EA162" s="91"/>
      <c r="EB162" s="91"/>
      <c r="EC162" s="91"/>
      <c r="ED162" s="91"/>
      <c r="EE162" s="91"/>
      <c r="EF162" s="91"/>
      <c r="EG162" s="91"/>
      <c r="EH162" s="91"/>
      <c r="EI162" s="91"/>
      <c r="EJ162" s="91"/>
      <c r="EK162" s="91"/>
      <c r="EL162" s="91"/>
      <c r="EM162" s="91"/>
      <c r="EN162" s="91"/>
      <c r="EO162" s="91"/>
      <c r="EP162" s="91"/>
      <c r="EQ162" s="91"/>
      <c r="ER162" s="91"/>
      <c r="ES162" s="91"/>
      <c r="ET162" s="91"/>
      <c r="EU162" s="91"/>
      <c r="EV162" s="91"/>
      <c r="EW162" s="91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</row>
    <row r="163" spans="1:265" x14ac:dyDescent="0.3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1"/>
      <c r="DF163" s="91"/>
      <c r="DG163" s="91"/>
      <c r="DH163" s="91"/>
      <c r="DI163" s="91"/>
      <c r="DJ163" s="91"/>
      <c r="DK163" s="91"/>
      <c r="DL163" s="91"/>
      <c r="DM163" s="91"/>
      <c r="DN163" s="91"/>
      <c r="DO163" s="91"/>
      <c r="DP163" s="91"/>
      <c r="DQ163" s="91"/>
      <c r="DR163" s="91"/>
      <c r="DS163" s="91"/>
      <c r="DT163" s="91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  <c r="EJ163" s="91"/>
      <c r="EK163" s="91"/>
      <c r="EL163" s="91"/>
      <c r="EM163" s="91"/>
      <c r="EN163" s="91"/>
      <c r="EO163" s="91"/>
      <c r="EP163" s="91"/>
      <c r="EQ163" s="91"/>
      <c r="ER163" s="91"/>
      <c r="ES163" s="91"/>
      <c r="ET163" s="91"/>
      <c r="EU163" s="91"/>
      <c r="EV163" s="91"/>
      <c r="EW163" s="91"/>
      <c r="EX163" s="91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</row>
    <row r="164" spans="1:265" x14ac:dyDescent="0.3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1"/>
      <c r="DB164" s="91"/>
      <c r="DC164" s="91"/>
      <c r="DD164" s="91"/>
      <c r="DE164" s="91"/>
      <c r="DF164" s="91"/>
      <c r="DG164" s="91"/>
      <c r="DH164" s="91"/>
      <c r="DI164" s="91"/>
      <c r="DJ164" s="91"/>
      <c r="DK164" s="91"/>
      <c r="DL164" s="91"/>
      <c r="DM164" s="91"/>
      <c r="DN164" s="91"/>
      <c r="DO164" s="91"/>
      <c r="DP164" s="91"/>
      <c r="DQ164" s="91"/>
      <c r="DR164" s="91"/>
      <c r="DS164" s="91"/>
      <c r="DT164" s="91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91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</row>
    <row r="165" spans="1:265" x14ac:dyDescent="0.3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1"/>
      <c r="DB165" s="91"/>
      <c r="DC165" s="91"/>
      <c r="DD165" s="91"/>
      <c r="DE165" s="91"/>
      <c r="DF165" s="91"/>
      <c r="DG165" s="91"/>
      <c r="DH165" s="91"/>
      <c r="DI165" s="91"/>
      <c r="DJ165" s="91"/>
      <c r="DK165" s="91"/>
      <c r="DL165" s="91"/>
      <c r="DM165" s="91"/>
      <c r="DN165" s="91"/>
      <c r="DO165" s="91"/>
      <c r="DP165" s="91"/>
      <c r="DQ165" s="91"/>
      <c r="DR165" s="91"/>
      <c r="DS165" s="91"/>
      <c r="DT165" s="91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91"/>
      <c r="EZ165" s="91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</row>
    <row r="166" spans="1:265" x14ac:dyDescent="0.3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1"/>
      <c r="DB166" s="91"/>
      <c r="DC166" s="91"/>
      <c r="DD166" s="91"/>
      <c r="DE166" s="91"/>
      <c r="DF166" s="91"/>
      <c r="DG166" s="91"/>
      <c r="DH166" s="91"/>
      <c r="DI166" s="91"/>
      <c r="DJ166" s="91"/>
      <c r="DK166" s="91"/>
      <c r="DL166" s="91"/>
      <c r="DM166" s="91"/>
      <c r="DN166" s="91"/>
      <c r="DO166" s="91"/>
      <c r="DP166" s="91"/>
      <c r="DQ166" s="91"/>
      <c r="DR166" s="91"/>
      <c r="DS166" s="91"/>
      <c r="DT166" s="91"/>
      <c r="DU166" s="91"/>
      <c r="DV166" s="91"/>
      <c r="DW166" s="91"/>
      <c r="DX166" s="91"/>
      <c r="DY166" s="91"/>
      <c r="DZ166" s="91"/>
      <c r="EA166" s="91"/>
      <c r="EB166" s="91"/>
      <c r="EC166" s="91"/>
      <c r="ED166" s="91"/>
      <c r="EE166" s="91"/>
      <c r="EF166" s="91"/>
      <c r="EG166" s="91"/>
      <c r="EH166" s="91"/>
      <c r="EI166" s="91"/>
      <c r="EJ166" s="91"/>
      <c r="EK166" s="91"/>
      <c r="EL166" s="91"/>
      <c r="EM166" s="91"/>
      <c r="EN166" s="91"/>
      <c r="EO166" s="91"/>
      <c r="EP166" s="91"/>
      <c r="EQ166" s="91"/>
      <c r="ER166" s="91"/>
      <c r="ES166" s="91"/>
      <c r="ET166" s="91"/>
      <c r="EU166" s="91"/>
      <c r="EV166" s="91"/>
      <c r="EW166" s="91"/>
      <c r="EX166" s="91"/>
      <c r="EY166" s="91"/>
      <c r="EZ166" s="91"/>
      <c r="FA166" s="91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</row>
    <row r="167" spans="1:265" x14ac:dyDescent="0.3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</row>
    <row r="168" spans="1:265" x14ac:dyDescent="0.3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</row>
    <row r="169" spans="1:265" x14ac:dyDescent="0.3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</row>
    <row r="170" spans="1:265" x14ac:dyDescent="0.3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</row>
    <row r="171" spans="1:265" x14ac:dyDescent="0.3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</row>
    <row r="172" spans="1:265" x14ac:dyDescent="0.3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</row>
    <row r="173" spans="1:265" x14ac:dyDescent="0.3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</row>
    <row r="174" spans="1:265" x14ac:dyDescent="0.3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</row>
    <row r="175" spans="1:265" x14ac:dyDescent="0.3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</row>
    <row r="176" spans="1:265" x14ac:dyDescent="0.3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</row>
    <row r="177" spans="1:15" x14ac:dyDescent="0.3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</row>
    <row r="178" spans="1:15" x14ac:dyDescent="0.3">
      <c r="A178" s="91"/>
      <c r="B178" s="91"/>
      <c r="C178" s="91"/>
      <c r="D178" s="91"/>
      <c r="E178" s="91"/>
      <c r="F178" s="91"/>
      <c r="G178" s="91"/>
      <c r="H178" s="91"/>
    </row>
    <row r="179" spans="1:15" x14ac:dyDescent="0.3">
      <c r="A179" s="91"/>
      <c r="B179" s="91"/>
      <c r="C179" s="91"/>
      <c r="D179" s="91"/>
      <c r="E179" s="91"/>
      <c r="F179" s="91"/>
      <c r="G179" s="91"/>
      <c r="H179" s="91"/>
    </row>
    <row r="180" spans="1:15" x14ac:dyDescent="0.3">
      <c r="A180" s="91"/>
      <c r="B180" s="91"/>
      <c r="C180" s="91"/>
      <c r="D180" s="91"/>
      <c r="E180" s="91"/>
      <c r="F180" s="91"/>
    </row>
  </sheetData>
  <sheetProtection algorithmName="SHA-512" hashValue="Mtj/QuGl/c7fE8eEKnr1Y+5mxXGQwfJ0Hko8w2fne0h2RZWQf4IdM8Zdu7jpqo8uviikQfskKtRwp3sZ/S6mAQ==" saltValue="lcB4EdVneZ1LkBQSMoyvSQ==" spinCount="100000" sheet="1" objects="1" scenarios="1"/>
  <phoneticPr fontId="11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K100"/>
  <sheetViews>
    <sheetView workbookViewId="0">
      <selection activeCell="C37" sqref="C37"/>
    </sheetView>
  </sheetViews>
  <sheetFormatPr defaultColWidth="10.84375" defaultRowHeight="13.5" x14ac:dyDescent="0.3"/>
  <cols>
    <col min="1" max="1" width="32.4609375" style="35" customWidth="1"/>
    <col min="2" max="5" width="10" style="35" customWidth="1"/>
    <col min="6" max="6" width="10.4609375" style="35" customWidth="1"/>
    <col min="7" max="8" width="10" style="35" customWidth="1"/>
    <col min="9" max="9" width="10.84375" style="35" customWidth="1"/>
    <col min="10" max="10" width="12.84375" style="35" customWidth="1"/>
    <col min="11" max="11" width="11.4609375" style="35" customWidth="1"/>
    <col min="12" max="16384" width="10.84375" style="35"/>
  </cols>
  <sheetData>
    <row r="1" spans="1:11" x14ac:dyDescent="0.3">
      <c r="A1" s="34" t="s">
        <v>117</v>
      </c>
    </row>
    <row r="2" spans="1:11" x14ac:dyDescent="0.3">
      <c r="A2" s="140"/>
      <c r="B2" s="140"/>
      <c r="C2" s="140"/>
      <c r="D2" s="140"/>
      <c r="E2" s="140"/>
      <c r="F2" s="140"/>
      <c r="G2" s="140"/>
      <c r="H2" s="140"/>
      <c r="I2" s="140"/>
      <c r="J2" s="140"/>
      <c r="K2" s="140"/>
    </row>
    <row r="3" spans="1:11" x14ac:dyDescent="0.3">
      <c r="A3" s="37" t="s">
        <v>35</v>
      </c>
    </row>
    <row r="4" spans="1:11" x14ac:dyDescent="0.3">
      <c r="F4" s="51"/>
      <c r="G4" s="51"/>
      <c r="H4" s="51"/>
    </row>
    <row r="5" spans="1:11" x14ac:dyDescent="0.3">
      <c r="A5" s="38" t="s">
        <v>28</v>
      </c>
      <c r="B5" s="39" t="s">
        <v>662</v>
      </c>
      <c r="E5" s="64">
        <v>4000</v>
      </c>
    </row>
    <row r="6" spans="1:11" x14ac:dyDescent="0.3">
      <c r="B6" s="40" t="s">
        <v>184</v>
      </c>
      <c r="C6" s="40"/>
      <c r="D6" s="40"/>
      <c r="E6" s="40"/>
      <c r="F6" s="40"/>
      <c r="H6" s="40"/>
      <c r="I6" s="40"/>
      <c r="J6" s="40"/>
      <c r="K6" s="40"/>
    </row>
    <row r="8" spans="1:11" x14ac:dyDescent="0.3">
      <c r="A8" s="41" t="s">
        <v>135</v>
      </c>
      <c r="B8" s="19" t="s">
        <v>204</v>
      </c>
      <c r="C8" s="19" t="s">
        <v>169</v>
      </c>
      <c r="D8" s="19" t="s">
        <v>124</v>
      </c>
      <c r="E8" s="19" t="s">
        <v>307</v>
      </c>
      <c r="F8" s="146" t="s">
        <v>159</v>
      </c>
    </row>
    <row r="9" spans="1:11" x14ac:dyDescent="0.3">
      <c r="A9" s="45" t="s">
        <v>237</v>
      </c>
      <c r="B9" s="80">
        <f>IF($E5&gt;='Jul''14 AGL'!E7,('Jul''14 AGL'!E7*'Jul''14 AGL'!E11/100),($E5*'Jul''14 AGL'!E11/100))</f>
        <v>107.47</v>
      </c>
      <c r="C9" s="80">
        <f>IF($E5&gt;='Jul''14 AGL'!F7,('Jul''14 AGL'!F7*'Jul''14 AGL'!F11/100),($E5*'Jul''14 AGL'!F11/100))</f>
        <v>107.47</v>
      </c>
      <c r="D9" s="80">
        <f>IF($E5&gt;='Jul''14 AGL'!G7,('Jul''14 AGL'!G7*'Jul''14 AGL'!G11/100),($E5*'Jul''14 AGL'!G11/100))</f>
        <v>112.67575000000001</v>
      </c>
      <c r="E9" s="80">
        <f>IF($E5&gt;='Jul''14 AGL'!H7,('Jul''14 AGL'!H7*'Jul''14 AGL'!H11/100),($E5*'Jul''14 AGL'!H11/100))</f>
        <v>90.3</v>
      </c>
      <c r="F9" s="53" t="s">
        <v>123</v>
      </c>
      <c r="J9" s="51"/>
    </row>
    <row r="10" spans="1:11" x14ac:dyDescent="0.3">
      <c r="A10" s="45" t="s">
        <v>167</v>
      </c>
      <c r="B10" s="80">
        <f>IF($E5&lt;'Jul''14 AGL'!E7,0,IF($E5&lt;='Jul''14 AGL'!E8,($E5-'Jul''14 AGL'!E7)*('Jul''14 AGL'!E12/100),('Jul''14 AGL'!E8-'Jul''14 AGL'!E7)*('Jul''14 AGL'!E12/100)))</f>
        <v>38.230500000000006</v>
      </c>
      <c r="C10" s="80">
        <f>IF($E5&lt;'Jul''14 AGL'!F7,0,IF($E5&lt;='Jul''14 AGL'!F8,($E5-'Jul''14 AGL'!F7)*('Jul''14 AGL'!F12/100),('Jul''14 AGL'!F8-'Jul''14 AGL'!F7)*('Jul''14 AGL'!F12/100)))</f>
        <v>38.230500000000006</v>
      </c>
      <c r="D10" s="80">
        <f>IF($E5&lt;'Jul''14 AGL'!G7,0,IF($E5&lt;='Jul''14 AGL'!G8,($E5-'Jul''14 AGL'!G7)*('Jul''14 AGL'!G12/100),('Jul''14 AGL'!G8-'Jul''14 AGL'!G7)*('Jul''14 AGL'!G12/100)))</f>
        <v>40.685699999999997</v>
      </c>
      <c r="E10" s="80">
        <f>IF($E5&lt;'Jul''14 AGL'!H7,0,IF($E5&lt;='Jul''14 AGL'!H8,($E5-'Jul''14 AGL'!H7)*('Jul''14 AGL'!H12/100),('Jul''14 AGL'!H8-'Jul''14 AGL'!H7)*('Jul''14 AGL'!H12/100)))</f>
        <v>31.73115</v>
      </c>
      <c r="F10" s="53" t="s">
        <v>123</v>
      </c>
    </row>
    <row r="11" spans="1:11" x14ac:dyDescent="0.3">
      <c r="A11" s="45" t="s">
        <v>207</v>
      </c>
      <c r="B11" s="80">
        <f>IF($E5&lt;'Jul''14 AGL'!E8,0,IF($E5&lt;='Jul''14 AGL'!E9,($E5-'Jul''14 AGL'!E8)*('Jul''14 AGL'!E13/100),('Jul''14 AGL'!E9-'Jul''14 AGL'!E8)*('Jul''14 AGL'!E13/100)))</f>
        <v>0</v>
      </c>
      <c r="C11" s="80">
        <f>IF($E5&lt;'Jul''14 AGL'!F8,0,IF($E5&lt;='Jul''14 AGL'!F9,($E5-'Jul''14 AGL'!F8)*('Jul''14 AGL'!F13/100),('Jul''14 AGL'!F9-'Jul''14 AGL'!F8)*('Jul''14 AGL'!F13/100)))</f>
        <v>0</v>
      </c>
      <c r="D11" s="80">
        <f>IF($E5&lt;'Jul''14 AGL'!G8,0,IF($E5&lt;='Jul''14 AGL'!G9,($E5-'Jul''14 AGL'!G8)*('Jul''14 AGL'!G13/100),('Jul''14 AGL'!G9-'Jul''14 AGL'!G8)*('Jul''14 AGL'!G13/100)))</f>
        <v>0</v>
      </c>
      <c r="E11" s="80">
        <f>IF($E5&lt;'Jul''14 AGL'!H8,0,IF($E5&lt;='Jul''14 AGL'!H9,($E5-'Jul''14 AGL'!H8)*('Jul''14 AGL'!H13/100),('Jul''14 AGL'!H9-'Jul''14 AGL'!H8)*('Jul''14 AGL'!H13/100)))</f>
        <v>0</v>
      </c>
      <c r="F11" s="53" t="s">
        <v>123</v>
      </c>
    </row>
    <row r="12" spans="1:11" x14ac:dyDescent="0.3">
      <c r="A12" s="45" t="s">
        <v>238</v>
      </c>
      <c r="B12" s="80">
        <f>IF($E5&lt;'Jul''14 AGL'!E9,0,IF($E5&lt;='Jul''14 AGL'!E10,($E5-'Jul''14 AGL'!E9)*('Jul''14 AGL'!E14/100),('Jul''14 AGL'!E10-'Jul''14 AGL'!E9)*('Jul''14 AGL'!E14/100)))</f>
        <v>0</v>
      </c>
      <c r="C12" s="80">
        <f>IF($E5&lt;'Jul''14 AGL'!F9,0,IF($E5&lt;='Jul''14 AGL'!F10,($E5-'Jul''14 AGL'!F9)*('Jul''14 AGL'!F14/100),('Jul''14 AGL'!F10-'Jul''14 AGL'!F9)*('Jul''14 AGL'!F14/100)))</f>
        <v>0</v>
      </c>
      <c r="D12" s="80">
        <f>IF($E5&lt;'Jul''14 AGL'!G9,0,IF($E5&lt;='Jul''14 AGL'!G10,($E5-'Jul''14 AGL'!G9)*('Jul''14 AGL'!G14/100),('Jul''14 AGL'!G10-'Jul''14 AGL'!G9)*('Jul''14 AGL'!G14/100)))</f>
        <v>0</v>
      </c>
      <c r="E12" s="80">
        <f>IF($E5&lt;'Jul''14 AGL'!H9,0,IF($E5&lt;='Jul''14 AGL'!H10,($E5-'Jul''14 AGL'!H9)*('Jul''14 AGL'!H14/100),('Jul''14 AGL'!H10-'Jul''14 AGL'!H9)*('Jul''14 AGL'!H14/100)))</f>
        <v>0</v>
      </c>
      <c r="F12" s="53" t="s">
        <v>123</v>
      </c>
    </row>
    <row r="13" spans="1:11" x14ac:dyDescent="0.3">
      <c r="A13" s="45" t="s">
        <v>280</v>
      </c>
      <c r="B13" s="80">
        <f>IF(($E5&gt;'Jul''14 AGL'!E10),($E5-'Jul''14 AGL'!E10)*'Jul''14 AGL'!E15/100,0)</f>
        <v>0</v>
      </c>
      <c r="C13" s="80">
        <f>IF(($E5&gt;'Jul''14 AGL'!F10),($E5-'Jul''14 AGL'!F10)*'Jul''14 AGL'!F15/100,0)</f>
        <v>0</v>
      </c>
      <c r="D13" s="80">
        <f>IF(($E5&gt;'Jul''14 AGL'!G10),($E5-'Jul''14 AGL'!G10)*'Jul''14 AGL'!G15/100,0)</f>
        <v>0</v>
      </c>
      <c r="E13" s="80">
        <f>IF(($E5&gt;'Jul''14 AGL'!H10),($E5-'Jul''14 AGL'!H10)*'Jul''14 AGL'!H15/100,0)</f>
        <v>0</v>
      </c>
      <c r="F13" s="53" t="s">
        <v>123</v>
      </c>
    </row>
    <row r="14" spans="1:11" x14ac:dyDescent="0.3">
      <c r="A14" s="35" t="s">
        <v>119</v>
      </c>
      <c r="B14" s="80">
        <f>'Jul''14 AGL'!E16*60/100</f>
        <v>34.055999999999997</v>
      </c>
      <c r="C14" s="80">
        <f>'Jul''14 AGL'!F16*60/100</f>
        <v>34.055999999999997</v>
      </c>
      <c r="D14" s="80">
        <f>'Jul''14 AGL'!G16*60/100</f>
        <v>43.494</v>
      </c>
      <c r="E14" s="80">
        <f>'Jul''14 AGL'!H16*60/100</f>
        <v>31.0794</v>
      </c>
      <c r="F14" s="53" t="s">
        <v>123</v>
      </c>
    </row>
    <row r="15" spans="1:11" x14ac:dyDescent="0.3">
      <c r="A15" s="35" t="s">
        <v>120</v>
      </c>
      <c r="B15" s="80">
        <f>SUM(B9:B14)</f>
        <v>179.75650000000002</v>
      </c>
      <c r="C15" s="80">
        <f t="shared" ref="C15:E15" si="0">SUM(C9:C14)</f>
        <v>179.75650000000002</v>
      </c>
      <c r="D15" s="80">
        <f t="shared" si="0"/>
        <v>196.85544999999999</v>
      </c>
      <c r="E15" s="80">
        <f t="shared" si="0"/>
        <v>153.11054999999999</v>
      </c>
      <c r="F15" s="53" t="s">
        <v>123</v>
      </c>
    </row>
    <row r="16" spans="1:11" x14ac:dyDescent="0.3">
      <c r="A16" s="46" t="s">
        <v>68</v>
      </c>
      <c r="B16" s="47">
        <f>B15*6</f>
        <v>1078.5390000000002</v>
      </c>
      <c r="C16" s="47">
        <f t="shared" ref="C16:E16" si="1">C15*6</f>
        <v>1078.5390000000002</v>
      </c>
      <c r="D16" s="47">
        <f t="shared" si="1"/>
        <v>1181.1326999999999</v>
      </c>
      <c r="E16" s="47">
        <f t="shared" si="1"/>
        <v>918.66329999999994</v>
      </c>
      <c r="F16" s="47"/>
    </row>
    <row r="17" spans="1:9" x14ac:dyDescent="0.3">
      <c r="A17" s="49"/>
      <c r="B17" s="50"/>
      <c r="C17" s="50"/>
      <c r="D17" s="50"/>
      <c r="E17" s="51"/>
    </row>
    <row r="18" spans="1:9" x14ac:dyDescent="0.3">
      <c r="A18" s="49"/>
      <c r="B18" s="50"/>
      <c r="C18" s="50"/>
      <c r="D18" s="50"/>
      <c r="E18" s="51"/>
    </row>
    <row r="19" spans="1:9" x14ac:dyDescent="0.3">
      <c r="A19" s="41" t="s">
        <v>147</v>
      </c>
      <c r="B19" s="19" t="s">
        <v>204</v>
      </c>
      <c r="C19" s="19" t="s">
        <v>169</v>
      </c>
      <c r="D19" s="19" t="s">
        <v>124</v>
      </c>
      <c r="E19" s="19" t="s">
        <v>307</v>
      </c>
      <c r="F19" s="146" t="s">
        <v>159</v>
      </c>
    </row>
    <row r="20" spans="1:9" x14ac:dyDescent="0.3">
      <c r="A20" s="45" t="s">
        <v>237</v>
      </c>
      <c r="B20" s="53" t="s">
        <v>123</v>
      </c>
      <c r="C20" s="53" t="s">
        <v>123</v>
      </c>
      <c r="D20" s="78">
        <f>IF($E5&gt;='Jul''14 Actew'!F7,('Jul''14 Actew'!F7*'Jul''14 Actew'!F11/100),($E5*'Jul''14 Actew'!F11/100))</f>
        <v>112.67575000000001</v>
      </c>
      <c r="E20" s="66" t="s">
        <v>123</v>
      </c>
      <c r="F20" s="78">
        <f>IF($E5&gt;='Jul''14 Actew'!G7,('Jul''14 Actew'!G7*'Jul''14 Actew'!G11/100),($E5*'Jul''14 Actew'!G11/100))</f>
        <v>96.607500000000002</v>
      </c>
    </row>
    <row r="21" spans="1:9" x14ac:dyDescent="0.3">
      <c r="A21" s="45" t="s">
        <v>167</v>
      </c>
      <c r="B21" s="53" t="s">
        <v>123</v>
      </c>
      <c r="C21" s="53" t="s">
        <v>123</v>
      </c>
      <c r="D21" s="78">
        <f>IF($E5&lt;'Jul''14 Actew'!F7,0,IF($E5&lt;='Jul''14 Actew'!F8,($E5-'Jul''14 Actew'!F7)*('Jul''14 Actew'!F12/100),('Jul''14 Actew'!F8-'Jul''14 Actew'!F7)*('Jul''14 Actew'!F12/100)))</f>
        <v>40.685699999999997</v>
      </c>
      <c r="E21" s="66" t="s">
        <v>123</v>
      </c>
      <c r="F21" s="78">
        <f>IF($E5&lt;'Jul''14 Actew'!G7,0,IF($E5&lt;='Jul''14 Actew'!G8,($E5-'Jul''14 Actew'!G7)*('Jul''14 Actew'!G12/100),('Jul''14 Actew'!G8-'Jul''14 Actew'!G7)*('Jul''14 Actew'!G12/100)))</f>
        <v>45.853500000000004</v>
      </c>
      <c r="H21" s="51"/>
      <c r="I21" s="51"/>
    </row>
    <row r="22" spans="1:9" x14ac:dyDescent="0.3">
      <c r="A22" s="45" t="s">
        <v>207</v>
      </c>
      <c r="B22" s="53" t="s">
        <v>123</v>
      </c>
      <c r="C22" s="53" t="s">
        <v>123</v>
      </c>
      <c r="D22" s="78">
        <f>IF($E5&lt;'Jul''14 Actew'!F8,0,IF($E5&lt;='Jul''14 Actew'!F9,($E5-'Jul''14 Actew'!F8)*('Jul''14 Actew'!F13/100),('Jul''14 Actew'!F9-'Jul''14 Actew'!F8)*('Jul''14 Actew'!F13/100)))</f>
        <v>0</v>
      </c>
      <c r="E22" s="66" t="s">
        <v>123</v>
      </c>
      <c r="F22" s="78">
        <f>IF($E5&lt;'Jul''14 Actew'!G8,0,IF($E5&lt;='Jul''14 Actew'!G9,($E5-'Jul''14 Actew'!G8)*('Jul''14 Actew'!G13/100),('Jul''14 Actew'!G9-'Jul''14 Actew'!G8)*('Jul''14 Actew'!G13/100)))</f>
        <v>0</v>
      </c>
      <c r="H22" s="51"/>
      <c r="I22" s="51"/>
    </row>
    <row r="23" spans="1:9" x14ac:dyDescent="0.3">
      <c r="A23" s="45" t="s">
        <v>238</v>
      </c>
      <c r="B23" s="53" t="s">
        <v>123</v>
      </c>
      <c r="C23" s="53" t="s">
        <v>123</v>
      </c>
      <c r="D23" s="78">
        <f>IF($E5&lt;'Jul''14 Actew'!F9,0,IF($E5&lt;='Jul''14 Actew'!F10,($E5-'Jul''14 Actew'!F9)*('Jul''14 Actew'!F14/100),('Jul''14 Actew'!F10-'Jul''14 Actew'!F9)*('Jul''14 Actew'!F14/100)))</f>
        <v>0</v>
      </c>
      <c r="E23" s="66" t="s">
        <v>123</v>
      </c>
      <c r="F23" s="78">
        <f>IF($E5&lt;'Jul''14 Actew'!G9,0,IF($E5&lt;='Jul''14 Actew'!G10,($E5-'Jul''14 Actew'!G9)*('Jul''14 Actew'!G14/100),('Jul''14 Actew'!G10-'Jul''14 Actew'!G9)*('Jul''14 Actew'!G14/100)))</f>
        <v>0</v>
      </c>
      <c r="H23" s="51"/>
      <c r="I23" s="51"/>
    </row>
    <row r="24" spans="1:9" x14ac:dyDescent="0.3">
      <c r="A24" s="45" t="s">
        <v>280</v>
      </c>
      <c r="B24" s="53" t="s">
        <v>123</v>
      </c>
      <c r="C24" s="53" t="s">
        <v>123</v>
      </c>
      <c r="D24" s="78">
        <f>IF(($E5&gt;'Jul''14 Actew'!F10),($E5-'Jul''14 Actew'!F10)*'Jul''14 Actew'!F15/100,0)</f>
        <v>0</v>
      </c>
      <c r="E24" s="66" t="s">
        <v>123</v>
      </c>
      <c r="F24" s="78">
        <f>IF(($E5&gt;'Jul''14 Actew'!G10),($E5-'Jul''14 Actew'!G10)*'Jul''14 Actew'!G15/100,0)</f>
        <v>0</v>
      </c>
      <c r="H24" s="51"/>
      <c r="I24" s="51"/>
    </row>
    <row r="25" spans="1:9" x14ac:dyDescent="0.3">
      <c r="A25" s="35" t="s">
        <v>119</v>
      </c>
      <c r="B25" s="53" t="s">
        <v>123</v>
      </c>
      <c r="C25" s="53" t="s">
        <v>123</v>
      </c>
      <c r="D25" s="78">
        <f>'Jul''14 Actew'!F16*60/100</f>
        <v>43.494</v>
      </c>
      <c r="E25" s="66" t="s">
        <v>123</v>
      </c>
      <c r="F25" s="78">
        <f>'Jul''14 Actew'!G16*60/100</f>
        <v>34.940399999999997</v>
      </c>
      <c r="H25" s="51"/>
      <c r="I25" s="51"/>
    </row>
    <row r="26" spans="1:9" x14ac:dyDescent="0.3">
      <c r="A26" s="35" t="s">
        <v>120</v>
      </c>
      <c r="B26" s="53" t="s">
        <v>123</v>
      </c>
      <c r="C26" s="53" t="s">
        <v>123</v>
      </c>
      <c r="D26" s="78">
        <f t="shared" ref="D26" si="2">SUM(D20:D25)</f>
        <v>196.85544999999999</v>
      </c>
      <c r="E26" s="66" t="s">
        <v>123</v>
      </c>
      <c r="F26" s="78">
        <f t="shared" ref="F26" si="3">SUM(F20:F25)</f>
        <v>177.40140000000002</v>
      </c>
    </row>
    <row r="27" spans="1:9" x14ac:dyDescent="0.3">
      <c r="A27" s="46" t="s">
        <v>68</v>
      </c>
      <c r="B27" s="79"/>
      <c r="C27" s="79"/>
      <c r="D27" s="79">
        <f t="shared" ref="D27" si="4">D26*6</f>
        <v>1181.1326999999999</v>
      </c>
      <c r="E27" s="79"/>
      <c r="F27" s="79">
        <f t="shared" ref="F27" si="5">F26*6</f>
        <v>1064.4084000000003</v>
      </c>
    </row>
    <row r="28" spans="1:9" x14ac:dyDescent="0.3">
      <c r="A28" s="49"/>
      <c r="B28" s="61"/>
      <c r="C28" s="61"/>
      <c r="D28" s="61"/>
    </row>
    <row r="29" spans="1:9" x14ac:dyDescent="0.3">
      <c r="A29" s="49"/>
      <c r="B29" s="61"/>
      <c r="C29" s="61"/>
      <c r="D29" s="61"/>
    </row>
    <row r="30" spans="1:9" x14ac:dyDescent="0.3">
      <c r="A30" s="39" t="s">
        <v>154</v>
      </c>
      <c r="B30" s="19" t="s">
        <v>204</v>
      </c>
      <c r="C30" s="19" t="s">
        <v>169</v>
      </c>
      <c r="D30" s="19" t="s">
        <v>124</v>
      </c>
      <c r="E30" s="19" t="s">
        <v>307</v>
      </c>
      <c r="F30" s="146" t="s">
        <v>159</v>
      </c>
      <c r="H30" s="51"/>
      <c r="I30" s="51"/>
    </row>
    <row r="31" spans="1:9" x14ac:dyDescent="0.3">
      <c r="A31" s="45" t="s">
        <v>75</v>
      </c>
      <c r="B31" s="53" t="s">
        <v>123</v>
      </c>
      <c r="C31" s="80">
        <f>IF($E5&gt;'Jul''14 Origin'!E9,('Jul''14 Origin'!E9*'Jul''14 Origin'!E12/100),('Bills Jul''14'!$E5*'Jul''14 Origin'!E12/100))</f>
        <v>77.263999999999996</v>
      </c>
      <c r="D31" s="80">
        <f>IF($E5&gt;'Jul''14 Origin'!F9,('Jul''14 Origin'!F9*'Jul''14 Origin'!F12/100),('Bills Jul''14'!$E5*'Jul''14 Origin'!F12/100))</f>
        <v>99.149600000000007</v>
      </c>
      <c r="E31" s="53" t="s">
        <v>123</v>
      </c>
      <c r="F31" s="53" t="s">
        <v>123</v>
      </c>
      <c r="H31" s="51"/>
      <c r="I31" s="51"/>
    </row>
    <row r="32" spans="1:9" x14ac:dyDescent="0.3">
      <c r="A32" s="45" t="s">
        <v>38</v>
      </c>
      <c r="B32" s="53" t="s">
        <v>123</v>
      </c>
      <c r="C32" s="80">
        <v>0</v>
      </c>
      <c r="D32" s="66">
        <f>IF($E5&lt;'Jul''14 Origin'!F9,0,IF($E5&lt;='Jul''14 Origin'!F10,($E5-'Jul''14 Origin'!F9)*('Jul''14 Origin'!F13/100),('Jul''14 Origin'!F10-'Jul''14 Origin'!F9)*('Jul''14 Origin'!F13/100)))</f>
        <v>0</v>
      </c>
      <c r="E32" s="53" t="s">
        <v>123</v>
      </c>
      <c r="F32" s="53" t="s">
        <v>123</v>
      </c>
      <c r="H32" s="51"/>
      <c r="I32" s="51"/>
    </row>
    <row r="33" spans="1:9" x14ac:dyDescent="0.3">
      <c r="A33" s="45" t="s">
        <v>113</v>
      </c>
      <c r="B33" s="53" t="s">
        <v>123</v>
      </c>
      <c r="C33" s="80">
        <v>0</v>
      </c>
      <c r="D33" s="66">
        <f>IF($E5&lt;'Jul''14 Origin'!F10,0,IF($E5&lt;='Jul''14 Origin'!F11,($E5-'Jul''14 Origin'!F10)*('Jul''14 Origin'!F14/100),('Jul''14 Origin'!F11-'Jul''14 Origin'!F10)*('Jul''14 Origin'!F14/100)))</f>
        <v>0</v>
      </c>
      <c r="E33" s="53" t="s">
        <v>123</v>
      </c>
      <c r="F33" s="53" t="s">
        <v>123</v>
      </c>
      <c r="H33" s="51"/>
      <c r="I33" s="51"/>
    </row>
    <row r="34" spans="1:9" x14ac:dyDescent="0.3">
      <c r="A34" s="45" t="s">
        <v>76</v>
      </c>
      <c r="B34" s="53" t="s">
        <v>123</v>
      </c>
      <c r="C34" s="80">
        <f>IF($E5&gt;'Jul''14 Origin'!E9,('Bills Jul''14'!$E5-'Jul''14 Origin'!E9)*'Jul''14 Origin'!E15/100,0)</f>
        <v>0</v>
      </c>
      <c r="D34" s="66">
        <f>IF(($E5&gt;'Jul''14 Origin'!F11),($E5-'Jul''14 Origin'!F11)*'Jul''14 Origin'!F15/100,0)</f>
        <v>0</v>
      </c>
      <c r="E34" s="53" t="s">
        <v>123</v>
      </c>
      <c r="F34" s="53" t="s">
        <v>123</v>
      </c>
      <c r="H34" s="51"/>
      <c r="I34" s="51"/>
    </row>
    <row r="35" spans="1:9" x14ac:dyDescent="0.3">
      <c r="A35" s="45" t="s">
        <v>90</v>
      </c>
      <c r="B35" s="53" t="s">
        <v>123</v>
      </c>
      <c r="C35" s="80">
        <f>IF($E5&gt;'Jul''14 Origin'!E9,'Jul''14 Origin'!E9*'Jul''14 Origin'!E16/100,'Bills Jul''14'!$E5*'Jul''14 Origin'!E16/100)</f>
        <v>72.864000000000004</v>
      </c>
      <c r="D35" s="66">
        <f>IF($E5&gt;'Jul''14 Origin'!F9,('Jul''14 Origin'!F9*'Jul''14 Origin'!F16/100),($E5*'Jul''14 Origin'!F16/100))</f>
        <v>89.236400000000017</v>
      </c>
      <c r="E35" s="53" t="s">
        <v>123</v>
      </c>
      <c r="F35" s="53" t="s">
        <v>123</v>
      </c>
    </row>
    <row r="36" spans="1:9" x14ac:dyDescent="0.3">
      <c r="A36" s="45" t="s">
        <v>1</v>
      </c>
      <c r="B36" s="53" t="s">
        <v>123</v>
      </c>
      <c r="C36" s="80">
        <v>0</v>
      </c>
      <c r="D36" s="66">
        <f>IF($E5&lt;'Jul''14 Origin'!F9,0,IF($E5&lt;='Jul''14 Origin'!F10,($E5-'Jul''14 Origin'!F9)*('Jul''14 Origin'!F17/100),('Jul''14 Origin'!F10-'Jul''14 Origin'!F9)*('Jul''14 Origin'!F17/100)))</f>
        <v>0</v>
      </c>
      <c r="E36" s="53" t="s">
        <v>123</v>
      </c>
      <c r="F36" s="53" t="s">
        <v>123</v>
      </c>
    </row>
    <row r="37" spans="1:9" x14ac:dyDescent="0.3">
      <c r="A37" s="45" t="s">
        <v>2</v>
      </c>
      <c r="B37" s="53" t="s">
        <v>123</v>
      </c>
      <c r="C37" s="80">
        <v>0</v>
      </c>
      <c r="D37" s="66">
        <f>IF($E5&lt;'Jul''14 Origin'!F10,0,IF($E5&lt;='Jul''14 Origin'!F11,($E5-'Jul''14 Origin'!F10)*('Jul''14 Origin'!F18/100),('Jul''14 Origin'!F11-'Jul''14 Origin'!F10)*('Jul''14 Origin'!F18/100)))</f>
        <v>0</v>
      </c>
      <c r="E37" s="53" t="s">
        <v>123</v>
      </c>
      <c r="F37" s="53" t="s">
        <v>123</v>
      </c>
    </row>
    <row r="38" spans="1:9" x14ac:dyDescent="0.3">
      <c r="A38" s="45" t="s">
        <v>203</v>
      </c>
      <c r="B38" s="53" t="s">
        <v>123</v>
      </c>
      <c r="C38" s="80">
        <f>IF($E5&gt;'Jul''14 Origin'!E9,($E5-'Jul''14 Origin'!E9)*'Jul''14 Origin'!E19/100,0)</f>
        <v>0</v>
      </c>
      <c r="D38" s="66">
        <f>IF(($E5&gt;'Jul''14 Origin'!F11),($E5-'Jul''14 Origin'!F11)*'Jul''14 Origin'!F19/100,0)</f>
        <v>0</v>
      </c>
      <c r="E38" s="53" t="s">
        <v>123</v>
      </c>
      <c r="F38" s="53" t="s">
        <v>123</v>
      </c>
    </row>
    <row r="39" spans="1:9" x14ac:dyDescent="0.3">
      <c r="A39" s="35" t="s">
        <v>119</v>
      </c>
      <c r="B39" s="53" t="s">
        <v>123</v>
      </c>
      <c r="C39" s="80">
        <f>'Jul''14 Origin'!E20*60/100</f>
        <v>34.966799999999999</v>
      </c>
      <c r="D39" s="80">
        <f>'Jul''14 Origin'!F20*60/100</f>
        <v>46.991999999999997</v>
      </c>
      <c r="E39" s="53" t="s">
        <v>123</v>
      </c>
      <c r="F39" s="53" t="s">
        <v>123</v>
      </c>
    </row>
    <row r="40" spans="1:9" x14ac:dyDescent="0.3">
      <c r="A40" s="35" t="s">
        <v>120</v>
      </c>
      <c r="B40" s="53" t="s">
        <v>123</v>
      </c>
      <c r="C40" s="66" t="s">
        <v>123</v>
      </c>
      <c r="D40" s="66" t="s">
        <v>123</v>
      </c>
      <c r="E40" s="53" t="s">
        <v>123</v>
      </c>
      <c r="F40" s="53" t="s">
        <v>123</v>
      </c>
    </row>
    <row r="41" spans="1:9" x14ac:dyDescent="0.3">
      <c r="A41" s="46" t="s">
        <v>68</v>
      </c>
      <c r="B41" s="55"/>
      <c r="C41" s="47">
        <f>(C31*2)+(C32*2)+(C33*2)+(C34*2)+(C35*4)+(C36*4)+(C37*4)+(C38*4)+(C39*6)</f>
        <v>655.78480000000002</v>
      </c>
      <c r="D41" s="86">
        <f>(D31*2)+(D32*2)+(D33*2)+(D34*2)+(D35*4)+(D36*4)+(D37*4)+(D38*4)+(D39*6)</f>
        <v>837.19680000000005</v>
      </c>
      <c r="E41" s="56"/>
      <c r="F41" s="76"/>
    </row>
    <row r="42" spans="1:9" x14ac:dyDescent="0.3">
      <c r="B42" s="61"/>
      <c r="C42" s="61"/>
      <c r="D42" s="61"/>
    </row>
    <row r="43" spans="1:9" x14ac:dyDescent="0.3">
      <c r="B43" s="61"/>
      <c r="C43" s="61"/>
      <c r="D43" s="61"/>
    </row>
    <row r="44" spans="1:9" x14ac:dyDescent="0.3">
      <c r="A44" s="39" t="s">
        <v>157</v>
      </c>
      <c r="B44" s="19" t="s">
        <v>204</v>
      </c>
      <c r="C44" s="19" t="s">
        <v>169</v>
      </c>
      <c r="D44" s="19" t="s">
        <v>124</v>
      </c>
      <c r="E44" s="19" t="s">
        <v>307</v>
      </c>
      <c r="F44" s="146" t="s">
        <v>159</v>
      </c>
    </row>
    <row r="45" spans="1:9" x14ac:dyDescent="0.3">
      <c r="A45" s="45" t="s">
        <v>75</v>
      </c>
      <c r="B45" s="53" t="s">
        <v>123</v>
      </c>
      <c r="C45" s="80">
        <f>E5*'Jul''14 Origin'!E30/100</f>
        <v>113.78399999999999</v>
      </c>
      <c r="D45" s="66">
        <f>IF($E5&gt;'Jul''14 Origin'!F27,('Jul''14 Origin'!F27*'Jul''14 Origin'!F30/100),($E5*'Jul''14 Origin'!F30/100))</f>
        <v>158.49760000000001</v>
      </c>
      <c r="E45" s="53" t="s">
        <v>123</v>
      </c>
      <c r="F45" s="53" t="s">
        <v>123</v>
      </c>
    </row>
    <row r="46" spans="1:9" x14ac:dyDescent="0.3">
      <c r="A46" s="45" t="s">
        <v>38</v>
      </c>
      <c r="B46" s="53" t="s">
        <v>123</v>
      </c>
      <c r="C46" s="80">
        <v>0</v>
      </c>
      <c r="D46" s="66">
        <f>IF($E5&lt;'Jul''14 Origin'!F27,0,IF($E5&lt;='Jul''14 Origin'!F28,($E5-'Jul''14 Origin'!F27)*('Jul''14 Origin'!F31/100),('Jul''14 Origin'!F28-'Jul''14 Origin'!F27)*('Jul''14 Origin'!F31/100)))</f>
        <v>0</v>
      </c>
      <c r="E46" s="53" t="s">
        <v>123</v>
      </c>
      <c r="F46" s="53" t="s">
        <v>123</v>
      </c>
    </row>
    <row r="47" spans="1:9" x14ac:dyDescent="0.3">
      <c r="A47" s="45" t="s">
        <v>113</v>
      </c>
      <c r="B47" s="53" t="s">
        <v>123</v>
      </c>
      <c r="C47" s="80">
        <v>0</v>
      </c>
      <c r="D47" s="66">
        <f>IF($E5&lt;'Jul''14 Origin'!F28,0,IF($E5&lt;='Jul''14 Origin'!F29,($E5-'Jul''14 Origin'!F28)*('Jul''14 Origin'!F32/100),('Jul''14 Origin'!F29-'Jul''14 Origin'!F28)*('Jul''14 Origin'!F32/100)))</f>
        <v>0</v>
      </c>
      <c r="E47" s="53" t="s">
        <v>123</v>
      </c>
      <c r="F47" s="53" t="s">
        <v>123</v>
      </c>
    </row>
    <row r="48" spans="1:9" x14ac:dyDescent="0.3">
      <c r="A48" s="45" t="s">
        <v>76</v>
      </c>
      <c r="B48" s="53" t="s">
        <v>123</v>
      </c>
      <c r="C48" s="80">
        <v>0</v>
      </c>
      <c r="D48" s="66">
        <f>IF(($E5&gt;'Jul''14 Origin'!F29),($E5-'Jul''14 Origin'!F29)*'Jul''14 Origin'!F33/100,0)</f>
        <v>0</v>
      </c>
      <c r="E48" s="53" t="s">
        <v>123</v>
      </c>
      <c r="F48" s="53" t="s">
        <v>123</v>
      </c>
    </row>
    <row r="49" spans="1:6" x14ac:dyDescent="0.3">
      <c r="A49" s="45" t="s">
        <v>90</v>
      </c>
      <c r="B49" s="53" t="s">
        <v>123</v>
      </c>
      <c r="C49" s="80">
        <v>0</v>
      </c>
      <c r="D49" s="66">
        <f>IF($E5&gt;'Jul''14 Origin'!F27,('Jul''14 Origin'!F27*'Jul''14 Origin'!F34/100),($E5*'Jul''14 Origin'!F34/100))</f>
        <v>147.8092</v>
      </c>
      <c r="E49" s="53" t="s">
        <v>123</v>
      </c>
      <c r="F49" s="53" t="s">
        <v>123</v>
      </c>
    </row>
    <row r="50" spans="1:6" x14ac:dyDescent="0.3">
      <c r="A50" s="45" t="s">
        <v>1</v>
      </c>
      <c r="B50" s="53" t="s">
        <v>123</v>
      </c>
      <c r="C50" s="80">
        <v>0</v>
      </c>
      <c r="D50" s="66">
        <f>IF($E5&lt;'Jul''14 Origin'!F27,0,IF($E5&lt;='Jul''14 Origin'!F28,($E5-'Jul''14 Origin'!F27)*('Jul''14 Origin'!F35/100),('Jul''14 Origin'!F28-'Jul''14 Origin'!F27)*('Jul''14 Origin'!F35/100)))</f>
        <v>0</v>
      </c>
      <c r="E50" s="53" t="s">
        <v>123</v>
      </c>
      <c r="F50" s="53" t="s">
        <v>123</v>
      </c>
    </row>
    <row r="51" spans="1:6" x14ac:dyDescent="0.3">
      <c r="A51" s="45" t="s">
        <v>2</v>
      </c>
      <c r="B51" s="53" t="s">
        <v>123</v>
      </c>
      <c r="C51" s="80">
        <v>0</v>
      </c>
      <c r="D51" s="66">
        <f>IF($E5&lt;'Jul''14 Origin'!F28,0,IF($E5&lt;='Jul''14 Origin'!F29,($E5-'Jul''14 Origin'!F28)*('Jul''14 Origin'!F36/100),('Jul''14 Origin'!F29-'Jul''14 Origin'!F28)*('Jul''14 Origin'!F36/100)))</f>
        <v>0</v>
      </c>
      <c r="E51" s="53" t="s">
        <v>123</v>
      </c>
      <c r="F51" s="53" t="s">
        <v>123</v>
      </c>
    </row>
    <row r="52" spans="1:6" x14ac:dyDescent="0.3">
      <c r="A52" s="45" t="s">
        <v>203</v>
      </c>
      <c r="B52" s="53" t="s">
        <v>123</v>
      </c>
      <c r="C52" s="80">
        <v>0</v>
      </c>
      <c r="D52" s="66">
        <f>IF(($E5&gt;'Jul''14 Origin'!F29),($E5-'Jul''14 Origin'!F29)*'Jul''14 Origin'!F37/100,0)</f>
        <v>0</v>
      </c>
      <c r="E52" s="53" t="s">
        <v>123</v>
      </c>
      <c r="F52" s="53" t="s">
        <v>123</v>
      </c>
    </row>
    <row r="53" spans="1:6" x14ac:dyDescent="0.3">
      <c r="A53" s="35" t="s">
        <v>119</v>
      </c>
      <c r="B53" s="53" t="s">
        <v>123</v>
      </c>
      <c r="C53" s="80">
        <f>'Jul''14 Origin'!E38*60/100</f>
        <v>39.6</v>
      </c>
      <c r="D53" s="80">
        <f>'Jul''14 Origin'!F38*60/100</f>
        <v>43.56</v>
      </c>
      <c r="E53" s="53" t="s">
        <v>123</v>
      </c>
      <c r="F53" s="53" t="s">
        <v>123</v>
      </c>
    </row>
    <row r="54" spans="1:6" x14ac:dyDescent="0.3">
      <c r="A54" s="35" t="s">
        <v>120</v>
      </c>
      <c r="B54" s="53" t="s">
        <v>123</v>
      </c>
      <c r="C54" s="80">
        <f>SUM(C45:C53)</f>
        <v>153.38399999999999</v>
      </c>
      <c r="D54" s="66" t="s">
        <v>123</v>
      </c>
      <c r="E54" s="53" t="s">
        <v>123</v>
      </c>
      <c r="F54" s="53" t="s">
        <v>123</v>
      </c>
    </row>
    <row r="55" spans="1:6" x14ac:dyDescent="0.3">
      <c r="A55" s="46" t="s">
        <v>68</v>
      </c>
      <c r="B55" s="47"/>
      <c r="C55" s="47">
        <f>C54*6</f>
        <v>920.30399999999986</v>
      </c>
      <c r="D55" s="47">
        <f>(D45*2)+(D46*2)+(D47*2)+(D48*2)+(D49*4)+(D50*4)+(D51*4)+(D52*4)+(D53*6)</f>
        <v>1169.5920000000001</v>
      </c>
      <c r="E55" s="56"/>
      <c r="F55" s="76"/>
    </row>
    <row r="58" spans="1:6" x14ac:dyDescent="0.3">
      <c r="A58" s="39" t="s">
        <v>59</v>
      </c>
      <c r="B58" s="19" t="s">
        <v>204</v>
      </c>
      <c r="C58" s="19" t="s">
        <v>169</v>
      </c>
      <c r="D58" s="19" t="s">
        <v>124</v>
      </c>
      <c r="E58" s="19" t="s">
        <v>307</v>
      </c>
      <c r="F58" s="146" t="s">
        <v>159</v>
      </c>
    </row>
    <row r="59" spans="1:6" x14ac:dyDescent="0.3">
      <c r="A59" s="45" t="s">
        <v>138</v>
      </c>
      <c r="B59" s="147" t="s">
        <v>81</v>
      </c>
      <c r="C59" s="148">
        <f>E5*'Jul''14 Origin'!E43/100</f>
        <v>112.94800000000001</v>
      </c>
      <c r="D59" s="147" t="s">
        <v>81</v>
      </c>
      <c r="E59" s="147" t="s">
        <v>81</v>
      </c>
      <c r="F59" s="147" t="s">
        <v>81</v>
      </c>
    </row>
    <row r="60" spans="1:6" x14ac:dyDescent="0.3">
      <c r="A60" s="35" t="s">
        <v>139</v>
      </c>
      <c r="B60" s="147" t="s">
        <v>81</v>
      </c>
      <c r="C60" s="148">
        <f>'Jul''14 Origin'!E44*60/100</f>
        <v>45.658799999999999</v>
      </c>
      <c r="D60" s="147" t="s">
        <v>81</v>
      </c>
      <c r="E60" s="147" t="s">
        <v>81</v>
      </c>
      <c r="F60" s="147" t="s">
        <v>81</v>
      </c>
    </row>
    <row r="61" spans="1:6" x14ac:dyDescent="0.3">
      <c r="A61" s="35" t="s">
        <v>140</v>
      </c>
      <c r="B61" s="147" t="s">
        <v>82</v>
      </c>
      <c r="C61" s="148">
        <f>SUM(C59:C60)</f>
        <v>158.60680000000002</v>
      </c>
      <c r="D61" s="147" t="s">
        <v>82</v>
      </c>
      <c r="E61" s="147" t="s">
        <v>82</v>
      </c>
      <c r="F61" s="147" t="s">
        <v>82</v>
      </c>
    </row>
    <row r="62" spans="1:6" x14ac:dyDescent="0.3">
      <c r="A62" s="46" t="s">
        <v>68</v>
      </c>
      <c r="B62" s="149"/>
      <c r="C62" s="149">
        <f>C61*6</f>
        <v>951.64080000000013</v>
      </c>
      <c r="D62" s="149"/>
      <c r="E62" s="149"/>
      <c r="F62" s="149"/>
    </row>
    <row r="65" spans="1:6" x14ac:dyDescent="0.3">
      <c r="A65" s="39" t="s">
        <v>54</v>
      </c>
      <c r="B65" s="19" t="s">
        <v>204</v>
      </c>
      <c r="C65" s="19" t="s">
        <v>169</v>
      </c>
      <c r="D65" s="19" t="s">
        <v>124</v>
      </c>
      <c r="E65" s="19" t="s">
        <v>307</v>
      </c>
      <c r="F65" s="146" t="s">
        <v>159</v>
      </c>
    </row>
    <row r="66" spans="1:6" x14ac:dyDescent="0.3">
      <c r="A66" s="45" t="s">
        <v>138</v>
      </c>
      <c r="B66" s="147" t="s">
        <v>81</v>
      </c>
      <c r="C66" s="148">
        <f>E5*'Jul''14 Origin'!E49/100</f>
        <v>113.74</v>
      </c>
      <c r="D66" s="147" t="s">
        <v>81</v>
      </c>
      <c r="E66" s="147" t="s">
        <v>81</v>
      </c>
      <c r="F66" s="147" t="s">
        <v>81</v>
      </c>
    </row>
    <row r="67" spans="1:6" x14ac:dyDescent="0.3">
      <c r="A67" s="35" t="s">
        <v>139</v>
      </c>
      <c r="B67" s="147" t="s">
        <v>81</v>
      </c>
      <c r="C67" s="148">
        <f>'Jul''14 Origin'!E50*60/100</f>
        <v>49.150200000000005</v>
      </c>
      <c r="D67" s="147" t="s">
        <v>81</v>
      </c>
      <c r="E67" s="147" t="s">
        <v>81</v>
      </c>
      <c r="F67" s="147" t="s">
        <v>81</v>
      </c>
    </row>
    <row r="68" spans="1:6" x14ac:dyDescent="0.3">
      <c r="A68" s="35" t="s">
        <v>140</v>
      </c>
      <c r="B68" s="147" t="s">
        <v>82</v>
      </c>
      <c r="C68" s="148">
        <f>SUM(C66:C67)</f>
        <v>162.89019999999999</v>
      </c>
      <c r="D68" s="147" t="s">
        <v>82</v>
      </c>
      <c r="E68" s="147" t="s">
        <v>82</v>
      </c>
      <c r="F68" s="147" t="s">
        <v>82</v>
      </c>
    </row>
    <row r="69" spans="1:6" x14ac:dyDescent="0.3">
      <c r="A69" s="46" t="s">
        <v>68</v>
      </c>
      <c r="B69" s="149"/>
      <c r="C69" s="149">
        <f>C68*6</f>
        <v>977.34119999999996</v>
      </c>
      <c r="D69" s="149"/>
      <c r="E69" s="149"/>
      <c r="F69" s="149"/>
    </row>
    <row r="72" spans="1:6" x14ac:dyDescent="0.3">
      <c r="A72" s="39" t="s">
        <v>48</v>
      </c>
      <c r="B72" s="19" t="s">
        <v>204</v>
      </c>
      <c r="C72" s="19" t="s">
        <v>169</v>
      </c>
      <c r="D72" s="19" t="s">
        <v>124</v>
      </c>
      <c r="E72" s="19" t="s">
        <v>307</v>
      </c>
      <c r="F72" s="146" t="s">
        <v>159</v>
      </c>
    </row>
    <row r="73" spans="1:6" x14ac:dyDescent="0.3">
      <c r="A73" s="45" t="s">
        <v>138</v>
      </c>
      <c r="B73" s="147" t="s">
        <v>81</v>
      </c>
      <c r="C73" s="148">
        <f>E5*'Jul''14 Origin'!E55/100</f>
        <v>121.176</v>
      </c>
      <c r="D73" s="147" t="s">
        <v>81</v>
      </c>
      <c r="E73" s="147" t="s">
        <v>81</v>
      </c>
      <c r="F73" s="147" t="s">
        <v>81</v>
      </c>
    </row>
    <row r="74" spans="1:6" x14ac:dyDescent="0.3">
      <c r="A74" s="35" t="s">
        <v>139</v>
      </c>
      <c r="B74" s="147" t="s">
        <v>81</v>
      </c>
      <c r="C74" s="148">
        <f>'Jul''14 Origin'!E56*60/100</f>
        <v>48.853199999999994</v>
      </c>
      <c r="D74" s="147" t="s">
        <v>81</v>
      </c>
      <c r="E74" s="147" t="s">
        <v>81</v>
      </c>
      <c r="F74" s="147" t="s">
        <v>81</v>
      </c>
    </row>
    <row r="75" spans="1:6" x14ac:dyDescent="0.3">
      <c r="A75" s="35" t="s">
        <v>140</v>
      </c>
      <c r="B75" s="147" t="s">
        <v>82</v>
      </c>
      <c r="C75" s="148">
        <f>SUM(C73:C74)</f>
        <v>170.0292</v>
      </c>
      <c r="D75" s="147" t="s">
        <v>82</v>
      </c>
      <c r="E75" s="147" t="s">
        <v>82</v>
      </c>
      <c r="F75" s="147" t="s">
        <v>82</v>
      </c>
    </row>
    <row r="76" spans="1:6" x14ac:dyDescent="0.3">
      <c r="A76" s="46" t="s">
        <v>68</v>
      </c>
      <c r="B76" s="149"/>
      <c r="C76" s="149">
        <f>C75*6</f>
        <v>1020.1752</v>
      </c>
      <c r="D76" s="149"/>
      <c r="E76" s="149"/>
      <c r="F76" s="149"/>
    </row>
    <row r="79" spans="1:6" x14ac:dyDescent="0.3">
      <c r="A79" s="39" t="s">
        <v>47</v>
      </c>
      <c r="B79" s="19" t="s">
        <v>204</v>
      </c>
      <c r="C79" s="19" t="s">
        <v>169</v>
      </c>
      <c r="D79" s="19" t="s">
        <v>124</v>
      </c>
      <c r="E79" s="19" t="s">
        <v>307</v>
      </c>
      <c r="F79" s="146" t="s">
        <v>159</v>
      </c>
    </row>
    <row r="80" spans="1:6" x14ac:dyDescent="0.3">
      <c r="A80" s="45" t="s">
        <v>138</v>
      </c>
      <c r="B80" s="147" t="s">
        <v>81</v>
      </c>
      <c r="C80" s="148">
        <f>E5*'Jul''14 Origin'!E61/100</f>
        <v>98.911999999999992</v>
      </c>
      <c r="D80" s="147" t="s">
        <v>81</v>
      </c>
      <c r="E80" s="147" t="s">
        <v>81</v>
      </c>
      <c r="F80" s="147" t="s">
        <v>81</v>
      </c>
    </row>
    <row r="81" spans="1:7" x14ac:dyDescent="0.3">
      <c r="A81" s="35" t="s">
        <v>139</v>
      </c>
      <c r="B81" s="147" t="s">
        <v>81</v>
      </c>
      <c r="C81" s="148">
        <f>'Jul''14 Origin'!E62*60/100</f>
        <v>51.48</v>
      </c>
      <c r="D81" s="147" t="s">
        <v>81</v>
      </c>
      <c r="E81" s="147" t="s">
        <v>81</v>
      </c>
      <c r="F81" s="147" t="s">
        <v>81</v>
      </c>
    </row>
    <row r="82" spans="1:7" x14ac:dyDescent="0.3">
      <c r="A82" s="35" t="s">
        <v>140</v>
      </c>
      <c r="B82" s="147" t="s">
        <v>82</v>
      </c>
      <c r="C82" s="148">
        <f>SUM(C80:C81)</f>
        <v>150.392</v>
      </c>
      <c r="D82" s="147" t="s">
        <v>82</v>
      </c>
      <c r="E82" s="147" t="s">
        <v>82</v>
      </c>
      <c r="F82" s="147" t="s">
        <v>82</v>
      </c>
    </row>
    <row r="83" spans="1:7" x14ac:dyDescent="0.3">
      <c r="A83" s="46" t="s">
        <v>68</v>
      </c>
      <c r="B83" s="149"/>
      <c r="C83" s="149">
        <f>C82*6</f>
        <v>902.35199999999998</v>
      </c>
      <c r="D83" s="149"/>
      <c r="E83" s="149"/>
      <c r="F83" s="149"/>
    </row>
    <row r="86" spans="1:7" x14ac:dyDescent="0.3">
      <c r="A86" s="39" t="s">
        <v>46</v>
      </c>
      <c r="B86" s="19" t="s">
        <v>204</v>
      </c>
      <c r="C86" s="19" t="s">
        <v>169</v>
      </c>
      <c r="D86" s="19" t="s">
        <v>124</v>
      </c>
      <c r="E86" s="19" t="s">
        <v>307</v>
      </c>
      <c r="F86" s="146" t="s">
        <v>159</v>
      </c>
    </row>
    <row r="87" spans="1:7" x14ac:dyDescent="0.3">
      <c r="A87" s="45" t="s">
        <v>138</v>
      </c>
      <c r="B87" s="147" t="s">
        <v>81</v>
      </c>
      <c r="C87" s="148">
        <f>E5*'Jul''14 Origin'!E67/100</f>
        <v>169.66400000000002</v>
      </c>
      <c r="D87" s="147" t="s">
        <v>81</v>
      </c>
      <c r="E87" s="147" t="s">
        <v>81</v>
      </c>
      <c r="F87" s="147" t="s">
        <v>81</v>
      </c>
    </row>
    <row r="88" spans="1:7" x14ac:dyDescent="0.3">
      <c r="A88" s="35" t="s">
        <v>139</v>
      </c>
      <c r="B88" s="147" t="s">
        <v>81</v>
      </c>
      <c r="C88" s="148">
        <f>'Jul''14 Origin'!E68*60/100</f>
        <v>42.081600000000002</v>
      </c>
      <c r="D88" s="147" t="s">
        <v>81</v>
      </c>
      <c r="E88" s="147" t="s">
        <v>81</v>
      </c>
      <c r="F88" s="147" t="s">
        <v>81</v>
      </c>
    </row>
    <row r="89" spans="1:7" x14ac:dyDescent="0.3">
      <c r="A89" s="35" t="s">
        <v>140</v>
      </c>
      <c r="B89" s="147" t="s">
        <v>82</v>
      </c>
      <c r="C89" s="148">
        <f>SUM(C87:C88)</f>
        <v>211.74560000000002</v>
      </c>
      <c r="D89" s="147" t="s">
        <v>82</v>
      </c>
      <c r="E89" s="147" t="s">
        <v>82</v>
      </c>
      <c r="F89" s="147" t="s">
        <v>82</v>
      </c>
    </row>
    <row r="90" spans="1:7" x14ac:dyDescent="0.3">
      <c r="A90" s="46" t="s">
        <v>68</v>
      </c>
      <c r="B90" s="149"/>
      <c r="C90" s="149">
        <f>C89*6</f>
        <v>1270.4736000000003</v>
      </c>
      <c r="D90" s="149"/>
      <c r="E90" s="149"/>
      <c r="F90" s="149"/>
    </row>
    <row r="92" spans="1:7" x14ac:dyDescent="0.3">
      <c r="A92" s="76"/>
      <c r="B92" s="76"/>
      <c r="C92" s="76"/>
      <c r="D92" s="76"/>
      <c r="E92" s="76"/>
      <c r="F92" s="76"/>
      <c r="G92" s="76"/>
    </row>
    <row r="93" spans="1:7" x14ac:dyDescent="0.3">
      <c r="A93" s="43" t="s">
        <v>171</v>
      </c>
      <c r="B93" s="19" t="s">
        <v>204</v>
      </c>
      <c r="C93" s="19" t="s">
        <v>169</v>
      </c>
      <c r="D93" s="19" t="s">
        <v>124</v>
      </c>
      <c r="E93" s="19" t="s">
        <v>307</v>
      </c>
      <c r="F93" s="146" t="s">
        <v>159</v>
      </c>
    </row>
    <row r="94" spans="1:7" x14ac:dyDescent="0.3">
      <c r="A94" s="45" t="s">
        <v>144</v>
      </c>
      <c r="B94" s="23" t="s">
        <v>84</v>
      </c>
      <c r="C94" s="24" t="s">
        <v>272</v>
      </c>
      <c r="D94" s="24" t="s">
        <v>85</v>
      </c>
      <c r="E94" s="24" t="s">
        <v>272</v>
      </c>
      <c r="F94" s="51" t="s">
        <v>78</v>
      </c>
    </row>
    <row r="95" spans="1:7" x14ac:dyDescent="0.3">
      <c r="A95" s="44" t="s">
        <v>174</v>
      </c>
      <c r="B95" s="24" t="s">
        <v>126</v>
      </c>
      <c r="C95" s="24" t="s">
        <v>176</v>
      </c>
      <c r="D95" s="24" t="s">
        <v>327</v>
      </c>
      <c r="E95" s="24" t="s">
        <v>126</v>
      </c>
      <c r="F95" s="51" t="s">
        <v>60</v>
      </c>
    </row>
    <row r="96" spans="1:7" x14ac:dyDescent="0.3">
      <c r="A96" s="35" t="s">
        <v>394</v>
      </c>
      <c r="B96" s="26" t="s">
        <v>273</v>
      </c>
      <c r="C96" s="25" t="s">
        <v>272</v>
      </c>
      <c r="D96" s="26" t="s">
        <v>191</v>
      </c>
      <c r="E96" s="25">
        <v>75</v>
      </c>
      <c r="F96" s="51" t="s">
        <v>80</v>
      </c>
    </row>
    <row r="97" spans="1:11" x14ac:dyDescent="0.3">
      <c r="A97" s="35" t="s">
        <v>177</v>
      </c>
      <c r="B97" s="26" t="s">
        <v>186</v>
      </c>
      <c r="C97" s="26" t="s">
        <v>186</v>
      </c>
      <c r="D97" s="24" t="s">
        <v>86</v>
      </c>
      <c r="E97" s="51" t="s">
        <v>296</v>
      </c>
      <c r="F97" s="51" t="s">
        <v>79</v>
      </c>
    </row>
    <row r="98" spans="1:11" x14ac:dyDescent="0.3">
      <c r="A98" s="35" t="s">
        <v>379</v>
      </c>
      <c r="B98" s="27">
        <v>11.93</v>
      </c>
      <c r="C98" s="25">
        <v>12</v>
      </c>
      <c r="D98" s="25" t="s">
        <v>272</v>
      </c>
      <c r="E98" s="25" t="s">
        <v>272</v>
      </c>
      <c r="F98" s="27">
        <v>13.95</v>
      </c>
    </row>
    <row r="99" spans="1:11" x14ac:dyDescent="0.3">
      <c r="A99" s="44" t="s">
        <v>328</v>
      </c>
      <c r="B99" s="25" t="s">
        <v>325</v>
      </c>
      <c r="C99" s="25" t="s">
        <v>325</v>
      </c>
      <c r="D99" s="51" t="s">
        <v>272</v>
      </c>
      <c r="E99" s="26" t="s">
        <v>272</v>
      </c>
      <c r="F99" s="51" t="s">
        <v>77</v>
      </c>
    </row>
    <row r="100" spans="1:11" x14ac:dyDescent="0.3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</row>
  </sheetData>
  <sheetProtection algorithmName="SHA-512" hashValue="DrAh6voTGQo3no3tex6fvx+9oTquo+dgbi70fJZ5lgpG0RuQbhaD1n36MurU+sEemxihBZhKIpTirUWq2MJMCQ==" saltValue="1pxS+zFjuK9aVgUIj8AEl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K65"/>
  <sheetViews>
    <sheetView workbookViewId="0">
      <selection activeCell="L24" sqref="L24"/>
    </sheetView>
  </sheetViews>
  <sheetFormatPr defaultColWidth="10.84375" defaultRowHeight="13.5" x14ac:dyDescent="0.3"/>
  <cols>
    <col min="1" max="1" width="32.4609375" style="35" customWidth="1"/>
    <col min="2" max="5" width="10" style="35" customWidth="1"/>
    <col min="6" max="6" width="10.4609375" style="35" customWidth="1"/>
    <col min="7" max="8" width="10" style="35" customWidth="1"/>
    <col min="9" max="9" width="10.84375" style="35" customWidth="1"/>
    <col min="10" max="10" width="12.84375" style="35" customWidth="1"/>
    <col min="11" max="11" width="11.4609375" style="35" customWidth="1"/>
    <col min="12" max="16384" width="10.84375" style="35"/>
  </cols>
  <sheetData>
    <row r="1" spans="1:11" x14ac:dyDescent="0.3">
      <c r="A1" s="34" t="s">
        <v>117</v>
      </c>
    </row>
    <row r="2" spans="1:11" x14ac:dyDescent="0.3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</row>
    <row r="3" spans="1:11" x14ac:dyDescent="0.3">
      <c r="A3" s="37" t="s">
        <v>376</v>
      </c>
    </row>
    <row r="4" spans="1:11" x14ac:dyDescent="0.3">
      <c r="F4" s="51"/>
      <c r="G4" s="51"/>
      <c r="H4" s="51"/>
    </row>
    <row r="5" spans="1:11" x14ac:dyDescent="0.3">
      <c r="A5" s="38" t="s">
        <v>28</v>
      </c>
      <c r="B5" s="39" t="s">
        <v>662</v>
      </c>
      <c r="E5" s="64">
        <v>4000</v>
      </c>
    </row>
    <row r="6" spans="1:11" x14ac:dyDescent="0.3">
      <c r="B6" s="40" t="s">
        <v>184</v>
      </c>
      <c r="C6" s="40"/>
      <c r="D6" s="40"/>
      <c r="E6" s="40"/>
      <c r="F6" s="40"/>
      <c r="H6" s="40"/>
      <c r="I6" s="40"/>
      <c r="J6" s="40"/>
      <c r="K6" s="40"/>
    </row>
    <row r="8" spans="1:11" x14ac:dyDescent="0.3">
      <c r="A8" s="41" t="s">
        <v>135</v>
      </c>
      <c r="B8" s="19" t="s">
        <v>204</v>
      </c>
      <c r="C8" s="19" t="s">
        <v>169</v>
      </c>
      <c r="D8" s="19" t="s">
        <v>124</v>
      </c>
      <c r="E8" s="19" t="s">
        <v>71</v>
      </c>
      <c r="F8" s="19" t="s">
        <v>305</v>
      </c>
    </row>
    <row r="9" spans="1:11" x14ac:dyDescent="0.3">
      <c r="A9" s="45" t="s">
        <v>237</v>
      </c>
      <c r="B9" s="80">
        <f>IF($E5&gt;='Jul''13 AGL'!E7,('Jul''13 AGL'!E7*'Jul''13 AGL'!E11/100),($E5*'Jul''13 AGL'!E11/100))</f>
        <v>81.592500000000001</v>
      </c>
      <c r="C9" s="80">
        <f>IF($E5&gt;='Jul''13 AGL'!F7,('Jul''13 AGL'!F7*'Jul''13 AGL'!F11/100),($E5*'Jul''13 AGL'!F11/100))</f>
        <v>90.392499999999998</v>
      </c>
      <c r="D9" s="80">
        <f>IF($E5&gt;='Jul''13 AGL'!G7,('Jul''13 AGL'!G7*'Jul''13 AGL'!G11/100),($E5*'Jul''13 AGL'!G11/100))</f>
        <v>101.97</v>
      </c>
      <c r="E9" s="80">
        <f>IF($E5&gt;='Jul''13 AGL'!H7,('Jul''13 AGL'!H7*'Jul''13 AGL'!H11/100),($E5*'Jul''13 AGL'!H11/100))</f>
        <v>84.857500000000002</v>
      </c>
      <c r="F9" s="80">
        <f>IF($E5&gt;='Jul''13 AGL'!I7,('Jul''13 AGL'!I7*'Jul''13 AGL'!I11/100),($E5*'Jul''13 AGL'!I11/100))</f>
        <v>90.75</v>
      </c>
    </row>
    <row r="10" spans="1:11" x14ac:dyDescent="0.3">
      <c r="A10" s="45" t="s">
        <v>167</v>
      </c>
      <c r="B10" s="80">
        <f>IF($E5&lt;'Jul''13 AGL'!E7,0,IF($E5&lt;='Jul''13 AGL'!E8,($E5-'Jul''13 AGL'!E7)*('Jul''13 AGL'!E12/100),('Jul''13 AGL'!E8-'Jul''13 AGL'!E7)*('Jul''13 AGL'!E12/100)))</f>
        <v>29.007000000000001</v>
      </c>
      <c r="C10" s="80">
        <f>IF($E5&lt;'Jul''13 AGL'!F7,0,IF($E5&lt;='Jul''13 AGL'!F8,($E5-'Jul''13 AGL'!F7)*('Jul''13 AGL'!F12/100),('Jul''13 AGL'!F8-'Jul''13 AGL'!F7)*('Jul''13 AGL'!F12/100)))</f>
        <v>31.762500000000003</v>
      </c>
      <c r="D10" s="80">
        <f>IF($E5&lt;'Jul''13 AGL'!G7,0,IF($E5&lt;='Jul''13 AGL'!G8,($E5-'Jul''13 AGL'!G7)*('Jul''13 AGL'!G12/100),('Jul''13 AGL'!G8-'Jul''13 AGL'!G7)*('Jul''13 AGL'!G12/100)))</f>
        <v>35.689500000000002</v>
      </c>
      <c r="E10" s="80">
        <f>IF($E5&lt;'Jul''13 AGL'!H7,0,IF($E5&lt;='Jul''13 AGL'!H8,($E5-'Jul''13 AGL'!H7)*('Jul''13 AGL'!H12/100),('Jul''13 AGL'!H8-'Jul''13 AGL'!H7)*('Jul''13 AGL'!H12/100)))</f>
        <v>30.166499999999999</v>
      </c>
      <c r="F10" s="80">
        <f>IF($E5&lt;'Jul''13 AGL'!I7,0,IF($E5&lt;='Jul''13 AGL'!I8,($E5-'Jul''13 AGL'!I7)*('Jul''13 AGL'!I12/100),('Jul''13 AGL'!I8-'Jul''13 AGL'!I7)*('Jul''13 AGL'!I12/100)))</f>
        <v>32.174999999999997</v>
      </c>
    </row>
    <row r="11" spans="1:11" x14ac:dyDescent="0.3">
      <c r="A11" s="45" t="s">
        <v>207</v>
      </c>
      <c r="B11" s="80">
        <f>IF($E5&lt;'Jul''13 AGL'!E8,0,IF($E5&lt;='Jul''13 AGL'!E9,($E5-'Jul''13 AGL'!E8)*('Jul''13 AGL'!E13/100),('Jul''13 AGL'!E9-'Jul''13 AGL'!E8)*('Jul''13 AGL'!E13/100)))</f>
        <v>0</v>
      </c>
      <c r="C11" s="80">
        <f>IF($E5&lt;'Jul''13 AGL'!F8,0,IF($E5&lt;='Jul''13 AGL'!F9,($E5-'Jul''13 AGL'!F8)*('Jul''13 AGL'!F13/100),('Jul''13 AGL'!F9-'Jul''13 AGL'!F8)*('Jul''13 AGL'!F13/100)))</f>
        <v>0</v>
      </c>
      <c r="D11" s="80">
        <f>IF($E5&lt;'Jul''13 AGL'!G8,0,IF($E5&lt;='Jul''13 AGL'!G9,($E5-'Jul''13 AGL'!G8)*('Jul''13 AGL'!G13/100),('Jul''13 AGL'!G9-'Jul''13 AGL'!G8)*('Jul''13 AGL'!G13/100)))</f>
        <v>0</v>
      </c>
      <c r="E11" s="80">
        <f>IF($E5&lt;'Jul''13 AGL'!H8,0,IF($E5&lt;='Jul''13 AGL'!H9,($E5-'Jul''13 AGL'!H8)*('Jul''13 AGL'!H13/100),('Jul''13 AGL'!H9-'Jul''13 AGL'!H8)*('Jul''13 AGL'!H13/100)))</f>
        <v>0</v>
      </c>
      <c r="F11" s="80">
        <f>IF($E5&lt;'Jul''13 AGL'!I8,0,IF($E5&lt;='Jul''13 AGL'!I9,($E5-'Jul''13 AGL'!I8)*('Jul''13 AGL'!I13/100),('Jul''13 AGL'!I9-'Jul''13 AGL'!I8)*('Jul''13 AGL'!I13/100)))</f>
        <v>0</v>
      </c>
    </row>
    <row r="12" spans="1:11" x14ac:dyDescent="0.3">
      <c r="A12" s="45" t="s">
        <v>238</v>
      </c>
      <c r="B12" s="80">
        <f>IF($E5&lt;'Jul''13 AGL'!E9,0,IF($E5&lt;='Jul''13 AGL'!E10,($E5-'Jul''13 AGL'!E9)*('Jul''13 AGL'!E14/100),('Jul''13 AGL'!E10-'Jul''13 AGL'!E9)*('Jul''13 AGL'!E14/100)))</f>
        <v>0</v>
      </c>
      <c r="C12" s="80">
        <f>IF($E5&lt;'Jul''13 AGL'!F9,0,IF($E5&lt;='Jul''13 AGL'!F10,($E5-'Jul''13 AGL'!F9)*('Jul''13 AGL'!F14/100),('Jul''13 AGL'!F10-'Jul''13 AGL'!F9)*('Jul''13 AGL'!F14/100)))</f>
        <v>0</v>
      </c>
      <c r="D12" s="80">
        <f>IF($E5&lt;'Jul''13 AGL'!G9,0,IF($E5&lt;='Jul''13 AGL'!G10,($E5-'Jul''13 AGL'!G9)*('Jul''13 AGL'!G14/100),('Jul''13 AGL'!G10-'Jul''13 AGL'!G9)*('Jul''13 AGL'!G14/100)))</f>
        <v>0</v>
      </c>
      <c r="E12" s="80">
        <f>IF($E5&lt;'Jul''13 AGL'!H9,0,IF($E5&lt;='Jul''13 AGL'!H10,($E5-'Jul''13 AGL'!H9)*('Jul''13 AGL'!H14/100),('Jul''13 AGL'!H10-'Jul''13 AGL'!H9)*('Jul''13 AGL'!H14/100)))</f>
        <v>0</v>
      </c>
      <c r="F12" s="80">
        <f>IF($E5&lt;'Jul''13 AGL'!I9,0,IF($E5&lt;='Jul''13 AGL'!I10,($E5-'Jul''13 AGL'!I9)*('Jul''13 AGL'!I14/100),('Jul''13 AGL'!I10-'Jul''13 AGL'!I9)*('Jul''13 AGL'!I14/100)))</f>
        <v>0</v>
      </c>
    </row>
    <row r="13" spans="1:11" x14ac:dyDescent="0.3">
      <c r="A13" s="45" t="s">
        <v>280</v>
      </c>
      <c r="B13" s="80">
        <f>IF(($E5&gt;'Jul''13 AGL'!E10),($E5-'Jul''13 AGL'!E10)*'Jul''13 AGL'!E15/100,0)</f>
        <v>0</v>
      </c>
      <c r="C13" s="80">
        <f>IF(($E5&gt;'Jul''13 AGL'!F10),($E5-'Jul''13 AGL'!F10)*'Jul''13 AGL'!F15/100,0)</f>
        <v>0</v>
      </c>
      <c r="D13" s="80">
        <f>IF(($E5&gt;'Jul''13 AGL'!G10),($E5-'Jul''13 AGL'!G10)*'Jul''13 AGL'!G15/100,0)</f>
        <v>0</v>
      </c>
      <c r="E13" s="80">
        <f>IF(($E5&gt;'Jul''13 AGL'!H10),($E5-'Jul''13 AGL'!H10)*'Jul''13 AGL'!H15/100,0)</f>
        <v>0</v>
      </c>
      <c r="F13" s="80">
        <f>IF(($E5&gt;'Jul''13 AGL'!I10),($E5-'Jul''13 AGL'!I10)*'Jul''13 AGL'!I15/100,0)</f>
        <v>0</v>
      </c>
    </row>
    <row r="14" spans="1:11" x14ac:dyDescent="0.3">
      <c r="A14" s="35" t="s">
        <v>119</v>
      </c>
      <c r="B14" s="80">
        <f>'Jul''13 AGL'!E16*60/100</f>
        <v>29.237999999999996</v>
      </c>
      <c r="C14" s="80">
        <f>'Jul''13 AGL'!F16*60/100</f>
        <v>31.0794</v>
      </c>
      <c r="D14" s="80">
        <f>'Jul''13 AGL'!G16*60/100</f>
        <v>35.349600000000002</v>
      </c>
      <c r="E14" s="80">
        <f>'Jul''13 AGL'!H16*60/100</f>
        <v>30.406199999999998</v>
      </c>
      <c r="F14" s="80">
        <f>'Jul''13 AGL'!I16*60/100</f>
        <v>35.2836</v>
      </c>
    </row>
    <row r="15" spans="1:11" x14ac:dyDescent="0.3">
      <c r="A15" s="35" t="s">
        <v>120</v>
      </c>
      <c r="B15" s="80">
        <f>SUM(B9:B14)</f>
        <v>139.83750000000001</v>
      </c>
      <c r="C15" s="80">
        <f t="shared" ref="C15:E15" si="0">SUM(C9:C14)</f>
        <v>153.23439999999999</v>
      </c>
      <c r="D15" s="80">
        <f t="shared" si="0"/>
        <v>173.00910000000002</v>
      </c>
      <c r="E15" s="80">
        <f t="shared" si="0"/>
        <v>145.43020000000001</v>
      </c>
      <c r="F15" s="80">
        <f t="shared" ref="F15" si="1">SUM(F9:F14)</f>
        <v>158.20859999999999</v>
      </c>
    </row>
    <row r="16" spans="1:11" x14ac:dyDescent="0.3">
      <c r="A16" s="46" t="s">
        <v>68</v>
      </c>
      <c r="B16" s="47">
        <f>B15*6</f>
        <v>839.02500000000009</v>
      </c>
      <c r="C16" s="47">
        <f t="shared" ref="C16:F16" si="2">C15*6</f>
        <v>919.40639999999996</v>
      </c>
      <c r="D16" s="47">
        <f t="shared" si="2"/>
        <v>1038.0546000000002</v>
      </c>
      <c r="E16" s="47">
        <f t="shared" si="2"/>
        <v>872.58120000000008</v>
      </c>
      <c r="F16" s="47">
        <f t="shared" si="2"/>
        <v>949.25159999999994</v>
      </c>
    </row>
    <row r="17" spans="1:10" x14ac:dyDescent="0.3">
      <c r="A17" s="49"/>
      <c r="B17" s="50"/>
      <c r="C17" s="50"/>
      <c r="D17" s="50"/>
      <c r="E17" s="51"/>
    </row>
    <row r="18" spans="1:10" x14ac:dyDescent="0.3">
      <c r="A18" s="49"/>
      <c r="B18" s="50"/>
      <c r="C18" s="50"/>
      <c r="D18" s="50"/>
      <c r="E18" s="51"/>
    </row>
    <row r="19" spans="1:10" x14ac:dyDescent="0.3">
      <c r="A19" s="41" t="s">
        <v>70</v>
      </c>
      <c r="B19" s="19" t="s">
        <v>204</v>
      </c>
      <c r="C19" s="19" t="s">
        <v>169</v>
      </c>
      <c r="D19" s="19" t="s">
        <v>124</v>
      </c>
      <c r="E19" s="19" t="s">
        <v>71</v>
      </c>
      <c r="F19" s="19" t="s">
        <v>305</v>
      </c>
      <c r="G19" s="40"/>
      <c r="H19" s="40"/>
      <c r="I19" s="40"/>
      <c r="J19" s="40"/>
    </row>
    <row r="20" spans="1:10" x14ac:dyDescent="0.3">
      <c r="A20" s="45" t="s">
        <v>237</v>
      </c>
      <c r="B20" s="53" t="s">
        <v>51</v>
      </c>
      <c r="C20" s="78">
        <f>IF($E5&gt;='Jul''13 Actew'!E7,('Jul''13 Actew'!E7*'Jul''13 Actew'!E11/100),($E5*'Jul''13 Actew'!E11/100))</f>
        <v>90.392499999999998</v>
      </c>
      <c r="D20" s="78">
        <f>IF($E5&gt;='Jul''13 Actew'!F7,('Jul''13 Actew'!F7*'Jul''13 Actew'!F11/100),($E5*'Jul''13 Actew'!F11/100))</f>
        <v>103.24475000000001</v>
      </c>
      <c r="E20" s="53" t="s">
        <v>123</v>
      </c>
      <c r="F20" s="53" t="s">
        <v>51</v>
      </c>
      <c r="H20" s="40"/>
      <c r="I20" s="40"/>
      <c r="J20" s="40"/>
    </row>
    <row r="21" spans="1:10" x14ac:dyDescent="0.3">
      <c r="A21" s="45" t="s">
        <v>167</v>
      </c>
      <c r="B21" s="53" t="s">
        <v>51</v>
      </c>
      <c r="C21" s="78">
        <f>IF($E5&lt;'Jul''13 Actew'!E7,0,IF($E5&lt;='Jul''13 Actew'!E8,($E5-'Jul''13 Actew'!E7)*('Jul''13 Actew'!E12/100),('Jul''13 Actew'!E8-'Jul''13 Actew'!E7)*('Jul''13 Actew'!E12/100)))</f>
        <v>31.762500000000003</v>
      </c>
      <c r="D21" s="78">
        <f>IF($E5&lt;'Jul''13 Actew'!F7,0,IF($E5&lt;='Jul''13 Actew'!F8,($E5-'Jul''13 Actew'!F7)*('Jul''13 Actew'!F12/100),('Jul''13 Actew'!F8-'Jul''13 Actew'!F7)*('Jul''13 Actew'!F12/100)))</f>
        <v>35.689500000000002</v>
      </c>
      <c r="E21" s="53" t="s">
        <v>123</v>
      </c>
      <c r="F21" s="53" t="s">
        <v>51</v>
      </c>
      <c r="H21" s="40"/>
      <c r="I21" s="40"/>
      <c r="J21" s="40"/>
    </row>
    <row r="22" spans="1:10" x14ac:dyDescent="0.3">
      <c r="A22" s="45" t="s">
        <v>207</v>
      </c>
      <c r="B22" s="53" t="s">
        <v>51</v>
      </c>
      <c r="C22" s="78">
        <f>IF($E5&lt;'Jul''13 Actew'!E8,0,IF($E5&lt;='Jul''13 Actew'!E9,($E5-'Jul''13 Actew'!E8)*('Jul''13 Actew'!E13/100),('Jul''13 Actew'!E9-'Jul''13 Actew'!E8)*('Jul''13 Actew'!E13/100)))</f>
        <v>0</v>
      </c>
      <c r="D22" s="78">
        <f>IF($E5&lt;'Jul''13 Actew'!F8,0,IF($E5&lt;='Jul''13 Actew'!F9,($E5-'Jul''13 Actew'!F8)*('Jul''13 Actew'!F13/100),('Jul''13 Actew'!F9-'Jul''13 Actew'!F8)*('Jul''13 Actew'!F13/100)))</f>
        <v>0</v>
      </c>
      <c r="E22" s="53" t="s">
        <v>123</v>
      </c>
      <c r="F22" s="53" t="s">
        <v>51</v>
      </c>
      <c r="H22" s="40"/>
      <c r="I22" s="40"/>
      <c r="J22" s="40"/>
    </row>
    <row r="23" spans="1:10" x14ac:dyDescent="0.3">
      <c r="A23" s="45" t="s">
        <v>238</v>
      </c>
      <c r="B23" s="53" t="s">
        <v>51</v>
      </c>
      <c r="C23" s="78">
        <f>IF($E5&lt;'Jul''13 Actew'!E9,0,IF($E5&lt;='Jul''13 Actew'!E10,($E5-'Jul''13 Actew'!E9)*('Jul''13 Actew'!E14/100),('Jul''13 Actew'!E10-'Jul''13 Actew'!E9)*('Jul''13 Actew'!E14/100)))</f>
        <v>0</v>
      </c>
      <c r="D23" s="78">
        <f>IF($E5&lt;'Jul''13 Actew'!F9,0,IF($E5&lt;='Jul''13 Actew'!F10,($E5-'Jul''13 Actew'!F9)*('Jul''13 Actew'!F14/100),('Jul''13 Actew'!F10-'Jul''13 Actew'!F9)*('Jul''13 Actew'!F14/100)))</f>
        <v>0</v>
      </c>
      <c r="E23" s="53" t="s">
        <v>123</v>
      </c>
      <c r="F23" s="53" t="s">
        <v>51</v>
      </c>
      <c r="H23" s="40"/>
      <c r="I23" s="40"/>
      <c r="J23" s="40"/>
    </row>
    <row r="24" spans="1:10" x14ac:dyDescent="0.3">
      <c r="A24" s="45" t="s">
        <v>280</v>
      </c>
      <c r="B24" s="53" t="s">
        <v>51</v>
      </c>
      <c r="C24" s="78">
        <f>IF(($E5&gt;'Jul''13 Actew'!E10),($E5-'Jul''13 Actew'!E10)*'Jul''13 Actew'!E15/100,0)</f>
        <v>0</v>
      </c>
      <c r="D24" s="78">
        <f>IF(($E5&gt;'Jul''13 Actew'!F10),($E5-'Jul''13 Actew'!F10)*'Jul''13 Actew'!F15/100,0)</f>
        <v>0</v>
      </c>
      <c r="E24" s="53" t="s">
        <v>123</v>
      </c>
      <c r="F24" s="53" t="s">
        <v>51</v>
      </c>
      <c r="H24" s="40"/>
      <c r="I24" s="40"/>
      <c r="J24" s="40"/>
    </row>
    <row r="25" spans="1:10" x14ac:dyDescent="0.3">
      <c r="A25" s="35" t="s">
        <v>119</v>
      </c>
      <c r="B25" s="53" t="s">
        <v>51</v>
      </c>
      <c r="C25" s="78">
        <f>'Jul''13 Actew'!E16*60/100</f>
        <v>31.0794</v>
      </c>
      <c r="D25" s="78">
        <f>'Jul''13 Actew'!F16*60/100</f>
        <v>35.349600000000002</v>
      </c>
      <c r="E25" s="53" t="s">
        <v>123</v>
      </c>
      <c r="F25" s="53" t="s">
        <v>51</v>
      </c>
      <c r="H25" s="40"/>
      <c r="I25" s="40"/>
      <c r="J25" s="40"/>
    </row>
    <row r="26" spans="1:10" x14ac:dyDescent="0.3">
      <c r="A26" s="35" t="s">
        <v>120</v>
      </c>
      <c r="B26" s="53" t="s">
        <v>51</v>
      </c>
      <c r="C26" s="78">
        <f>SUM(C20:C25)</f>
        <v>153.23439999999999</v>
      </c>
      <c r="D26" s="78">
        <f t="shared" ref="D26" si="3">SUM(D20:D25)</f>
        <v>174.28385000000003</v>
      </c>
      <c r="E26" s="53" t="s">
        <v>123</v>
      </c>
      <c r="F26" s="53" t="s">
        <v>51</v>
      </c>
    </row>
    <row r="27" spans="1:10" x14ac:dyDescent="0.3">
      <c r="A27" s="46" t="s">
        <v>68</v>
      </c>
      <c r="B27" s="79"/>
      <c r="C27" s="79">
        <f>C26*6</f>
        <v>919.40639999999996</v>
      </c>
      <c r="D27" s="79">
        <f t="shared" ref="D27" si="4">D26*6</f>
        <v>1045.7031000000002</v>
      </c>
      <c r="E27" s="79"/>
      <c r="F27" s="76"/>
    </row>
    <row r="28" spans="1:10" x14ac:dyDescent="0.3">
      <c r="A28" s="49"/>
      <c r="B28" s="61"/>
      <c r="C28" s="61"/>
      <c r="D28" s="61"/>
    </row>
    <row r="29" spans="1:10" x14ac:dyDescent="0.3">
      <c r="A29" s="49"/>
      <c r="B29" s="61"/>
      <c r="C29" s="61"/>
      <c r="D29" s="61"/>
    </row>
    <row r="30" spans="1:10" x14ac:dyDescent="0.3">
      <c r="A30" s="41" t="s">
        <v>131</v>
      </c>
      <c r="B30" s="19" t="s">
        <v>204</v>
      </c>
      <c r="C30" s="19" t="s">
        <v>169</v>
      </c>
      <c r="D30" s="19" t="s">
        <v>124</v>
      </c>
      <c r="E30" s="19" t="s">
        <v>71</v>
      </c>
      <c r="F30" s="19" t="s">
        <v>305</v>
      </c>
      <c r="H30" s="51"/>
      <c r="I30" s="51"/>
    </row>
    <row r="31" spans="1:10" x14ac:dyDescent="0.3">
      <c r="A31" s="45" t="s">
        <v>75</v>
      </c>
      <c r="B31" s="53" t="s">
        <v>51</v>
      </c>
      <c r="C31" s="80">
        <f>IF($E5&gt;'Jul''13 Origin'!E9,('Jul''13 Origin'!E9*'Jul''13 Origin'!E12/100),('Bills Jul''13'!$E5*'Jul''13 Origin'!E12/100))</f>
        <v>65.076000000000008</v>
      </c>
      <c r="D31" s="80">
        <f>IF($E5&gt;'Jul''13 Origin'!F9,('Jul''13 Origin'!F9*'Jul''13 Origin'!F12/100),('Bills Jul''13'!$E5*'Jul''13 Origin'!F12/100))</f>
        <v>83.6</v>
      </c>
      <c r="E31" s="53" t="s">
        <v>123</v>
      </c>
      <c r="F31" s="53" t="s">
        <v>123</v>
      </c>
      <c r="H31" s="51"/>
      <c r="I31" s="51"/>
    </row>
    <row r="32" spans="1:10" x14ac:dyDescent="0.3">
      <c r="A32" s="45" t="s">
        <v>38</v>
      </c>
      <c r="B32" s="53" t="s">
        <v>123</v>
      </c>
      <c r="C32" s="80">
        <v>0</v>
      </c>
      <c r="D32" s="66">
        <f>IF($E5&lt;'Jul''13 Origin'!F9,0,IF($E5&lt;='Jul''13 Origin'!F10,($E5-'Jul''13 Origin'!F9)*('Jul''13 Origin'!F13/100),('Jul''13 Origin'!F10-'Jul''13 Origin'!F9)*('Jul''13 Origin'!F13/100)))</f>
        <v>0</v>
      </c>
      <c r="E32" s="53" t="s">
        <v>123</v>
      </c>
      <c r="F32" s="53" t="s">
        <v>123</v>
      </c>
      <c r="H32" s="51"/>
      <c r="I32" s="51"/>
    </row>
    <row r="33" spans="1:9" x14ac:dyDescent="0.3">
      <c r="A33" s="45" t="s">
        <v>113</v>
      </c>
      <c r="B33" s="53" t="s">
        <v>123</v>
      </c>
      <c r="C33" s="80">
        <v>0</v>
      </c>
      <c r="D33" s="66">
        <f>IF($E5&lt;'Jul''13 Origin'!F10,0,IF($E5&lt;='Jul''13 Origin'!F11,($E5-'Jul''13 Origin'!F10)*('Jul''13 Origin'!F14/100),('Jul''13 Origin'!F11-'Jul''13 Origin'!F10)*('Jul''13 Origin'!F14/100)))</f>
        <v>0</v>
      </c>
      <c r="E33" s="53" t="s">
        <v>123</v>
      </c>
      <c r="F33" s="53" t="s">
        <v>123</v>
      </c>
      <c r="H33" s="51"/>
      <c r="I33" s="51"/>
    </row>
    <row r="34" spans="1:9" x14ac:dyDescent="0.3">
      <c r="A34" s="45" t="s">
        <v>76</v>
      </c>
      <c r="B34" s="53" t="s">
        <v>123</v>
      </c>
      <c r="C34" s="80">
        <f>IF($E5&gt;'Jul''13 Origin'!E9,('Bills Jul''13'!$E5-'Jul''13 Origin'!E9)*'Jul''13 Origin'!E15/100,0)</f>
        <v>0</v>
      </c>
      <c r="D34" s="66">
        <f>IF(($E5&gt;'Jul''13 Origin'!F11),($E5-'Jul''13 Origin'!F11)*'Jul''13 Origin'!F15/100,0)</f>
        <v>0</v>
      </c>
      <c r="E34" s="53" t="s">
        <v>123</v>
      </c>
      <c r="F34" s="53" t="s">
        <v>123</v>
      </c>
      <c r="H34" s="51"/>
      <c r="I34" s="51"/>
    </row>
    <row r="35" spans="1:9" x14ac:dyDescent="0.3">
      <c r="A35" s="45" t="s">
        <v>90</v>
      </c>
      <c r="B35" s="53" t="s">
        <v>123</v>
      </c>
      <c r="C35" s="80">
        <f>IF($E5&gt;'Jul''13 Origin'!E9,'Jul''13 Origin'!E9*'Jul''13 Origin'!E16/100,'Bills Jul''13'!$E5*'Jul''13 Origin'!E16/100)</f>
        <v>61.38</v>
      </c>
      <c r="D35" s="66">
        <f>IF($E5&gt;'Jul''13 Origin'!F9,('Jul''13 Origin'!F9*'Jul''13 Origin'!F16/100),($E5*'Jul''13 Origin'!F16/100))</f>
        <v>75.239999999999995</v>
      </c>
      <c r="E35" s="53" t="s">
        <v>123</v>
      </c>
      <c r="F35" s="53" t="s">
        <v>123</v>
      </c>
    </row>
    <row r="36" spans="1:9" x14ac:dyDescent="0.3">
      <c r="A36" s="45" t="s">
        <v>1</v>
      </c>
      <c r="B36" s="53" t="s">
        <v>123</v>
      </c>
      <c r="C36" s="80">
        <v>0</v>
      </c>
      <c r="D36" s="66">
        <f>IF($E5&lt;'Jul''13 Origin'!F9,0,IF($E5&lt;='Jul''13 Origin'!F10,($E5-'Jul''13 Origin'!F9)*('Jul''13 Origin'!F17/100),('Jul''13 Origin'!F10-'Jul''13 Origin'!F9)*('Jul''13 Origin'!F17/100)))</f>
        <v>0</v>
      </c>
      <c r="E36" s="53" t="s">
        <v>123</v>
      </c>
      <c r="F36" s="53" t="s">
        <v>123</v>
      </c>
    </row>
    <row r="37" spans="1:9" x14ac:dyDescent="0.3">
      <c r="A37" s="45" t="s">
        <v>2</v>
      </c>
      <c r="B37" s="53" t="s">
        <v>123</v>
      </c>
      <c r="C37" s="80">
        <v>0</v>
      </c>
      <c r="D37" s="66">
        <f>IF($E5&lt;'Jul''13 Origin'!F10,0,IF($E5&lt;='Jul''13 Origin'!F11,($E5-'Jul''13 Origin'!F10)*('Jul''13 Origin'!F18/100),('Jul''13 Origin'!F11-'Jul''13 Origin'!F10)*('Jul''13 Origin'!F18/100)))</f>
        <v>0</v>
      </c>
      <c r="E37" s="53" t="s">
        <v>123</v>
      </c>
      <c r="F37" s="53" t="s">
        <v>123</v>
      </c>
    </row>
    <row r="38" spans="1:9" x14ac:dyDescent="0.3">
      <c r="A38" s="45" t="s">
        <v>203</v>
      </c>
      <c r="B38" s="53" t="s">
        <v>123</v>
      </c>
      <c r="C38" s="80">
        <f>IF($E5&gt;'Jul''13 Origin'!E9,($E5-'Jul''13 Origin'!E9)*'Jul''13 Origin'!E19/100,0)</f>
        <v>0</v>
      </c>
      <c r="D38" s="66">
        <f>IF(($E5&gt;'Jul''13 Origin'!F11),($E5-'Jul''13 Origin'!F11)*'Jul''13 Origin'!F19/100,0)</f>
        <v>0</v>
      </c>
      <c r="E38" s="53" t="s">
        <v>123</v>
      </c>
      <c r="F38" s="53" t="s">
        <v>123</v>
      </c>
    </row>
    <row r="39" spans="1:9" x14ac:dyDescent="0.3">
      <c r="A39" s="35" t="s">
        <v>119</v>
      </c>
      <c r="B39" s="53" t="s">
        <v>123</v>
      </c>
      <c r="C39" s="80">
        <f>'Jul''13 Origin'!E20*60/100</f>
        <v>29.455800000000004</v>
      </c>
      <c r="D39" s="80">
        <f>'Jul''13 Origin'!F20*60/100</f>
        <v>39.6</v>
      </c>
      <c r="E39" s="53" t="s">
        <v>123</v>
      </c>
      <c r="F39" s="53" t="s">
        <v>123</v>
      </c>
    </row>
    <row r="40" spans="1:9" x14ac:dyDescent="0.3">
      <c r="A40" s="35" t="s">
        <v>120</v>
      </c>
      <c r="B40" s="53" t="s">
        <v>123</v>
      </c>
      <c r="C40" s="66" t="s">
        <v>51</v>
      </c>
      <c r="D40" s="66" t="s">
        <v>51</v>
      </c>
      <c r="E40" s="53" t="s">
        <v>123</v>
      </c>
      <c r="F40" s="53" t="s">
        <v>123</v>
      </c>
    </row>
    <row r="41" spans="1:9" x14ac:dyDescent="0.3">
      <c r="A41" s="46" t="s">
        <v>68</v>
      </c>
      <c r="B41" s="55"/>
      <c r="C41" s="47">
        <f>(C31*2)+(C32*2)+(C33*2)+(C34*2)+(C35*4)+(C36*4)+(C37*4)+(C38*4)+(C39*6)</f>
        <v>552.40679999999998</v>
      </c>
      <c r="D41" s="86">
        <f>(D31*2)+(D32*2)+(D33*2)+(D34*2)+(D35*4)+(D36*4)+(D37*4)+(D38*4)+(D39*6)</f>
        <v>705.76</v>
      </c>
      <c r="E41" s="56"/>
      <c r="F41" s="76"/>
    </row>
    <row r="42" spans="1:9" x14ac:dyDescent="0.3">
      <c r="B42" s="61"/>
      <c r="C42" s="61"/>
      <c r="D42" s="61"/>
    </row>
    <row r="43" spans="1:9" x14ac:dyDescent="0.3">
      <c r="B43" s="61"/>
      <c r="C43" s="61"/>
      <c r="D43" s="61"/>
    </row>
    <row r="44" spans="1:9" x14ac:dyDescent="0.3">
      <c r="A44" s="41" t="s">
        <v>210</v>
      </c>
      <c r="B44" s="19" t="s">
        <v>204</v>
      </c>
      <c r="C44" s="19" t="s">
        <v>169</v>
      </c>
      <c r="D44" s="19" t="s">
        <v>124</v>
      </c>
      <c r="E44" s="19" t="s">
        <v>71</v>
      </c>
      <c r="F44" s="19" t="s">
        <v>305</v>
      </c>
    </row>
    <row r="45" spans="1:9" x14ac:dyDescent="0.3">
      <c r="A45" s="45" t="s">
        <v>75</v>
      </c>
      <c r="B45" s="53" t="s">
        <v>123</v>
      </c>
      <c r="C45" s="80">
        <f>E5*'Jul''13 Origin'!E30/100</f>
        <v>95.876000000000005</v>
      </c>
      <c r="D45" s="66">
        <f>IF($E5&gt;'Jul''13 Origin'!F27,('Jul''13 Origin'!F27*'Jul''13 Origin'!F30/100),($E5*'Jul''13 Origin'!F30/100))</f>
        <v>126.896</v>
      </c>
      <c r="E45" s="53" t="s">
        <v>123</v>
      </c>
      <c r="F45" s="53" t="s">
        <v>123</v>
      </c>
    </row>
    <row r="46" spans="1:9" x14ac:dyDescent="0.3">
      <c r="A46" s="45" t="s">
        <v>38</v>
      </c>
      <c r="B46" s="53" t="s">
        <v>123</v>
      </c>
      <c r="C46" s="80">
        <v>0</v>
      </c>
      <c r="D46" s="66">
        <f>IF($E5&lt;'Jul''13 Origin'!F27,0,IF($E5&lt;='Jul''13 Origin'!F28,($E5-'Jul''13 Origin'!F27)*('Jul''13 Origin'!F31/100),('Jul''13 Origin'!F28-'Jul''13 Origin'!F27)*('Jul''13 Origin'!F31/100)))</f>
        <v>0</v>
      </c>
      <c r="E46" s="53" t="s">
        <v>123</v>
      </c>
      <c r="F46" s="53" t="s">
        <v>123</v>
      </c>
    </row>
    <row r="47" spans="1:9" x14ac:dyDescent="0.3">
      <c r="A47" s="45" t="s">
        <v>113</v>
      </c>
      <c r="B47" s="53" t="s">
        <v>123</v>
      </c>
      <c r="C47" s="80">
        <v>0</v>
      </c>
      <c r="D47" s="66">
        <f>IF($E5&lt;'Jul''13 Origin'!F28,0,IF($E5&lt;='Jul''13 Origin'!F29,($E5-'Jul''13 Origin'!F28)*('Jul''13 Origin'!F32/100),('Jul''13 Origin'!F29-'Jul''13 Origin'!F28)*('Jul''13 Origin'!F32/100)))</f>
        <v>0</v>
      </c>
      <c r="E47" s="53" t="s">
        <v>123</v>
      </c>
      <c r="F47" s="53" t="s">
        <v>123</v>
      </c>
    </row>
    <row r="48" spans="1:9" x14ac:dyDescent="0.3">
      <c r="A48" s="45" t="s">
        <v>76</v>
      </c>
      <c r="B48" s="53" t="s">
        <v>123</v>
      </c>
      <c r="C48" s="80">
        <v>0</v>
      </c>
      <c r="D48" s="66">
        <f>IF(($E5&gt;'Jul''13 Origin'!F29),($E5-'Jul''13 Origin'!F29)*'Jul''13 Origin'!F33/100,0)</f>
        <v>0</v>
      </c>
      <c r="E48" s="53" t="s">
        <v>123</v>
      </c>
      <c r="F48" s="53" t="s">
        <v>123</v>
      </c>
    </row>
    <row r="49" spans="1:6" x14ac:dyDescent="0.3">
      <c r="A49" s="45" t="s">
        <v>90</v>
      </c>
      <c r="B49" s="53" t="s">
        <v>123</v>
      </c>
      <c r="C49" s="80">
        <v>0</v>
      </c>
      <c r="D49" s="66">
        <f>IF($E5&gt;'Jul''13 Origin'!F27,('Jul''13 Origin'!F27*'Jul''13 Origin'!F34/100),($E5*'Jul''13 Origin'!F34/100))</f>
        <v>124.63</v>
      </c>
      <c r="E49" s="53" t="s">
        <v>123</v>
      </c>
      <c r="F49" s="53" t="s">
        <v>123</v>
      </c>
    </row>
    <row r="50" spans="1:6" x14ac:dyDescent="0.3">
      <c r="A50" s="45" t="s">
        <v>1</v>
      </c>
      <c r="B50" s="53" t="s">
        <v>123</v>
      </c>
      <c r="C50" s="80">
        <v>0</v>
      </c>
      <c r="D50" s="66">
        <f>IF($E5&lt;'Jul''13 Origin'!F27,0,IF($E5&lt;='Jul''13 Origin'!F28,($E5-'Jul''13 Origin'!F27)*('Jul''13 Origin'!F35/100),('Jul''13 Origin'!F28-'Jul''13 Origin'!F27)*('Jul''13 Origin'!F35/100)))</f>
        <v>0</v>
      </c>
      <c r="E50" s="53" t="s">
        <v>123</v>
      </c>
      <c r="F50" s="53" t="s">
        <v>123</v>
      </c>
    </row>
    <row r="51" spans="1:6" x14ac:dyDescent="0.3">
      <c r="A51" s="45" t="s">
        <v>2</v>
      </c>
      <c r="B51" s="53" t="s">
        <v>123</v>
      </c>
      <c r="C51" s="80">
        <v>0</v>
      </c>
      <c r="D51" s="66">
        <f>IF($E5&lt;'Jul''13 Origin'!F28,0,IF($E5&lt;='Jul''13 Origin'!F29,($E5-'Jul''13 Origin'!F28)*('Jul''13 Origin'!F36/100),('Jul''13 Origin'!F29-'Jul''13 Origin'!F28)*('Jul''13 Origin'!F36/100)))</f>
        <v>0</v>
      </c>
      <c r="E51" s="53" t="s">
        <v>123</v>
      </c>
      <c r="F51" s="53" t="s">
        <v>123</v>
      </c>
    </row>
    <row r="52" spans="1:6" x14ac:dyDescent="0.3">
      <c r="A52" s="45" t="s">
        <v>203</v>
      </c>
      <c r="B52" s="53" t="s">
        <v>123</v>
      </c>
      <c r="C52" s="80">
        <v>0</v>
      </c>
      <c r="D52" s="66">
        <f>IF(($E5&gt;'Jul''13 Origin'!F29),($E5-'Jul''13 Origin'!F29)*'Jul''13 Origin'!F37/100,0)</f>
        <v>0</v>
      </c>
      <c r="E52" s="53" t="s">
        <v>123</v>
      </c>
      <c r="F52" s="53" t="s">
        <v>123</v>
      </c>
    </row>
    <row r="53" spans="1:6" x14ac:dyDescent="0.3">
      <c r="A53" s="35" t="s">
        <v>119</v>
      </c>
      <c r="B53" s="53" t="s">
        <v>123</v>
      </c>
      <c r="C53" s="80">
        <f>'Jul''13 Origin'!E38*60/100</f>
        <v>33.363</v>
      </c>
      <c r="D53" s="80">
        <f>'Jul''13 Origin'!F38*60/100</f>
        <v>36.709200000000003</v>
      </c>
      <c r="E53" s="53" t="s">
        <v>123</v>
      </c>
      <c r="F53" s="53" t="s">
        <v>123</v>
      </c>
    </row>
    <row r="54" spans="1:6" x14ac:dyDescent="0.3">
      <c r="A54" s="35" t="s">
        <v>120</v>
      </c>
      <c r="B54" s="53" t="s">
        <v>123</v>
      </c>
      <c r="C54" s="80">
        <f>SUM(C45:C53)</f>
        <v>129.239</v>
      </c>
      <c r="D54" s="66" t="s">
        <v>96</v>
      </c>
      <c r="E54" s="53" t="s">
        <v>123</v>
      </c>
      <c r="F54" s="53" t="s">
        <v>123</v>
      </c>
    </row>
    <row r="55" spans="1:6" x14ac:dyDescent="0.3">
      <c r="A55" s="46" t="s">
        <v>68</v>
      </c>
      <c r="B55" s="47"/>
      <c r="C55" s="47">
        <f>C54*6</f>
        <v>775.43399999999997</v>
      </c>
      <c r="D55" s="47">
        <f>(D45*2)+(D46*2)+(D47*2)+(D48*2)+(D49*4)+(D50*4)+(D51*4)+(D52*4)+(D53*6)</f>
        <v>972.56719999999996</v>
      </c>
      <c r="E55" s="56"/>
      <c r="F55" s="76"/>
    </row>
    <row r="57" spans="1:6" x14ac:dyDescent="0.3">
      <c r="A57" s="76"/>
      <c r="B57" s="76"/>
      <c r="C57" s="76"/>
      <c r="D57" s="76"/>
      <c r="E57" s="76"/>
      <c r="F57" s="76"/>
    </row>
    <row r="58" spans="1:6" x14ac:dyDescent="0.3">
      <c r="A58" s="43" t="s">
        <v>171</v>
      </c>
      <c r="B58" s="19" t="s">
        <v>204</v>
      </c>
      <c r="C58" s="19" t="s">
        <v>169</v>
      </c>
      <c r="D58" s="19" t="s">
        <v>124</v>
      </c>
      <c r="E58" s="19" t="s">
        <v>71</v>
      </c>
      <c r="F58" s="19" t="s">
        <v>305</v>
      </c>
    </row>
    <row r="59" spans="1:6" x14ac:dyDescent="0.3">
      <c r="A59" s="45" t="s">
        <v>144</v>
      </c>
      <c r="B59" s="23" t="s">
        <v>160</v>
      </c>
      <c r="C59" s="24" t="s">
        <v>246</v>
      </c>
      <c r="D59" s="24" t="s">
        <v>228</v>
      </c>
      <c r="E59" s="24" t="s">
        <v>165</v>
      </c>
      <c r="F59" s="24" t="s">
        <v>306</v>
      </c>
    </row>
    <row r="60" spans="1:6" x14ac:dyDescent="0.3">
      <c r="A60" s="44" t="s">
        <v>174</v>
      </c>
      <c r="B60" s="24" t="s">
        <v>343</v>
      </c>
      <c r="C60" s="24" t="s">
        <v>176</v>
      </c>
      <c r="D60" s="24" t="s">
        <v>195</v>
      </c>
      <c r="E60" s="24" t="s">
        <v>343</v>
      </c>
      <c r="F60" s="24" t="s">
        <v>195</v>
      </c>
    </row>
    <row r="61" spans="1:6" x14ac:dyDescent="0.3">
      <c r="A61" s="35" t="s">
        <v>394</v>
      </c>
      <c r="B61" s="26" t="s">
        <v>273</v>
      </c>
      <c r="C61" s="25">
        <v>70</v>
      </c>
      <c r="D61" s="26" t="s">
        <v>196</v>
      </c>
      <c r="E61" s="51" t="s">
        <v>166</v>
      </c>
      <c r="F61" s="26" t="s">
        <v>218</v>
      </c>
    </row>
    <row r="62" spans="1:6" x14ac:dyDescent="0.3">
      <c r="A62" s="35" t="s">
        <v>177</v>
      </c>
      <c r="B62" s="26" t="s">
        <v>245</v>
      </c>
      <c r="C62" s="26" t="s">
        <v>133</v>
      </c>
      <c r="D62" s="24" t="s">
        <v>227</v>
      </c>
      <c r="E62" s="51" t="s">
        <v>72</v>
      </c>
      <c r="F62" s="30" t="s">
        <v>217</v>
      </c>
    </row>
    <row r="63" spans="1:6" x14ac:dyDescent="0.3">
      <c r="A63" s="35" t="s">
        <v>379</v>
      </c>
      <c r="B63" s="27">
        <v>13.12</v>
      </c>
      <c r="C63" s="25">
        <v>12</v>
      </c>
      <c r="D63" s="25" t="s">
        <v>247</v>
      </c>
      <c r="E63" s="25" t="s">
        <v>272</v>
      </c>
      <c r="F63" s="25">
        <v>10</v>
      </c>
    </row>
    <row r="64" spans="1:6" x14ac:dyDescent="0.3">
      <c r="A64" s="67" t="s">
        <v>328</v>
      </c>
      <c r="B64" s="68" t="s">
        <v>192</v>
      </c>
      <c r="C64" s="25" t="s">
        <v>134</v>
      </c>
      <c r="D64" s="51" t="s">
        <v>136</v>
      </c>
      <c r="E64" s="26" t="s">
        <v>224</v>
      </c>
      <c r="F64" s="26" t="s">
        <v>224</v>
      </c>
    </row>
    <row r="65" spans="1:11" x14ac:dyDescent="0.3">
      <c r="A65" s="81"/>
      <c r="B65" s="81"/>
      <c r="C65" s="81"/>
      <c r="D65" s="81"/>
      <c r="E65" s="81"/>
      <c r="F65" s="82"/>
      <c r="G65" s="82"/>
      <c r="H65" s="82"/>
      <c r="I65" s="82"/>
      <c r="J65" s="82"/>
      <c r="K65" s="82"/>
    </row>
  </sheetData>
  <sheetProtection algorithmName="SHA-512" hashValue="+rumOG12YcWJ33lsIPe2n7v1nUOuu5WQgo2bTeqwfbxzp+IiWMdieEYnUgIAZm7+78jiGxoFD8HmgS84oxPSmQ==" saltValue="Ig04iO7w37jBuIsKVKGos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L55"/>
  <sheetViews>
    <sheetView workbookViewId="0">
      <selection activeCell="D34" sqref="D34"/>
    </sheetView>
  </sheetViews>
  <sheetFormatPr defaultColWidth="10.84375" defaultRowHeight="13.5" x14ac:dyDescent="0.3"/>
  <cols>
    <col min="1" max="1" width="32.4609375" style="35" customWidth="1"/>
    <col min="2" max="6" width="10" style="35" customWidth="1"/>
    <col min="7" max="7" width="10.4609375" style="35" customWidth="1"/>
    <col min="8" max="9" width="10" style="35" customWidth="1"/>
    <col min="10" max="10" width="10.84375" style="35" customWidth="1"/>
    <col min="11" max="11" width="12.84375" style="35" customWidth="1"/>
    <col min="12" max="12" width="11.4609375" style="35" customWidth="1"/>
    <col min="13" max="13" width="11.69140625" style="35" customWidth="1"/>
    <col min="14" max="16384" width="10.84375" style="35"/>
  </cols>
  <sheetData>
    <row r="1" spans="1:12" x14ac:dyDescent="0.3">
      <c r="A1" s="34" t="s">
        <v>117</v>
      </c>
    </row>
    <row r="2" spans="1:12" x14ac:dyDescent="0.3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2" x14ac:dyDescent="0.3">
      <c r="A3" s="37" t="s">
        <v>235</v>
      </c>
    </row>
    <row r="5" spans="1:12" x14ac:dyDescent="0.3">
      <c r="A5" s="38" t="s">
        <v>28</v>
      </c>
      <c r="B5" s="39" t="s">
        <v>662</v>
      </c>
      <c r="E5" s="64">
        <v>4000</v>
      </c>
    </row>
    <row r="6" spans="1:12" x14ac:dyDescent="0.3">
      <c r="B6" s="40" t="s">
        <v>184</v>
      </c>
      <c r="C6" s="40"/>
      <c r="D6" s="40"/>
      <c r="E6" s="40"/>
      <c r="F6" s="40"/>
      <c r="G6" s="40"/>
      <c r="I6" s="40"/>
      <c r="J6" s="40"/>
      <c r="K6" s="40"/>
      <c r="L6" s="40"/>
    </row>
    <row r="8" spans="1:12" x14ac:dyDescent="0.3">
      <c r="A8" s="41" t="s">
        <v>135</v>
      </c>
      <c r="B8" s="19" t="s">
        <v>204</v>
      </c>
      <c r="C8" s="19" t="s">
        <v>169</v>
      </c>
      <c r="D8" s="19" t="s">
        <v>305</v>
      </c>
      <c r="E8" s="19" t="s">
        <v>124</v>
      </c>
      <c r="F8" s="19" t="s">
        <v>193</v>
      </c>
      <c r="G8" s="19" t="s">
        <v>71</v>
      </c>
    </row>
    <row r="9" spans="1:12" x14ac:dyDescent="0.3">
      <c r="A9" s="45" t="s">
        <v>237</v>
      </c>
      <c r="B9" s="80">
        <f>IF($E5&gt;='Jul''12 AGL'!E7,('Jul''12 AGL'!E7*'Jul''12 AGL'!E11/100),($E5*'Jul''12 AGL'!E11/100))</f>
        <v>81.592500000000001</v>
      </c>
      <c r="C9" s="80">
        <f>IF($E5&gt;='Jul''12 AGL'!F7,('Jul''12 AGL'!F7*'Jul''12 AGL'!F11/100),($E5*'Jul''12 AGL'!F11/100))</f>
        <v>81.592500000000001</v>
      </c>
      <c r="D9" s="80">
        <f>IF($E5&gt;='Jul''12 AGL'!G7,('Jul''12 AGL'!G7*'Jul''12 AGL'!G11/100),($E5*'Jul''12 AGL'!G11/100))</f>
        <v>84</v>
      </c>
      <c r="E9" s="80">
        <f>IF($E5&gt;='Jul''12 AGL'!H7,('Jul''12 AGL'!H7*'Jul''12 AGL'!H11/100),($E5*'Jul''12 AGL'!H11/100))</f>
        <v>81.592500000000001</v>
      </c>
      <c r="F9" s="80">
        <f>IF($E5&gt;='Jul''12 AGL'!I7,('Jul''12 AGL'!I7*'Jul''12 AGL'!I11/100),($E5*'Jul''12 AGL'!I11/100))</f>
        <v>125.80370000000001</v>
      </c>
      <c r="G9" s="61">
        <f>IF($E5&gt;='Jul''12 AGL'!J7,('Jul''12 AGL'!J7*'Jul''12 AGL'!J11/100),($E5*'Jul''12 AGL'!J11/100))</f>
        <v>81.592500000000001</v>
      </c>
    </row>
    <row r="10" spans="1:12" x14ac:dyDescent="0.3">
      <c r="A10" s="45" t="s">
        <v>167</v>
      </c>
      <c r="B10" s="80">
        <f>IF($E5&lt;'Jul''12 AGL'!E7,0,IF($E5&lt;='Jul''12 AGL'!E8,($E5-'Jul''12 AGL'!E7)*('Jul''12 AGL'!E12/100),('Jul''12 AGL'!E8-'Jul''12 AGL'!E7)*('Jul''12 AGL'!E12/100)))</f>
        <v>29.007000000000001</v>
      </c>
      <c r="C10" s="80">
        <f>IF($E5&lt;'Jul''12 AGL'!F7,0,IF($E5&lt;='Jul''12 AGL'!F8,($E5-'Jul''12 AGL'!F7)*('Jul''12 AGL'!F12/100),('Jul''12 AGL'!F8-'Jul''12 AGL'!F7)*('Jul''12 AGL'!F12/100)))</f>
        <v>29.007000000000001</v>
      </c>
      <c r="D10" s="80">
        <f>IF($E5&lt;'Jul''12 AGL'!G7,0,IF($E5&lt;='Jul''12 AGL'!G8,($E5-'Jul''12 AGL'!G7)*('Jul''12 AGL'!G12/100),('Jul''12 AGL'!G8-'Jul''12 AGL'!G7)*('Jul''12 AGL'!G12/100)))</f>
        <v>29.85</v>
      </c>
      <c r="E10" s="80">
        <f>IF($E5&lt;'Jul''12 AGL'!H7,0,IF($E5&lt;='Jul''12 AGL'!H8,($E5-'Jul''12 AGL'!H7)*('Jul''12 AGL'!H12/100),('Jul''12 AGL'!H8-'Jul''12 AGL'!H7)*('Jul''12 AGL'!H12/100)))</f>
        <v>29.007000000000001</v>
      </c>
      <c r="F10" s="80">
        <v>0</v>
      </c>
      <c r="G10" s="61">
        <f>IF($E5&lt;'Jul''12 AGL'!J7,0,IF($E5&lt;='Jul''12 AGL'!J8,($E5-'Jul''12 AGL'!J7)*('Jul''12 AGL'!J12/100),('Jul''12 AGL'!J8-'Jul''12 AGL'!J7)*('Jul''12 AGL'!J12/100)))</f>
        <v>29.007000000000001</v>
      </c>
    </row>
    <row r="11" spans="1:12" x14ac:dyDescent="0.3">
      <c r="A11" s="45" t="s">
        <v>207</v>
      </c>
      <c r="B11" s="80">
        <f>IF($E5&lt;'Jul''12 AGL'!E8,0,IF($E5&lt;='Jul''12 AGL'!E9,($E5-'Jul''12 AGL'!E8)*('Jul''12 AGL'!E13/100),('Jul''12 AGL'!E9-'Jul''12 AGL'!E8)*('Jul''12 AGL'!E13/100)))</f>
        <v>0</v>
      </c>
      <c r="C11" s="80">
        <f>IF($E5&lt;'Jul''12 AGL'!F8,0,IF($E5&lt;='Jul''12 AGL'!F9,($E5-'Jul''12 AGL'!F8)*('Jul''12 AGL'!F13/100),('Jul''12 AGL'!F9-'Jul''12 AGL'!F8)*('Jul''12 AGL'!F13/100)))</f>
        <v>0</v>
      </c>
      <c r="D11" s="80">
        <f>IF($E5&lt;'Jul''12 AGL'!G8,0,IF($E5&lt;='Jul''12 AGL'!G9,($E5-'Jul''12 AGL'!G8)*('Jul''12 AGL'!G13/100),('Jul''12 AGL'!G9-'Jul''12 AGL'!G8)*('Jul''12 AGL'!G13/100)))</f>
        <v>0</v>
      </c>
      <c r="E11" s="80">
        <f>IF($E5&lt;'Jul''12 AGL'!H8,0,IF($E5&lt;='Jul''12 AGL'!H9,($E5-'Jul''12 AGL'!H8)*('Jul''12 AGL'!H13/100),('Jul''12 AGL'!H9-'Jul''12 AGL'!H8)*('Jul''12 AGL'!H13/100)))</f>
        <v>0</v>
      </c>
      <c r="F11" s="80">
        <v>0</v>
      </c>
      <c r="G11" s="61">
        <f>IF($E5&lt;'Jul''12 AGL'!J8,0,IF($E5&lt;='Jul''12 AGL'!J9,($E5-'Jul''12 AGL'!J8)*('Jul''12 AGL'!J13/100),('Jul''12 AGL'!J9-'Jul''12 AGL'!J8)*('Jul''12 AGL'!J13/100)))</f>
        <v>0</v>
      </c>
    </row>
    <row r="12" spans="1:12" x14ac:dyDescent="0.3">
      <c r="A12" s="45" t="s">
        <v>238</v>
      </c>
      <c r="B12" s="80">
        <f>IF($E5&lt;'Jul''12 AGL'!E9,0,IF($E5&lt;='Jul''12 AGL'!E10,($E5-'Jul''12 AGL'!E9)*('Jul''12 AGL'!E14/100),('Jul''12 AGL'!E10-'Jul''12 AGL'!E9)*('Jul''12 AGL'!E14/100)))</f>
        <v>0</v>
      </c>
      <c r="C12" s="80">
        <f>IF($E5&lt;'Jul''12 AGL'!F9,0,IF($E5&lt;='Jul''12 AGL'!F10,($E5-'Jul''12 AGL'!F9)*('Jul''12 AGL'!F14/100),('Jul''12 AGL'!F10-'Jul''12 AGL'!F9)*('Jul''12 AGL'!F14/100)))</f>
        <v>0</v>
      </c>
      <c r="D12" s="80">
        <f>IF($E5&lt;'Jul''12 AGL'!G9,0,IF($E5&lt;='Jul''12 AGL'!G10,($E5-'Jul''12 AGL'!G9)*('Jul''12 AGL'!G14/100),('Jul''12 AGL'!G10-'Jul''12 AGL'!G9)*('Jul''12 AGL'!G14/100)))</f>
        <v>0</v>
      </c>
      <c r="E12" s="80">
        <f>IF($E5&lt;'Jul''12 AGL'!H9,0,IF($E5&lt;='Jul''12 AGL'!H10,($E5-'Jul''12 AGL'!H9)*('Jul''12 AGL'!H14/100),('Jul''12 AGL'!H10-'Jul''12 AGL'!H9)*('Jul''12 AGL'!H14/100)))</f>
        <v>0</v>
      </c>
      <c r="F12" s="80">
        <v>0</v>
      </c>
      <c r="G12" s="61">
        <f>IF($E5&lt;'Jul''12 AGL'!J9,0,IF($E5&lt;='Jul''12 AGL'!J10,($E5-'Jul''12 AGL'!J9)*('Jul''12 AGL'!J14/100),('Jul''12 AGL'!J10-'Jul''12 AGL'!J9)*('Jul''12 AGL'!J14/100)))</f>
        <v>0</v>
      </c>
    </row>
    <row r="13" spans="1:12" x14ac:dyDescent="0.3">
      <c r="A13" s="45" t="s">
        <v>280</v>
      </c>
      <c r="B13" s="80">
        <f>IF(($E5&gt;'Jul''12 AGL'!E10),($E5-'Jul''12 AGL'!E10)*'Jul''12 AGL'!E15/100,0)</f>
        <v>0</v>
      </c>
      <c r="C13" s="80">
        <f>IF(($E5&gt;'Jul''12 AGL'!F10),($E5-'Jul''12 AGL'!F10)*'Jul''12 AGL'!F15/100,0)</f>
        <v>0</v>
      </c>
      <c r="D13" s="80">
        <f>IF(($E5&gt;'Jul''12 AGL'!G10),($E5-'Jul''12 AGL'!G10)*'Jul''12 AGL'!G15/100,0)</f>
        <v>0</v>
      </c>
      <c r="E13" s="80">
        <f>IF(($E5&gt;'Jul''12 AGL'!H10),($E5-'Jul''12 AGL'!H10)*'Jul''12 AGL'!H15/100,0)</f>
        <v>0</v>
      </c>
      <c r="F13" s="80">
        <f>IF(($E5&gt;'Jul''12 AGL'!I7),($E5-'Jul''12 AGL'!I7)*'Jul''12 AGL'!I15/100,0)</f>
        <v>5.6133000000000006</v>
      </c>
      <c r="G13" s="61">
        <f>IF(($E5&gt;'Jul''12 AGL'!J10),($E5-'Jul''12 AGL'!J10)*'Jul''12 AGL'!J15/100,0)</f>
        <v>0</v>
      </c>
    </row>
    <row r="14" spans="1:12" x14ac:dyDescent="0.3">
      <c r="A14" s="35" t="s">
        <v>119</v>
      </c>
      <c r="B14" s="80">
        <f>'Jul''12 AGL'!E16*60/100</f>
        <v>29.237999999999996</v>
      </c>
      <c r="C14" s="80">
        <f>'Jul''12 AGL'!F16*60/100</f>
        <v>29.237999999999996</v>
      </c>
      <c r="D14" s="80">
        <f>'Jul''12 AGL'!G16*60/100</f>
        <v>29.237999999999996</v>
      </c>
      <c r="E14" s="80">
        <f>'Jul''12 AGL'!H16*60/100</f>
        <v>29.237999999999996</v>
      </c>
      <c r="F14" s="80">
        <f>'Jul''12 AGL'!I16*60/100</f>
        <v>32.340000000000003</v>
      </c>
      <c r="G14" s="80">
        <f>'Jul''12 AGL'!J16*60/100</f>
        <v>29.237999999999996</v>
      </c>
    </row>
    <row r="15" spans="1:12" x14ac:dyDescent="0.3">
      <c r="A15" s="35" t="s">
        <v>120</v>
      </c>
      <c r="B15" s="80">
        <f>SUM(B9:B14)</f>
        <v>139.83750000000001</v>
      </c>
      <c r="C15" s="80">
        <f t="shared" ref="C15" si="0">SUM(C9:C14)</f>
        <v>139.83750000000001</v>
      </c>
      <c r="D15" s="80">
        <f t="shared" ref="D15:E15" si="1">SUM(D9:D14)</f>
        <v>143.08799999999999</v>
      </c>
      <c r="E15" s="80">
        <f t="shared" si="1"/>
        <v>139.83750000000001</v>
      </c>
      <c r="F15" s="80">
        <f t="shared" ref="F15" si="2">SUM(F9:F14)</f>
        <v>163.75700000000001</v>
      </c>
      <c r="G15" s="80">
        <f>SUM(G9:G14)</f>
        <v>139.83750000000001</v>
      </c>
    </row>
    <row r="16" spans="1:12" x14ac:dyDescent="0.3">
      <c r="A16" s="46" t="s">
        <v>68</v>
      </c>
      <c r="B16" s="47">
        <f>B15*6</f>
        <v>839.02500000000009</v>
      </c>
      <c r="C16" s="47">
        <f t="shared" ref="C16:G16" si="3">C15*6</f>
        <v>839.02500000000009</v>
      </c>
      <c r="D16" s="47">
        <f t="shared" si="3"/>
        <v>858.52800000000002</v>
      </c>
      <c r="E16" s="47">
        <f t="shared" si="3"/>
        <v>839.02500000000009</v>
      </c>
      <c r="F16" s="47">
        <f t="shared" si="3"/>
        <v>982.54200000000003</v>
      </c>
      <c r="G16" s="47">
        <f t="shared" si="3"/>
        <v>839.02500000000009</v>
      </c>
    </row>
    <row r="17" spans="1:11" x14ac:dyDescent="0.3">
      <c r="A17" s="49"/>
      <c r="B17" s="50"/>
      <c r="C17" s="50"/>
      <c r="D17" s="50"/>
      <c r="E17" s="51"/>
      <c r="F17" s="51"/>
    </row>
    <row r="18" spans="1:11" x14ac:dyDescent="0.3">
      <c r="A18" s="49"/>
      <c r="B18" s="50"/>
      <c r="C18" s="50"/>
      <c r="D18" s="50"/>
      <c r="E18" s="51"/>
      <c r="F18" s="51"/>
    </row>
    <row r="19" spans="1:11" x14ac:dyDescent="0.3">
      <c r="A19" s="41" t="s">
        <v>70</v>
      </c>
      <c r="B19" s="19" t="s">
        <v>204</v>
      </c>
      <c r="C19" s="19" t="s">
        <v>169</v>
      </c>
      <c r="D19" s="19" t="s">
        <v>305</v>
      </c>
      <c r="E19" s="19" t="s">
        <v>124</v>
      </c>
      <c r="F19" s="19" t="s">
        <v>193</v>
      </c>
      <c r="G19" s="19" t="s">
        <v>71</v>
      </c>
      <c r="I19" s="40"/>
      <c r="J19" s="40"/>
      <c r="K19" s="40"/>
    </row>
    <row r="20" spans="1:11" x14ac:dyDescent="0.3">
      <c r="A20" s="45" t="s">
        <v>237</v>
      </c>
      <c r="B20" s="53" t="s">
        <v>51</v>
      </c>
      <c r="C20" s="78">
        <f>IF($E5&gt;='Jul''12 Actew'!E7,('Jul''12 Actew'!E7*'Jul''12 Actew'!E11/100),($E5*'Jul''12 Actew'!E11/100))</f>
        <v>81.592500000000001</v>
      </c>
      <c r="D20" s="53" t="s">
        <v>51</v>
      </c>
      <c r="E20" s="53" t="s">
        <v>51</v>
      </c>
      <c r="F20" s="78">
        <f>IF($E5&gt;='Jul''12 Actew'!F7,('Jul''12 Actew'!F7*'Jul''12 Actew'!F11/100),($E5*'Jul''12 Actew'!F11/100))</f>
        <v>101.58081999999999</v>
      </c>
      <c r="G20" s="53" t="s">
        <v>51</v>
      </c>
      <c r="I20" s="40"/>
      <c r="J20" s="40"/>
      <c r="K20" s="40"/>
    </row>
    <row r="21" spans="1:11" x14ac:dyDescent="0.3">
      <c r="A21" s="45" t="s">
        <v>167</v>
      </c>
      <c r="B21" s="53" t="s">
        <v>51</v>
      </c>
      <c r="C21" s="78">
        <f>IF($E5&lt;'Jul''12 Actew'!E7,0,IF($E5&lt;='Jul''12 Actew'!E8,($E5-'Jul''12 Actew'!E7)*('Jul''12 Actew'!E12/100),('Jul''12 Actew'!E8-'Jul''12 Actew'!E7)*('Jul''12 Actew'!E12/100)))</f>
        <v>29.007000000000001</v>
      </c>
      <c r="D21" s="53" t="s">
        <v>51</v>
      </c>
      <c r="E21" s="53" t="s">
        <v>51</v>
      </c>
      <c r="F21" s="78">
        <v>0</v>
      </c>
      <c r="G21" s="53" t="s">
        <v>51</v>
      </c>
      <c r="I21" s="40"/>
      <c r="J21" s="40"/>
      <c r="K21" s="40"/>
    </row>
    <row r="22" spans="1:11" x14ac:dyDescent="0.3">
      <c r="A22" s="45" t="s">
        <v>207</v>
      </c>
      <c r="B22" s="53" t="s">
        <v>51</v>
      </c>
      <c r="C22" s="78">
        <f>IF($E5&lt;'Jul''12 Actew'!E8,0,IF($E5&lt;='Jul''12 Actew'!E9,($E5-'Jul''12 Actew'!E8)*('Jul''12 Actew'!E13/100),('Jul''12 Actew'!E9-'Jul''12 Actew'!E8)*('Jul''12 Actew'!E13/100)))</f>
        <v>0</v>
      </c>
      <c r="D22" s="53" t="s">
        <v>51</v>
      </c>
      <c r="E22" s="53" t="s">
        <v>51</v>
      </c>
      <c r="F22" s="78">
        <v>0</v>
      </c>
      <c r="G22" s="53" t="s">
        <v>51</v>
      </c>
      <c r="I22" s="40"/>
      <c r="J22" s="40"/>
      <c r="K22" s="40"/>
    </row>
    <row r="23" spans="1:11" x14ac:dyDescent="0.3">
      <c r="A23" s="45" t="s">
        <v>238</v>
      </c>
      <c r="B23" s="53" t="s">
        <v>51</v>
      </c>
      <c r="C23" s="78">
        <f>IF($E5&lt;'Jul''12 Actew'!E9,0,IF($E5&lt;='Jul''12 Actew'!E10,($E5-'Jul''12 Actew'!E9)*('Jul''12 Actew'!E14/100),('Jul''12 Actew'!E10-'Jul''12 Actew'!E9)*('Jul''12 Actew'!E14/100)))</f>
        <v>0</v>
      </c>
      <c r="D23" s="53" t="s">
        <v>51</v>
      </c>
      <c r="E23" s="53" t="s">
        <v>51</v>
      </c>
      <c r="F23" s="78">
        <v>0</v>
      </c>
      <c r="G23" s="53" t="s">
        <v>51</v>
      </c>
      <c r="I23" s="40"/>
      <c r="J23" s="40"/>
      <c r="K23" s="40"/>
    </row>
    <row r="24" spans="1:11" x14ac:dyDescent="0.3">
      <c r="A24" s="45" t="s">
        <v>280</v>
      </c>
      <c r="B24" s="53" t="s">
        <v>51</v>
      </c>
      <c r="C24" s="78">
        <f>IF(($E5&gt;'Jul''12 Actew'!E10),($E5-'Jul''12 Actew'!E10)*'Jul''12 Actew'!E15/100,0)</f>
        <v>0</v>
      </c>
      <c r="D24" s="53" t="s">
        <v>51</v>
      </c>
      <c r="E24" s="53" t="s">
        <v>51</v>
      </c>
      <c r="F24" s="78">
        <f>IF(($E5&gt;'Jul''12 Actew'!F7),($E5-'Jul''12 Actew'!F7)*'Jul''12 Actew'!F15/100,0)</f>
        <v>7.9461799999999991</v>
      </c>
      <c r="G24" s="53" t="s">
        <v>51</v>
      </c>
      <c r="I24" s="40"/>
      <c r="J24" s="40"/>
      <c r="K24" s="40"/>
    </row>
    <row r="25" spans="1:11" x14ac:dyDescent="0.3">
      <c r="A25" s="35" t="s">
        <v>119</v>
      </c>
      <c r="B25" s="53" t="s">
        <v>51</v>
      </c>
      <c r="C25" s="78">
        <f>'Jul''12 Actew'!E16*60/100</f>
        <v>29.237999999999996</v>
      </c>
      <c r="D25" s="53" t="s">
        <v>51</v>
      </c>
      <c r="E25" s="53" t="s">
        <v>51</v>
      </c>
      <c r="F25" s="78">
        <f>'Jul''12 Actew'!F16*60/100</f>
        <v>40.92</v>
      </c>
      <c r="G25" s="53" t="s">
        <v>51</v>
      </c>
      <c r="I25" s="40"/>
      <c r="J25" s="40"/>
      <c r="K25" s="40"/>
    </row>
    <row r="26" spans="1:11" x14ac:dyDescent="0.3">
      <c r="A26" s="35" t="s">
        <v>120</v>
      </c>
      <c r="B26" s="53" t="s">
        <v>51</v>
      </c>
      <c r="C26" s="78">
        <f>SUM(C20:C25)</f>
        <v>139.83750000000001</v>
      </c>
      <c r="D26" s="53" t="s">
        <v>51</v>
      </c>
      <c r="E26" s="53" t="s">
        <v>51</v>
      </c>
      <c r="F26" s="78">
        <f>SUM(F20:F25)</f>
        <v>150.447</v>
      </c>
      <c r="G26" s="53" t="s">
        <v>51</v>
      </c>
    </row>
    <row r="27" spans="1:11" x14ac:dyDescent="0.3">
      <c r="A27" s="46" t="s">
        <v>68</v>
      </c>
      <c r="B27" s="79"/>
      <c r="C27" s="79">
        <f>C26*6</f>
        <v>839.02500000000009</v>
      </c>
      <c r="D27" s="79"/>
      <c r="E27" s="79"/>
      <c r="F27" s="79">
        <f>F26*6</f>
        <v>902.68200000000002</v>
      </c>
      <c r="G27" s="76"/>
    </row>
    <row r="28" spans="1:11" x14ac:dyDescent="0.3">
      <c r="A28" s="49"/>
      <c r="B28" s="61"/>
      <c r="C28" s="61"/>
      <c r="D28" s="61"/>
    </row>
    <row r="29" spans="1:11" x14ac:dyDescent="0.3">
      <c r="A29" s="49"/>
      <c r="B29" s="61"/>
      <c r="C29" s="61"/>
      <c r="D29" s="61"/>
    </row>
    <row r="30" spans="1:11" x14ac:dyDescent="0.3">
      <c r="A30" s="41" t="s">
        <v>131</v>
      </c>
      <c r="B30" s="19" t="s">
        <v>204</v>
      </c>
      <c r="C30" s="19" t="s">
        <v>169</v>
      </c>
      <c r="D30" s="19" t="s">
        <v>305</v>
      </c>
      <c r="E30" s="19" t="s">
        <v>124</v>
      </c>
      <c r="F30" s="19" t="s">
        <v>193</v>
      </c>
      <c r="G30" s="19" t="s">
        <v>71</v>
      </c>
    </row>
    <row r="31" spans="1:11" x14ac:dyDescent="0.3">
      <c r="A31" s="45" t="s">
        <v>75</v>
      </c>
      <c r="B31" s="53" t="s">
        <v>51</v>
      </c>
      <c r="C31" s="80">
        <f>IF($E5&gt;'Jul''12 Origin'!E9,('Jul''12 Origin'!E9*'Jul''12 Origin'!E10/100),('Bills Jul''12'!$E5*'Jul''12 Origin'!E10/100))</f>
        <v>61.863999999999997</v>
      </c>
      <c r="D31" s="66" t="s">
        <v>51</v>
      </c>
      <c r="E31" s="66" t="s">
        <v>51</v>
      </c>
      <c r="F31" s="80">
        <f>IF($E5&gt;'Jul''12 Origin'!F9,('Jul''12 Origin'!F9*'Jul''12 Origin'!F10/100),('Bills Jul''12'!$E5*'Jul''12 Origin'!F10/100))</f>
        <v>74.36</v>
      </c>
      <c r="G31" s="66" t="s">
        <v>51</v>
      </c>
    </row>
    <row r="32" spans="1:11" x14ac:dyDescent="0.3">
      <c r="A32" s="45" t="s">
        <v>76</v>
      </c>
      <c r="B32" s="53" t="s">
        <v>51</v>
      </c>
      <c r="C32" s="80">
        <f>IF($E5&gt;'Jul''12 Origin'!E9,('Bills Jul''12'!$E5-'Jul''12 Origin'!E9)*'Jul''12 Origin'!E11/100,0)</f>
        <v>0</v>
      </c>
      <c r="D32" s="66" t="s">
        <v>51</v>
      </c>
      <c r="E32" s="66" t="s">
        <v>51</v>
      </c>
      <c r="F32" s="80">
        <f>IF($E5&gt;'Jul''12 Origin'!F9,('Bills Jul''12'!$E5-'Jul''12 Origin'!F9)*'Jul''12 Origin'!F11/100,0)</f>
        <v>0</v>
      </c>
      <c r="G32" s="66" t="s">
        <v>51</v>
      </c>
    </row>
    <row r="33" spans="1:7" x14ac:dyDescent="0.3">
      <c r="A33" s="45" t="s">
        <v>143</v>
      </c>
      <c r="B33" s="53" t="s">
        <v>51</v>
      </c>
      <c r="C33" s="80">
        <f>IF($E5&gt;'Jul''12 Origin'!E9,'Jul''12 Origin'!E9*'Jul''12 Origin'!E12/100,'Bills Jul''12'!$E5*'Jul''12 Origin'!E12/100)</f>
        <v>58.343999999999994</v>
      </c>
      <c r="D33" s="66" t="s">
        <v>51</v>
      </c>
      <c r="E33" s="66" t="s">
        <v>51</v>
      </c>
      <c r="F33" s="80">
        <f>IF($E5&gt;'Jul''12 Origin'!F9,'Jul''12 Origin'!F9*'Jul''12 Origin'!F12/100,'Bills Jul''12'!$E5*'Jul''12 Origin'!F12/100)</f>
        <v>66</v>
      </c>
      <c r="G33" s="66" t="s">
        <v>51</v>
      </c>
    </row>
    <row r="34" spans="1:7" x14ac:dyDescent="0.3">
      <c r="A34" s="45" t="s">
        <v>203</v>
      </c>
      <c r="B34" s="53" t="s">
        <v>51</v>
      </c>
      <c r="C34" s="80">
        <f>IF($E5&gt;'Jul''12 Origin'!E9,('Bills Jul''12'!E5-'Jul''12 Origin'!E9)*'Jul''12 Origin'!E13/100,0)</f>
        <v>0</v>
      </c>
      <c r="D34" s="66" t="s">
        <v>51</v>
      </c>
      <c r="E34" s="66" t="s">
        <v>51</v>
      </c>
      <c r="F34" s="80">
        <f>IF($E5&gt;'Jul''12 Origin'!F9,('Bills Jul''12'!E5-'Jul''12 Origin'!F9)*'Jul''12 Origin'!F13/100,0)</f>
        <v>0</v>
      </c>
      <c r="G34" s="66" t="s">
        <v>51</v>
      </c>
    </row>
    <row r="35" spans="1:7" x14ac:dyDescent="0.3">
      <c r="A35" s="35" t="s">
        <v>119</v>
      </c>
      <c r="B35" s="53" t="s">
        <v>51</v>
      </c>
      <c r="C35" s="80">
        <f>'Jul''12 Origin'!E14*60/100</f>
        <v>28.003800000000002</v>
      </c>
      <c r="D35" s="66" t="s">
        <v>51</v>
      </c>
      <c r="E35" s="66" t="s">
        <v>51</v>
      </c>
      <c r="F35" s="80">
        <f>'Jul''12 Origin'!F14*60/100</f>
        <v>34.32</v>
      </c>
      <c r="G35" s="66" t="s">
        <v>51</v>
      </c>
    </row>
    <row r="36" spans="1:7" x14ac:dyDescent="0.3">
      <c r="A36" s="35" t="s">
        <v>120</v>
      </c>
      <c r="B36" s="53" t="s">
        <v>51</v>
      </c>
      <c r="C36" s="66" t="s">
        <v>51</v>
      </c>
      <c r="D36" s="66" t="s">
        <v>51</v>
      </c>
      <c r="E36" s="66" t="s">
        <v>51</v>
      </c>
      <c r="F36" s="66" t="s">
        <v>51</v>
      </c>
      <c r="G36" s="66" t="s">
        <v>51</v>
      </c>
    </row>
    <row r="37" spans="1:7" x14ac:dyDescent="0.3">
      <c r="A37" s="46" t="s">
        <v>68</v>
      </c>
      <c r="B37" s="55"/>
      <c r="C37" s="47">
        <f>(C31*2)+(C32*2)+(C33*4)+(C34*4)+(C35*6)</f>
        <v>525.1268</v>
      </c>
      <c r="D37" s="55"/>
      <c r="E37" s="56"/>
      <c r="F37" s="56">
        <f>(F31*2)+(F32*2)+(F33*4)+(F34*4)+(F35*6)</f>
        <v>618.6400000000001</v>
      </c>
      <c r="G37" s="76"/>
    </row>
    <row r="38" spans="1:7" x14ac:dyDescent="0.3">
      <c r="B38" s="61"/>
      <c r="C38" s="61"/>
      <c r="D38" s="61"/>
    </row>
    <row r="39" spans="1:7" x14ac:dyDescent="0.3">
      <c r="B39" s="61"/>
      <c r="C39" s="61"/>
      <c r="D39" s="61"/>
    </row>
    <row r="40" spans="1:7" x14ac:dyDescent="0.3">
      <c r="A40" s="41" t="s">
        <v>210</v>
      </c>
      <c r="B40" s="19" t="s">
        <v>204</v>
      </c>
      <c r="C40" s="19" t="s">
        <v>169</v>
      </c>
      <c r="D40" s="19" t="s">
        <v>305</v>
      </c>
      <c r="E40" s="19" t="s">
        <v>124</v>
      </c>
      <c r="F40" s="19" t="s">
        <v>193</v>
      </c>
      <c r="G40" s="19" t="s">
        <v>71</v>
      </c>
    </row>
    <row r="41" spans="1:7" x14ac:dyDescent="0.3">
      <c r="A41" s="45" t="s">
        <v>270</v>
      </c>
      <c r="B41" s="53" t="s">
        <v>51</v>
      </c>
      <c r="C41" s="80">
        <f>E5*'Jul''12 Origin'!E21/100</f>
        <v>91.123999999999995</v>
      </c>
      <c r="D41" s="66" t="s">
        <v>51</v>
      </c>
      <c r="E41" s="66" t="s">
        <v>51</v>
      </c>
      <c r="F41" s="80">
        <f>E5*'Jul''12 Origin'!F21/100</f>
        <v>98.12</v>
      </c>
      <c r="G41" s="66" t="s">
        <v>51</v>
      </c>
    </row>
    <row r="42" spans="1:7" x14ac:dyDescent="0.3">
      <c r="A42" s="45" t="s">
        <v>271</v>
      </c>
      <c r="B42" s="53" t="s">
        <v>51</v>
      </c>
      <c r="C42" s="80">
        <v>0</v>
      </c>
      <c r="D42" s="66" t="s">
        <v>51</v>
      </c>
      <c r="E42" s="66" t="s">
        <v>51</v>
      </c>
      <c r="F42" s="80">
        <f>E5*'Jul''12 Origin'!F22/100</f>
        <v>92.4</v>
      </c>
      <c r="G42" s="66" t="s">
        <v>51</v>
      </c>
    </row>
    <row r="43" spans="1:7" x14ac:dyDescent="0.3">
      <c r="A43" s="35" t="s">
        <v>119</v>
      </c>
      <c r="B43" s="53" t="s">
        <v>51</v>
      </c>
      <c r="C43" s="80">
        <f>'Jul''12 Origin'!E23*60/100</f>
        <v>31.712999999999997</v>
      </c>
      <c r="D43" s="66" t="s">
        <v>51</v>
      </c>
      <c r="E43" s="66" t="s">
        <v>51</v>
      </c>
      <c r="F43" s="80">
        <f>'Jul''12 Origin'!F23*60/100</f>
        <v>36.96</v>
      </c>
      <c r="G43" s="66" t="s">
        <v>51</v>
      </c>
    </row>
    <row r="44" spans="1:7" x14ac:dyDescent="0.3">
      <c r="A44" s="35" t="s">
        <v>120</v>
      </c>
      <c r="B44" s="53" t="s">
        <v>51</v>
      </c>
      <c r="C44" s="80">
        <f>SUM(C41:C43)</f>
        <v>122.83699999999999</v>
      </c>
      <c r="D44" s="66" t="s">
        <v>51</v>
      </c>
      <c r="E44" s="66" t="s">
        <v>51</v>
      </c>
      <c r="F44" s="66" t="s">
        <v>51</v>
      </c>
      <c r="G44" s="66" t="s">
        <v>51</v>
      </c>
    </row>
    <row r="45" spans="1:7" x14ac:dyDescent="0.3">
      <c r="A45" s="46" t="s">
        <v>68</v>
      </c>
      <c r="B45" s="47"/>
      <c r="C45" s="47">
        <f>C44*6</f>
        <v>737.02199999999993</v>
      </c>
      <c r="D45" s="47"/>
      <c r="E45" s="56"/>
      <c r="F45" s="56">
        <f>(F41*2)+(F42*4)+(F43*6)</f>
        <v>787.6</v>
      </c>
      <c r="G45" s="76"/>
    </row>
    <row r="47" spans="1:7" x14ac:dyDescent="0.3">
      <c r="A47" s="76"/>
      <c r="B47" s="76"/>
      <c r="C47" s="76"/>
      <c r="D47" s="76"/>
      <c r="E47" s="76"/>
      <c r="F47" s="76"/>
      <c r="G47" s="76"/>
    </row>
    <row r="48" spans="1:7" x14ac:dyDescent="0.3">
      <c r="A48" s="43" t="s">
        <v>171</v>
      </c>
      <c r="B48" s="19" t="s">
        <v>204</v>
      </c>
      <c r="C48" s="19" t="s">
        <v>169</v>
      </c>
      <c r="D48" s="19" t="s">
        <v>305</v>
      </c>
      <c r="E48" s="19" t="s">
        <v>124</v>
      </c>
      <c r="F48" s="19" t="s">
        <v>193</v>
      </c>
      <c r="G48" s="19" t="s">
        <v>71</v>
      </c>
    </row>
    <row r="49" spans="1:12" x14ac:dyDescent="0.3">
      <c r="A49" s="45" t="s">
        <v>144</v>
      </c>
      <c r="B49" s="23" t="s">
        <v>326</v>
      </c>
      <c r="C49" s="24" t="s">
        <v>132</v>
      </c>
      <c r="D49" s="24" t="s">
        <v>306</v>
      </c>
      <c r="E49" s="24" t="s">
        <v>125</v>
      </c>
      <c r="F49" s="24" t="s">
        <v>194</v>
      </c>
      <c r="G49" s="24" t="s">
        <v>165</v>
      </c>
    </row>
    <row r="50" spans="1:12" x14ac:dyDescent="0.3">
      <c r="A50" s="44" t="s">
        <v>174</v>
      </c>
      <c r="B50" s="24" t="s">
        <v>327</v>
      </c>
      <c r="C50" s="24" t="s">
        <v>176</v>
      </c>
      <c r="D50" s="24" t="s">
        <v>195</v>
      </c>
      <c r="E50" s="24" t="s">
        <v>126</v>
      </c>
      <c r="F50" s="24" t="s">
        <v>195</v>
      </c>
      <c r="G50" s="24" t="s">
        <v>343</v>
      </c>
    </row>
    <row r="51" spans="1:12" x14ac:dyDescent="0.3">
      <c r="A51" s="35" t="s">
        <v>394</v>
      </c>
      <c r="B51" s="26" t="s">
        <v>273</v>
      </c>
      <c r="C51" s="25">
        <v>70</v>
      </c>
      <c r="D51" s="26" t="s">
        <v>218</v>
      </c>
      <c r="E51" s="51" t="s">
        <v>127</v>
      </c>
      <c r="F51" s="26" t="s">
        <v>196</v>
      </c>
      <c r="G51" s="51" t="s">
        <v>166</v>
      </c>
    </row>
    <row r="52" spans="1:12" x14ac:dyDescent="0.3">
      <c r="A52" s="35" t="s">
        <v>177</v>
      </c>
      <c r="B52" s="26" t="s">
        <v>224</v>
      </c>
      <c r="C52" s="26" t="s">
        <v>133</v>
      </c>
      <c r="D52" s="30" t="s">
        <v>217</v>
      </c>
      <c r="E52" s="51" t="s">
        <v>136</v>
      </c>
      <c r="F52" s="24" t="s">
        <v>194</v>
      </c>
      <c r="G52" s="35" t="s">
        <v>72</v>
      </c>
    </row>
    <row r="53" spans="1:12" x14ac:dyDescent="0.3">
      <c r="A53" s="35" t="s">
        <v>379</v>
      </c>
      <c r="B53" s="27">
        <v>12.8</v>
      </c>
      <c r="C53" s="25">
        <v>12</v>
      </c>
      <c r="D53" s="25">
        <v>10</v>
      </c>
      <c r="E53" s="25">
        <v>12</v>
      </c>
      <c r="F53" s="25" t="s">
        <v>224</v>
      </c>
      <c r="G53" s="25" t="s">
        <v>272</v>
      </c>
    </row>
    <row r="54" spans="1:12" x14ac:dyDescent="0.3">
      <c r="A54" s="67" t="s">
        <v>328</v>
      </c>
      <c r="B54" s="68" t="s">
        <v>192</v>
      </c>
      <c r="C54" s="69" t="s">
        <v>134</v>
      </c>
      <c r="D54" s="68" t="s">
        <v>224</v>
      </c>
      <c r="E54" s="89" t="s">
        <v>136</v>
      </c>
      <c r="F54" s="68" t="s">
        <v>224</v>
      </c>
      <c r="G54" s="26" t="s">
        <v>224</v>
      </c>
    </row>
    <row r="55" spans="1:12" x14ac:dyDescent="0.3">
      <c r="A55" s="58"/>
      <c r="B55" s="58"/>
      <c r="C55" s="58"/>
      <c r="D55" s="58"/>
      <c r="E55" s="58"/>
      <c r="F55" s="58"/>
      <c r="G55" s="65"/>
      <c r="H55" s="65"/>
      <c r="I55" s="65"/>
      <c r="J55" s="65"/>
      <c r="K55" s="65"/>
      <c r="L55" s="65"/>
    </row>
  </sheetData>
  <sheetProtection algorithmName="SHA-512" hashValue="gW8CZpyQouZvqQAPblq0JoD0EJec+r5bu1vyJA/sK2dsXewARNbTwCxdABcbQ8rntuc6ytxM2NCcoYQk4xmPag==" saltValue="Vbo+misXMeEyyKsr5EAKv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N59"/>
  <sheetViews>
    <sheetView workbookViewId="0">
      <selection activeCell="B18" sqref="B18"/>
    </sheetView>
  </sheetViews>
  <sheetFormatPr defaultColWidth="10.84375" defaultRowHeight="13.5" x14ac:dyDescent="0.3"/>
  <cols>
    <col min="1" max="1" width="32.4609375" style="35" customWidth="1"/>
    <col min="2" max="5" width="10" style="35" customWidth="1"/>
    <col min="6" max="6" width="2.3046875" style="35" customWidth="1"/>
    <col min="7" max="9" width="10" style="35" customWidth="1"/>
    <col min="10" max="10" width="12.84375" style="35" customWidth="1"/>
    <col min="11" max="11" width="10" style="35" customWidth="1"/>
    <col min="12" max="16384" width="10.84375" style="35"/>
  </cols>
  <sheetData>
    <row r="1" spans="1:14" x14ac:dyDescent="0.3">
      <c r="A1" s="34" t="s">
        <v>117</v>
      </c>
    </row>
    <row r="2" spans="1:14" x14ac:dyDescent="0.3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x14ac:dyDescent="0.3">
      <c r="A3" s="37" t="s">
        <v>211</v>
      </c>
    </row>
    <row r="5" spans="1:14" x14ac:dyDescent="0.3">
      <c r="A5" s="38" t="s">
        <v>28</v>
      </c>
      <c r="B5" s="39" t="s">
        <v>662</v>
      </c>
      <c r="E5" s="57">
        <v>4000</v>
      </c>
    </row>
    <row r="6" spans="1:14" x14ac:dyDescent="0.3">
      <c r="B6" s="40" t="s">
        <v>184</v>
      </c>
      <c r="C6" s="40"/>
      <c r="D6" s="40"/>
      <c r="E6" s="40"/>
      <c r="F6" s="40"/>
      <c r="H6" s="40"/>
      <c r="I6" s="40"/>
      <c r="J6" s="40"/>
      <c r="K6" s="40"/>
    </row>
    <row r="8" spans="1:14" x14ac:dyDescent="0.3">
      <c r="A8" s="41" t="s">
        <v>135</v>
      </c>
      <c r="B8" s="19" t="s">
        <v>204</v>
      </c>
      <c r="C8" s="19" t="s">
        <v>169</v>
      </c>
      <c r="D8" s="19" t="s">
        <v>170</v>
      </c>
      <c r="E8" s="19" t="s">
        <v>193</v>
      </c>
      <c r="F8" s="42"/>
      <c r="G8" s="43" t="s">
        <v>171</v>
      </c>
      <c r="H8" s="44"/>
      <c r="I8" s="19" t="s">
        <v>204</v>
      </c>
      <c r="J8" s="19" t="s">
        <v>168</v>
      </c>
      <c r="K8" s="19" t="s">
        <v>170</v>
      </c>
      <c r="L8" s="19" t="s">
        <v>193</v>
      </c>
    </row>
    <row r="9" spans="1:14" x14ac:dyDescent="0.3">
      <c r="A9" s="45" t="s">
        <v>237</v>
      </c>
      <c r="B9" s="61">
        <f>IF($E5&gt;='Jul''11 AGL'!E7,('Jul''11 AGL'!E7*'Jul''11 AGL'!E11/100),($E5*'Jul''11 AGL'!E11/100))</f>
        <v>68.502499999999998</v>
      </c>
      <c r="C9" s="61">
        <f>IF($E5&gt;='Jul''11 AGL'!F7,('Jul''11 AGL'!F7*'Jul''11 AGL'!F11/100),($E5*'Jul''11 AGL'!F11/100))</f>
        <v>68.502499999999998</v>
      </c>
      <c r="D9" s="61">
        <f>IF($E5&gt;='Jul''11 AGL'!G7,('Jul''11 AGL'!G7*'Jul''11 AGL'!G11/100),($E5*'Jul''11 AGL'!G11/100))</f>
        <v>68.502499999999998</v>
      </c>
      <c r="E9" s="61">
        <f>IF($E5&gt;='Jul''11 AGL'!H7,('Jul''11 AGL'!H7*'Jul''11 AGL'!H11/100),($E5*'Jul''11 AGL'!H11/100))</f>
        <v>108.48</v>
      </c>
      <c r="F9" s="42"/>
      <c r="G9" s="45" t="s">
        <v>144</v>
      </c>
      <c r="I9" s="23" t="s">
        <v>172</v>
      </c>
      <c r="J9" s="24" t="s">
        <v>173</v>
      </c>
      <c r="K9" s="24" t="s">
        <v>342</v>
      </c>
      <c r="L9" s="24" t="s">
        <v>194</v>
      </c>
    </row>
    <row r="10" spans="1:14" x14ac:dyDescent="0.3">
      <c r="A10" s="45" t="s">
        <v>167</v>
      </c>
      <c r="B10" s="61">
        <f>IF($E5&lt;'Jul''11 AGL'!E7,0,IF($E5&lt;='Jul''11 AGL'!E8,($E5-'Jul''11 AGL'!E7)*('Jul''11 AGL'!E12/100),('Jul''11 AGL'!E8-'Jul''11 AGL'!E7)*('Jul''11 AGL'!E12/100)))</f>
        <v>24.733500000000006</v>
      </c>
      <c r="C10" s="61">
        <f>IF($E5&lt;'Jul''11 AGL'!F7,0,IF($E5&lt;='Jul''11 AGL'!F8,($E5-'Jul''11 AGL'!F7)*('Jul''11 AGL'!F12/100),('Jul''11 AGL'!F8-'Jul''11 AGL'!F7)*('Jul''11 AGL'!F12/100)))</f>
        <v>24.733500000000006</v>
      </c>
      <c r="D10" s="61">
        <f>IF($E5&lt;'Jul''11 AGL'!G7,0,IF($E5&lt;='Jul''11 AGL'!G8,($E5-'Jul''11 AGL'!G7)*('Jul''11 AGL'!G12/100),('Jul''11 AGL'!G8-'Jul''11 AGL'!G7)*('Jul''11 AGL'!G12/100)))</f>
        <v>24.733500000000006</v>
      </c>
      <c r="E10" s="61">
        <v>0</v>
      </c>
      <c r="F10" s="42"/>
      <c r="G10" s="44" t="s">
        <v>174</v>
      </c>
      <c r="I10" s="24" t="s">
        <v>175</v>
      </c>
      <c r="J10" s="24" t="s">
        <v>176</v>
      </c>
      <c r="K10" s="24" t="s">
        <v>343</v>
      </c>
      <c r="L10" s="24" t="s">
        <v>195</v>
      </c>
    </row>
    <row r="11" spans="1:14" x14ac:dyDescent="0.3">
      <c r="A11" s="45" t="s">
        <v>207</v>
      </c>
      <c r="B11" s="61">
        <f>IF($E5&lt;'Jul''11 AGL'!E8,0,IF($E5&lt;='Jul''11 AGL'!E9,($E5-'Jul''11 AGL'!E8)*('Jul''11 AGL'!E13/100),('Jul''11 AGL'!E9-'Jul''11 AGL'!E8)*('Jul''11 AGL'!E13/100)))</f>
        <v>0</v>
      </c>
      <c r="C11" s="61">
        <f>IF($E5&lt;'Jul''11 AGL'!F8,0,IF($E5&lt;='Jul''11 AGL'!F9,($E5-'Jul''11 AGL'!F8)*('Jul''11 AGL'!F13/100),('Jul''11 AGL'!F9-'Jul''11 AGL'!F8)*('Jul''11 AGL'!F13/100)))</f>
        <v>0</v>
      </c>
      <c r="D11" s="61">
        <f>IF($E5&lt;'Jul''11 AGL'!G8,0,IF($E5&lt;='Jul''11 AGL'!G9,($E5-'Jul''11 AGL'!G8)*('Jul''11 AGL'!G13/100),('Jul''11 AGL'!G9-'Jul''11 AGL'!G8)*('Jul''11 AGL'!G13/100)))</f>
        <v>0</v>
      </c>
      <c r="E11" s="61">
        <v>0</v>
      </c>
      <c r="F11" s="42"/>
      <c r="G11" s="35" t="s">
        <v>234</v>
      </c>
      <c r="I11" s="26" t="s">
        <v>273</v>
      </c>
      <c r="J11" s="25">
        <v>44</v>
      </c>
      <c r="K11" s="26" t="s">
        <v>49</v>
      </c>
      <c r="L11" s="26" t="s">
        <v>196</v>
      </c>
    </row>
    <row r="12" spans="1:14" x14ac:dyDescent="0.3">
      <c r="A12" s="45" t="s">
        <v>238</v>
      </c>
      <c r="B12" s="61">
        <f>IF($E5&lt;'Jul''11 AGL'!E9,0,IF($E5&lt;='Jul''11 AGL'!E10,($E5-'Jul''11 AGL'!E9)*('Jul''11 AGL'!E14/100),('Jul''11 AGL'!E10-'Jul''11 AGL'!E9)*('Jul''11 AGL'!E14/100)))</f>
        <v>0</v>
      </c>
      <c r="C12" s="61">
        <f>IF($E5&lt;'Jul''11 AGL'!F9,0,IF($E5&lt;='Jul''11 AGL'!F10,($E5-'Jul''11 AGL'!F9)*('Jul''11 AGL'!F14/100),('Jul''11 AGL'!F10-'Jul''11 AGL'!F9)*('Jul''11 AGL'!F14/100)))</f>
        <v>0</v>
      </c>
      <c r="D12" s="61">
        <f>IF($E5&lt;'Jul''11 AGL'!G9,0,IF($E5&lt;='Jul''11 AGL'!G10,($E5-'Jul''11 AGL'!G9)*('Jul''11 AGL'!G14/100),('Jul''11 AGL'!G10-'Jul''11 AGL'!G9)*('Jul''11 AGL'!G14/100)))</f>
        <v>0</v>
      </c>
      <c r="E12" s="61">
        <v>0</v>
      </c>
      <c r="F12" s="42"/>
      <c r="G12" s="35" t="s">
        <v>177</v>
      </c>
      <c r="I12" s="26" t="s">
        <v>274</v>
      </c>
      <c r="J12" s="26" t="s">
        <v>178</v>
      </c>
      <c r="K12" s="30" t="s">
        <v>297</v>
      </c>
      <c r="L12" s="24" t="s">
        <v>194</v>
      </c>
    </row>
    <row r="13" spans="1:14" x14ac:dyDescent="0.3">
      <c r="A13" s="45" t="s">
        <v>280</v>
      </c>
      <c r="B13" s="61">
        <f>IF(($E5&gt;'Jul''11 AGL'!E10),($E5-'Jul''11 AGL'!E10)*'Jul''11 AGL'!E15/100,0)</f>
        <v>0</v>
      </c>
      <c r="C13" s="61">
        <f>IF(($E5&gt;'Jul''11 AGL'!F10),($E5-'Jul''11 AGL'!F10)*'Jul''11 AGL'!F15/100,0)</f>
        <v>0</v>
      </c>
      <c r="D13" s="61">
        <f>IF(($E5&gt;'Jul''11 AGL'!G10),($E5-'Jul''11 AGL'!G10)*'Jul''11 AGL'!G15/100,0)</f>
        <v>0</v>
      </c>
      <c r="E13" s="61">
        <f>IF(($E5&gt;'Jul''11 AGL'!H7),($E5-'Jul''11 AGL'!H7)*'Jul''11 AGL'!H15/100,0)</f>
        <v>6.4512</v>
      </c>
      <c r="F13" s="42"/>
      <c r="G13" s="35" t="s">
        <v>379</v>
      </c>
      <c r="I13" s="27">
        <v>12.419</v>
      </c>
      <c r="J13" s="25">
        <v>12</v>
      </c>
      <c r="K13" s="25">
        <v>10</v>
      </c>
      <c r="L13" s="25" t="s">
        <v>199</v>
      </c>
    </row>
    <row r="14" spans="1:14" x14ac:dyDescent="0.3">
      <c r="A14" s="35" t="s">
        <v>119</v>
      </c>
      <c r="B14" s="61">
        <f>'Jul''11 AGL'!E16*60/100</f>
        <v>28.498799999999996</v>
      </c>
      <c r="C14" s="61">
        <f>'Jul''11 AGL'!F16*60/100</f>
        <v>28.512000000000004</v>
      </c>
      <c r="D14" s="61">
        <f>'Jul''11 AGL'!G16*60/100</f>
        <v>28.512000000000004</v>
      </c>
      <c r="E14" s="61">
        <f>'Jul''11 AGL'!H16*60/100</f>
        <v>28.38</v>
      </c>
      <c r="F14" s="42"/>
      <c r="G14" s="35" t="s">
        <v>281</v>
      </c>
      <c r="I14" s="26" t="s">
        <v>275</v>
      </c>
      <c r="J14" s="26" t="s">
        <v>341</v>
      </c>
      <c r="K14" s="26" t="s">
        <v>50</v>
      </c>
      <c r="L14" s="26" t="s">
        <v>121</v>
      </c>
    </row>
    <row r="15" spans="1:14" x14ac:dyDescent="0.3">
      <c r="A15" s="35" t="s">
        <v>120</v>
      </c>
      <c r="B15" s="61">
        <f>SUM(B9:B14)</f>
        <v>121.73480000000001</v>
      </c>
      <c r="C15" s="61">
        <f t="shared" ref="C15" si="0">SUM(C9:C14)</f>
        <v>121.748</v>
      </c>
      <c r="D15" s="61">
        <f t="shared" ref="D15:E15" si="1">SUM(D9:D14)</f>
        <v>121.748</v>
      </c>
      <c r="E15" s="61">
        <f t="shared" si="1"/>
        <v>143.31120000000001</v>
      </c>
      <c r="F15" s="42"/>
      <c r="G15" s="35" t="s">
        <v>233</v>
      </c>
      <c r="I15" s="27">
        <v>29.7</v>
      </c>
      <c r="J15" s="27">
        <v>34.83</v>
      </c>
      <c r="K15" s="26" t="s">
        <v>50</v>
      </c>
      <c r="L15" s="26" t="s">
        <v>274</v>
      </c>
    </row>
    <row r="16" spans="1:14" ht="14" thickBot="1" x14ac:dyDescent="0.35">
      <c r="A16" s="46" t="s">
        <v>68</v>
      </c>
      <c r="B16" s="47">
        <f>B15*6</f>
        <v>730.40880000000004</v>
      </c>
      <c r="C16" s="47">
        <f t="shared" ref="C16" si="2">C15*6</f>
        <v>730.48800000000006</v>
      </c>
      <c r="D16" s="47">
        <f t="shared" ref="D16:E16" si="3">D15*6</f>
        <v>730.48800000000006</v>
      </c>
      <c r="E16" s="47">
        <f t="shared" si="3"/>
        <v>859.86720000000014</v>
      </c>
      <c r="F16" s="42"/>
      <c r="G16" s="48" t="s">
        <v>328</v>
      </c>
      <c r="H16" s="48"/>
      <c r="I16" s="31" t="s">
        <v>192</v>
      </c>
      <c r="J16" s="32" t="s">
        <v>224</v>
      </c>
      <c r="K16" s="31" t="s">
        <v>50</v>
      </c>
      <c r="L16" s="31" t="s">
        <v>274</v>
      </c>
    </row>
    <row r="17" spans="1:12" x14ac:dyDescent="0.3">
      <c r="A17" s="49"/>
      <c r="B17" s="50"/>
      <c r="C17" s="50"/>
      <c r="D17" s="50"/>
      <c r="E17" s="51"/>
      <c r="F17" s="42"/>
      <c r="I17" s="26"/>
      <c r="J17" s="25"/>
      <c r="K17" s="26"/>
    </row>
    <row r="18" spans="1:12" x14ac:dyDescent="0.3">
      <c r="A18" s="49"/>
      <c r="F18" s="42"/>
      <c r="G18" s="43" t="s">
        <v>171</v>
      </c>
      <c r="H18" s="44"/>
      <c r="I18" s="19" t="s">
        <v>349</v>
      </c>
      <c r="J18" s="25"/>
      <c r="K18" s="26"/>
    </row>
    <row r="19" spans="1:12" x14ac:dyDescent="0.3">
      <c r="A19" s="49"/>
      <c r="B19" s="50"/>
      <c r="C19" s="50"/>
      <c r="D19" s="50"/>
      <c r="E19" s="51"/>
      <c r="F19" s="42"/>
      <c r="G19" s="45" t="s">
        <v>144</v>
      </c>
      <c r="I19" s="23" t="s">
        <v>282</v>
      </c>
      <c r="J19" s="25"/>
      <c r="K19" s="26"/>
    </row>
    <row r="20" spans="1:12" x14ac:dyDescent="0.3">
      <c r="A20" s="49"/>
      <c r="B20" s="50"/>
      <c r="C20" s="50"/>
      <c r="D20" s="50"/>
      <c r="E20" s="51"/>
      <c r="F20" s="42"/>
      <c r="G20" s="44" t="s">
        <v>174</v>
      </c>
      <c r="I20" s="24" t="s">
        <v>175</v>
      </c>
      <c r="J20" s="25"/>
      <c r="K20" s="26"/>
    </row>
    <row r="21" spans="1:12" x14ac:dyDescent="0.3">
      <c r="B21" s="61"/>
      <c r="C21" s="61"/>
      <c r="D21" s="61"/>
      <c r="F21" s="42"/>
      <c r="G21" s="35" t="s">
        <v>234</v>
      </c>
      <c r="I21" s="25">
        <v>65</v>
      </c>
    </row>
    <row r="22" spans="1:12" x14ac:dyDescent="0.3">
      <c r="A22" s="41" t="s">
        <v>107</v>
      </c>
      <c r="B22" s="19" t="s">
        <v>204</v>
      </c>
      <c r="C22" s="52" t="s">
        <v>308</v>
      </c>
      <c r="D22" s="19" t="s">
        <v>329</v>
      </c>
      <c r="E22" s="19" t="s">
        <v>193</v>
      </c>
      <c r="F22" s="42"/>
      <c r="G22" s="35" t="s">
        <v>177</v>
      </c>
      <c r="I22" s="26" t="s">
        <v>178</v>
      </c>
    </row>
    <row r="23" spans="1:12" x14ac:dyDescent="0.3">
      <c r="A23" s="45" t="s">
        <v>69</v>
      </c>
      <c r="B23" s="53" t="s">
        <v>51</v>
      </c>
      <c r="C23" s="53">
        <f>E5*'Jul''11 Country'!E7/100</f>
        <v>110.43999999999998</v>
      </c>
      <c r="D23" s="53" t="s">
        <v>51</v>
      </c>
      <c r="E23" s="53" t="s">
        <v>51</v>
      </c>
      <c r="F23" s="42"/>
      <c r="G23" s="35" t="s">
        <v>379</v>
      </c>
      <c r="I23" s="27">
        <v>7.7</v>
      </c>
    </row>
    <row r="24" spans="1:12" x14ac:dyDescent="0.3">
      <c r="A24" s="35" t="s">
        <v>119</v>
      </c>
      <c r="B24" s="53" t="s">
        <v>51</v>
      </c>
      <c r="C24" s="53">
        <f>'Jul''11 Country'!E8*60/100</f>
        <v>26.4</v>
      </c>
      <c r="D24" s="53" t="s">
        <v>51</v>
      </c>
      <c r="E24" s="53" t="s">
        <v>51</v>
      </c>
      <c r="F24" s="42"/>
      <c r="G24" s="35" t="s">
        <v>281</v>
      </c>
      <c r="I24" s="35" t="s">
        <v>223</v>
      </c>
    </row>
    <row r="25" spans="1:12" x14ac:dyDescent="0.3">
      <c r="A25" s="35" t="s">
        <v>120</v>
      </c>
      <c r="B25" s="53" t="s">
        <v>51</v>
      </c>
      <c r="C25" s="53">
        <f>SUM(C23:C24)</f>
        <v>136.83999999999997</v>
      </c>
      <c r="D25" s="53" t="s">
        <v>51</v>
      </c>
      <c r="E25" s="53" t="s">
        <v>51</v>
      </c>
      <c r="F25" s="42"/>
      <c r="G25" s="35" t="s">
        <v>233</v>
      </c>
      <c r="I25" s="54">
        <v>41.8</v>
      </c>
    </row>
    <row r="26" spans="1:12" ht="14" thickBot="1" x14ac:dyDescent="0.35">
      <c r="A26" s="46" t="s">
        <v>68</v>
      </c>
      <c r="B26" s="47"/>
      <c r="C26" s="47">
        <f>C25*6</f>
        <v>821.03999999999985</v>
      </c>
      <c r="D26" s="47"/>
      <c r="E26" s="47"/>
      <c r="F26" s="42"/>
      <c r="G26" s="48" t="s">
        <v>328</v>
      </c>
      <c r="H26" s="48"/>
      <c r="I26" s="48" t="s">
        <v>224</v>
      </c>
      <c r="J26" s="48"/>
      <c r="K26" s="48"/>
      <c r="L26" s="48"/>
    </row>
    <row r="27" spans="1:12" x14ac:dyDescent="0.3">
      <c r="B27" s="61"/>
      <c r="C27" s="61"/>
      <c r="D27" s="61"/>
      <c r="F27" s="42"/>
    </row>
    <row r="28" spans="1:12" x14ac:dyDescent="0.3">
      <c r="A28" s="41" t="s">
        <v>70</v>
      </c>
      <c r="B28" s="19" t="s">
        <v>204</v>
      </c>
      <c r="C28" s="19" t="s">
        <v>169</v>
      </c>
      <c r="D28" s="19" t="s">
        <v>329</v>
      </c>
      <c r="E28" s="19" t="s">
        <v>193</v>
      </c>
      <c r="F28" s="42"/>
      <c r="G28" s="43" t="s">
        <v>171</v>
      </c>
      <c r="H28" s="44"/>
      <c r="I28" s="19" t="s">
        <v>168</v>
      </c>
    </row>
    <row r="29" spans="1:12" x14ac:dyDescent="0.3">
      <c r="A29" s="45" t="s">
        <v>237</v>
      </c>
      <c r="B29" s="53" t="s">
        <v>51</v>
      </c>
      <c r="C29" s="61">
        <f>IF($E5&gt;='Jul''11 Actew'!E7,('Jul''11 Actew'!E7*'Jul''11 Actew'!E11/100),($E5*'Jul''11 Actew'!E11/100))</f>
        <v>68.502499999999998</v>
      </c>
      <c r="D29" s="53" t="s">
        <v>51</v>
      </c>
      <c r="E29" s="53" t="s">
        <v>51</v>
      </c>
      <c r="F29" s="42"/>
      <c r="G29" s="45" t="s">
        <v>144</v>
      </c>
      <c r="I29" s="24" t="s">
        <v>173</v>
      </c>
    </row>
    <row r="30" spans="1:12" x14ac:dyDescent="0.3">
      <c r="A30" s="45" t="s">
        <v>167</v>
      </c>
      <c r="B30" s="53" t="s">
        <v>51</v>
      </c>
      <c r="C30" s="61">
        <f>IF($E5&lt;'Jul''11 Actew'!E7,0,IF($E5&lt;='Jul''11 Actew'!E8,($E5-'Jul''11 Actew'!E7)*('Jul''11 Actew'!E12/100),('Jul''11 Actew'!E8-'Jul''11 Actew'!E7)*('Jul''11 Actew'!E12/100)))</f>
        <v>24.733500000000006</v>
      </c>
      <c r="D30" s="53" t="s">
        <v>51</v>
      </c>
      <c r="E30" s="53" t="s">
        <v>51</v>
      </c>
      <c r="F30" s="42"/>
      <c r="G30" s="44" t="s">
        <v>174</v>
      </c>
      <c r="I30" s="24" t="s">
        <v>176</v>
      </c>
    </row>
    <row r="31" spans="1:12" x14ac:dyDescent="0.3">
      <c r="A31" s="45" t="s">
        <v>207</v>
      </c>
      <c r="B31" s="53" t="s">
        <v>51</v>
      </c>
      <c r="C31" s="61">
        <f>IF($E5&lt;'Jul''11 Actew'!E8,0,IF($E5&lt;='Jul''11 Actew'!E9,($E5-'Jul''11 Actew'!E8)*('Jul''11 Actew'!E13/100),('Jul''11 Actew'!E9-'Jul''11 Actew'!E8)*('Jul''11 Actew'!E13/100)))</f>
        <v>0</v>
      </c>
      <c r="D31" s="53" t="s">
        <v>51</v>
      </c>
      <c r="E31" s="53" t="s">
        <v>51</v>
      </c>
      <c r="F31" s="42"/>
      <c r="G31" s="35" t="s">
        <v>234</v>
      </c>
      <c r="I31" s="25">
        <v>44</v>
      </c>
    </row>
    <row r="32" spans="1:12" x14ac:dyDescent="0.3">
      <c r="A32" s="45" t="s">
        <v>238</v>
      </c>
      <c r="B32" s="53" t="s">
        <v>51</v>
      </c>
      <c r="C32" s="61">
        <f>IF($E5&lt;'Jul''11 Actew'!E9,0,IF($E5&lt;='Jul''11 Actew'!E10,($E5-'Jul''11 Actew'!E9)*('Jul''11 Actew'!E14/100),('Jul''11 Actew'!E10-'Jul''11 Actew'!E9)*('Jul''11 Actew'!E14/100)))</f>
        <v>0</v>
      </c>
      <c r="D32" s="53" t="s">
        <v>51</v>
      </c>
      <c r="E32" s="53" t="s">
        <v>51</v>
      </c>
      <c r="F32" s="42"/>
      <c r="G32" s="35" t="s">
        <v>177</v>
      </c>
      <c r="I32" s="26" t="s">
        <v>178</v>
      </c>
    </row>
    <row r="33" spans="1:12" x14ac:dyDescent="0.3">
      <c r="A33" s="45" t="s">
        <v>280</v>
      </c>
      <c r="B33" s="53" t="s">
        <v>51</v>
      </c>
      <c r="C33" s="61">
        <f>IF(($E5&gt;'Jul''11 Actew'!E10),($E5-'Jul''11 Actew'!E10)*'Jul''11 Actew'!E15/100,0)</f>
        <v>0</v>
      </c>
      <c r="D33" s="53" t="s">
        <v>51</v>
      </c>
      <c r="E33" s="53" t="s">
        <v>51</v>
      </c>
      <c r="F33" s="42"/>
      <c r="G33" s="35" t="s">
        <v>379</v>
      </c>
      <c r="I33" s="25">
        <v>12</v>
      </c>
    </row>
    <row r="34" spans="1:12" x14ac:dyDescent="0.3">
      <c r="A34" s="35" t="s">
        <v>119</v>
      </c>
      <c r="B34" s="53" t="s">
        <v>51</v>
      </c>
      <c r="C34" s="61">
        <f>'Jul''11 Actew'!E16*60/100</f>
        <v>28.512000000000004</v>
      </c>
      <c r="D34" s="53" t="s">
        <v>51</v>
      </c>
      <c r="E34" s="53" t="s">
        <v>51</v>
      </c>
      <c r="F34" s="42"/>
      <c r="G34" s="35" t="s">
        <v>281</v>
      </c>
      <c r="I34" s="26" t="s">
        <v>141</v>
      </c>
    </row>
    <row r="35" spans="1:12" x14ac:dyDescent="0.3">
      <c r="A35" s="35" t="s">
        <v>120</v>
      </c>
      <c r="B35" s="53" t="s">
        <v>51</v>
      </c>
      <c r="C35" s="61">
        <f>SUM(C29:C34)</f>
        <v>121.748</v>
      </c>
      <c r="D35" s="53" t="s">
        <v>51</v>
      </c>
      <c r="E35" s="53" t="s">
        <v>51</v>
      </c>
      <c r="F35" s="42"/>
      <c r="G35" s="35" t="s">
        <v>233</v>
      </c>
      <c r="I35" s="27">
        <v>29.7</v>
      </c>
    </row>
    <row r="36" spans="1:12" ht="14" thickBot="1" x14ac:dyDescent="0.35">
      <c r="A36" s="46" t="s">
        <v>68</v>
      </c>
      <c r="B36" s="47"/>
      <c r="C36" s="47">
        <f>C35*6</f>
        <v>730.48800000000006</v>
      </c>
      <c r="D36" s="47"/>
      <c r="E36" s="42"/>
      <c r="F36" s="42"/>
      <c r="G36" s="48" t="s">
        <v>328</v>
      </c>
      <c r="H36" s="48"/>
      <c r="I36" s="32" t="s">
        <v>224</v>
      </c>
      <c r="J36" s="48"/>
      <c r="K36" s="48"/>
      <c r="L36" s="48"/>
    </row>
    <row r="37" spans="1:12" x14ac:dyDescent="0.3">
      <c r="A37" s="49"/>
      <c r="B37" s="50"/>
      <c r="C37" s="50"/>
      <c r="D37" s="50"/>
      <c r="E37" s="51"/>
      <c r="F37" s="42"/>
      <c r="I37" s="25"/>
    </row>
    <row r="38" spans="1:12" x14ac:dyDescent="0.3">
      <c r="B38" s="61"/>
      <c r="C38" s="61"/>
      <c r="D38" s="61"/>
      <c r="F38" s="42"/>
      <c r="G38" s="43" t="s">
        <v>171</v>
      </c>
      <c r="H38" s="44"/>
      <c r="I38" s="19" t="s">
        <v>168</v>
      </c>
      <c r="J38" s="19" t="s">
        <v>193</v>
      </c>
    </row>
    <row r="39" spans="1:12" x14ac:dyDescent="0.3">
      <c r="A39" s="41" t="s">
        <v>116</v>
      </c>
      <c r="B39" s="19" t="s">
        <v>204</v>
      </c>
      <c r="C39" s="19" t="s">
        <v>169</v>
      </c>
      <c r="D39" s="19" t="s">
        <v>329</v>
      </c>
      <c r="E39" s="19" t="s">
        <v>193</v>
      </c>
      <c r="F39" s="42"/>
      <c r="G39" s="45" t="s">
        <v>144</v>
      </c>
      <c r="I39" s="24" t="s">
        <v>173</v>
      </c>
      <c r="J39" s="24" t="s">
        <v>194</v>
      </c>
    </row>
    <row r="40" spans="1:12" x14ac:dyDescent="0.3">
      <c r="A40" s="45" t="s">
        <v>75</v>
      </c>
      <c r="B40" s="53" t="s">
        <v>51</v>
      </c>
      <c r="C40" s="61">
        <f>IF($E5&gt;'Jul''11 Origin'!E9,('Jul''11 Origin'!E9*'Jul''11 Origin'!E10/100),('Bills Jul''11'!$E5*'Jul''11 Origin'!E10/100))</f>
        <v>52.888000000000005</v>
      </c>
      <c r="D40" s="53" t="s">
        <v>51</v>
      </c>
      <c r="E40" s="61">
        <f>IF($E5&gt;'Jul''11 Origin'!F9,('Jul''11 Origin'!F9*'Jul''11 Origin'!F10/100),('Bills Jul''11'!$E5*'Jul''11 Origin'!F10/100))</f>
        <v>64</v>
      </c>
      <c r="F40" s="42"/>
      <c r="G40" s="44" t="s">
        <v>174</v>
      </c>
      <c r="I40" s="24" t="s">
        <v>176</v>
      </c>
      <c r="J40" s="24" t="s">
        <v>195</v>
      </c>
    </row>
    <row r="41" spans="1:12" x14ac:dyDescent="0.3">
      <c r="A41" s="45" t="s">
        <v>76</v>
      </c>
      <c r="B41" s="53" t="s">
        <v>51</v>
      </c>
      <c r="C41" s="61">
        <f>IF($E5&gt;'Jul''11 Origin'!E9,('Bills Jul''11'!$E5-'Jul''11 Origin'!E9)*'Jul''11 Origin'!E11/100,0)</f>
        <v>0</v>
      </c>
      <c r="D41" s="53" t="s">
        <v>51</v>
      </c>
      <c r="E41" s="61">
        <f>IF($E5&gt;'Jul''11 Origin'!F9,('Bills Jul''11'!$E5-'Jul''11 Origin'!F9)*'Jul''11 Origin'!F11/100,0)</f>
        <v>0</v>
      </c>
      <c r="F41" s="42"/>
      <c r="G41" s="35" t="s">
        <v>234</v>
      </c>
      <c r="I41" s="25">
        <v>44</v>
      </c>
      <c r="J41" s="26" t="s">
        <v>196</v>
      </c>
    </row>
    <row r="42" spans="1:12" x14ac:dyDescent="0.3">
      <c r="A42" s="45" t="s">
        <v>143</v>
      </c>
      <c r="B42" s="53" t="s">
        <v>51</v>
      </c>
      <c r="C42" s="61">
        <f>IF($E5&gt;'Jul''11 Origin'!E9,'Jul''11 Origin'!E9*'Jul''11 Origin'!E12/100,'Bills Jul''11'!$E5*'Jul''11 Origin'!E12/100)</f>
        <v>49.5</v>
      </c>
      <c r="D42" s="53" t="s">
        <v>51</v>
      </c>
      <c r="E42" s="61">
        <f>IF($E5&gt;'Jul''11 Origin'!F9,'Jul''11 Origin'!F9*'Jul''11 Origin'!F12/100,'Bills Jul''11'!$E5*'Jul''11 Origin'!F12/100)</f>
        <v>57.2</v>
      </c>
      <c r="F42" s="42"/>
      <c r="G42" s="35" t="s">
        <v>177</v>
      </c>
      <c r="I42" s="26" t="s">
        <v>178</v>
      </c>
      <c r="J42" s="24" t="s">
        <v>194</v>
      </c>
    </row>
    <row r="43" spans="1:12" x14ac:dyDescent="0.3">
      <c r="A43" s="45" t="s">
        <v>203</v>
      </c>
      <c r="B43" s="53" t="s">
        <v>51</v>
      </c>
      <c r="C43" s="61">
        <f>IF($E5&gt;'Jul''11 Origin'!E9,('Bills Jul''11'!E5-'Jul''11 Origin'!E9)*'Jul''11 Origin'!E13/100,0)</f>
        <v>0</v>
      </c>
      <c r="D43" s="53" t="s">
        <v>51</v>
      </c>
      <c r="E43" s="61">
        <f>IF($E5&gt;'Jul''11 Origin'!F9,('Bills Jul''11'!E5-'Jul''11 Origin'!F9)*'Jul''11 Origin'!F13/100,0)</f>
        <v>0</v>
      </c>
      <c r="F43" s="42"/>
      <c r="G43" s="35" t="s">
        <v>379</v>
      </c>
      <c r="I43" s="25">
        <v>12</v>
      </c>
      <c r="J43" s="25" t="s">
        <v>199</v>
      </c>
    </row>
    <row r="44" spans="1:12" x14ac:dyDescent="0.3">
      <c r="A44" s="35" t="s">
        <v>119</v>
      </c>
      <c r="B44" s="53" t="s">
        <v>51</v>
      </c>
      <c r="C44" s="61">
        <f>'Jul''11 Origin'!E14*60/100</f>
        <v>26.73</v>
      </c>
      <c r="D44" s="53" t="s">
        <v>51</v>
      </c>
      <c r="E44" s="61">
        <f>'Jul''11 Origin'!F14*60/100</f>
        <v>29.04</v>
      </c>
      <c r="F44" s="42"/>
      <c r="G44" s="35" t="s">
        <v>281</v>
      </c>
      <c r="I44" s="26" t="s">
        <v>118</v>
      </c>
      <c r="J44" s="26" t="s">
        <v>122</v>
      </c>
    </row>
    <row r="45" spans="1:12" x14ac:dyDescent="0.3">
      <c r="A45" s="35" t="s">
        <v>120</v>
      </c>
      <c r="B45" s="53" t="s">
        <v>51</v>
      </c>
      <c r="C45" s="53" t="s">
        <v>51</v>
      </c>
      <c r="D45" s="53" t="s">
        <v>51</v>
      </c>
      <c r="E45" s="53" t="s">
        <v>51</v>
      </c>
      <c r="F45" s="42"/>
      <c r="G45" s="35" t="s">
        <v>233</v>
      </c>
      <c r="I45" s="27">
        <v>34.83</v>
      </c>
      <c r="J45" s="26" t="s">
        <v>274</v>
      </c>
    </row>
    <row r="46" spans="1:12" ht="14" thickBot="1" x14ac:dyDescent="0.35">
      <c r="A46" s="46" t="s">
        <v>68</v>
      </c>
      <c r="B46" s="55"/>
      <c r="C46" s="47">
        <f>(C40*2)+(C41*2)+(C42*4)+(C43*4)+(C44*6)</f>
        <v>464.15600000000001</v>
      </c>
      <c r="D46" s="55"/>
      <c r="E46" s="56">
        <f>(E40*2)+(E41*2)+(E42*4)+(E43*4)+(E44*6)</f>
        <v>531.04</v>
      </c>
      <c r="F46" s="42"/>
      <c r="G46" s="48" t="s">
        <v>328</v>
      </c>
      <c r="H46" s="48"/>
      <c r="I46" s="32" t="s">
        <v>224</v>
      </c>
      <c r="J46" s="48" t="s">
        <v>272</v>
      </c>
      <c r="K46" s="48"/>
      <c r="L46" s="48"/>
    </row>
    <row r="47" spans="1:12" x14ac:dyDescent="0.3">
      <c r="B47" s="61"/>
      <c r="C47" s="61"/>
      <c r="D47" s="61"/>
      <c r="F47" s="42"/>
    </row>
    <row r="48" spans="1:12" x14ac:dyDescent="0.3">
      <c r="B48" s="61"/>
      <c r="C48" s="61"/>
      <c r="D48" s="61"/>
      <c r="F48" s="42"/>
    </row>
    <row r="49" spans="1:12" x14ac:dyDescent="0.3">
      <c r="B49" s="61"/>
      <c r="C49" s="61"/>
      <c r="D49" s="61"/>
      <c r="F49" s="42"/>
      <c r="G49" s="43" t="s">
        <v>171</v>
      </c>
      <c r="H49" s="44"/>
      <c r="I49" s="19" t="s">
        <v>168</v>
      </c>
      <c r="J49" s="19" t="s">
        <v>193</v>
      </c>
    </row>
    <row r="50" spans="1:12" x14ac:dyDescent="0.3">
      <c r="B50" s="61"/>
      <c r="C50" s="61"/>
      <c r="D50" s="61"/>
      <c r="F50" s="42"/>
      <c r="G50" s="45" t="s">
        <v>144</v>
      </c>
      <c r="I50" s="24" t="s">
        <v>173</v>
      </c>
      <c r="J50" s="24" t="s">
        <v>194</v>
      </c>
    </row>
    <row r="51" spans="1:12" x14ac:dyDescent="0.3">
      <c r="B51" s="61"/>
      <c r="C51" s="61"/>
      <c r="D51" s="61"/>
      <c r="F51" s="42"/>
      <c r="G51" s="44" t="s">
        <v>174</v>
      </c>
      <c r="I51" s="24" t="s">
        <v>176</v>
      </c>
      <c r="J51" s="24" t="s">
        <v>195</v>
      </c>
    </row>
    <row r="52" spans="1:12" x14ac:dyDescent="0.3">
      <c r="A52" s="41" t="s">
        <v>210</v>
      </c>
      <c r="B52" s="19" t="s">
        <v>204</v>
      </c>
      <c r="C52" s="19" t="s">
        <v>169</v>
      </c>
      <c r="D52" s="19" t="s">
        <v>329</v>
      </c>
      <c r="E52" s="19" t="s">
        <v>193</v>
      </c>
      <c r="F52" s="42"/>
      <c r="G52" s="35" t="s">
        <v>234</v>
      </c>
      <c r="I52" s="25">
        <v>44</v>
      </c>
      <c r="J52" s="26" t="s">
        <v>196</v>
      </c>
    </row>
    <row r="53" spans="1:12" x14ac:dyDescent="0.3">
      <c r="A53" s="45" t="s">
        <v>270</v>
      </c>
      <c r="B53" s="53" t="s">
        <v>51</v>
      </c>
      <c r="C53" s="61">
        <f>E5*'Jul''11 Origin'!E21/100</f>
        <v>81.576000000000008</v>
      </c>
      <c r="D53" s="53" t="s">
        <v>51</v>
      </c>
      <c r="E53" s="61">
        <f>E5*'Jul''11 Origin'!F21/100</f>
        <v>90.4</v>
      </c>
      <c r="F53" s="42"/>
      <c r="G53" s="35" t="s">
        <v>177</v>
      </c>
      <c r="I53" s="26" t="s">
        <v>178</v>
      </c>
      <c r="J53" s="24" t="s">
        <v>194</v>
      </c>
    </row>
    <row r="54" spans="1:12" x14ac:dyDescent="0.3">
      <c r="A54" s="45" t="s">
        <v>271</v>
      </c>
      <c r="B54" s="53" t="s">
        <v>51</v>
      </c>
      <c r="C54" s="61">
        <v>0</v>
      </c>
      <c r="D54" s="53" t="s">
        <v>51</v>
      </c>
      <c r="E54" s="61">
        <f>E5*'Jul''11 Origin'!F22/100</f>
        <v>86</v>
      </c>
      <c r="F54" s="42"/>
      <c r="G54" s="35" t="s">
        <v>379</v>
      </c>
      <c r="I54" s="25">
        <v>12</v>
      </c>
      <c r="J54" s="25" t="s">
        <v>199</v>
      </c>
    </row>
    <row r="55" spans="1:12" x14ac:dyDescent="0.3">
      <c r="A55" s="35" t="s">
        <v>119</v>
      </c>
      <c r="B55" s="53" t="s">
        <v>51</v>
      </c>
      <c r="C55" s="61">
        <f>'Jul''11 Origin'!E23*60/100</f>
        <v>30.558000000000003</v>
      </c>
      <c r="D55" s="53" t="s">
        <v>51</v>
      </c>
      <c r="E55" s="61">
        <f>'Jul''11 Origin'!F23*60/100</f>
        <v>32.01</v>
      </c>
      <c r="F55" s="42"/>
      <c r="G55" s="35" t="s">
        <v>281</v>
      </c>
      <c r="I55" s="26" t="s">
        <v>118</v>
      </c>
      <c r="J55" s="26" t="s">
        <v>122</v>
      </c>
    </row>
    <row r="56" spans="1:12" x14ac:dyDescent="0.3">
      <c r="A56" s="35" t="s">
        <v>120</v>
      </c>
      <c r="B56" s="53" t="s">
        <v>51</v>
      </c>
      <c r="C56" s="61">
        <f>SUM(C53:C55)</f>
        <v>112.13400000000001</v>
      </c>
      <c r="D56" s="53" t="s">
        <v>51</v>
      </c>
      <c r="E56" s="53" t="s">
        <v>51</v>
      </c>
      <c r="F56" s="42"/>
      <c r="G56" s="35" t="s">
        <v>233</v>
      </c>
      <c r="I56" s="27">
        <v>34.83</v>
      </c>
      <c r="J56" s="26" t="s">
        <v>274</v>
      </c>
    </row>
    <row r="57" spans="1:12" ht="14" thickBot="1" x14ac:dyDescent="0.35">
      <c r="A57" s="46" t="s">
        <v>68</v>
      </c>
      <c r="B57" s="47"/>
      <c r="C57" s="47">
        <f>C56*6</f>
        <v>672.80400000000009</v>
      </c>
      <c r="D57" s="47"/>
      <c r="E57" s="56">
        <f>(E53*2)+(E54*4)+(E55*6)</f>
        <v>716.8599999999999</v>
      </c>
      <c r="F57" s="42"/>
      <c r="G57" s="48" t="s">
        <v>328</v>
      </c>
      <c r="H57" s="48"/>
      <c r="I57" s="32" t="s">
        <v>224</v>
      </c>
      <c r="J57" s="48" t="s">
        <v>272</v>
      </c>
      <c r="K57" s="48"/>
      <c r="L57" s="48"/>
    </row>
    <row r="59" spans="1:12" x14ac:dyDescent="0.3">
      <c r="B59" s="61"/>
      <c r="C59" s="61"/>
      <c r="D59" s="61"/>
    </row>
  </sheetData>
  <sheetProtection algorithmName="SHA-512" hashValue="kFpY1/o07WMtCVOd98CmjOnpJjmixkWYwGm2hcw2kF94aqlBC3+VFbz2kU67oVz5BZ5UjTgV2C3QL4zhG77WUQ==" saltValue="z+ZuGVvkphtTF8Rt4CaPb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CA2D-6EED-584E-82D6-C6D370AD7291}">
  <sheetPr codeName="Sheet35"/>
  <dimension ref="A1:BU48"/>
  <sheetViews>
    <sheetView zoomScaleNormal="120" workbookViewId="0">
      <selection activeCell="A9" sqref="A9:XFD10"/>
    </sheetView>
  </sheetViews>
  <sheetFormatPr defaultColWidth="10.84375" defaultRowHeight="13.5" x14ac:dyDescent="0.3"/>
  <cols>
    <col min="1" max="1" width="7.15234375" style="287" customWidth="1"/>
    <col min="2" max="2" width="10.84375" style="287"/>
    <col min="3" max="3" width="6.3046875" style="287" customWidth="1"/>
    <col min="4" max="4" width="30.4609375" style="287" bestFit="1" customWidth="1"/>
    <col min="5" max="5" width="10.84375" style="287"/>
    <col min="6" max="6" width="16.15234375" style="287" customWidth="1"/>
    <col min="7" max="7" width="16.4609375" style="287" customWidth="1"/>
    <col min="8" max="64" width="10.84375" style="287"/>
    <col min="65" max="65" width="50.69140625" style="287" customWidth="1"/>
    <col min="66" max="66" width="12.15234375" style="287" customWidth="1"/>
    <col min="67" max="67" width="10.84375" style="287" customWidth="1"/>
    <col min="68" max="69" width="10.84375" style="287"/>
    <col min="70" max="70" width="20.4609375" style="287" customWidth="1"/>
    <col min="71" max="71" width="88.15234375" style="287" customWidth="1"/>
    <col min="72" max="16384" width="10.84375" style="287"/>
  </cols>
  <sheetData>
    <row r="1" spans="1:73" ht="54" x14ac:dyDescent="0.3">
      <c r="A1" s="262" t="s">
        <v>209</v>
      </c>
      <c r="B1" s="262" t="s">
        <v>366</v>
      </c>
      <c r="C1" s="263" t="s">
        <v>257</v>
      </c>
      <c r="D1" s="264" t="s">
        <v>258</v>
      </c>
      <c r="E1" s="262" t="s">
        <v>259</v>
      </c>
      <c r="F1" s="263" t="s">
        <v>267</v>
      </c>
      <c r="G1" s="264" t="s">
        <v>260</v>
      </c>
      <c r="H1" s="265" t="s">
        <v>268</v>
      </c>
      <c r="I1" s="266" t="s">
        <v>647</v>
      </c>
      <c r="J1" s="267" t="s">
        <v>648</v>
      </c>
      <c r="K1" s="268" t="s">
        <v>261</v>
      </c>
      <c r="L1" s="268" t="s">
        <v>262</v>
      </c>
      <c r="M1" s="268" t="s">
        <v>263</v>
      </c>
      <c r="N1" s="268" t="s">
        <v>264</v>
      </c>
      <c r="O1" s="268" t="s">
        <v>265</v>
      </c>
      <c r="P1" s="269" t="s">
        <v>266</v>
      </c>
      <c r="Q1" s="270" t="s">
        <v>649</v>
      </c>
      <c r="R1" s="270" t="s">
        <v>650</v>
      </c>
      <c r="S1" s="270" t="s">
        <v>651</v>
      </c>
      <c r="T1" s="270" t="s">
        <v>652</v>
      </c>
      <c r="U1" s="270" t="s">
        <v>653</v>
      </c>
      <c r="V1" s="271" t="s">
        <v>654</v>
      </c>
      <c r="W1" s="272" t="s">
        <v>655</v>
      </c>
      <c r="X1" s="272" t="s">
        <v>317</v>
      </c>
      <c r="Y1" s="272" t="s">
        <v>318</v>
      </c>
      <c r="Z1" s="272" t="s">
        <v>319</v>
      </c>
      <c r="AA1" s="272" t="s">
        <v>320</v>
      </c>
      <c r="AB1" s="273" t="s">
        <v>321</v>
      </c>
      <c r="AC1" s="274" t="s">
        <v>322</v>
      </c>
      <c r="AD1" s="274" t="s">
        <v>323</v>
      </c>
      <c r="AE1" s="274" t="s">
        <v>324</v>
      </c>
      <c r="AF1" s="274" t="s">
        <v>428</v>
      </c>
      <c r="AG1" s="274" t="s">
        <v>429</v>
      </c>
      <c r="AH1" s="275" t="s">
        <v>430</v>
      </c>
      <c r="AI1" s="276" t="s">
        <v>431</v>
      </c>
      <c r="AJ1" s="276" t="s">
        <v>331</v>
      </c>
      <c r="AK1" s="276" t="s">
        <v>332</v>
      </c>
      <c r="AL1" s="276" t="s">
        <v>333</v>
      </c>
      <c r="AM1" s="276" t="s">
        <v>334</v>
      </c>
      <c r="AN1" s="277" t="s">
        <v>335</v>
      </c>
      <c r="AO1" s="278" t="s">
        <v>336</v>
      </c>
      <c r="AP1" s="278" t="s">
        <v>337</v>
      </c>
      <c r="AQ1" s="278" t="s">
        <v>338</v>
      </c>
      <c r="AR1" s="279" t="s">
        <v>229</v>
      </c>
      <c r="AS1" s="280" t="s">
        <v>656</v>
      </c>
      <c r="AT1" s="281" t="s">
        <v>230</v>
      </c>
      <c r="AU1" s="282" t="s">
        <v>231</v>
      </c>
      <c r="AV1" s="281" t="s">
        <v>232</v>
      </c>
      <c r="AW1" s="272" t="s">
        <v>340</v>
      </c>
      <c r="AX1" s="283" t="s">
        <v>440</v>
      </c>
      <c r="AY1" s="272" t="s">
        <v>441</v>
      </c>
      <c r="AZ1" s="283" t="s">
        <v>442</v>
      </c>
      <c r="BA1" s="273" t="s">
        <v>443</v>
      </c>
      <c r="BB1" s="281" t="s">
        <v>549</v>
      </c>
      <c r="BC1" s="284" t="s">
        <v>550</v>
      </c>
      <c r="BD1" s="283" t="s">
        <v>444</v>
      </c>
      <c r="BE1" s="273" t="s">
        <v>445</v>
      </c>
      <c r="BF1" s="262" t="s">
        <v>446</v>
      </c>
      <c r="BG1" s="285" t="s">
        <v>447</v>
      </c>
      <c r="BH1" s="286" t="s">
        <v>249</v>
      </c>
      <c r="BI1" s="285" t="s">
        <v>250</v>
      </c>
      <c r="BJ1" s="285" t="s">
        <v>551</v>
      </c>
      <c r="BK1" s="285" t="s">
        <v>552</v>
      </c>
      <c r="BL1" s="285" t="s">
        <v>553</v>
      </c>
      <c r="BM1" s="262" t="s">
        <v>251</v>
      </c>
      <c r="BN1" s="263" t="s">
        <v>252</v>
      </c>
      <c r="BO1" s="285" t="s">
        <v>353</v>
      </c>
      <c r="BP1" s="285" t="s">
        <v>354</v>
      </c>
      <c r="BQ1" s="285" t="s">
        <v>657</v>
      </c>
      <c r="BR1" s="263" t="s">
        <v>355</v>
      </c>
      <c r="BS1" s="285" t="s">
        <v>356</v>
      </c>
      <c r="BT1" s="262" t="s">
        <v>357</v>
      </c>
    </row>
    <row r="2" spans="1:73" customFormat="1" ht="13" customHeight="1" x14ac:dyDescent="0.3">
      <c r="A2" s="466">
        <v>3438</v>
      </c>
      <c r="B2" s="467">
        <v>43293</v>
      </c>
      <c r="C2" s="468" t="s">
        <v>699</v>
      </c>
      <c r="D2" s="466" t="s">
        <v>608</v>
      </c>
      <c r="E2" s="469">
        <v>43284</v>
      </c>
      <c r="F2" s="468" t="s">
        <v>700</v>
      </c>
      <c r="G2" s="466" t="s">
        <v>744</v>
      </c>
      <c r="H2" s="470">
        <v>60.536363636363632</v>
      </c>
      <c r="I2" s="471"/>
      <c r="J2" s="471"/>
      <c r="K2" s="472" t="s">
        <v>702</v>
      </c>
      <c r="L2" s="473">
        <v>1200</v>
      </c>
      <c r="M2" s="473">
        <v>1200</v>
      </c>
      <c r="N2" s="473">
        <v>3000</v>
      </c>
      <c r="O2" s="473">
        <v>160000</v>
      </c>
      <c r="P2" s="466">
        <v>658000</v>
      </c>
      <c r="Q2" s="466"/>
      <c r="R2" s="466"/>
      <c r="S2" s="466"/>
      <c r="T2" s="466"/>
      <c r="U2" s="466"/>
      <c r="V2" s="466"/>
      <c r="W2" s="470">
        <v>3.2818181818181813</v>
      </c>
      <c r="X2" s="470">
        <v>2.5363636363636362</v>
      </c>
      <c r="Y2" s="470">
        <v>2.4636363636363634</v>
      </c>
      <c r="Z2" s="470">
        <v>2.3818181818181818</v>
      </c>
      <c r="AA2" s="470">
        <v>2.1999999999999997</v>
      </c>
      <c r="AB2" s="470">
        <v>1.9727272727272724</v>
      </c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4" t="s">
        <v>703</v>
      </c>
      <c r="AP2" s="474"/>
      <c r="AQ2" s="474"/>
      <c r="AR2" s="474"/>
      <c r="AS2" s="466"/>
      <c r="AT2" s="474">
        <v>0</v>
      </c>
      <c r="AU2" s="474">
        <v>0</v>
      </c>
      <c r="AV2" s="474">
        <v>0</v>
      </c>
      <c r="AW2" s="474">
        <v>0</v>
      </c>
      <c r="AX2" s="474">
        <v>0</v>
      </c>
      <c r="AY2" s="474">
        <v>0</v>
      </c>
      <c r="AZ2" s="474">
        <v>0</v>
      </c>
      <c r="BA2" s="474">
        <v>0</v>
      </c>
      <c r="BB2" s="474">
        <v>0</v>
      </c>
      <c r="BC2" s="474">
        <v>0</v>
      </c>
      <c r="BD2" s="474">
        <v>0</v>
      </c>
      <c r="BE2" s="474">
        <v>0</v>
      </c>
      <c r="BF2" s="474"/>
      <c r="BG2" s="474" t="s">
        <v>703</v>
      </c>
      <c r="BH2" s="474">
        <v>12</v>
      </c>
      <c r="BI2" s="474" t="s">
        <v>703</v>
      </c>
      <c r="BJ2" s="474"/>
      <c r="BK2" s="474"/>
      <c r="BL2" s="474"/>
      <c r="BM2" s="475" t="s">
        <v>745</v>
      </c>
      <c r="BN2" s="476" t="s">
        <v>633</v>
      </c>
      <c r="BO2" s="477">
        <v>75</v>
      </c>
      <c r="BP2" s="474" t="s">
        <v>704</v>
      </c>
      <c r="BQ2" s="474"/>
      <c r="BR2" s="468" t="s">
        <v>705</v>
      </c>
      <c r="BS2" s="466" t="s">
        <v>563</v>
      </c>
      <c r="BT2" s="466" t="s">
        <v>495</v>
      </c>
    </row>
    <row r="3" spans="1:73" customFormat="1" ht="13" customHeight="1" x14ac:dyDescent="0.3">
      <c r="A3" s="466">
        <v>3496</v>
      </c>
      <c r="B3" s="467">
        <v>43293</v>
      </c>
      <c r="C3" s="468" t="s">
        <v>699</v>
      </c>
      <c r="D3" s="466" t="s">
        <v>608</v>
      </c>
      <c r="E3" s="469">
        <v>43281</v>
      </c>
      <c r="F3" s="468" t="s">
        <v>708</v>
      </c>
      <c r="G3" s="466" t="s">
        <v>746</v>
      </c>
      <c r="H3" s="470">
        <v>66.772727272727266</v>
      </c>
      <c r="I3" s="471"/>
      <c r="J3" s="471"/>
      <c r="K3" s="472" t="s">
        <v>702</v>
      </c>
      <c r="L3" s="473">
        <v>1200</v>
      </c>
      <c r="M3" s="473">
        <v>1200</v>
      </c>
      <c r="N3" s="473">
        <v>3000</v>
      </c>
      <c r="O3" s="473">
        <v>160000</v>
      </c>
      <c r="P3" s="466">
        <v>658000</v>
      </c>
      <c r="Q3" s="473"/>
      <c r="R3" s="473"/>
      <c r="S3" s="473"/>
      <c r="T3" s="473"/>
      <c r="U3" s="473"/>
      <c r="V3" s="473"/>
      <c r="W3" s="470">
        <v>4.0181818181818176</v>
      </c>
      <c r="X3" s="470">
        <v>2.8272727272727267</v>
      </c>
      <c r="Y3" s="470">
        <v>2.709090909090909</v>
      </c>
      <c r="Z3" s="470">
        <v>2.5818181818181816</v>
      </c>
      <c r="AA3" s="470">
        <v>2.5090909090909088</v>
      </c>
      <c r="AB3" s="470">
        <v>2.2727272727272725</v>
      </c>
      <c r="AC3" s="471"/>
      <c r="AD3" s="471"/>
      <c r="AE3" s="471"/>
      <c r="AF3" s="471"/>
      <c r="AG3" s="471"/>
      <c r="AH3" s="471"/>
      <c r="AI3" s="471"/>
      <c r="AJ3" s="471"/>
      <c r="AK3" s="471"/>
      <c r="AL3" s="471"/>
      <c r="AM3" s="471"/>
      <c r="AN3" s="471"/>
      <c r="AO3" s="474" t="s">
        <v>703</v>
      </c>
      <c r="AP3" s="466"/>
      <c r="AQ3" s="466"/>
      <c r="AR3" s="466"/>
      <c r="AS3" s="466"/>
      <c r="AT3" s="474">
        <v>8</v>
      </c>
      <c r="AU3" s="474">
        <v>0</v>
      </c>
      <c r="AV3" s="474">
        <v>0</v>
      </c>
      <c r="AW3" s="474">
        <v>0</v>
      </c>
      <c r="AX3" s="474">
        <v>0</v>
      </c>
      <c r="AY3" s="474">
        <v>0</v>
      </c>
      <c r="AZ3" s="474">
        <v>0</v>
      </c>
      <c r="BA3" s="474">
        <v>0</v>
      </c>
      <c r="BB3" s="474">
        <v>0</v>
      </c>
      <c r="BC3" s="474">
        <v>0</v>
      </c>
      <c r="BD3" s="474">
        <v>0</v>
      </c>
      <c r="BE3" s="474">
        <v>0</v>
      </c>
      <c r="BF3" s="474"/>
      <c r="BG3" s="474" t="s">
        <v>703</v>
      </c>
      <c r="BH3" s="474">
        <v>12</v>
      </c>
      <c r="BI3" s="474" t="s">
        <v>703</v>
      </c>
      <c r="BJ3" s="474"/>
      <c r="BK3" s="474"/>
      <c r="BL3" s="474"/>
      <c r="BM3" s="468" t="s">
        <v>747</v>
      </c>
      <c r="BN3" s="466" t="s">
        <v>633</v>
      </c>
      <c r="BO3" s="474">
        <v>25</v>
      </c>
      <c r="BP3" s="474" t="s">
        <v>704</v>
      </c>
      <c r="BQ3" s="474"/>
      <c r="BR3" s="468" t="s">
        <v>748</v>
      </c>
      <c r="BS3" s="329" t="s">
        <v>749</v>
      </c>
      <c r="BT3" s="466" t="s">
        <v>495</v>
      </c>
    </row>
    <row r="4" spans="1:73" customFormat="1" ht="13" customHeight="1" x14ac:dyDescent="0.3">
      <c r="A4" s="466">
        <v>547</v>
      </c>
      <c r="B4" s="467">
        <v>43292</v>
      </c>
      <c r="C4" s="468" t="s">
        <v>699</v>
      </c>
      <c r="D4" s="466" t="s">
        <v>608</v>
      </c>
      <c r="E4" s="469">
        <v>43281</v>
      </c>
      <c r="F4" s="468" t="s">
        <v>709</v>
      </c>
      <c r="G4" s="466" t="s">
        <v>750</v>
      </c>
      <c r="H4" s="470">
        <v>60.627272727272718</v>
      </c>
      <c r="I4" s="471"/>
      <c r="J4" s="471"/>
      <c r="K4" s="472" t="s">
        <v>702</v>
      </c>
      <c r="L4" s="473">
        <v>1242</v>
      </c>
      <c r="M4" s="473">
        <v>163440</v>
      </c>
      <c r="N4" s="473"/>
      <c r="O4" s="473"/>
      <c r="P4" s="473"/>
      <c r="Q4" s="473"/>
      <c r="R4" s="473"/>
      <c r="S4" s="473"/>
      <c r="T4" s="473"/>
      <c r="U4" s="473"/>
      <c r="V4" s="473"/>
      <c r="W4" s="470">
        <v>3.6727272727272724</v>
      </c>
      <c r="X4" s="470">
        <v>2.418181818181818</v>
      </c>
      <c r="Y4" s="470">
        <v>2.1545454545454543</v>
      </c>
      <c r="Z4" s="471"/>
      <c r="AA4" s="471"/>
      <c r="AB4" s="471"/>
      <c r="AC4" s="471"/>
      <c r="AD4" s="471"/>
      <c r="AE4" s="471"/>
      <c r="AF4" s="471"/>
      <c r="AG4" s="471"/>
      <c r="AH4" s="471"/>
      <c r="AI4" s="471"/>
      <c r="AJ4" s="471"/>
      <c r="AK4" s="471"/>
      <c r="AL4" s="471"/>
      <c r="AM4" s="471"/>
      <c r="AN4" s="471"/>
      <c r="AO4" s="474" t="s">
        <v>703</v>
      </c>
      <c r="AP4" s="474"/>
      <c r="AQ4" s="474"/>
      <c r="AR4" s="474"/>
      <c r="AS4" s="466"/>
      <c r="AT4" s="474">
        <v>0</v>
      </c>
      <c r="AU4" s="474">
        <v>0</v>
      </c>
      <c r="AV4" s="474">
        <v>0</v>
      </c>
      <c r="AW4" s="474">
        <v>0</v>
      </c>
      <c r="AX4" s="474">
        <v>0</v>
      </c>
      <c r="AY4" s="474">
        <v>0</v>
      </c>
      <c r="AZ4" s="474">
        <v>0</v>
      </c>
      <c r="BA4" s="474">
        <v>0</v>
      </c>
      <c r="BB4" s="474">
        <v>0</v>
      </c>
      <c r="BC4" s="474">
        <v>0</v>
      </c>
      <c r="BD4" s="474">
        <v>0</v>
      </c>
      <c r="BE4" s="474">
        <v>0</v>
      </c>
      <c r="BF4" s="474"/>
      <c r="BG4" s="474" t="s">
        <v>703</v>
      </c>
      <c r="BH4" s="474">
        <v>12</v>
      </c>
      <c r="BI4" s="474" t="s">
        <v>703</v>
      </c>
      <c r="BJ4" s="474"/>
      <c r="BK4" s="474"/>
      <c r="BL4" s="474"/>
      <c r="BM4" s="468"/>
      <c r="BN4" s="466"/>
      <c r="BO4" s="480"/>
      <c r="BP4" s="474" t="s">
        <v>704</v>
      </c>
      <c r="BQ4" s="474"/>
      <c r="BR4" s="468"/>
      <c r="BS4" s="329" t="s">
        <v>751</v>
      </c>
      <c r="BT4" s="466" t="s">
        <v>495</v>
      </c>
    </row>
    <row r="5" spans="1:73" customFormat="1" ht="13" customHeight="1" x14ac:dyDescent="0.3">
      <c r="A5" s="466">
        <v>2357</v>
      </c>
      <c r="B5" s="467">
        <v>43292</v>
      </c>
      <c r="C5" s="468" t="s">
        <v>699</v>
      </c>
      <c r="D5" s="466" t="s">
        <v>608</v>
      </c>
      <c r="E5" s="481">
        <v>43281</v>
      </c>
      <c r="F5" s="468" t="s">
        <v>752</v>
      </c>
      <c r="G5" s="466" t="s">
        <v>672</v>
      </c>
      <c r="H5" s="470">
        <v>59.990909090909085</v>
      </c>
      <c r="I5" s="471"/>
      <c r="J5" s="471"/>
      <c r="K5" s="472" t="s">
        <v>702</v>
      </c>
      <c r="L5" s="473">
        <v>1242</v>
      </c>
      <c r="M5" s="473">
        <v>1222</v>
      </c>
      <c r="N5" s="473">
        <v>2958</v>
      </c>
      <c r="O5" s="473">
        <v>159287</v>
      </c>
      <c r="P5" s="473">
        <v>657863</v>
      </c>
      <c r="Q5" s="473"/>
      <c r="R5" s="473"/>
      <c r="S5" s="473"/>
      <c r="T5" s="473"/>
      <c r="U5" s="473"/>
      <c r="V5" s="473"/>
      <c r="W5" s="470">
        <v>2.9909090909090907</v>
      </c>
      <c r="X5" s="470">
        <v>2.3818181818181818</v>
      </c>
      <c r="Y5" s="470">
        <v>2.1818181818181817</v>
      </c>
      <c r="Z5" s="470">
        <v>1.9818181818181817</v>
      </c>
      <c r="AA5" s="470">
        <v>1.9545454545454544</v>
      </c>
      <c r="AB5" s="470">
        <v>1.8818181818181816</v>
      </c>
      <c r="AC5" s="471"/>
      <c r="AD5" s="471"/>
      <c r="AE5" s="471"/>
      <c r="AF5" s="471"/>
      <c r="AG5" s="471"/>
      <c r="AH5" s="471"/>
      <c r="AI5" s="471"/>
      <c r="AJ5" s="471"/>
      <c r="AK5" s="471"/>
      <c r="AL5" s="471"/>
      <c r="AM5" s="471"/>
      <c r="AN5" s="471"/>
      <c r="AO5" s="474" t="s">
        <v>703</v>
      </c>
      <c r="AP5" s="466"/>
      <c r="AQ5" s="466"/>
      <c r="AR5" s="466"/>
      <c r="AS5" s="466"/>
      <c r="AT5" s="474">
        <v>0</v>
      </c>
      <c r="AU5" s="474">
        <v>0</v>
      </c>
      <c r="AV5" s="474">
        <v>0</v>
      </c>
      <c r="AW5" s="474">
        <v>0</v>
      </c>
      <c r="AX5" s="474">
        <v>0</v>
      </c>
      <c r="AY5" s="474">
        <v>0</v>
      </c>
      <c r="AZ5" s="474">
        <v>0</v>
      </c>
      <c r="BA5" s="474">
        <v>0</v>
      </c>
      <c r="BB5" s="474">
        <v>0</v>
      </c>
      <c r="BC5" s="474">
        <v>0</v>
      </c>
      <c r="BD5" s="474">
        <v>0</v>
      </c>
      <c r="BE5" s="474">
        <v>0</v>
      </c>
      <c r="BF5" s="474"/>
      <c r="BG5" s="474" t="s">
        <v>703</v>
      </c>
      <c r="BH5" s="474"/>
      <c r="BI5" s="474" t="s">
        <v>703</v>
      </c>
      <c r="BJ5" s="474"/>
      <c r="BK5" s="474"/>
      <c r="BL5" s="482">
        <v>43707</v>
      </c>
      <c r="BM5" s="468"/>
      <c r="BN5" s="466"/>
      <c r="BO5" s="474"/>
      <c r="BP5" s="474" t="s">
        <v>704</v>
      </c>
      <c r="BQ5" s="474"/>
      <c r="BR5" s="468"/>
      <c r="BS5" s="483" t="s">
        <v>753</v>
      </c>
      <c r="BT5" s="466" t="s">
        <v>495</v>
      </c>
    </row>
    <row r="6" spans="1:73" customFormat="1" ht="13" customHeight="1" x14ac:dyDescent="0.3">
      <c r="A6" s="466">
        <v>2626</v>
      </c>
      <c r="B6" s="467">
        <v>43292</v>
      </c>
      <c r="C6" s="479" t="s">
        <v>565</v>
      </c>
      <c r="D6" s="466" t="s">
        <v>608</v>
      </c>
      <c r="E6" s="481">
        <v>43281</v>
      </c>
      <c r="F6" s="468" t="s">
        <v>754</v>
      </c>
      <c r="G6" s="466" t="s">
        <v>755</v>
      </c>
      <c r="H6" s="470">
        <v>52.999999999999993</v>
      </c>
      <c r="I6" s="471"/>
      <c r="J6" s="471"/>
      <c r="K6" s="472" t="s">
        <v>702</v>
      </c>
      <c r="L6" s="466">
        <v>1240</v>
      </c>
      <c r="M6" s="466">
        <v>1220</v>
      </c>
      <c r="N6" s="466">
        <v>2960</v>
      </c>
      <c r="O6" s="466">
        <v>159300</v>
      </c>
      <c r="P6" s="466">
        <v>657900</v>
      </c>
      <c r="Q6" s="466"/>
      <c r="R6" s="466"/>
      <c r="S6" s="466"/>
      <c r="T6" s="466"/>
      <c r="U6" s="466"/>
      <c r="V6" s="466"/>
      <c r="W6" s="470">
        <v>5.0818181818181811</v>
      </c>
      <c r="X6" s="470">
        <v>3.3818181818181818</v>
      </c>
      <c r="Y6" s="470">
        <v>3.127272727272727</v>
      </c>
      <c r="Z6" s="470">
        <v>3.1</v>
      </c>
      <c r="AA6" s="470">
        <v>2.9545454545454541</v>
      </c>
      <c r="AB6" s="470">
        <v>1.6818181818181817</v>
      </c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4" t="s">
        <v>569</v>
      </c>
      <c r="AP6" s="474"/>
      <c r="AQ6" s="474"/>
      <c r="AR6" s="474"/>
      <c r="AS6" s="466"/>
      <c r="AT6" s="474">
        <v>1</v>
      </c>
      <c r="AU6" s="474">
        <v>0</v>
      </c>
      <c r="AV6" s="474">
        <v>0</v>
      </c>
      <c r="AW6" s="474">
        <v>0</v>
      </c>
      <c r="AX6" s="474">
        <v>0</v>
      </c>
      <c r="AY6" s="474">
        <v>0</v>
      </c>
      <c r="AZ6" s="474">
        <v>0</v>
      </c>
      <c r="BA6" s="474">
        <v>0</v>
      </c>
      <c r="BB6" s="474">
        <v>0</v>
      </c>
      <c r="BC6" s="474">
        <v>0</v>
      </c>
      <c r="BD6" s="474">
        <v>0</v>
      </c>
      <c r="BE6" s="474">
        <v>0</v>
      </c>
      <c r="BF6" s="474"/>
      <c r="BG6" s="474" t="s">
        <v>569</v>
      </c>
      <c r="BH6" s="474"/>
      <c r="BI6" s="474" t="s">
        <v>703</v>
      </c>
      <c r="BJ6" s="474"/>
      <c r="BK6" s="474"/>
      <c r="BL6" s="474"/>
      <c r="BM6" s="468"/>
      <c r="BN6" s="466"/>
      <c r="BO6" s="474"/>
      <c r="BP6" s="474" t="s">
        <v>704</v>
      </c>
      <c r="BQ6" s="474"/>
      <c r="BR6" s="468" t="s">
        <v>756</v>
      </c>
      <c r="BS6" s="509" t="s">
        <v>757</v>
      </c>
      <c r="BT6" s="466" t="s">
        <v>495</v>
      </c>
    </row>
    <row r="7" spans="1:73" customFormat="1" ht="13" customHeight="1" x14ac:dyDescent="0.3">
      <c r="A7" s="466">
        <v>68</v>
      </c>
      <c r="B7" s="467">
        <v>43292</v>
      </c>
      <c r="C7" s="241" t="s">
        <v>565</v>
      </c>
      <c r="D7" s="466" t="s">
        <v>608</v>
      </c>
      <c r="E7" s="255">
        <v>43266</v>
      </c>
      <c r="F7" s="241" t="s">
        <v>680</v>
      </c>
      <c r="G7" s="466" t="s">
        <v>681</v>
      </c>
      <c r="H7" s="470">
        <v>43.999999999999993</v>
      </c>
      <c r="I7" s="471"/>
      <c r="J7" s="471"/>
      <c r="K7" s="472" t="s">
        <v>702</v>
      </c>
      <c r="L7" s="473">
        <v>1250</v>
      </c>
      <c r="M7" s="473"/>
      <c r="N7" s="473"/>
      <c r="O7" s="473"/>
      <c r="P7" s="473"/>
      <c r="Q7" s="466"/>
      <c r="R7" s="466"/>
      <c r="S7" s="466"/>
      <c r="T7" s="466"/>
      <c r="U7" s="466"/>
      <c r="V7" s="466"/>
      <c r="W7" s="470">
        <v>5.0999999999999996</v>
      </c>
      <c r="X7" s="470">
        <v>4</v>
      </c>
      <c r="Y7" s="471"/>
      <c r="Z7" s="471"/>
      <c r="AA7" s="471"/>
      <c r="AB7" s="471"/>
      <c r="AC7" s="471"/>
      <c r="AD7" s="471"/>
      <c r="AE7" s="471"/>
      <c r="AF7" s="471"/>
      <c r="AG7" s="471"/>
      <c r="AH7" s="471"/>
      <c r="AI7" s="471"/>
      <c r="AJ7" s="471"/>
      <c r="AK7" s="471"/>
      <c r="AL7" s="471"/>
      <c r="AM7" s="471"/>
      <c r="AN7" s="471"/>
      <c r="AO7" s="474" t="s">
        <v>703</v>
      </c>
      <c r="AP7" s="474"/>
      <c r="AQ7" s="474"/>
      <c r="AR7" s="474"/>
      <c r="AS7" s="466"/>
      <c r="AT7" s="474">
        <v>0</v>
      </c>
      <c r="AU7" s="474">
        <v>0</v>
      </c>
      <c r="AV7" s="474">
        <v>0</v>
      </c>
      <c r="AW7" s="474">
        <v>0</v>
      </c>
      <c r="AX7" s="474">
        <v>0</v>
      </c>
      <c r="AY7" s="474">
        <v>0</v>
      </c>
      <c r="AZ7" s="474">
        <v>0</v>
      </c>
      <c r="BA7" s="474">
        <v>0</v>
      </c>
      <c r="BB7" s="474">
        <v>0</v>
      </c>
      <c r="BC7" s="474">
        <v>0</v>
      </c>
      <c r="BD7" s="474">
        <v>0</v>
      </c>
      <c r="BE7" s="474">
        <v>0</v>
      </c>
      <c r="BF7" s="474"/>
      <c r="BG7" s="474" t="s">
        <v>703</v>
      </c>
      <c r="BH7" s="474"/>
      <c r="BI7" s="474" t="s">
        <v>703</v>
      </c>
      <c r="BJ7" s="474"/>
      <c r="BK7" s="474"/>
      <c r="BL7" s="474"/>
      <c r="BM7" s="468"/>
      <c r="BN7" s="466"/>
      <c r="BO7" s="474"/>
      <c r="BP7" s="474" t="s">
        <v>704</v>
      </c>
      <c r="BQ7" s="474">
        <v>1</v>
      </c>
      <c r="BR7" s="468"/>
      <c r="BS7" s="329" t="s">
        <v>758</v>
      </c>
      <c r="BT7" s="466" t="s">
        <v>495</v>
      </c>
    </row>
    <row r="8" spans="1:73" customFormat="1" ht="13" customHeight="1" x14ac:dyDescent="0.3">
      <c r="A8" s="466">
        <v>200</v>
      </c>
      <c r="B8" s="467">
        <v>43292</v>
      </c>
      <c r="C8" s="479" t="s">
        <v>565</v>
      </c>
      <c r="D8" s="466" t="s">
        <v>608</v>
      </c>
      <c r="E8" s="481">
        <v>43183</v>
      </c>
      <c r="F8" s="466" t="s">
        <v>717</v>
      </c>
      <c r="G8" s="466" t="s">
        <v>718</v>
      </c>
      <c r="H8" s="470">
        <v>65</v>
      </c>
      <c r="I8" s="471"/>
      <c r="J8" s="471"/>
      <c r="K8" s="472" t="s">
        <v>702</v>
      </c>
      <c r="L8" s="473">
        <v>1242.6000000000001</v>
      </c>
      <c r="M8" s="473">
        <v>2466</v>
      </c>
      <c r="N8" s="473">
        <v>5424.5999999999995</v>
      </c>
      <c r="O8" s="473">
        <v>164700</v>
      </c>
      <c r="P8" s="473"/>
      <c r="Q8" s="466"/>
      <c r="R8" s="466"/>
      <c r="S8" s="466"/>
      <c r="T8" s="466"/>
      <c r="U8" s="466"/>
      <c r="V8" s="466"/>
      <c r="W8" s="470">
        <v>2.7363636363636359</v>
      </c>
      <c r="X8" s="470">
        <v>2.0727272727272723</v>
      </c>
      <c r="Y8" s="470">
        <v>1.9727272727272724</v>
      </c>
      <c r="Z8" s="470">
        <v>1.9636363636363636</v>
      </c>
      <c r="AA8" s="470">
        <v>1.9272727272727272</v>
      </c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474" t="s">
        <v>569</v>
      </c>
      <c r="AP8" s="474"/>
      <c r="AQ8" s="474"/>
      <c r="AR8" s="474"/>
      <c r="AS8" s="466"/>
      <c r="AT8" s="474">
        <v>0</v>
      </c>
      <c r="AU8" s="474">
        <v>0</v>
      </c>
      <c r="AV8" s="474">
        <v>0</v>
      </c>
      <c r="AW8" s="474">
        <v>0</v>
      </c>
      <c r="AX8" s="474">
        <v>0</v>
      </c>
      <c r="AY8" s="474">
        <v>0</v>
      </c>
      <c r="AZ8" s="474">
        <v>0</v>
      </c>
      <c r="BA8" s="474">
        <v>0</v>
      </c>
      <c r="BB8" s="474">
        <v>0</v>
      </c>
      <c r="BC8" s="474">
        <v>0</v>
      </c>
      <c r="BD8" s="474">
        <v>0</v>
      </c>
      <c r="BE8" s="474">
        <v>0</v>
      </c>
      <c r="BF8" s="474"/>
      <c r="BG8" s="474" t="s">
        <v>569</v>
      </c>
      <c r="BH8" s="474"/>
      <c r="BI8" s="474" t="s">
        <v>489</v>
      </c>
      <c r="BJ8" s="474"/>
      <c r="BK8" s="474"/>
      <c r="BL8" s="474"/>
      <c r="BM8" s="475"/>
      <c r="BN8" s="476"/>
      <c r="BO8" s="477"/>
      <c r="BP8" s="474" t="s">
        <v>493</v>
      </c>
      <c r="BQ8" s="474"/>
      <c r="BR8" s="468" t="s">
        <v>759</v>
      </c>
      <c r="BS8" s="329" t="s">
        <v>743</v>
      </c>
      <c r="BT8" s="466" t="s">
        <v>572</v>
      </c>
    </row>
    <row r="9" spans="1:73" customFormat="1" ht="13" customHeight="1" x14ac:dyDescent="0.3">
      <c r="A9" s="466">
        <v>3320</v>
      </c>
      <c r="B9" s="467">
        <v>43292</v>
      </c>
      <c r="C9" s="468" t="s">
        <v>699</v>
      </c>
      <c r="D9" s="466" t="s">
        <v>608</v>
      </c>
      <c r="E9" s="469">
        <v>43298</v>
      </c>
      <c r="F9" s="466" t="s">
        <v>760</v>
      </c>
      <c r="G9" s="466" t="s">
        <v>761</v>
      </c>
      <c r="H9" s="470">
        <v>52.26</v>
      </c>
      <c r="I9" s="471"/>
      <c r="J9" s="471"/>
      <c r="K9" s="472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0">
        <v>2.6</v>
      </c>
      <c r="X9" s="471"/>
      <c r="Y9" s="471"/>
      <c r="Z9" s="471"/>
      <c r="AA9" s="471"/>
      <c r="AB9" s="471"/>
      <c r="AC9" s="471"/>
      <c r="AD9" s="471"/>
      <c r="AE9" s="471"/>
      <c r="AF9" s="471"/>
      <c r="AG9" s="471"/>
      <c r="AH9" s="471"/>
      <c r="AI9" s="471"/>
      <c r="AJ9" s="471"/>
      <c r="AK9" s="471"/>
      <c r="AL9" s="471"/>
      <c r="AM9" s="471"/>
      <c r="AN9" s="471"/>
      <c r="AO9" s="474" t="s">
        <v>703</v>
      </c>
      <c r="AP9" s="466"/>
      <c r="AQ9" s="466"/>
      <c r="AR9" s="466"/>
      <c r="AS9" s="466"/>
      <c r="AT9" s="474">
        <v>0</v>
      </c>
      <c r="AU9" s="474">
        <v>0</v>
      </c>
      <c r="AV9" s="474">
        <v>0</v>
      </c>
      <c r="AW9" s="474">
        <v>0</v>
      </c>
      <c r="AX9" s="474">
        <v>0</v>
      </c>
      <c r="AY9" s="474">
        <v>0</v>
      </c>
      <c r="AZ9" s="474">
        <v>0</v>
      </c>
      <c r="BA9" s="474">
        <v>0</v>
      </c>
      <c r="BB9" s="474">
        <v>0</v>
      </c>
      <c r="BC9" s="474">
        <v>0</v>
      </c>
      <c r="BD9" s="474">
        <v>0</v>
      </c>
      <c r="BE9" s="474">
        <v>0</v>
      </c>
      <c r="BF9" s="474"/>
      <c r="BG9" s="474" t="s">
        <v>703</v>
      </c>
      <c r="BH9" s="474"/>
      <c r="BI9" s="474" t="s">
        <v>703</v>
      </c>
      <c r="BJ9" s="474"/>
      <c r="BK9" s="474"/>
      <c r="BL9" s="474"/>
      <c r="BM9" s="468"/>
      <c r="BN9" s="466"/>
      <c r="BO9" s="474"/>
      <c r="BP9" s="474" t="s">
        <v>704</v>
      </c>
      <c r="BQ9" s="474"/>
      <c r="BR9" s="468" t="s">
        <v>762</v>
      </c>
      <c r="BS9" s="509" t="s">
        <v>763</v>
      </c>
      <c r="BT9" s="466" t="s">
        <v>572</v>
      </c>
    </row>
    <row r="10" spans="1:73" customFormat="1" ht="13" customHeight="1" x14ac:dyDescent="0.3">
      <c r="A10" s="466">
        <v>3244</v>
      </c>
      <c r="B10" s="467">
        <v>43292</v>
      </c>
      <c r="C10" s="468" t="s">
        <v>699</v>
      </c>
      <c r="D10" s="466" t="s">
        <v>608</v>
      </c>
      <c r="E10" s="469">
        <v>43266</v>
      </c>
      <c r="F10" s="466" t="s">
        <v>764</v>
      </c>
      <c r="G10" s="466" t="s">
        <v>765</v>
      </c>
      <c r="H10" s="470">
        <v>51</v>
      </c>
      <c r="I10" s="471"/>
      <c r="J10" s="471"/>
      <c r="K10" s="472"/>
      <c r="L10" s="473"/>
      <c r="M10" s="473"/>
      <c r="N10" s="473"/>
      <c r="O10" s="473"/>
      <c r="P10" s="473"/>
      <c r="Q10" s="473"/>
      <c r="R10" s="473"/>
      <c r="S10" s="473"/>
      <c r="T10" s="473"/>
      <c r="U10" s="473"/>
      <c r="V10" s="473"/>
      <c r="W10" s="470">
        <v>2.754545454545454</v>
      </c>
      <c r="X10" s="471"/>
      <c r="Y10" s="471"/>
      <c r="Z10" s="471"/>
      <c r="AA10" s="471"/>
      <c r="AB10" s="471"/>
      <c r="AC10" s="471"/>
      <c r="AD10" s="471"/>
      <c r="AE10" s="471"/>
      <c r="AF10" s="471"/>
      <c r="AG10" s="471"/>
      <c r="AH10" s="471"/>
      <c r="AI10" s="471"/>
      <c r="AJ10" s="471"/>
      <c r="AK10" s="471"/>
      <c r="AL10" s="471"/>
      <c r="AM10" s="471"/>
      <c r="AN10" s="471"/>
      <c r="AO10" s="474" t="s">
        <v>703</v>
      </c>
      <c r="AP10" s="474"/>
      <c r="AQ10" s="474"/>
      <c r="AR10" s="474"/>
      <c r="AS10" s="466"/>
      <c r="AT10" s="474">
        <v>0</v>
      </c>
      <c r="AU10" s="474">
        <v>0</v>
      </c>
      <c r="AV10" s="474">
        <v>0</v>
      </c>
      <c r="AW10" s="474">
        <v>0</v>
      </c>
      <c r="AX10" s="474">
        <v>0</v>
      </c>
      <c r="AY10" s="474">
        <v>0</v>
      </c>
      <c r="AZ10" s="474">
        <v>0</v>
      </c>
      <c r="BA10" s="474">
        <v>0</v>
      </c>
      <c r="BB10" s="474">
        <v>0</v>
      </c>
      <c r="BC10" s="474">
        <v>0</v>
      </c>
      <c r="BD10" s="474">
        <v>0</v>
      </c>
      <c r="BE10" s="474">
        <v>0</v>
      </c>
      <c r="BF10" s="474"/>
      <c r="BG10" s="474" t="s">
        <v>703</v>
      </c>
      <c r="BH10" s="474"/>
      <c r="BI10" s="474" t="s">
        <v>703</v>
      </c>
      <c r="BJ10" s="474"/>
      <c r="BK10" s="474"/>
      <c r="BL10" s="474"/>
      <c r="BM10" s="468"/>
      <c r="BN10" s="466"/>
      <c r="BO10" s="480"/>
      <c r="BP10" s="474" t="s">
        <v>570</v>
      </c>
      <c r="BQ10" s="474"/>
      <c r="BR10" s="468" t="s">
        <v>766</v>
      </c>
      <c r="BS10" s="478" t="s">
        <v>767</v>
      </c>
      <c r="BT10" s="466" t="s">
        <v>495</v>
      </c>
    </row>
    <row r="11" spans="1:73" customFormat="1" ht="13" customHeight="1" x14ac:dyDescent="0.3">
      <c r="A11" s="466">
        <v>3497</v>
      </c>
      <c r="B11" s="467">
        <v>43293</v>
      </c>
      <c r="C11" s="468" t="s">
        <v>699</v>
      </c>
      <c r="D11" s="466" t="s">
        <v>618</v>
      </c>
      <c r="E11" s="469">
        <v>43281</v>
      </c>
      <c r="F11" s="468" t="s">
        <v>708</v>
      </c>
      <c r="G11" s="466" t="s">
        <v>746</v>
      </c>
      <c r="H11" s="470">
        <v>66.772727272727266</v>
      </c>
      <c r="I11" s="471"/>
      <c r="J11" s="471"/>
      <c r="K11" s="472" t="s">
        <v>702</v>
      </c>
      <c r="L11" s="473">
        <v>1242.72</v>
      </c>
      <c r="M11" s="473">
        <v>1223.04</v>
      </c>
      <c r="N11" s="473">
        <v>2958.9</v>
      </c>
      <c r="O11" s="473">
        <v>159287.64000000001</v>
      </c>
      <c r="P11" s="473">
        <v>657863.04</v>
      </c>
      <c r="Q11" s="473"/>
      <c r="R11" s="473"/>
      <c r="S11" s="473"/>
      <c r="T11" s="473"/>
      <c r="U11" s="473"/>
      <c r="V11" s="473"/>
      <c r="W11" s="470">
        <v>4.0181818181818176</v>
      </c>
      <c r="X11" s="470">
        <v>2.8363636363636364</v>
      </c>
      <c r="Y11" s="470">
        <v>2.709090909090909</v>
      </c>
      <c r="Z11" s="470">
        <v>2.5818181818181816</v>
      </c>
      <c r="AA11" s="470">
        <v>2.5181818181818181</v>
      </c>
      <c r="AB11" s="470">
        <v>2.2727272727272725</v>
      </c>
      <c r="AC11" s="471"/>
      <c r="AD11" s="471"/>
      <c r="AE11" s="471"/>
      <c r="AF11" s="471"/>
      <c r="AG11" s="471"/>
      <c r="AH11" s="471"/>
      <c r="AI11" s="471"/>
      <c r="AJ11" s="471"/>
      <c r="AK11" s="471"/>
      <c r="AL11" s="471"/>
      <c r="AM11" s="471"/>
      <c r="AN11" s="471"/>
      <c r="AO11" s="474" t="s">
        <v>703</v>
      </c>
      <c r="AP11" s="466"/>
      <c r="AQ11" s="466"/>
      <c r="AR11" s="466"/>
      <c r="AS11" s="466"/>
      <c r="AT11" s="474">
        <v>8</v>
      </c>
      <c r="AU11" s="474">
        <v>0</v>
      </c>
      <c r="AV11" s="474">
        <v>0</v>
      </c>
      <c r="AW11" s="474">
        <v>0</v>
      </c>
      <c r="AX11" s="474">
        <v>0</v>
      </c>
      <c r="AY11" s="474">
        <v>0</v>
      </c>
      <c r="AZ11" s="474">
        <v>0</v>
      </c>
      <c r="BA11" s="474">
        <v>0</v>
      </c>
      <c r="BB11" s="474">
        <v>0</v>
      </c>
      <c r="BC11" s="474">
        <v>0</v>
      </c>
      <c r="BD11" s="474">
        <v>0</v>
      </c>
      <c r="BE11" s="474">
        <v>0</v>
      </c>
      <c r="BF11" s="474"/>
      <c r="BG11" s="474" t="s">
        <v>703</v>
      </c>
      <c r="BH11" s="474">
        <v>12</v>
      </c>
      <c r="BI11" s="474" t="s">
        <v>703</v>
      </c>
      <c r="BJ11" s="474"/>
      <c r="BK11" s="474"/>
      <c r="BL11" s="474"/>
      <c r="BM11" s="468" t="s">
        <v>747</v>
      </c>
      <c r="BN11" s="466" t="s">
        <v>633</v>
      </c>
      <c r="BO11" s="474">
        <v>25</v>
      </c>
      <c r="BP11" s="474" t="s">
        <v>704</v>
      </c>
      <c r="BQ11" s="474"/>
      <c r="BR11" s="468" t="s">
        <v>748</v>
      </c>
      <c r="BS11" s="466" t="s">
        <v>768</v>
      </c>
      <c r="BT11" s="466" t="s">
        <v>495</v>
      </c>
    </row>
    <row r="12" spans="1:73" customFormat="1" ht="13" customHeight="1" x14ac:dyDescent="0.3">
      <c r="A12" s="466">
        <v>871</v>
      </c>
      <c r="B12" s="467">
        <v>43293</v>
      </c>
      <c r="C12" s="468" t="s">
        <v>699</v>
      </c>
      <c r="D12" s="466" t="s">
        <v>618</v>
      </c>
      <c r="E12" s="469">
        <v>43284</v>
      </c>
      <c r="F12" s="468" t="s">
        <v>720</v>
      </c>
      <c r="G12" s="466" t="s">
        <v>526</v>
      </c>
      <c r="H12" s="470">
        <v>58.749999999999993</v>
      </c>
      <c r="I12" s="471"/>
      <c r="J12" s="471"/>
      <c r="K12" s="472" t="s">
        <v>702</v>
      </c>
      <c r="L12" s="473">
        <v>1242.7380000000001</v>
      </c>
      <c r="M12" s="473">
        <v>1223.0160000000001</v>
      </c>
      <c r="N12" s="473">
        <v>2958.9059999999999</v>
      </c>
      <c r="O12" s="473">
        <v>159287.67000000001</v>
      </c>
      <c r="P12" s="473">
        <v>657863.01599999995</v>
      </c>
      <c r="Q12" s="473"/>
      <c r="R12" s="473"/>
      <c r="S12" s="473"/>
      <c r="T12" s="473"/>
      <c r="U12" s="473"/>
      <c r="V12" s="473"/>
      <c r="W12" s="470">
        <v>3.8899999999999997</v>
      </c>
      <c r="X12" s="470">
        <v>2.7181818181818183</v>
      </c>
      <c r="Y12" s="470">
        <v>2.6818181818181817</v>
      </c>
      <c r="Z12" s="470">
        <v>2.5818181818181816</v>
      </c>
      <c r="AA12" s="470">
        <v>2.2909090909090906</v>
      </c>
      <c r="AB12" s="470">
        <v>0.5</v>
      </c>
      <c r="AC12" s="471"/>
      <c r="AD12" s="471"/>
      <c r="AE12" s="471"/>
      <c r="AF12" s="471"/>
      <c r="AG12" s="471"/>
      <c r="AH12" s="471"/>
      <c r="AI12" s="471"/>
      <c r="AJ12" s="471"/>
      <c r="AK12" s="471"/>
      <c r="AL12" s="471"/>
      <c r="AM12" s="471"/>
      <c r="AN12" s="471"/>
      <c r="AO12" s="474" t="s">
        <v>703</v>
      </c>
      <c r="AP12" s="466"/>
      <c r="AQ12" s="466"/>
      <c r="AR12" s="466"/>
      <c r="AS12" s="466"/>
      <c r="AT12" s="474">
        <v>11</v>
      </c>
      <c r="AU12" s="474">
        <v>0</v>
      </c>
      <c r="AV12" s="474">
        <v>0</v>
      </c>
      <c r="AW12" s="474">
        <v>0</v>
      </c>
      <c r="AX12" s="474">
        <v>0</v>
      </c>
      <c r="AY12" s="474">
        <v>0</v>
      </c>
      <c r="AZ12" s="474">
        <v>0</v>
      </c>
      <c r="BA12" s="474">
        <v>0</v>
      </c>
      <c r="BB12" s="474">
        <v>0</v>
      </c>
      <c r="BC12" s="474">
        <v>0</v>
      </c>
      <c r="BD12" s="474">
        <v>0</v>
      </c>
      <c r="BE12" s="474">
        <v>0</v>
      </c>
      <c r="BF12" s="474">
        <v>12</v>
      </c>
      <c r="BG12" s="474" t="s">
        <v>703</v>
      </c>
      <c r="BH12" s="474">
        <v>12</v>
      </c>
      <c r="BI12" s="474" t="s">
        <v>703</v>
      </c>
      <c r="BJ12" s="474"/>
      <c r="BK12" s="474"/>
      <c r="BL12" s="474"/>
      <c r="BM12" s="468"/>
      <c r="BN12" s="466"/>
      <c r="BO12" s="474"/>
      <c r="BP12" s="474" t="s">
        <v>721</v>
      </c>
      <c r="BQ12" s="474"/>
      <c r="BR12" s="466"/>
      <c r="BS12" s="466" t="s">
        <v>769</v>
      </c>
      <c r="BT12" s="466" t="s">
        <v>495</v>
      </c>
    </row>
    <row r="13" spans="1:73" customFormat="1" ht="13" customHeight="1" x14ac:dyDescent="0.3">
      <c r="A13" s="466">
        <v>3498</v>
      </c>
      <c r="B13" s="467">
        <v>43293</v>
      </c>
      <c r="C13" s="468" t="s">
        <v>699</v>
      </c>
      <c r="D13" s="466" t="s">
        <v>619</v>
      </c>
      <c r="E13" s="469">
        <v>43281</v>
      </c>
      <c r="F13" s="468" t="s">
        <v>708</v>
      </c>
      <c r="G13" s="466" t="s">
        <v>746</v>
      </c>
      <c r="H13" s="470">
        <v>81.172727272727272</v>
      </c>
      <c r="I13" s="471"/>
      <c r="J13" s="471"/>
      <c r="K13" s="472" t="s">
        <v>702</v>
      </c>
      <c r="L13" s="473">
        <v>2465.7599999999998</v>
      </c>
      <c r="M13" s="473">
        <v>162246.6</v>
      </c>
      <c r="N13" s="473">
        <v>657862.98</v>
      </c>
      <c r="O13" s="473"/>
      <c r="P13" s="473"/>
      <c r="Q13" s="466"/>
      <c r="R13" s="466"/>
      <c r="S13" s="466"/>
      <c r="T13" s="466"/>
      <c r="U13" s="466"/>
      <c r="V13" s="466"/>
      <c r="W13" s="470">
        <v>3.3545454545454541</v>
      </c>
      <c r="X13" s="470">
        <v>3.0272727272727269</v>
      </c>
      <c r="Y13" s="470">
        <v>2.9272727272727272</v>
      </c>
      <c r="Z13" s="470">
        <v>2.7</v>
      </c>
      <c r="AA13" s="471"/>
      <c r="AB13" s="471"/>
      <c r="AC13" s="471"/>
      <c r="AD13" s="471"/>
      <c r="AE13" s="471"/>
      <c r="AF13" s="471"/>
      <c r="AG13" s="471"/>
      <c r="AH13" s="471"/>
      <c r="AI13" s="471"/>
      <c r="AJ13" s="471"/>
      <c r="AK13" s="471"/>
      <c r="AL13" s="471"/>
      <c r="AM13" s="471"/>
      <c r="AN13" s="471"/>
      <c r="AO13" s="474" t="s">
        <v>703</v>
      </c>
      <c r="AP13" s="474"/>
      <c r="AQ13" s="474"/>
      <c r="AR13" s="474"/>
      <c r="AS13" s="466"/>
      <c r="AT13" s="474">
        <v>8</v>
      </c>
      <c r="AU13" s="474">
        <v>0</v>
      </c>
      <c r="AV13" s="474">
        <v>0</v>
      </c>
      <c r="AW13" s="474">
        <v>0</v>
      </c>
      <c r="AX13" s="474">
        <v>0</v>
      </c>
      <c r="AY13" s="474">
        <v>0</v>
      </c>
      <c r="AZ13" s="474">
        <v>0</v>
      </c>
      <c r="BA13" s="474">
        <v>0</v>
      </c>
      <c r="BB13" s="474">
        <v>0</v>
      </c>
      <c r="BC13" s="474">
        <v>0</v>
      </c>
      <c r="BD13" s="474">
        <v>0</v>
      </c>
      <c r="BE13" s="474">
        <v>0</v>
      </c>
      <c r="BF13" s="474"/>
      <c r="BG13" s="474" t="s">
        <v>703</v>
      </c>
      <c r="BH13" s="474">
        <v>12</v>
      </c>
      <c r="BI13" s="474" t="s">
        <v>703</v>
      </c>
      <c r="BJ13" s="474"/>
      <c r="BK13" s="474"/>
      <c r="BL13" s="474"/>
      <c r="BM13" s="468" t="s">
        <v>747</v>
      </c>
      <c r="BN13" s="466" t="s">
        <v>633</v>
      </c>
      <c r="BO13" s="474">
        <v>25</v>
      </c>
      <c r="BP13" s="474" t="s">
        <v>704</v>
      </c>
      <c r="BQ13" s="474"/>
      <c r="BR13" s="468" t="s">
        <v>748</v>
      </c>
      <c r="BS13" s="466" t="s">
        <v>770</v>
      </c>
      <c r="BT13" s="466" t="s">
        <v>495</v>
      </c>
    </row>
    <row r="14" spans="1:73" customFormat="1" ht="13" customHeight="1" x14ac:dyDescent="0.3">
      <c r="A14" s="466">
        <v>872</v>
      </c>
      <c r="B14" s="467">
        <v>43293</v>
      </c>
      <c r="C14" s="468" t="s">
        <v>699</v>
      </c>
      <c r="D14" s="466" t="s">
        <v>619</v>
      </c>
      <c r="E14" s="469">
        <v>43284</v>
      </c>
      <c r="F14" s="468" t="s">
        <v>720</v>
      </c>
      <c r="G14" s="466" t="s">
        <v>526</v>
      </c>
      <c r="H14" s="470">
        <v>75.999999999999986</v>
      </c>
      <c r="I14" s="471"/>
      <c r="J14" s="471"/>
      <c r="K14" s="472" t="s">
        <v>702</v>
      </c>
      <c r="L14" s="473">
        <v>2465.7539999999999</v>
      </c>
      <c r="M14" s="473">
        <v>26531.508000000002</v>
      </c>
      <c r="N14" s="473">
        <v>89358.906000000003</v>
      </c>
      <c r="O14" s="473"/>
      <c r="P14" s="473"/>
      <c r="Q14" s="466"/>
      <c r="R14" s="466"/>
      <c r="S14" s="466"/>
      <c r="T14" s="466"/>
      <c r="U14" s="466"/>
      <c r="V14" s="466"/>
      <c r="W14" s="470">
        <v>3.4545454545454541</v>
      </c>
      <c r="X14" s="470">
        <v>2.8</v>
      </c>
      <c r="Y14" s="470">
        <v>2.5818181818181816</v>
      </c>
      <c r="Z14" s="470">
        <v>2.5</v>
      </c>
      <c r="AA14" s="471"/>
      <c r="AB14" s="471"/>
      <c r="AC14" s="471"/>
      <c r="AD14" s="471"/>
      <c r="AE14" s="471"/>
      <c r="AF14" s="471"/>
      <c r="AG14" s="471"/>
      <c r="AH14" s="471"/>
      <c r="AI14" s="471"/>
      <c r="AJ14" s="471"/>
      <c r="AK14" s="471"/>
      <c r="AL14" s="471"/>
      <c r="AM14" s="471"/>
      <c r="AN14" s="471"/>
      <c r="AO14" s="474" t="s">
        <v>703</v>
      </c>
      <c r="AP14" s="474"/>
      <c r="AQ14" s="474"/>
      <c r="AR14" s="474"/>
      <c r="AS14" s="466"/>
      <c r="AT14" s="474">
        <v>11</v>
      </c>
      <c r="AU14" s="474">
        <v>0</v>
      </c>
      <c r="AV14" s="474">
        <v>0</v>
      </c>
      <c r="AW14" s="474">
        <v>0</v>
      </c>
      <c r="AX14" s="474">
        <v>0</v>
      </c>
      <c r="AY14" s="474">
        <v>0</v>
      </c>
      <c r="AZ14" s="474">
        <v>0</v>
      </c>
      <c r="BA14" s="474">
        <v>0</v>
      </c>
      <c r="BB14" s="474">
        <v>0</v>
      </c>
      <c r="BC14" s="474">
        <v>0</v>
      </c>
      <c r="BD14" s="474">
        <v>0</v>
      </c>
      <c r="BE14" s="474">
        <v>0</v>
      </c>
      <c r="BF14" s="474"/>
      <c r="BG14" s="474" t="s">
        <v>703</v>
      </c>
      <c r="BH14" s="474">
        <v>12</v>
      </c>
      <c r="BI14" s="474" t="s">
        <v>703</v>
      </c>
      <c r="BJ14" s="474"/>
      <c r="BK14" s="474"/>
      <c r="BL14" s="474"/>
      <c r="BM14" s="468"/>
      <c r="BN14" s="466"/>
      <c r="BO14" s="474"/>
      <c r="BP14" s="474" t="s">
        <v>721</v>
      </c>
      <c r="BQ14" s="474"/>
      <c r="BR14" s="466"/>
      <c r="BS14" s="466" t="s">
        <v>771</v>
      </c>
      <c r="BT14" s="466" t="s">
        <v>495</v>
      </c>
    </row>
    <row r="15" spans="1:73" customFormat="1" ht="13" customHeight="1" x14ac:dyDescent="0.3">
      <c r="A15" s="466">
        <v>873</v>
      </c>
      <c r="B15" s="467">
        <v>43293</v>
      </c>
      <c r="C15" s="468" t="s">
        <v>699</v>
      </c>
      <c r="D15" s="466" t="s">
        <v>620</v>
      </c>
      <c r="E15" s="469">
        <v>43284</v>
      </c>
      <c r="F15" s="468" t="s">
        <v>720</v>
      </c>
      <c r="G15" s="466" t="s">
        <v>526</v>
      </c>
      <c r="H15" s="470">
        <v>89.3</v>
      </c>
      <c r="I15" s="471"/>
      <c r="J15" s="471"/>
      <c r="K15" s="472"/>
      <c r="L15" s="473"/>
      <c r="M15" s="473"/>
      <c r="N15" s="473"/>
      <c r="O15" s="473"/>
      <c r="P15" s="473"/>
      <c r="Q15" s="466"/>
      <c r="R15" s="466"/>
      <c r="S15" s="466"/>
      <c r="T15" s="466"/>
      <c r="U15" s="466"/>
      <c r="V15" s="466"/>
      <c r="W15" s="470">
        <v>3.1999999999999997</v>
      </c>
      <c r="X15" s="471"/>
      <c r="Y15" s="471"/>
      <c r="Z15" s="471"/>
      <c r="AA15" s="471"/>
      <c r="AB15" s="471"/>
      <c r="AC15" s="471"/>
      <c r="AD15" s="471"/>
      <c r="AE15" s="471"/>
      <c r="AF15" s="471"/>
      <c r="AG15" s="471"/>
      <c r="AH15" s="471"/>
      <c r="AI15" s="471"/>
      <c r="AJ15" s="471"/>
      <c r="AK15" s="471"/>
      <c r="AL15" s="471"/>
      <c r="AM15" s="471"/>
      <c r="AN15" s="471"/>
      <c r="AO15" s="474" t="s">
        <v>703</v>
      </c>
      <c r="AP15" s="474"/>
      <c r="AQ15" s="474"/>
      <c r="AR15" s="474"/>
      <c r="AS15" s="466"/>
      <c r="AT15" s="474">
        <v>6</v>
      </c>
      <c r="AU15" s="474">
        <v>0</v>
      </c>
      <c r="AV15" s="474">
        <v>0</v>
      </c>
      <c r="AW15" s="474">
        <v>0</v>
      </c>
      <c r="AX15" s="474">
        <v>0</v>
      </c>
      <c r="AY15" s="474">
        <v>0</v>
      </c>
      <c r="AZ15" s="474">
        <v>0</v>
      </c>
      <c r="BA15" s="474">
        <v>0</v>
      </c>
      <c r="BB15" s="474">
        <v>0</v>
      </c>
      <c r="BC15" s="474">
        <v>0</v>
      </c>
      <c r="BD15" s="474">
        <v>0</v>
      </c>
      <c r="BE15" s="474">
        <v>0</v>
      </c>
      <c r="BF15" s="474"/>
      <c r="BG15" s="474" t="s">
        <v>703</v>
      </c>
      <c r="BH15" s="474">
        <v>12</v>
      </c>
      <c r="BI15" s="474" t="s">
        <v>703</v>
      </c>
      <c r="BJ15" s="474"/>
      <c r="BK15" s="474"/>
      <c r="BL15" s="474"/>
      <c r="BM15" s="468"/>
      <c r="BN15" s="466"/>
      <c r="BO15" s="474"/>
      <c r="BP15" s="474" t="s">
        <v>721</v>
      </c>
      <c r="BQ15" s="474"/>
      <c r="BR15" s="466"/>
      <c r="BS15" s="466" t="s">
        <v>772</v>
      </c>
      <c r="BT15" s="466" t="s">
        <v>495</v>
      </c>
      <c r="BU15" s="240"/>
    </row>
    <row r="16" spans="1:73" customFormat="1" ht="13" customHeight="1" x14ac:dyDescent="0.3">
      <c r="A16" s="466">
        <v>3439</v>
      </c>
      <c r="B16" s="467">
        <v>43293</v>
      </c>
      <c r="C16" s="468" t="s">
        <v>699</v>
      </c>
      <c r="D16" s="466" t="s">
        <v>621</v>
      </c>
      <c r="E16" s="469">
        <v>43284</v>
      </c>
      <c r="F16" s="468" t="s">
        <v>700</v>
      </c>
      <c r="G16" s="466" t="s">
        <v>744</v>
      </c>
      <c r="H16" s="470">
        <v>64.290909090909082</v>
      </c>
      <c r="I16" s="471"/>
      <c r="J16" s="471"/>
      <c r="K16" s="472" t="s">
        <v>702</v>
      </c>
      <c r="L16" s="466">
        <v>1644</v>
      </c>
      <c r="M16" s="466">
        <v>1314</v>
      </c>
      <c r="N16" s="473"/>
      <c r="O16" s="473"/>
      <c r="P16" s="473"/>
      <c r="Q16" s="466"/>
      <c r="R16" s="466"/>
      <c r="S16" s="466"/>
      <c r="T16" s="466"/>
      <c r="U16" s="466"/>
      <c r="V16" s="466"/>
      <c r="W16" s="470">
        <v>2.0727272727272723</v>
      </c>
      <c r="X16" s="470">
        <v>1.8727272727272726</v>
      </c>
      <c r="Y16" s="470">
        <v>1.7727272727272725</v>
      </c>
      <c r="Z16" s="471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4" t="s">
        <v>703</v>
      </c>
      <c r="AP16" s="474"/>
      <c r="AQ16" s="474"/>
      <c r="AR16" s="474"/>
      <c r="AS16" s="466"/>
      <c r="AT16" s="474">
        <v>0</v>
      </c>
      <c r="AU16" s="474">
        <v>0</v>
      </c>
      <c r="AV16" s="474">
        <v>0</v>
      </c>
      <c r="AW16" s="474">
        <v>0</v>
      </c>
      <c r="AX16" s="474">
        <v>0</v>
      </c>
      <c r="AY16" s="474">
        <v>0</v>
      </c>
      <c r="AZ16" s="474">
        <v>0</v>
      </c>
      <c r="BA16" s="474">
        <v>0</v>
      </c>
      <c r="BB16" s="474">
        <v>0</v>
      </c>
      <c r="BC16" s="474">
        <v>0</v>
      </c>
      <c r="BD16" s="474">
        <v>0</v>
      </c>
      <c r="BE16" s="474">
        <v>0</v>
      </c>
      <c r="BF16" s="474"/>
      <c r="BG16" s="474" t="s">
        <v>703</v>
      </c>
      <c r="BH16" s="474">
        <v>12</v>
      </c>
      <c r="BI16" s="474" t="s">
        <v>703</v>
      </c>
      <c r="BJ16" s="474"/>
      <c r="BK16" s="474"/>
      <c r="BL16" s="474"/>
      <c r="BM16" s="475" t="s">
        <v>745</v>
      </c>
      <c r="BN16" s="476" t="s">
        <v>633</v>
      </c>
      <c r="BO16" s="477">
        <v>75</v>
      </c>
      <c r="BP16" s="474" t="s">
        <v>704</v>
      </c>
      <c r="BQ16" s="474"/>
      <c r="BR16" s="468" t="s">
        <v>705</v>
      </c>
      <c r="BS16" s="466" t="s">
        <v>773</v>
      </c>
      <c r="BT16" s="466" t="s">
        <v>495</v>
      </c>
    </row>
    <row r="17" spans="1:72" customFormat="1" ht="13" customHeight="1" x14ac:dyDescent="0.3">
      <c r="A17" s="466">
        <v>3499</v>
      </c>
      <c r="B17" s="467">
        <v>43293</v>
      </c>
      <c r="C17" s="468" t="s">
        <v>699</v>
      </c>
      <c r="D17" s="466" t="s">
        <v>621</v>
      </c>
      <c r="E17" s="469">
        <v>43281</v>
      </c>
      <c r="F17" s="468" t="s">
        <v>708</v>
      </c>
      <c r="G17" s="466" t="s">
        <v>746</v>
      </c>
      <c r="H17" s="470">
        <v>82.454545454545453</v>
      </c>
      <c r="I17" s="471"/>
      <c r="J17" s="471"/>
      <c r="K17" s="472" t="s">
        <v>702</v>
      </c>
      <c r="L17" s="473">
        <v>6000</v>
      </c>
      <c r="M17" s="473">
        <v>6000</v>
      </c>
      <c r="N17" s="473">
        <v>72000</v>
      </c>
      <c r="O17" s="473"/>
      <c r="P17" s="473"/>
      <c r="Q17" s="466"/>
      <c r="R17" s="466"/>
      <c r="S17" s="466"/>
      <c r="T17" s="466"/>
      <c r="U17" s="466"/>
      <c r="V17" s="466"/>
      <c r="W17" s="470">
        <v>2.6909090909090905</v>
      </c>
      <c r="X17" s="470">
        <v>2.4727272727272727</v>
      </c>
      <c r="Y17" s="470">
        <v>2.3636363636363633</v>
      </c>
      <c r="Z17" s="470">
        <v>2.3636363636363633</v>
      </c>
      <c r="AA17" s="471"/>
      <c r="AB17" s="471"/>
      <c r="AC17" s="471"/>
      <c r="AD17" s="471"/>
      <c r="AE17" s="471"/>
      <c r="AF17" s="471"/>
      <c r="AG17" s="471"/>
      <c r="AH17" s="471"/>
      <c r="AI17" s="471"/>
      <c r="AJ17" s="471"/>
      <c r="AK17" s="471"/>
      <c r="AL17" s="471"/>
      <c r="AM17" s="471"/>
      <c r="AN17" s="471"/>
      <c r="AO17" s="474" t="s">
        <v>703</v>
      </c>
      <c r="AP17" s="474"/>
      <c r="AQ17" s="474"/>
      <c r="AR17" s="474"/>
      <c r="AS17" s="466"/>
      <c r="AT17" s="474">
        <v>8</v>
      </c>
      <c r="AU17" s="474">
        <v>0</v>
      </c>
      <c r="AV17" s="474">
        <v>0</v>
      </c>
      <c r="AW17" s="474">
        <v>0</v>
      </c>
      <c r="AX17" s="474">
        <v>0</v>
      </c>
      <c r="AY17" s="474">
        <v>0</v>
      </c>
      <c r="AZ17" s="474">
        <v>0</v>
      </c>
      <c r="BA17" s="474">
        <v>0</v>
      </c>
      <c r="BB17" s="474">
        <v>0</v>
      </c>
      <c r="BC17" s="474">
        <v>0</v>
      </c>
      <c r="BD17" s="474">
        <v>0</v>
      </c>
      <c r="BE17" s="474">
        <v>0</v>
      </c>
      <c r="BF17" s="474"/>
      <c r="BG17" s="474" t="s">
        <v>703</v>
      </c>
      <c r="BH17" s="474">
        <v>12</v>
      </c>
      <c r="BI17" s="474" t="s">
        <v>703</v>
      </c>
      <c r="BJ17" s="474"/>
      <c r="BK17" s="474"/>
      <c r="BL17" s="474"/>
      <c r="BM17" s="468" t="s">
        <v>747</v>
      </c>
      <c r="BN17" s="466" t="s">
        <v>633</v>
      </c>
      <c r="BO17" s="474">
        <v>25</v>
      </c>
      <c r="BP17" s="474" t="s">
        <v>704</v>
      </c>
      <c r="BQ17" s="474"/>
      <c r="BR17" s="468" t="s">
        <v>748</v>
      </c>
      <c r="BS17" s="486" t="s">
        <v>774</v>
      </c>
      <c r="BT17" s="466" t="s">
        <v>495</v>
      </c>
    </row>
    <row r="18" spans="1:72" customFormat="1" ht="13" customHeight="1" x14ac:dyDescent="0.3">
      <c r="A18" s="466">
        <v>541</v>
      </c>
      <c r="B18" s="467">
        <v>43293</v>
      </c>
      <c r="C18" s="468" t="s">
        <v>699</v>
      </c>
      <c r="D18" s="466" t="s">
        <v>621</v>
      </c>
      <c r="E18" s="469">
        <v>43281</v>
      </c>
      <c r="F18" s="468" t="s">
        <v>709</v>
      </c>
      <c r="G18" s="466" t="s">
        <v>750</v>
      </c>
      <c r="H18" s="470">
        <v>59.018181818181816</v>
      </c>
      <c r="I18" s="471"/>
      <c r="J18" s="471"/>
      <c r="K18" s="472" t="s">
        <v>702</v>
      </c>
      <c r="L18" s="473">
        <v>1644</v>
      </c>
      <c r="M18" s="466"/>
      <c r="N18" s="466"/>
      <c r="O18" s="473"/>
      <c r="P18" s="473"/>
      <c r="Q18" s="466"/>
      <c r="R18" s="466"/>
      <c r="S18" s="466"/>
      <c r="T18" s="466"/>
      <c r="U18" s="466"/>
      <c r="V18" s="466"/>
      <c r="W18" s="470">
        <v>2.4363636363636365</v>
      </c>
      <c r="X18" s="470">
        <v>2.1181818181818182</v>
      </c>
      <c r="Y18" s="471"/>
      <c r="Z18" s="471"/>
      <c r="AA18" s="471"/>
      <c r="AB18" s="471"/>
      <c r="AC18" s="471"/>
      <c r="AD18" s="471"/>
      <c r="AE18" s="471"/>
      <c r="AF18" s="471"/>
      <c r="AG18" s="471"/>
      <c r="AH18" s="471"/>
      <c r="AI18" s="471"/>
      <c r="AJ18" s="471"/>
      <c r="AK18" s="471"/>
      <c r="AL18" s="471"/>
      <c r="AM18" s="471"/>
      <c r="AN18" s="471"/>
      <c r="AO18" s="474" t="s">
        <v>703</v>
      </c>
      <c r="AP18" s="474"/>
      <c r="AQ18" s="474"/>
      <c r="AR18" s="474"/>
      <c r="AS18" s="466"/>
      <c r="AT18" s="474">
        <v>0</v>
      </c>
      <c r="AU18" s="474">
        <v>0</v>
      </c>
      <c r="AV18" s="474">
        <v>0</v>
      </c>
      <c r="AW18" s="474">
        <v>0</v>
      </c>
      <c r="AX18" s="474">
        <v>0</v>
      </c>
      <c r="AY18" s="474">
        <v>0</v>
      </c>
      <c r="AZ18" s="474">
        <v>0</v>
      </c>
      <c r="BA18" s="474">
        <v>0</v>
      </c>
      <c r="BB18" s="474">
        <v>0</v>
      </c>
      <c r="BC18" s="474">
        <v>0</v>
      </c>
      <c r="BD18" s="474">
        <v>0</v>
      </c>
      <c r="BE18" s="474">
        <v>0</v>
      </c>
      <c r="BF18" s="474"/>
      <c r="BG18" s="474" t="s">
        <v>703</v>
      </c>
      <c r="BH18" s="474">
        <v>12</v>
      </c>
      <c r="BI18" s="474" t="s">
        <v>703</v>
      </c>
      <c r="BJ18" s="474"/>
      <c r="BK18" s="474"/>
      <c r="BL18" s="474"/>
      <c r="BM18" s="468"/>
      <c r="BN18" s="466"/>
      <c r="BO18" s="480"/>
      <c r="BP18" s="474" t="s">
        <v>704</v>
      </c>
      <c r="BQ18" s="474"/>
      <c r="BR18" s="468"/>
      <c r="BS18" s="485" t="s">
        <v>775</v>
      </c>
      <c r="BT18" s="466" t="s">
        <v>495</v>
      </c>
    </row>
    <row r="19" spans="1:72" customFormat="1" ht="13" customHeight="1" x14ac:dyDescent="0.3">
      <c r="A19" s="466">
        <v>3440</v>
      </c>
      <c r="B19" s="467">
        <v>43293</v>
      </c>
      <c r="C19" s="468" t="s">
        <v>699</v>
      </c>
      <c r="D19" s="466" t="s">
        <v>623</v>
      </c>
      <c r="E19" s="469">
        <v>43284</v>
      </c>
      <c r="F19" s="468" t="s">
        <v>700</v>
      </c>
      <c r="G19" s="466" t="s">
        <v>744</v>
      </c>
      <c r="H19" s="470">
        <v>73.627272727272711</v>
      </c>
      <c r="I19" s="471"/>
      <c r="J19" s="471"/>
      <c r="K19" s="472" t="s">
        <v>702</v>
      </c>
      <c r="L19" s="466">
        <v>1644</v>
      </c>
      <c r="M19" s="466">
        <v>1314</v>
      </c>
      <c r="N19" s="466"/>
      <c r="O19" s="473"/>
      <c r="P19" s="473"/>
      <c r="Q19" s="466"/>
      <c r="R19" s="466"/>
      <c r="S19" s="466"/>
      <c r="T19" s="466"/>
      <c r="U19" s="466"/>
      <c r="V19" s="466"/>
      <c r="W19" s="470">
        <v>3.2545454545454544</v>
      </c>
      <c r="X19" s="470">
        <v>2.9636363636363634</v>
      </c>
      <c r="Y19" s="470">
        <v>2.3636363636363633</v>
      </c>
      <c r="Z19" s="471"/>
      <c r="AA19" s="471"/>
      <c r="AB19" s="471"/>
      <c r="AC19" s="471"/>
      <c r="AD19" s="471"/>
      <c r="AE19" s="471"/>
      <c r="AF19" s="471"/>
      <c r="AG19" s="471"/>
      <c r="AH19" s="471"/>
      <c r="AI19" s="471"/>
      <c r="AJ19" s="471"/>
      <c r="AK19" s="471"/>
      <c r="AL19" s="471"/>
      <c r="AM19" s="471"/>
      <c r="AN19" s="471"/>
      <c r="AO19" s="474" t="s">
        <v>703</v>
      </c>
      <c r="AP19" s="474"/>
      <c r="AQ19" s="474"/>
      <c r="AR19" s="474"/>
      <c r="AS19" s="466"/>
      <c r="AT19" s="474">
        <v>0</v>
      </c>
      <c r="AU19" s="474">
        <v>0</v>
      </c>
      <c r="AV19" s="474">
        <v>0</v>
      </c>
      <c r="AW19" s="474">
        <v>0</v>
      </c>
      <c r="AX19" s="474">
        <v>0</v>
      </c>
      <c r="AY19" s="474">
        <v>0</v>
      </c>
      <c r="AZ19" s="474">
        <v>0</v>
      </c>
      <c r="BA19" s="474">
        <v>0</v>
      </c>
      <c r="BB19" s="474">
        <v>0</v>
      </c>
      <c r="BC19" s="474">
        <v>0</v>
      </c>
      <c r="BD19" s="474">
        <v>0</v>
      </c>
      <c r="BE19" s="474">
        <v>0</v>
      </c>
      <c r="BF19" s="474"/>
      <c r="BG19" s="474" t="s">
        <v>703</v>
      </c>
      <c r="BH19" s="474">
        <v>12</v>
      </c>
      <c r="BI19" s="474" t="s">
        <v>703</v>
      </c>
      <c r="BJ19" s="474"/>
      <c r="BK19" s="474"/>
      <c r="BL19" s="474"/>
      <c r="BM19" s="475" t="s">
        <v>745</v>
      </c>
      <c r="BN19" s="476" t="s">
        <v>633</v>
      </c>
      <c r="BO19" s="477">
        <v>75</v>
      </c>
      <c r="BP19" s="474" t="s">
        <v>704</v>
      </c>
      <c r="BQ19" s="474"/>
      <c r="BR19" s="468" t="s">
        <v>705</v>
      </c>
      <c r="BS19" s="486" t="s">
        <v>563</v>
      </c>
      <c r="BT19" s="466" t="s">
        <v>495</v>
      </c>
    </row>
    <row r="20" spans="1:72" customFormat="1" ht="13" customHeight="1" x14ac:dyDescent="0.3">
      <c r="A20" s="466">
        <v>3500</v>
      </c>
      <c r="B20" s="467">
        <v>43293</v>
      </c>
      <c r="C20" s="468" t="s">
        <v>699</v>
      </c>
      <c r="D20" s="466" t="s">
        <v>623</v>
      </c>
      <c r="E20" s="469">
        <v>43281</v>
      </c>
      <c r="F20" s="468" t="s">
        <v>708</v>
      </c>
      <c r="G20" s="466" t="s">
        <v>746</v>
      </c>
      <c r="H20" s="470">
        <v>80.818181818181813</v>
      </c>
      <c r="I20" s="471"/>
      <c r="J20" s="471"/>
      <c r="K20" s="472" t="s">
        <v>702</v>
      </c>
      <c r="L20" s="473">
        <v>6000</v>
      </c>
      <c r="M20" s="473">
        <v>6000</v>
      </c>
      <c r="N20" s="473">
        <v>72000</v>
      </c>
      <c r="O20" s="473"/>
      <c r="P20" s="473"/>
      <c r="Q20" s="466"/>
      <c r="R20" s="466"/>
      <c r="S20" s="466"/>
      <c r="T20" s="466"/>
      <c r="U20" s="466"/>
      <c r="V20" s="466"/>
      <c r="W20" s="470">
        <v>3.8454545454545457</v>
      </c>
      <c r="X20" s="470">
        <v>3.4181818181818175</v>
      </c>
      <c r="Y20" s="470">
        <v>3.0272727272727269</v>
      </c>
      <c r="Z20" s="470">
        <v>2.9999999999999996</v>
      </c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4" t="s">
        <v>703</v>
      </c>
      <c r="AP20" s="474"/>
      <c r="AQ20" s="474"/>
      <c r="AR20" s="474"/>
      <c r="AS20" s="466"/>
      <c r="AT20" s="474">
        <v>8</v>
      </c>
      <c r="AU20" s="474">
        <v>0</v>
      </c>
      <c r="AV20" s="474">
        <v>0</v>
      </c>
      <c r="AW20" s="474">
        <v>0</v>
      </c>
      <c r="AX20" s="474">
        <v>0</v>
      </c>
      <c r="AY20" s="474">
        <v>0</v>
      </c>
      <c r="AZ20" s="474">
        <v>0</v>
      </c>
      <c r="BA20" s="474">
        <v>0</v>
      </c>
      <c r="BB20" s="474">
        <v>0</v>
      </c>
      <c r="BC20" s="474">
        <v>0</v>
      </c>
      <c r="BD20" s="474">
        <v>0</v>
      </c>
      <c r="BE20" s="474">
        <v>0</v>
      </c>
      <c r="BF20" s="474"/>
      <c r="BG20" s="474" t="s">
        <v>703</v>
      </c>
      <c r="BH20" s="474">
        <v>12</v>
      </c>
      <c r="BI20" s="474" t="s">
        <v>703</v>
      </c>
      <c r="BJ20" s="474"/>
      <c r="BK20" s="474"/>
      <c r="BL20" s="474"/>
      <c r="BM20" s="468" t="s">
        <v>747</v>
      </c>
      <c r="BN20" s="466" t="s">
        <v>633</v>
      </c>
      <c r="BO20" s="474">
        <v>25</v>
      </c>
      <c r="BP20" s="474" t="s">
        <v>704</v>
      </c>
      <c r="BQ20" s="474"/>
      <c r="BR20" s="468" t="s">
        <v>748</v>
      </c>
      <c r="BS20" s="486" t="s">
        <v>776</v>
      </c>
      <c r="BT20" s="466" t="s">
        <v>495</v>
      </c>
    </row>
    <row r="21" spans="1:72" customFormat="1" ht="13" customHeight="1" x14ac:dyDescent="0.3">
      <c r="A21" s="466">
        <v>543</v>
      </c>
      <c r="B21" s="467">
        <v>43293</v>
      </c>
      <c r="C21" s="468" t="s">
        <v>699</v>
      </c>
      <c r="D21" s="466" t="s">
        <v>623</v>
      </c>
      <c r="E21" s="469">
        <v>43281</v>
      </c>
      <c r="F21" s="468" t="s">
        <v>709</v>
      </c>
      <c r="G21" s="466" t="s">
        <v>750</v>
      </c>
      <c r="H21" s="470">
        <v>61.281818181818174</v>
      </c>
      <c r="I21" s="471"/>
      <c r="J21" s="471"/>
      <c r="K21" s="472" t="s">
        <v>702</v>
      </c>
      <c r="L21" s="473">
        <v>1644</v>
      </c>
      <c r="M21" s="466"/>
      <c r="N21" s="466"/>
      <c r="O21" s="473"/>
      <c r="P21" s="473"/>
      <c r="Q21" s="466"/>
      <c r="R21" s="466"/>
      <c r="S21" s="466"/>
      <c r="T21" s="466"/>
      <c r="U21" s="466"/>
      <c r="V21" s="466"/>
      <c r="W21" s="470">
        <v>3.5818181818181816</v>
      </c>
      <c r="X21" s="470">
        <v>2.7636363636363632</v>
      </c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4" t="s">
        <v>703</v>
      </c>
      <c r="AP21" s="474"/>
      <c r="AQ21" s="474"/>
      <c r="AR21" s="474"/>
      <c r="AS21" s="466"/>
      <c r="AT21" s="474">
        <v>0</v>
      </c>
      <c r="AU21" s="474">
        <v>0</v>
      </c>
      <c r="AV21" s="474">
        <v>0</v>
      </c>
      <c r="AW21" s="474">
        <v>0</v>
      </c>
      <c r="AX21" s="474">
        <v>0</v>
      </c>
      <c r="AY21" s="474">
        <v>0</v>
      </c>
      <c r="AZ21" s="474">
        <v>0</v>
      </c>
      <c r="BA21" s="474">
        <v>0</v>
      </c>
      <c r="BB21" s="474">
        <v>0</v>
      </c>
      <c r="BC21" s="474">
        <v>0</v>
      </c>
      <c r="BD21" s="474">
        <v>0</v>
      </c>
      <c r="BE21" s="474">
        <v>0</v>
      </c>
      <c r="BF21" s="474"/>
      <c r="BG21" s="474" t="s">
        <v>703</v>
      </c>
      <c r="BH21" s="474">
        <v>12</v>
      </c>
      <c r="BI21" s="474" t="s">
        <v>703</v>
      </c>
      <c r="BJ21" s="474"/>
      <c r="BK21" s="474"/>
      <c r="BL21" s="474"/>
      <c r="BM21" s="468"/>
      <c r="BN21" s="466"/>
      <c r="BO21" s="480"/>
      <c r="BP21" s="474" t="s">
        <v>704</v>
      </c>
      <c r="BQ21" s="474"/>
      <c r="BR21" s="468"/>
      <c r="BS21" s="485" t="s">
        <v>777</v>
      </c>
      <c r="BT21" s="466" t="s">
        <v>495</v>
      </c>
    </row>
    <row r="22" spans="1:72" customFormat="1" ht="13" customHeight="1" x14ac:dyDescent="0.3">
      <c r="A22" s="466">
        <v>542</v>
      </c>
      <c r="B22" s="467">
        <v>43293</v>
      </c>
      <c r="C22" s="468" t="s">
        <v>699</v>
      </c>
      <c r="D22" s="466" t="s">
        <v>624</v>
      </c>
      <c r="E22" s="469">
        <v>43281</v>
      </c>
      <c r="F22" s="468" t="s">
        <v>709</v>
      </c>
      <c r="G22" s="466" t="s">
        <v>750</v>
      </c>
      <c r="H22" s="470">
        <v>69.481818181818184</v>
      </c>
      <c r="I22" s="471"/>
      <c r="J22" s="471"/>
      <c r="K22" s="472"/>
      <c r="L22" s="466"/>
      <c r="M22" s="466"/>
      <c r="N22" s="466"/>
      <c r="O22" s="466"/>
      <c r="P22" s="466"/>
      <c r="Q22" s="466"/>
      <c r="R22" s="466"/>
      <c r="S22" s="466"/>
      <c r="T22" s="466"/>
      <c r="U22" s="466"/>
      <c r="V22" s="466"/>
      <c r="W22" s="470">
        <v>3.0272727272727269</v>
      </c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4" t="s">
        <v>703</v>
      </c>
      <c r="AP22" s="474"/>
      <c r="AQ22" s="474"/>
      <c r="AR22" s="474"/>
      <c r="AS22" s="466"/>
      <c r="AT22" s="474">
        <v>0</v>
      </c>
      <c r="AU22" s="474">
        <v>0</v>
      </c>
      <c r="AV22" s="474">
        <v>0</v>
      </c>
      <c r="AW22" s="474">
        <v>0</v>
      </c>
      <c r="AX22" s="474">
        <v>0</v>
      </c>
      <c r="AY22" s="474">
        <v>0</v>
      </c>
      <c r="AZ22" s="474">
        <v>0</v>
      </c>
      <c r="BA22" s="474">
        <v>0</v>
      </c>
      <c r="BB22" s="474">
        <v>0</v>
      </c>
      <c r="BC22" s="474">
        <v>0</v>
      </c>
      <c r="BD22" s="474">
        <v>0</v>
      </c>
      <c r="BE22" s="474">
        <v>0</v>
      </c>
      <c r="BF22" s="474"/>
      <c r="BG22" s="474" t="s">
        <v>703</v>
      </c>
      <c r="BH22" s="474">
        <v>12</v>
      </c>
      <c r="BI22" s="474" t="s">
        <v>703</v>
      </c>
      <c r="BJ22" s="474"/>
      <c r="BK22" s="474"/>
      <c r="BL22" s="474"/>
      <c r="BM22" s="468"/>
      <c r="BN22" s="466"/>
      <c r="BO22" s="480"/>
      <c r="BP22" s="474" t="s">
        <v>704</v>
      </c>
      <c r="BQ22" s="474"/>
      <c r="BR22" s="468"/>
      <c r="BS22" s="485" t="s">
        <v>778</v>
      </c>
      <c r="BT22" s="466" t="s">
        <v>495</v>
      </c>
    </row>
    <row r="23" spans="1:72" customFormat="1" ht="13" customHeight="1" x14ac:dyDescent="0.3">
      <c r="A23" s="466">
        <v>2355</v>
      </c>
      <c r="B23" s="467">
        <v>43293</v>
      </c>
      <c r="C23" s="468" t="s">
        <v>699</v>
      </c>
      <c r="D23" s="466" t="s">
        <v>624</v>
      </c>
      <c r="E23" s="481">
        <v>43281</v>
      </c>
      <c r="F23" s="468" t="s">
        <v>752</v>
      </c>
      <c r="G23" s="466" t="s">
        <v>672</v>
      </c>
      <c r="H23" s="470">
        <v>68.990909090909085</v>
      </c>
      <c r="I23" s="471"/>
      <c r="J23" s="471"/>
      <c r="K23" s="472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0">
        <v>2.6909090909090905</v>
      </c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4" t="s">
        <v>703</v>
      </c>
      <c r="AP23" s="466"/>
      <c r="AQ23" s="466"/>
      <c r="AR23" s="466"/>
      <c r="AS23" s="466"/>
      <c r="AT23" s="474">
        <v>0</v>
      </c>
      <c r="AU23" s="474">
        <v>0</v>
      </c>
      <c r="AV23" s="474">
        <v>0</v>
      </c>
      <c r="AW23" s="474">
        <v>0</v>
      </c>
      <c r="AX23" s="474">
        <v>0</v>
      </c>
      <c r="AY23" s="474">
        <v>0</v>
      </c>
      <c r="AZ23" s="474">
        <v>0</v>
      </c>
      <c r="BA23" s="474">
        <v>0</v>
      </c>
      <c r="BB23" s="474">
        <v>0</v>
      </c>
      <c r="BC23" s="474">
        <v>0</v>
      </c>
      <c r="BD23" s="474">
        <v>0</v>
      </c>
      <c r="BE23" s="474">
        <v>0</v>
      </c>
      <c r="BF23" s="474"/>
      <c r="BG23" s="474" t="s">
        <v>703</v>
      </c>
      <c r="BH23" s="474"/>
      <c r="BI23" s="474" t="s">
        <v>703</v>
      </c>
      <c r="BJ23" s="474"/>
      <c r="BK23" s="474"/>
      <c r="BL23" s="482">
        <v>43707</v>
      </c>
      <c r="BM23" s="468"/>
      <c r="BN23" s="466"/>
      <c r="BO23" s="474"/>
      <c r="BP23" s="474" t="s">
        <v>704</v>
      </c>
      <c r="BQ23" s="474"/>
      <c r="BR23" s="468"/>
      <c r="BS23" s="485" t="s">
        <v>779</v>
      </c>
      <c r="BT23" s="466" t="s">
        <v>495</v>
      </c>
    </row>
    <row r="24" spans="1:72" customFormat="1" ht="13" customHeight="1" x14ac:dyDescent="0.3">
      <c r="A24" s="466">
        <v>3441</v>
      </c>
      <c r="B24" s="467">
        <v>43293</v>
      </c>
      <c r="C24" s="468" t="s">
        <v>699</v>
      </c>
      <c r="D24" s="466" t="s">
        <v>625</v>
      </c>
      <c r="E24" s="469">
        <v>43284</v>
      </c>
      <c r="F24" s="468" t="s">
        <v>700</v>
      </c>
      <c r="G24" s="466" t="s">
        <v>744</v>
      </c>
      <c r="H24" s="470">
        <v>88.145454545454527</v>
      </c>
      <c r="I24" s="471"/>
      <c r="J24" s="471"/>
      <c r="K24" s="472"/>
      <c r="L24" s="466"/>
      <c r="M24" s="466"/>
      <c r="N24" s="466"/>
      <c r="O24" s="466"/>
      <c r="P24" s="466"/>
      <c r="Q24" s="466"/>
      <c r="R24" s="466"/>
      <c r="S24" s="466"/>
      <c r="T24" s="466"/>
      <c r="U24" s="466"/>
      <c r="V24" s="466"/>
      <c r="W24" s="470">
        <v>2.7636363636363632</v>
      </c>
      <c r="X24" s="471"/>
      <c r="Y24" s="471"/>
      <c r="Z24" s="471"/>
      <c r="AA24" s="471"/>
      <c r="AB24" s="471"/>
      <c r="AC24" s="471"/>
      <c r="AD24" s="471"/>
      <c r="AE24" s="471"/>
      <c r="AF24" s="471"/>
      <c r="AG24" s="471"/>
      <c r="AH24" s="471"/>
      <c r="AI24" s="471"/>
      <c r="AJ24" s="471"/>
      <c r="AK24" s="471"/>
      <c r="AL24" s="471"/>
      <c r="AM24" s="471"/>
      <c r="AN24" s="471"/>
      <c r="AO24" s="474" t="s">
        <v>703</v>
      </c>
      <c r="AP24" s="474"/>
      <c r="AQ24" s="474"/>
      <c r="AR24" s="474"/>
      <c r="AS24" s="466"/>
      <c r="AT24" s="474">
        <v>0</v>
      </c>
      <c r="AU24" s="474">
        <v>0</v>
      </c>
      <c r="AV24" s="474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>
        <v>0</v>
      </c>
      <c r="BC24" s="474">
        <v>0</v>
      </c>
      <c r="BD24" s="474">
        <v>0</v>
      </c>
      <c r="BE24" s="474">
        <v>0</v>
      </c>
      <c r="BF24" s="474"/>
      <c r="BG24" s="474" t="s">
        <v>703</v>
      </c>
      <c r="BH24" s="474">
        <v>12</v>
      </c>
      <c r="BI24" s="474" t="s">
        <v>703</v>
      </c>
      <c r="BJ24" s="474"/>
      <c r="BK24" s="474"/>
      <c r="BL24" s="474"/>
      <c r="BM24" s="475" t="s">
        <v>745</v>
      </c>
      <c r="BN24" s="476" t="s">
        <v>633</v>
      </c>
      <c r="BO24" s="477">
        <v>75</v>
      </c>
      <c r="BP24" s="474" t="s">
        <v>704</v>
      </c>
      <c r="BQ24" s="474"/>
      <c r="BR24" s="468" t="s">
        <v>705</v>
      </c>
      <c r="BS24" s="486" t="s">
        <v>563</v>
      </c>
      <c r="BT24" s="466" t="s">
        <v>495</v>
      </c>
    </row>
    <row r="25" spans="1:72" customFormat="1" ht="13" customHeight="1" x14ac:dyDescent="0.3">
      <c r="A25" s="466">
        <v>223</v>
      </c>
      <c r="B25" s="467">
        <v>43293</v>
      </c>
      <c r="C25" s="468" t="s">
        <v>699</v>
      </c>
      <c r="D25" s="466" t="s">
        <v>625</v>
      </c>
      <c r="E25" s="469">
        <v>43281</v>
      </c>
      <c r="F25" s="468" t="s">
        <v>709</v>
      </c>
      <c r="G25" s="466" t="s">
        <v>750</v>
      </c>
      <c r="H25" s="470">
        <v>73.409090909090907</v>
      </c>
      <c r="I25" s="471"/>
      <c r="J25" s="471"/>
      <c r="K25" s="472"/>
      <c r="L25" s="466"/>
      <c r="M25" s="466"/>
      <c r="N25" s="466"/>
      <c r="O25" s="466"/>
      <c r="P25" s="466"/>
      <c r="Q25" s="466"/>
      <c r="R25" s="466"/>
      <c r="S25" s="466"/>
      <c r="T25" s="466"/>
      <c r="U25" s="466"/>
      <c r="V25" s="466"/>
      <c r="W25" s="470">
        <v>3.0909090909090904</v>
      </c>
      <c r="X25" s="471"/>
      <c r="Y25" s="471"/>
      <c r="Z25" s="471"/>
      <c r="AA25" s="471"/>
      <c r="AB25" s="471"/>
      <c r="AC25" s="471"/>
      <c r="AD25" s="471"/>
      <c r="AE25" s="471"/>
      <c r="AF25" s="471"/>
      <c r="AG25" s="471"/>
      <c r="AH25" s="471"/>
      <c r="AI25" s="471"/>
      <c r="AJ25" s="471"/>
      <c r="AK25" s="471"/>
      <c r="AL25" s="471"/>
      <c r="AM25" s="471"/>
      <c r="AN25" s="471"/>
      <c r="AO25" s="474" t="s">
        <v>703</v>
      </c>
      <c r="AP25" s="474"/>
      <c r="AQ25" s="474"/>
      <c r="AR25" s="474"/>
      <c r="AS25" s="466"/>
      <c r="AT25" s="474">
        <v>0</v>
      </c>
      <c r="AU25" s="474">
        <v>0</v>
      </c>
      <c r="AV25" s="474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>
        <v>0</v>
      </c>
      <c r="BC25" s="474">
        <v>0</v>
      </c>
      <c r="BD25" s="474">
        <v>0</v>
      </c>
      <c r="BE25" s="474">
        <v>0</v>
      </c>
      <c r="BF25" s="474"/>
      <c r="BG25" s="474" t="s">
        <v>703</v>
      </c>
      <c r="BH25" s="474">
        <v>12</v>
      </c>
      <c r="BI25" s="474" t="s">
        <v>703</v>
      </c>
      <c r="BJ25" s="474"/>
      <c r="BK25" s="474"/>
      <c r="BL25" s="474"/>
      <c r="BM25" s="468"/>
      <c r="BN25" s="466"/>
      <c r="BO25" s="480"/>
      <c r="BP25" s="474" t="s">
        <v>704</v>
      </c>
      <c r="BQ25" s="474"/>
      <c r="BR25" s="468"/>
      <c r="BS25" s="486" t="s">
        <v>780</v>
      </c>
      <c r="BT25" s="466" t="s">
        <v>495</v>
      </c>
    </row>
    <row r="26" spans="1:72" customFormat="1" ht="13" customHeight="1" x14ac:dyDescent="0.3">
      <c r="A26" s="466">
        <v>544</v>
      </c>
      <c r="B26" s="467">
        <v>43293</v>
      </c>
      <c r="C26" s="468" t="s">
        <v>699</v>
      </c>
      <c r="D26" s="466" t="s">
        <v>626</v>
      </c>
      <c r="E26" s="469">
        <v>43281</v>
      </c>
      <c r="F26" s="468" t="s">
        <v>709</v>
      </c>
      <c r="G26" s="466" t="s">
        <v>750</v>
      </c>
      <c r="H26" s="470">
        <v>75.899999999999991</v>
      </c>
      <c r="I26" s="471"/>
      <c r="J26" s="471"/>
      <c r="K26" s="472"/>
      <c r="L26" s="466"/>
      <c r="M26" s="466"/>
      <c r="N26" s="466"/>
      <c r="O26" s="466"/>
      <c r="P26" s="466"/>
      <c r="Q26" s="466"/>
      <c r="R26" s="466"/>
      <c r="S26" s="466"/>
      <c r="T26" s="466"/>
      <c r="U26" s="466"/>
      <c r="V26" s="466"/>
      <c r="W26" s="470">
        <v>2.9818181818181815</v>
      </c>
      <c r="X26" s="471"/>
      <c r="Y26" s="471"/>
      <c r="Z26" s="471"/>
      <c r="AA26" s="471"/>
      <c r="AB26" s="471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1"/>
      <c r="AO26" s="474" t="s">
        <v>703</v>
      </c>
      <c r="AP26" s="474"/>
      <c r="AQ26" s="474"/>
      <c r="AR26" s="474"/>
      <c r="AS26" s="466"/>
      <c r="AT26" s="474">
        <v>0</v>
      </c>
      <c r="AU26" s="474">
        <v>0</v>
      </c>
      <c r="AV26" s="474">
        <v>0</v>
      </c>
      <c r="AW26" s="474">
        <v>0</v>
      </c>
      <c r="AX26" s="474">
        <v>0</v>
      </c>
      <c r="AY26" s="474">
        <v>0</v>
      </c>
      <c r="AZ26" s="474">
        <v>0</v>
      </c>
      <c r="BA26" s="474">
        <v>0</v>
      </c>
      <c r="BB26" s="474">
        <v>0</v>
      </c>
      <c r="BC26" s="474">
        <v>0</v>
      </c>
      <c r="BD26" s="474">
        <v>0</v>
      </c>
      <c r="BE26" s="474">
        <v>0</v>
      </c>
      <c r="BF26" s="474"/>
      <c r="BG26" s="474" t="s">
        <v>703</v>
      </c>
      <c r="BH26" s="474">
        <v>12</v>
      </c>
      <c r="BI26" s="474" t="s">
        <v>703</v>
      </c>
      <c r="BJ26" s="474"/>
      <c r="BK26" s="474"/>
      <c r="BL26" s="474"/>
      <c r="BM26" s="468"/>
      <c r="BN26" s="466"/>
      <c r="BO26" s="480"/>
      <c r="BP26" s="474" t="s">
        <v>704</v>
      </c>
      <c r="BQ26" s="474"/>
      <c r="BR26" s="468"/>
      <c r="BS26" s="485" t="s">
        <v>781</v>
      </c>
      <c r="BT26" s="466" t="s">
        <v>495</v>
      </c>
    </row>
    <row r="27" spans="1:72" customFormat="1" ht="13" customHeight="1" x14ac:dyDescent="0.3">
      <c r="A27" s="466">
        <v>2356</v>
      </c>
      <c r="B27" s="467">
        <v>43293</v>
      </c>
      <c r="C27" s="468" t="s">
        <v>699</v>
      </c>
      <c r="D27" s="466" t="s">
        <v>626</v>
      </c>
      <c r="E27" s="481">
        <v>43281</v>
      </c>
      <c r="F27" s="468" t="s">
        <v>752</v>
      </c>
      <c r="G27" s="466" t="s">
        <v>672</v>
      </c>
      <c r="H27" s="470">
        <v>74</v>
      </c>
      <c r="I27" s="471"/>
      <c r="J27" s="471"/>
      <c r="K27" s="472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0">
        <v>2.7</v>
      </c>
      <c r="X27" s="471"/>
      <c r="Y27" s="471"/>
      <c r="Z27" s="471"/>
      <c r="AA27" s="471"/>
      <c r="AB27" s="471"/>
      <c r="AC27" s="471"/>
      <c r="AD27" s="471"/>
      <c r="AE27" s="471"/>
      <c r="AF27" s="471"/>
      <c r="AG27" s="471"/>
      <c r="AH27" s="471"/>
      <c r="AI27" s="471"/>
      <c r="AJ27" s="471"/>
      <c r="AK27" s="471"/>
      <c r="AL27" s="471"/>
      <c r="AM27" s="471"/>
      <c r="AN27" s="471"/>
      <c r="AO27" s="474" t="s">
        <v>703</v>
      </c>
      <c r="AP27" s="466"/>
      <c r="AQ27" s="466"/>
      <c r="AR27" s="466"/>
      <c r="AS27" s="466"/>
      <c r="AT27" s="474">
        <v>0</v>
      </c>
      <c r="AU27" s="474">
        <v>0</v>
      </c>
      <c r="AV27" s="474">
        <v>0</v>
      </c>
      <c r="AW27" s="474">
        <v>0</v>
      </c>
      <c r="AX27" s="474">
        <v>0</v>
      </c>
      <c r="AY27" s="474">
        <v>0</v>
      </c>
      <c r="AZ27" s="474">
        <v>0</v>
      </c>
      <c r="BA27" s="474">
        <v>0</v>
      </c>
      <c r="BB27" s="474">
        <v>0</v>
      </c>
      <c r="BC27" s="474">
        <v>0</v>
      </c>
      <c r="BD27" s="474">
        <v>0</v>
      </c>
      <c r="BE27" s="474">
        <v>0</v>
      </c>
      <c r="BF27" s="474"/>
      <c r="BG27" s="474" t="s">
        <v>703</v>
      </c>
      <c r="BH27" s="474"/>
      <c r="BI27" s="474" t="s">
        <v>703</v>
      </c>
      <c r="BJ27" s="474"/>
      <c r="BK27" s="474"/>
      <c r="BL27" s="482">
        <v>43707</v>
      </c>
      <c r="BM27" s="468"/>
      <c r="BN27" s="466"/>
      <c r="BO27" s="474"/>
      <c r="BP27" s="474" t="s">
        <v>704</v>
      </c>
      <c r="BQ27" s="474"/>
      <c r="BR27" s="468"/>
      <c r="BS27" s="485" t="s">
        <v>782</v>
      </c>
      <c r="BT27" s="466" t="s">
        <v>495</v>
      </c>
    </row>
    <row r="28" spans="1:72" customFormat="1" ht="13" customHeight="1" x14ac:dyDescent="0.3">
      <c r="A28" s="466">
        <v>3442</v>
      </c>
      <c r="B28" s="467">
        <v>43293</v>
      </c>
      <c r="C28" s="468" t="s">
        <v>699</v>
      </c>
      <c r="D28" s="466" t="s">
        <v>627</v>
      </c>
      <c r="E28" s="469">
        <v>43284</v>
      </c>
      <c r="F28" s="468" t="s">
        <v>700</v>
      </c>
      <c r="G28" s="466" t="s">
        <v>744</v>
      </c>
      <c r="H28" s="470">
        <v>99.545454545454533</v>
      </c>
      <c r="I28" s="471"/>
      <c r="J28" s="471"/>
      <c r="K28" s="472"/>
      <c r="L28" s="466"/>
      <c r="M28" s="466"/>
      <c r="N28" s="466"/>
      <c r="O28" s="466"/>
      <c r="P28" s="466"/>
      <c r="Q28" s="466"/>
      <c r="R28" s="466"/>
      <c r="S28" s="466"/>
      <c r="T28" s="466"/>
      <c r="U28" s="466"/>
      <c r="V28" s="466"/>
      <c r="W28" s="470">
        <v>2.2636363636363637</v>
      </c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71"/>
      <c r="AK28" s="471"/>
      <c r="AL28" s="471"/>
      <c r="AM28" s="471"/>
      <c r="AN28" s="471"/>
      <c r="AO28" s="474" t="s">
        <v>703</v>
      </c>
      <c r="AP28" s="474"/>
      <c r="AQ28" s="474"/>
      <c r="AR28" s="474"/>
      <c r="AS28" s="466"/>
      <c r="AT28" s="474">
        <v>0</v>
      </c>
      <c r="AU28" s="474">
        <v>0</v>
      </c>
      <c r="AV28" s="474">
        <v>0</v>
      </c>
      <c r="AW28" s="474">
        <v>0</v>
      </c>
      <c r="AX28" s="474">
        <v>0</v>
      </c>
      <c r="AY28" s="474">
        <v>0</v>
      </c>
      <c r="AZ28" s="474">
        <v>0</v>
      </c>
      <c r="BA28" s="474">
        <v>0</v>
      </c>
      <c r="BB28" s="474">
        <v>0</v>
      </c>
      <c r="BC28" s="474">
        <v>0</v>
      </c>
      <c r="BD28" s="474">
        <v>0</v>
      </c>
      <c r="BE28" s="474">
        <v>0</v>
      </c>
      <c r="BF28" s="474"/>
      <c r="BG28" s="474" t="s">
        <v>703</v>
      </c>
      <c r="BH28" s="474">
        <v>12</v>
      </c>
      <c r="BI28" s="474" t="s">
        <v>703</v>
      </c>
      <c r="BJ28" s="474"/>
      <c r="BK28" s="474"/>
      <c r="BL28" s="474"/>
      <c r="BM28" s="475" t="s">
        <v>745</v>
      </c>
      <c r="BN28" s="476" t="s">
        <v>633</v>
      </c>
      <c r="BO28" s="477">
        <v>75</v>
      </c>
      <c r="BP28" s="474" t="s">
        <v>704</v>
      </c>
      <c r="BQ28" s="474"/>
      <c r="BR28" s="468" t="s">
        <v>705</v>
      </c>
      <c r="BS28" s="486" t="s">
        <v>563</v>
      </c>
      <c r="BT28" s="466" t="s">
        <v>495</v>
      </c>
    </row>
    <row r="29" spans="1:72" customFormat="1" ht="13" customHeight="1" x14ac:dyDescent="0.3">
      <c r="A29" s="466">
        <v>545</v>
      </c>
      <c r="B29" s="467">
        <v>43293</v>
      </c>
      <c r="C29" s="468" t="s">
        <v>699</v>
      </c>
      <c r="D29" s="466" t="s">
        <v>627</v>
      </c>
      <c r="E29" s="469">
        <v>43281</v>
      </c>
      <c r="F29" s="468" t="s">
        <v>709</v>
      </c>
      <c r="G29" s="466" t="s">
        <v>750</v>
      </c>
      <c r="H29" s="470">
        <v>88.409090909090907</v>
      </c>
      <c r="I29" s="471"/>
      <c r="J29" s="471"/>
      <c r="K29" s="472"/>
      <c r="L29" s="466"/>
      <c r="M29" s="466"/>
      <c r="N29" s="466"/>
      <c r="O29" s="466"/>
      <c r="P29" s="466"/>
      <c r="Q29" s="466"/>
      <c r="R29" s="466"/>
      <c r="S29" s="466"/>
      <c r="T29" s="466"/>
      <c r="U29" s="466"/>
      <c r="V29" s="466"/>
      <c r="W29" s="470">
        <v>2.6545454545454543</v>
      </c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1"/>
      <c r="AM29" s="471"/>
      <c r="AN29" s="471"/>
      <c r="AO29" s="474" t="s">
        <v>703</v>
      </c>
      <c r="AP29" s="474"/>
      <c r="AQ29" s="474"/>
      <c r="AR29" s="474"/>
      <c r="AS29" s="466"/>
      <c r="AT29" s="474">
        <v>0</v>
      </c>
      <c r="AU29" s="474">
        <v>0</v>
      </c>
      <c r="AV29" s="474">
        <v>0</v>
      </c>
      <c r="AW29" s="474">
        <v>0</v>
      </c>
      <c r="AX29" s="474">
        <v>0</v>
      </c>
      <c r="AY29" s="474">
        <v>0</v>
      </c>
      <c r="AZ29" s="474">
        <v>0</v>
      </c>
      <c r="BA29" s="474">
        <v>0</v>
      </c>
      <c r="BB29" s="474">
        <v>0</v>
      </c>
      <c r="BC29" s="474">
        <v>0</v>
      </c>
      <c r="BD29" s="474">
        <v>0</v>
      </c>
      <c r="BE29" s="474">
        <v>0</v>
      </c>
      <c r="BF29" s="474"/>
      <c r="BG29" s="474" t="s">
        <v>703</v>
      </c>
      <c r="BH29" s="474">
        <v>12</v>
      </c>
      <c r="BI29" s="474" t="s">
        <v>703</v>
      </c>
      <c r="BJ29" s="474"/>
      <c r="BK29" s="474"/>
      <c r="BL29" s="474"/>
      <c r="BM29" s="468"/>
      <c r="BN29" s="466"/>
      <c r="BO29" s="480"/>
      <c r="BP29" s="474" t="s">
        <v>704</v>
      </c>
      <c r="BQ29" s="474"/>
      <c r="BR29" s="468"/>
      <c r="BS29" s="485" t="s">
        <v>783</v>
      </c>
      <c r="BT29" s="466" t="s">
        <v>572</v>
      </c>
    </row>
    <row r="30" spans="1:72" customFormat="1" ht="13" customHeight="1" x14ac:dyDescent="0.3">
      <c r="A30" s="466">
        <v>546</v>
      </c>
      <c r="B30" s="467">
        <v>43293</v>
      </c>
      <c r="C30" s="468" t="s">
        <v>699</v>
      </c>
      <c r="D30" s="466" t="s">
        <v>628</v>
      </c>
      <c r="E30" s="469">
        <v>43281</v>
      </c>
      <c r="F30" s="468" t="s">
        <v>709</v>
      </c>
      <c r="G30" s="466" t="s">
        <v>750</v>
      </c>
      <c r="H30" s="470">
        <v>59</v>
      </c>
      <c r="I30" s="471"/>
      <c r="J30" s="471"/>
      <c r="K30" s="472"/>
      <c r="L30" s="466"/>
      <c r="M30" s="466"/>
      <c r="N30" s="466"/>
      <c r="O30" s="466"/>
      <c r="P30" s="466"/>
      <c r="Q30" s="466"/>
      <c r="R30" s="466"/>
      <c r="S30" s="466"/>
      <c r="T30" s="466"/>
      <c r="U30" s="466"/>
      <c r="V30" s="466"/>
      <c r="W30" s="470">
        <v>4.1090909090909085</v>
      </c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4" t="s">
        <v>703</v>
      </c>
      <c r="AP30" s="474"/>
      <c r="AQ30" s="474"/>
      <c r="AR30" s="474"/>
      <c r="AS30" s="466"/>
      <c r="AT30" s="474">
        <v>0</v>
      </c>
      <c r="AU30" s="474">
        <v>0</v>
      </c>
      <c r="AV30" s="474">
        <v>0</v>
      </c>
      <c r="AW30" s="474">
        <v>0</v>
      </c>
      <c r="AX30" s="474">
        <v>0</v>
      </c>
      <c r="AY30" s="474">
        <v>0</v>
      </c>
      <c r="AZ30" s="474">
        <v>0</v>
      </c>
      <c r="BA30" s="474">
        <v>0</v>
      </c>
      <c r="BB30" s="474">
        <v>0</v>
      </c>
      <c r="BC30" s="474">
        <v>0</v>
      </c>
      <c r="BD30" s="474">
        <v>0</v>
      </c>
      <c r="BE30" s="474">
        <v>0</v>
      </c>
      <c r="BF30" s="474"/>
      <c r="BG30" s="474" t="s">
        <v>703</v>
      </c>
      <c r="BH30" s="474">
        <v>12</v>
      </c>
      <c r="BI30" s="474" t="s">
        <v>703</v>
      </c>
      <c r="BJ30" s="474"/>
      <c r="BK30" s="474"/>
      <c r="BL30" s="474"/>
      <c r="BM30" s="468"/>
      <c r="BN30" s="466"/>
      <c r="BO30" s="480"/>
      <c r="BP30" s="474" t="s">
        <v>704</v>
      </c>
      <c r="BQ30" s="474"/>
      <c r="BR30" s="468"/>
      <c r="BS30" s="485" t="s">
        <v>784</v>
      </c>
      <c r="BT30" s="466" t="s">
        <v>495</v>
      </c>
    </row>
    <row r="37" spans="4:4" x14ac:dyDescent="0.3">
      <c r="D37"/>
    </row>
    <row r="38" spans="4:4" x14ac:dyDescent="0.3">
      <c r="D38"/>
    </row>
    <row r="39" spans="4:4" x14ac:dyDescent="0.3">
      <c r="D39"/>
    </row>
    <row r="40" spans="4:4" x14ac:dyDescent="0.3">
      <c r="D40"/>
    </row>
    <row r="41" spans="4:4" x14ac:dyDescent="0.3">
      <c r="D41"/>
    </row>
    <row r="42" spans="4:4" x14ac:dyDescent="0.3">
      <c r="D42"/>
    </row>
    <row r="43" spans="4:4" x14ac:dyDescent="0.3">
      <c r="D43"/>
    </row>
    <row r="44" spans="4:4" x14ac:dyDescent="0.3">
      <c r="D44"/>
    </row>
    <row r="45" spans="4:4" x14ac:dyDescent="0.3">
      <c r="D45"/>
    </row>
    <row r="46" spans="4:4" x14ac:dyDescent="0.3">
      <c r="D46"/>
    </row>
    <row r="47" spans="4:4" x14ac:dyDescent="0.3">
      <c r="D47"/>
    </row>
    <row r="48" spans="4:4" x14ac:dyDescent="0.3">
      <c r="D48"/>
    </row>
  </sheetData>
  <sheetProtection algorithmName="SHA-512" hashValue="AhHoKgG3N8K9+iYNd/DUzcrQV//ZirrsRgqGHhx0g4RQFpGIoWBnFTMWh5libIWABwZZrpLUt0ReCNUzjybQQA==" saltValue="MWU6c7tC3Fp6as9qyFGrLA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4FD3F-E49B-BC4E-8EB9-8148140BBD1A}">
  <sheetPr codeName="Sheet33"/>
  <dimension ref="A1:BU48"/>
  <sheetViews>
    <sheetView topLeftCell="F1" zoomScaleNormal="120" workbookViewId="0">
      <selection activeCell="K20" sqref="K20:N21"/>
    </sheetView>
  </sheetViews>
  <sheetFormatPr defaultColWidth="10.84375" defaultRowHeight="13.5" x14ac:dyDescent="0.3"/>
  <cols>
    <col min="1" max="1" width="7.15234375" style="287" customWidth="1"/>
    <col min="2" max="2" width="10.84375" style="287"/>
    <col min="3" max="3" width="6.3046875" style="287" customWidth="1"/>
    <col min="4" max="4" width="30.4609375" style="287" bestFit="1" customWidth="1"/>
    <col min="5" max="5" width="10.84375" style="287"/>
    <col min="6" max="6" width="16.15234375" style="287" customWidth="1"/>
    <col min="7" max="7" width="16.4609375" style="287" customWidth="1"/>
    <col min="8" max="64" width="10.84375" style="287"/>
    <col min="65" max="65" width="50.69140625" style="287" customWidth="1"/>
    <col min="66" max="66" width="12.15234375" style="287" customWidth="1"/>
    <col min="67" max="67" width="10.84375" style="287" customWidth="1"/>
    <col min="68" max="69" width="10.84375" style="287"/>
    <col min="70" max="70" width="20.4609375" style="287" customWidth="1"/>
    <col min="71" max="71" width="88.15234375" style="287" customWidth="1"/>
    <col min="72" max="16384" width="10.84375" style="287"/>
  </cols>
  <sheetData>
    <row r="1" spans="1:73" ht="54" x14ac:dyDescent="0.3">
      <c r="A1" s="262" t="s">
        <v>209</v>
      </c>
      <c r="B1" s="262" t="s">
        <v>366</v>
      </c>
      <c r="C1" s="263" t="s">
        <v>257</v>
      </c>
      <c r="D1" s="264" t="s">
        <v>258</v>
      </c>
      <c r="E1" s="262" t="s">
        <v>259</v>
      </c>
      <c r="F1" s="263" t="s">
        <v>267</v>
      </c>
      <c r="G1" s="264" t="s">
        <v>260</v>
      </c>
      <c r="H1" s="265" t="s">
        <v>268</v>
      </c>
      <c r="I1" s="266" t="s">
        <v>647</v>
      </c>
      <c r="J1" s="267" t="s">
        <v>648</v>
      </c>
      <c r="K1" s="268" t="s">
        <v>261</v>
      </c>
      <c r="L1" s="268" t="s">
        <v>262</v>
      </c>
      <c r="M1" s="268" t="s">
        <v>263</v>
      </c>
      <c r="N1" s="268" t="s">
        <v>264</v>
      </c>
      <c r="O1" s="268" t="s">
        <v>265</v>
      </c>
      <c r="P1" s="269" t="s">
        <v>266</v>
      </c>
      <c r="Q1" s="270" t="s">
        <v>649</v>
      </c>
      <c r="R1" s="270" t="s">
        <v>650</v>
      </c>
      <c r="S1" s="270" t="s">
        <v>651</v>
      </c>
      <c r="T1" s="270" t="s">
        <v>652</v>
      </c>
      <c r="U1" s="270" t="s">
        <v>653</v>
      </c>
      <c r="V1" s="271" t="s">
        <v>654</v>
      </c>
      <c r="W1" s="272" t="s">
        <v>655</v>
      </c>
      <c r="X1" s="272" t="s">
        <v>317</v>
      </c>
      <c r="Y1" s="272" t="s">
        <v>318</v>
      </c>
      <c r="Z1" s="272" t="s">
        <v>319</v>
      </c>
      <c r="AA1" s="272" t="s">
        <v>320</v>
      </c>
      <c r="AB1" s="273" t="s">
        <v>321</v>
      </c>
      <c r="AC1" s="274" t="s">
        <v>322</v>
      </c>
      <c r="AD1" s="274" t="s">
        <v>323</v>
      </c>
      <c r="AE1" s="274" t="s">
        <v>324</v>
      </c>
      <c r="AF1" s="274" t="s">
        <v>428</v>
      </c>
      <c r="AG1" s="274" t="s">
        <v>429</v>
      </c>
      <c r="AH1" s="275" t="s">
        <v>430</v>
      </c>
      <c r="AI1" s="276" t="s">
        <v>431</v>
      </c>
      <c r="AJ1" s="276" t="s">
        <v>331</v>
      </c>
      <c r="AK1" s="276" t="s">
        <v>332</v>
      </c>
      <c r="AL1" s="276" t="s">
        <v>333</v>
      </c>
      <c r="AM1" s="276" t="s">
        <v>334</v>
      </c>
      <c r="AN1" s="277" t="s">
        <v>335</v>
      </c>
      <c r="AO1" s="278" t="s">
        <v>336</v>
      </c>
      <c r="AP1" s="278" t="s">
        <v>337</v>
      </c>
      <c r="AQ1" s="278" t="s">
        <v>338</v>
      </c>
      <c r="AR1" s="279" t="s">
        <v>229</v>
      </c>
      <c r="AS1" s="280" t="s">
        <v>656</v>
      </c>
      <c r="AT1" s="281" t="s">
        <v>230</v>
      </c>
      <c r="AU1" s="282" t="s">
        <v>231</v>
      </c>
      <c r="AV1" s="281" t="s">
        <v>232</v>
      </c>
      <c r="AW1" s="272" t="s">
        <v>340</v>
      </c>
      <c r="AX1" s="283" t="s">
        <v>440</v>
      </c>
      <c r="AY1" s="272" t="s">
        <v>441</v>
      </c>
      <c r="AZ1" s="283" t="s">
        <v>442</v>
      </c>
      <c r="BA1" s="273" t="s">
        <v>443</v>
      </c>
      <c r="BB1" s="281" t="s">
        <v>549</v>
      </c>
      <c r="BC1" s="284" t="s">
        <v>550</v>
      </c>
      <c r="BD1" s="283" t="s">
        <v>444</v>
      </c>
      <c r="BE1" s="273" t="s">
        <v>445</v>
      </c>
      <c r="BF1" s="262" t="s">
        <v>446</v>
      </c>
      <c r="BG1" s="285" t="s">
        <v>447</v>
      </c>
      <c r="BH1" s="286" t="s">
        <v>249</v>
      </c>
      <c r="BI1" s="285" t="s">
        <v>250</v>
      </c>
      <c r="BJ1" s="285" t="s">
        <v>551</v>
      </c>
      <c r="BK1" s="285" t="s">
        <v>552</v>
      </c>
      <c r="BL1" s="285" t="s">
        <v>553</v>
      </c>
      <c r="BM1" s="262" t="s">
        <v>251</v>
      </c>
      <c r="BN1" s="263" t="s">
        <v>252</v>
      </c>
      <c r="BO1" s="285" t="s">
        <v>353</v>
      </c>
      <c r="BP1" s="285" t="s">
        <v>354</v>
      </c>
      <c r="BQ1" s="285" t="s">
        <v>657</v>
      </c>
      <c r="BR1" s="263" t="s">
        <v>355</v>
      </c>
      <c r="BS1" s="285" t="s">
        <v>356</v>
      </c>
      <c r="BT1" s="262" t="s">
        <v>357</v>
      </c>
    </row>
    <row r="2" spans="1:73" customFormat="1" ht="13" customHeight="1" x14ac:dyDescent="0.3">
      <c r="A2" s="466">
        <v>3077</v>
      </c>
      <c r="B2" s="467">
        <v>42931</v>
      </c>
      <c r="C2" s="468" t="s">
        <v>699</v>
      </c>
      <c r="D2" s="466" t="s">
        <v>608</v>
      </c>
      <c r="E2" s="469">
        <v>42928</v>
      </c>
      <c r="F2" s="468" t="s">
        <v>700</v>
      </c>
      <c r="G2" s="466" t="s">
        <v>701</v>
      </c>
      <c r="H2" s="470">
        <v>56.590909090909086</v>
      </c>
      <c r="I2" s="471"/>
      <c r="J2" s="471"/>
      <c r="K2" s="472" t="s">
        <v>702</v>
      </c>
      <c r="L2" s="473">
        <v>1200</v>
      </c>
      <c r="M2" s="473">
        <v>1200</v>
      </c>
      <c r="N2" s="473">
        <v>3000</v>
      </c>
      <c r="O2" s="473">
        <v>160000</v>
      </c>
      <c r="P2" s="466">
        <v>658000</v>
      </c>
      <c r="Q2" s="466"/>
      <c r="R2" s="466"/>
      <c r="S2" s="466"/>
      <c r="T2" s="466"/>
      <c r="U2" s="466"/>
      <c r="V2" s="466"/>
      <c r="W2" s="470">
        <v>2.709090909090909</v>
      </c>
      <c r="X2" s="470">
        <v>2.3636363636363633</v>
      </c>
      <c r="Y2" s="470">
        <v>2.2545454545454544</v>
      </c>
      <c r="Z2" s="470">
        <v>2.1818181818181817</v>
      </c>
      <c r="AA2" s="470">
        <v>2.0181818181818181</v>
      </c>
      <c r="AB2" s="470">
        <v>1.8181818181818181</v>
      </c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4" t="s">
        <v>703</v>
      </c>
      <c r="AP2" s="474"/>
      <c r="AQ2" s="474"/>
      <c r="AR2" s="474"/>
      <c r="AS2" s="466"/>
      <c r="AT2" s="474">
        <v>0</v>
      </c>
      <c r="AU2" s="474">
        <v>0</v>
      </c>
      <c r="AV2" s="474">
        <v>0</v>
      </c>
      <c r="AW2" s="474">
        <v>0</v>
      </c>
      <c r="AX2" s="474">
        <v>0</v>
      </c>
      <c r="AY2" s="474">
        <v>0</v>
      </c>
      <c r="AZ2" s="474">
        <v>0</v>
      </c>
      <c r="BA2" s="474">
        <v>0</v>
      </c>
      <c r="BB2" s="474">
        <v>0</v>
      </c>
      <c r="BC2" s="474">
        <v>0</v>
      </c>
      <c r="BD2" s="474">
        <v>0</v>
      </c>
      <c r="BE2" s="474">
        <v>0</v>
      </c>
      <c r="BF2" s="474"/>
      <c r="BG2" s="474" t="s">
        <v>703</v>
      </c>
      <c r="BH2" s="474">
        <v>12</v>
      </c>
      <c r="BI2" s="474" t="s">
        <v>703</v>
      </c>
      <c r="BJ2" s="474"/>
      <c r="BK2" s="474">
        <v>12</v>
      </c>
      <c r="BL2" s="474"/>
      <c r="BM2" s="475"/>
      <c r="BN2" s="476"/>
      <c r="BO2" s="477"/>
      <c r="BP2" s="474" t="s">
        <v>704</v>
      </c>
      <c r="BQ2" s="474"/>
      <c r="BR2" s="468" t="s">
        <v>705</v>
      </c>
      <c r="BS2" s="478" t="s">
        <v>706</v>
      </c>
      <c r="BT2" s="466" t="s">
        <v>505</v>
      </c>
    </row>
    <row r="3" spans="1:73" customFormat="1" ht="13" customHeight="1" x14ac:dyDescent="0.3">
      <c r="A3" s="466">
        <v>2558</v>
      </c>
      <c r="B3" s="467">
        <v>42932</v>
      </c>
      <c r="C3" s="479" t="s">
        <v>565</v>
      </c>
      <c r="D3" s="466" t="s">
        <v>608</v>
      </c>
      <c r="E3" s="469">
        <v>42916</v>
      </c>
      <c r="F3" s="468" t="s">
        <v>641</v>
      </c>
      <c r="G3" s="466" t="s">
        <v>665</v>
      </c>
      <c r="H3" s="470">
        <v>42.5</v>
      </c>
      <c r="I3" s="471"/>
      <c r="J3" s="471"/>
      <c r="K3" s="472" t="s">
        <v>702</v>
      </c>
      <c r="L3" s="473">
        <v>1200</v>
      </c>
      <c r="M3" s="473">
        <v>1200</v>
      </c>
      <c r="N3" s="466">
        <v>3000</v>
      </c>
      <c r="O3" s="466">
        <v>160000</v>
      </c>
      <c r="P3" s="466">
        <v>658000</v>
      </c>
      <c r="Q3" s="466"/>
      <c r="R3" s="466"/>
      <c r="S3" s="466"/>
      <c r="T3" s="466"/>
      <c r="U3" s="466"/>
      <c r="V3" s="466"/>
      <c r="W3" s="470">
        <v>2.7727272727272725</v>
      </c>
      <c r="X3" s="470">
        <v>1.8272727272727269</v>
      </c>
      <c r="Y3" s="470">
        <v>1.718181818181818</v>
      </c>
      <c r="Z3" s="470">
        <v>1.6909090909090909</v>
      </c>
      <c r="AA3" s="470">
        <v>1.6181818181818182</v>
      </c>
      <c r="AB3" s="470">
        <v>1.3363636363636362</v>
      </c>
      <c r="AC3" s="471"/>
      <c r="AD3" s="471"/>
      <c r="AE3" s="471"/>
      <c r="AF3" s="471"/>
      <c r="AG3" s="471"/>
      <c r="AH3" s="471"/>
      <c r="AI3" s="471"/>
      <c r="AJ3" s="471"/>
      <c r="AK3" s="471"/>
      <c r="AL3" s="471"/>
      <c r="AM3" s="471"/>
      <c r="AN3" s="471"/>
      <c r="AO3" s="474" t="s">
        <v>569</v>
      </c>
      <c r="AP3" s="474"/>
      <c r="AQ3" s="474"/>
      <c r="AR3" s="474"/>
      <c r="AS3" s="466"/>
      <c r="AT3" s="474">
        <v>0</v>
      </c>
      <c r="AU3" s="474">
        <v>0</v>
      </c>
      <c r="AV3" s="474">
        <v>0</v>
      </c>
      <c r="AW3" s="474">
        <v>0</v>
      </c>
      <c r="AX3" s="474">
        <v>0</v>
      </c>
      <c r="AY3" s="474">
        <v>0</v>
      </c>
      <c r="AZ3" s="474">
        <v>0</v>
      </c>
      <c r="BA3" s="474">
        <v>0</v>
      </c>
      <c r="BB3" s="474">
        <v>0</v>
      </c>
      <c r="BC3" s="474">
        <v>0</v>
      </c>
      <c r="BD3" s="474">
        <v>0</v>
      </c>
      <c r="BE3" s="474">
        <v>0</v>
      </c>
      <c r="BF3" s="474"/>
      <c r="BG3" s="474" t="s">
        <v>703</v>
      </c>
      <c r="BH3" s="474"/>
      <c r="BI3" s="474" t="s">
        <v>703</v>
      </c>
      <c r="BJ3" s="474"/>
      <c r="BK3" s="474"/>
      <c r="BL3" s="474"/>
      <c r="BM3" s="468"/>
      <c r="BN3" s="466"/>
      <c r="BO3" s="474"/>
      <c r="BP3" s="474" t="s">
        <v>579</v>
      </c>
      <c r="BQ3" s="474"/>
      <c r="BR3" s="468"/>
      <c r="BS3" s="478" t="s">
        <v>707</v>
      </c>
      <c r="BT3" s="466" t="s">
        <v>495</v>
      </c>
    </row>
    <row r="4" spans="1:73" customFormat="1" ht="13" customHeight="1" x14ac:dyDescent="0.3">
      <c r="A4" s="466">
        <v>2106</v>
      </c>
      <c r="B4" s="467">
        <v>42932</v>
      </c>
      <c r="C4" s="468" t="s">
        <v>699</v>
      </c>
      <c r="D4" s="466" t="s">
        <v>608</v>
      </c>
      <c r="E4" s="469">
        <v>42916</v>
      </c>
      <c r="F4" s="468" t="s">
        <v>708</v>
      </c>
      <c r="G4" s="466" t="s">
        <v>615</v>
      </c>
      <c r="H4" s="470">
        <v>60.399999999999991</v>
      </c>
      <c r="I4" s="471"/>
      <c r="J4" s="471"/>
      <c r="K4" s="472" t="s">
        <v>702</v>
      </c>
      <c r="L4" s="473">
        <v>1242.72</v>
      </c>
      <c r="M4" s="473">
        <v>1223.04</v>
      </c>
      <c r="N4" s="473">
        <v>2958.9</v>
      </c>
      <c r="O4" s="473">
        <v>159287.64000000001</v>
      </c>
      <c r="P4" s="473">
        <v>657863.04</v>
      </c>
      <c r="Q4" s="473"/>
      <c r="R4" s="473"/>
      <c r="S4" s="473"/>
      <c r="T4" s="473"/>
      <c r="U4" s="473"/>
      <c r="V4" s="473"/>
      <c r="W4" s="470">
        <v>3.7818181818181817</v>
      </c>
      <c r="X4" s="470">
        <v>2.6363636363636362</v>
      </c>
      <c r="Y4" s="470">
        <v>2.5181818181818181</v>
      </c>
      <c r="Z4" s="470">
        <v>2.418181818181818</v>
      </c>
      <c r="AA4" s="470">
        <v>2.3454545454545452</v>
      </c>
      <c r="AB4" s="470">
        <v>2.0818181818181816</v>
      </c>
      <c r="AC4" s="471"/>
      <c r="AD4" s="471"/>
      <c r="AE4" s="471"/>
      <c r="AF4" s="471"/>
      <c r="AG4" s="471"/>
      <c r="AH4" s="471"/>
      <c r="AI4" s="471"/>
      <c r="AJ4" s="471"/>
      <c r="AK4" s="471"/>
      <c r="AL4" s="471"/>
      <c r="AM4" s="471"/>
      <c r="AN4" s="471"/>
      <c r="AO4" s="474" t="s">
        <v>703</v>
      </c>
      <c r="AP4" s="466"/>
      <c r="AQ4" s="466"/>
      <c r="AR4" s="466"/>
      <c r="AS4" s="466"/>
      <c r="AT4" s="474">
        <v>16</v>
      </c>
      <c r="AU4" s="474">
        <v>0</v>
      </c>
      <c r="AV4" s="474">
        <v>0</v>
      </c>
      <c r="AW4" s="474">
        <v>0</v>
      </c>
      <c r="AX4" s="474">
        <v>0</v>
      </c>
      <c r="AY4" s="474">
        <v>0</v>
      </c>
      <c r="AZ4" s="474">
        <v>0</v>
      </c>
      <c r="BA4" s="474">
        <v>0</v>
      </c>
      <c r="BB4" s="474">
        <v>0</v>
      </c>
      <c r="BC4" s="474">
        <v>0</v>
      </c>
      <c r="BD4" s="474">
        <v>0</v>
      </c>
      <c r="BE4" s="474">
        <v>0</v>
      </c>
      <c r="BF4" s="474"/>
      <c r="BG4" s="474" t="s">
        <v>703</v>
      </c>
      <c r="BH4" s="474">
        <v>12</v>
      </c>
      <c r="BI4" s="474" t="s">
        <v>703</v>
      </c>
      <c r="BJ4" s="474"/>
      <c r="BK4" s="474">
        <v>12</v>
      </c>
      <c r="BL4" s="474"/>
      <c r="BM4" s="468"/>
      <c r="BN4" s="466"/>
      <c r="BO4" s="474"/>
      <c r="BP4" s="474" t="s">
        <v>704</v>
      </c>
      <c r="BQ4" s="474"/>
      <c r="BR4" s="468"/>
      <c r="BS4" s="329" t="s">
        <v>667</v>
      </c>
      <c r="BT4" s="466" t="s">
        <v>495</v>
      </c>
    </row>
    <row r="5" spans="1:73" customFormat="1" ht="13" customHeight="1" x14ac:dyDescent="0.3">
      <c r="A5" s="466">
        <v>2836</v>
      </c>
      <c r="B5" s="467">
        <v>42932</v>
      </c>
      <c r="C5" s="468" t="s">
        <v>699</v>
      </c>
      <c r="D5" s="466" t="s">
        <v>608</v>
      </c>
      <c r="E5" s="469">
        <v>42916</v>
      </c>
      <c r="F5" s="468" t="s">
        <v>709</v>
      </c>
      <c r="G5" s="466" t="s">
        <v>710</v>
      </c>
      <c r="H5" s="470">
        <v>55.845454545454544</v>
      </c>
      <c r="I5" s="471"/>
      <c r="J5" s="471"/>
      <c r="K5" s="472" t="s">
        <v>702</v>
      </c>
      <c r="L5" s="473">
        <v>1242</v>
      </c>
      <c r="M5" s="473">
        <v>163440</v>
      </c>
      <c r="N5" s="473"/>
      <c r="O5" s="473"/>
      <c r="P5" s="473"/>
      <c r="Q5" s="473"/>
      <c r="R5" s="473"/>
      <c r="S5" s="473"/>
      <c r="T5" s="473"/>
      <c r="U5" s="473"/>
      <c r="V5" s="473"/>
      <c r="W5" s="470">
        <v>3.3818181818181818</v>
      </c>
      <c r="X5" s="470">
        <v>2.2272727272727271</v>
      </c>
      <c r="Y5" s="470">
        <v>1.9818181818181817</v>
      </c>
      <c r="Z5" s="471"/>
      <c r="AA5" s="471"/>
      <c r="AB5" s="471"/>
      <c r="AC5" s="471"/>
      <c r="AD5" s="471"/>
      <c r="AE5" s="471"/>
      <c r="AF5" s="471"/>
      <c r="AG5" s="471"/>
      <c r="AH5" s="471"/>
      <c r="AI5" s="471"/>
      <c r="AJ5" s="471"/>
      <c r="AK5" s="471"/>
      <c r="AL5" s="471"/>
      <c r="AM5" s="471"/>
      <c r="AN5" s="471"/>
      <c r="AO5" s="474" t="s">
        <v>703</v>
      </c>
      <c r="AP5" s="474"/>
      <c r="AQ5" s="474"/>
      <c r="AR5" s="474"/>
      <c r="AS5" s="466"/>
      <c r="AT5" s="474">
        <v>0</v>
      </c>
      <c r="AU5" s="474">
        <v>0</v>
      </c>
      <c r="AV5" s="474">
        <v>0</v>
      </c>
      <c r="AW5" s="474">
        <v>0</v>
      </c>
      <c r="AX5" s="474">
        <v>0</v>
      </c>
      <c r="AY5" s="474">
        <v>0</v>
      </c>
      <c r="AZ5" s="474">
        <v>0</v>
      </c>
      <c r="BA5" s="474">
        <v>0</v>
      </c>
      <c r="BB5" s="474">
        <v>0</v>
      </c>
      <c r="BC5" s="474">
        <v>0</v>
      </c>
      <c r="BD5" s="474">
        <v>0</v>
      </c>
      <c r="BE5" s="474">
        <v>0</v>
      </c>
      <c r="BF5" s="474"/>
      <c r="BG5" s="474" t="s">
        <v>703</v>
      </c>
      <c r="BH5" s="474">
        <v>12</v>
      </c>
      <c r="BI5" s="474" t="s">
        <v>703</v>
      </c>
      <c r="BJ5" s="474"/>
      <c r="BK5" s="474">
        <v>12</v>
      </c>
      <c r="BL5" s="474"/>
      <c r="BM5" s="468"/>
      <c r="BN5" s="466"/>
      <c r="BO5" s="480"/>
      <c r="BP5" s="474" t="s">
        <v>704</v>
      </c>
      <c r="BQ5" s="474"/>
      <c r="BR5" s="468"/>
      <c r="BS5" s="478" t="s">
        <v>671</v>
      </c>
      <c r="BT5" s="466" t="s">
        <v>495</v>
      </c>
    </row>
    <row r="6" spans="1:73" customFormat="1" ht="13" customHeight="1" x14ac:dyDescent="0.3">
      <c r="A6" s="466">
        <v>2357</v>
      </c>
      <c r="B6" s="467">
        <v>42932</v>
      </c>
      <c r="C6" s="468" t="s">
        <v>485</v>
      </c>
      <c r="D6" s="466" t="s">
        <v>608</v>
      </c>
      <c r="E6" s="481">
        <v>42916</v>
      </c>
      <c r="F6" s="468" t="s">
        <v>521</v>
      </c>
      <c r="G6" s="466" t="s">
        <v>672</v>
      </c>
      <c r="H6" s="470">
        <v>59.990909090909085</v>
      </c>
      <c r="I6" s="471"/>
      <c r="J6" s="471"/>
      <c r="K6" s="472" t="s">
        <v>500</v>
      </c>
      <c r="L6" s="473">
        <v>1242</v>
      </c>
      <c r="M6" s="473">
        <v>1222</v>
      </c>
      <c r="N6" s="473">
        <v>2958</v>
      </c>
      <c r="O6" s="473">
        <v>159287</v>
      </c>
      <c r="P6" s="473">
        <v>657863</v>
      </c>
      <c r="Q6" s="473"/>
      <c r="R6" s="473"/>
      <c r="S6" s="473"/>
      <c r="T6" s="473"/>
      <c r="U6" s="473"/>
      <c r="V6" s="473"/>
      <c r="W6" s="470">
        <v>2.9909090909090907</v>
      </c>
      <c r="X6" s="470">
        <v>2.3818181818181818</v>
      </c>
      <c r="Y6" s="470">
        <v>2.1818181818181817</v>
      </c>
      <c r="Z6" s="470">
        <v>1.9818181818181817</v>
      </c>
      <c r="AA6" s="470">
        <v>1.9545454545454544</v>
      </c>
      <c r="AB6" s="470">
        <v>1.8818181818181816</v>
      </c>
      <c r="AC6" s="471"/>
      <c r="AD6" s="471"/>
      <c r="AE6" s="471"/>
      <c r="AF6" s="471"/>
      <c r="AG6" s="471"/>
      <c r="AH6" s="471"/>
      <c r="AI6" s="471"/>
      <c r="AJ6" s="471"/>
      <c r="AK6" s="471"/>
      <c r="AL6" s="471"/>
      <c r="AM6" s="471"/>
      <c r="AN6" s="471"/>
      <c r="AO6" s="474" t="s">
        <v>489</v>
      </c>
      <c r="AP6" s="466"/>
      <c r="AQ6" s="466"/>
      <c r="AR6" s="466"/>
      <c r="AS6" s="466"/>
      <c r="AT6" s="474">
        <v>0</v>
      </c>
      <c r="AU6" s="474">
        <v>0</v>
      </c>
      <c r="AV6" s="474">
        <v>0</v>
      </c>
      <c r="AW6" s="474">
        <v>0</v>
      </c>
      <c r="AX6" s="474">
        <v>0</v>
      </c>
      <c r="AY6" s="474">
        <v>0</v>
      </c>
      <c r="AZ6" s="474">
        <v>0</v>
      </c>
      <c r="BA6" s="474">
        <v>0</v>
      </c>
      <c r="BB6" s="474">
        <v>0</v>
      </c>
      <c r="BC6" s="474">
        <v>0</v>
      </c>
      <c r="BD6" s="474">
        <v>0</v>
      </c>
      <c r="BE6" s="474">
        <v>0</v>
      </c>
      <c r="BF6" s="474"/>
      <c r="BG6" s="474" t="s">
        <v>489</v>
      </c>
      <c r="BH6" s="474"/>
      <c r="BI6" s="474" t="s">
        <v>489</v>
      </c>
      <c r="BJ6" s="474"/>
      <c r="BK6" s="474"/>
      <c r="BL6" s="482">
        <v>43464</v>
      </c>
      <c r="BM6" s="468"/>
      <c r="BN6" s="466"/>
      <c r="BO6" s="474"/>
      <c r="BP6" s="474" t="s">
        <v>493</v>
      </c>
      <c r="BQ6" s="474"/>
      <c r="BR6" s="468"/>
      <c r="BS6" s="483" t="s">
        <v>673</v>
      </c>
      <c r="BT6" s="466" t="s">
        <v>495</v>
      </c>
    </row>
    <row r="7" spans="1:73" customFormat="1" ht="13" customHeight="1" x14ac:dyDescent="0.3">
      <c r="A7" s="466">
        <v>2687</v>
      </c>
      <c r="B7" s="467">
        <v>42932</v>
      </c>
      <c r="C7" s="479" t="s">
        <v>565</v>
      </c>
      <c r="D7" s="466" t="s">
        <v>608</v>
      </c>
      <c r="E7" s="481">
        <v>42916</v>
      </c>
      <c r="F7" s="468" t="s">
        <v>617</v>
      </c>
      <c r="G7" s="466" t="s">
        <v>678</v>
      </c>
      <c r="H7" s="470">
        <v>52.999999999999993</v>
      </c>
      <c r="I7" s="471"/>
      <c r="J7" s="471"/>
      <c r="K7" s="472" t="s">
        <v>500</v>
      </c>
      <c r="L7" s="466">
        <v>1240</v>
      </c>
      <c r="M7" s="466">
        <v>1220</v>
      </c>
      <c r="N7" s="466">
        <v>2960</v>
      </c>
      <c r="O7" s="466">
        <v>159300</v>
      </c>
      <c r="P7" s="466">
        <v>657900</v>
      </c>
      <c r="Q7" s="466"/>
      <c r="R7" s="466"/>
      <c r="S7" s="466"/>
      <c r="T7" s="466"/>
      <c r="U7" s="466"/>
      <c r="V7" s="466"/>
      <c r="W7" s="470">
        <v>3.4090909090909087</v>
      </c>
      <c r="X7" s="470">
        <v>2.2727272727272725</v>
      </c>
      <c r="Y7" s="470">
        <v>2.1</v>
      </c>
      <c r="Z7" s="470">
        <v>2.0818181818181816</v>
      </c>
      <c r="AA7" s="470">
        <v>1.9818181818181817</v>
      </c>
      <c r="AB7" s="470">
        <v>1.1272727272727272</v>
      </c>
      <c r="AC7" s="471"/>
      <c r="AD7" s="471"/>
      <c r="AE7" s="471"/>
      <c r="AF7" s="471"/>
      <c r="AG7" s="471"/>
      <c r="AH7" s="471"/>
      <c r="AI7" s="471"/>
      <c r="AJ7" s="471"/>
      <c r="AK7" s="471"/>
      <c r="AL7" s="471"/>
      <c r="AM7" s="471"/>
      <c r="AN7" s="471"/>
      <c r="AO7" s="474" t="s">
        <v>569</v>
      </c>
      <c r="AP7" s="474"/>
      <c r="AQ7" s="474"/>
      <c r="AR7" s="474"/>
      <c r="AS7" s="466"/>
      <c r="AT7" s="474">
        <v>17</v>
      </c>
      <c r="AU7" s="474">
        <v>0</v>
      </c>
      <c r="AV7" s="474">
        <v>0</v>
      </c>
      <c r="AW7" s="474">
        <v>0</v>
      </c>
      <c r="AX7" s="474">
        <v>0</v>
      </c>
      <c r="AY7" s="474">
        <v>0</v>
      </c>
      <c r="AZ7" s="474">
        <v>0</v>
      </c>
      <c r="BA7" s="474">
        <v>0</v>
      </c>
      <c r="BB7" s="474">
        <v>0</v>
      </c>
      <c r="BC7" s="474">
        <v>0</v>
      </c>
      <c r="BD7" s="474">
        <v>0</v>
      </c>
      <c r="BE7" s="474">
        <v>0</v>
      </c>
      <c r="BF7" s="474"/>
      <c r="BG7" s="474" t="s">
        <v>569</v>
      </c>
      <c r="BH7" s="474"/>
      <c r="BI7" s="474" t="s">
        <v>489</v>
      </c>
      <c r="BJ7" s="474"/>
      <c r="BK7" s="474"/>
      <c r="BL7" s="474"/>
      <c r="BM7" s="468"/>
      <c r="BN7" s="466"/>
      <c r="BO7" s="474"/>
      <c r="BP7" s="474" t="s">
        <v>493</v>
      </c>
      <c r="BQ7" s="474"/>
      <c r="BR7" s="468"/>
      <c r="BS7" s="329" t="s">
        <v>711</v>
      </c>
      <c r="BT7" s="466" t="s">
        <v>495</v>
      </c>
    </row>
    <row r="8" spans="1:73" customFormat="1" ht="13" customHeight="1" x14ac:dyDescent="0.3">
      <c r="A8" s="466">
        <v>3115</v>
      </c>
      <c r="B8" s="467">
        <v>42932</v>
      </c>
      <c r="C8" s="468" t="s">
        <v>699</v>
      </c>
      <c r="D8" s="466" t="s">
        <v>608</v>
      </c>
      <c r="E8" s="469">
        <v>42896</v>
      </c>
      <c r="F8" s="468" t="s">
        <v>680</v>
      </c>
      <c r="G8" s="466" t="s">
        <v>712</v>
      </c>
      <c r="H8" s="470">
        <v>46</v>
      </c>
      <c r="I8" s="471"/>
      <c r="J8" s="471"/>
      <c r="K8" s="472" t="s">
        <v>702</v>
      </c>
      <c r="L8" s="473">
        <v>1250</v>
      </c>
      <c r="M8" s="473"/>
      <c r="N8" s="473"/>
      <c r="O8" s="473"/>
      <c r="P8" s="473"/>
      <c r="Q8" s="473"/>
      <c r="R8" s="473"/>
      <c r="S8" s="473"/>
      <c r="T8" s="473"/>
      <c r="U8" s="473"/>
      <c r="V8" s="473"/>
      <c r="W8" s="470">
        <v>2.8</v>
      </c>
      <c r="X8" s="470">
        <v>1.8999999999999997</v>
      </c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474" t="s">
        <v>703</v>
      </c>
      <c r="AP8" s="466"/>
      <c r="AQ8" s="466"/>
      <c r="AR8" s="466"/>
      <c r="AS8" s="466"/>
      <c r="AT8" s="474">
        <v>0</v>
      </c>
      <c r="AU8" s="474">
        <v>0</v>
      </c>
      <c r="AV8" s="474">
        <v>7</v>
      </c>
      <c r="AW8" s="474">
        <v>0</v>
      </c>
      <c r="AX8" s="474">
        <v>0</v>
      </c>
      <c r="AY8" s="474">
        <v>0</v>
      </c>
      <c r="AZ8" s="474">
        <v>0</v>
      </c>
      <c r="BA8" s="474">
        <v>0</v>
      </c>
      <c r="BB8" s="474">
        <v>0</v>
      </c>
      <c r="BC8" s="474">
        <v>0</v>
      </c>
      <c r="BD8" s="474">
        <v>0</v>
      </c>
      <c r="BE8" s="474">
        <v>0</v>
      </c>
      <c r="BF8" s="474"/>
      <c r="BG8" s="474" t="s">
        <v>703</v>
      </c>
      <c r="BH8" s="474"/>
      <c r="BI8" s="474" t="s">
        <v>703</v>
      </c>
      <c r="BJ8" s="474"/>
      <c r="BK8" s="474"/>
      <c r="BL8" s="474"/>
      <c r="BM8" s="468"/>
      <c r="BN8" s="466"/>
      <c r="BO8" s="474"/>
      <c r="BP8" s="474" t="s">
        <v>704</v>
      </c>
      <c r="BQ8" s="474"/>
      <c r="BR8" s="468"/>
      <c r="BS8" s="478" t="s">
        <v>713</v>
      </c>
      <c r="BT8" s="466" t="s">
        <v>505</v>
      </c>
    </row>
    <row r="9" spans="1:73" customFormat="1" ht="13" customHeight="1" x14ac:dyDescent="0.3">
      <c r="A9" s="466">
        <v>2817</v>
      </c>
      <c r="B9" s="467">
        <v>42932</v>
      </c>
      <c r="C9" s="468" t="s">
        <v>699</v>
      </c>
      <c r="D9" s="466" t="s">
        <v>608</v>
      </c>
      <c r="E9" s="469">
        <v>42551</v>
      </c>
      <c r="F9" s="468" t="s">
        <v>714</v>
      </c>
      <c r="G9" s="466" t="s">
        <v>715</v>
      </c>
      <c r="H9" s="470">
        <v>79.5</v>
      </c>
      <c r="I9" s="471"/>
      <c r="J9" s="471"/>
      <c r="K9" s="472" t="s">
        <v>702</v>
      </c>
      <c r="L9" s="473">
        <v>1242.72</v>
      </c>
      <c r="M9" s="473">
        <v>1223.04</v>
      </c>
      <c r="N9" s="473">
        <v>2958.9</v>
      </c>
      <c r="O9" s="473">
        <v>159287.64000000001</v>
      </c>
      <c r="P9" s="473">
        <v>657863.04</v>
      </c>
      <c r="Q9" s="473"/>
      <c r="R9" s="473"/>
      <c r="S9" s="473"/>
      <c r="T9" s="473"/>
      <c r="U9" s="473"/>
      <c r="V9" s="473"/>
      <c r="W9" s="470">
        <v>3.7999999999999994</v>
      </c>
      <c r="X9" s="470">
        <v>2.3727272727272726</v>
      </c>
      <c r="Y9" s="470">
        <v>2.336363636363636</v>
      </c>
      <c r="Z9" s="470">
        <v>2.2999999999999998</v>
      </c>
      <c r="AA9" s="470">
        <v>2.2818181818181813</v>
      </c>
      <c r="AB9" s="470">
        <v>2.1545454545454543</v>
      </c>
      <c r="AC9" s="471"/>
      <c r="AD9" s="471"/>
      <c r="AE9" s="471"/>
      <c r="AF9" s="471"/>
      <c r="AG9" s="471"/>
      <c r="AH9" s="471"/>
      <c r="AI9" s="471"/>
      <c r="AJ9" s="471"/>
      <c r="AK9" s="471"/>
      <c r="AL9" s="471"/>
      <c r="AM9" s="471"/>
      <c r="AN9" s="471"/>
      <c r="AO9" s="474" t="s">
        <v>703</v>
      </c>
      <c r="AP9" s="466"/>
      <c r="AQ9" s="466"/>
      <c r="AR9" s="466"/>
      <c r="AS9" s="466"/>
      <c r="AT9" s="474">
        <v>20</v>
      </c>
      <c r="AU9" s="474">
        <v>0</v>
      </c>
      <c r="AV9" s="474">
        <v>0</v>
      </c>
      <c r="AW9" s="474">
        <v>0</v>
      </c>
      <c r="AX9" s="474">
        <v>0</v>
      </c>
      <c r="AY9" s="474">
        <v>0</v>
      </c>
      <c r="AZ9" s="474">
        <v>0</v>
      </c>
      <c r="BA9" s="474">
        <v>0</v>
      </c>
      <c r="BB9" s="474">
        <v>0</v>
      </c>
      <c r="BC9" s="474">
        <v>0</v>
      </c>
      <c r="BD9" s="474">
        <v>0</v>
      </c>
      <c r="BE9" s="474">
        <v>0</v>
      </c>
      <c r="BF9" s="474"/>
      <c r="BG9" s="474" t="s">
        <v>703</v>
      </c>
      <c r="BH9" s="474"/>
      <c r="BI9" s="474" t="s">
        <v>703</v>
      </c>
      <c r="BJ9" s="474"/>
      <c r="BK9" s="474"/>
      <c r="BL9" s="474"/>
      <c r="BM9" s="468"/>
      <c r="BN9" s="466"/>
      <c r="BO9" s="474"/>
      <c r="BP9" s="474" t="s">
        <v>704</v>
      </c>
      <c r="BQ9" s="474"/>
      <c r="BR9" s="468"/>
      <c r="BS9" s="484" t="s">
        <v>716</v>
      </c>
      <c r="BT9" s="466" t="s">
        <v>572</v>
      </c>
    </row>
    <row r="10" spans="1:73" customFormat="1" ht="13" customHeight="1" x14ac:dyDescent="0.3">
      <c r="A10" s="466">
        <v>200</v>
      </c>
      <c r="B10" s="467">
        <v>42932</v>
      </c>
      <c r="C10" s="479" t="s">
        <v>565</v>
      </c>
      <c r="D10" s="466" t="s">
        <v>608</v>
      </c>
      <c r="E10" s="481">
        <v>42570</v>
      </c>
      <c r="F10" s="466" t="s">
        <v>717</v>
      </c>
      <c r="G10" s="466" t="s">
        <v>718</v>
      </c>
      <c r="H10" s="470">
        <v>56</v>
      </c>
      <c r="I10" s="471"/>
      <c r="J10" s="471"/>
      <c r="K10" s="472" t="s">
        <v>500</v>
      </c>
      <c r="L10" s="466">
        <v>1240</v>
      </c>
      <c r="M10" s="466">
        <v>1220</v>
      </c>
      <c r="N10" s="466">
        <v>2960</v>
      </c>
      <c r="O10" s="466">
        <v>159300</v>
      </c>
      <c r="P10" s="466"/>
      <c r="Q10" s="466"/>
      <c r="R10" s="466"/>
      <c r="S10" s="466"/>
      <c r="T10" s="466"/>
      <c r="U10" s="466"/>
      <c r="V10" s="466"/>
      <c r="W10" s="470">
        <v>2.5545454545454542</v>
      </c>
      <c r="X10" s="470">
        <v>1.7</v>
      </c>
      <c r="Y10" s="470">
        <v>1.6818181818181817</v>
      </c>
      <c r="Z10" s="470">
        <v>1.6181818181818182</v>
      </c>
      <c r="AA10" s="470">
        <v>1.5818181818181818</v>
      </c>
      <c r="AB10" s="471"/>
      <c r="AC10" s="471"/>
      <c r="AD10" s="471"/>
      <c r="AE10" s="471"/>
      <c r="AF10" s="471"/>
      <c r="AG10" s="471"/>
      <c r="AH10" s="471"/>
      <c r="AI10" s="471"/>
      <c r="AJ10" s="471"/>
      <c r="AK10" s="471"/>
      <c r="AL10" s="471"/>
      <c r="AM10" s="471"/>
      <c r="AN10" s="471"/>
      <c r="AO10" s="474" t="s">
        <v>569</v>
      </c>
      <c r="AP10" s="474"/>
      <c r="AQ10" s="474"/>
      <c r="AR10" s="474"/>
      <c r="AS10" s="466"/>
      <c r="AT10" s="474">
        <v>0</v>
      </c>
      <c r="AU10" s="474">
        <v>0</v>
      </c>
      <c r="AV10" s="474">
        <v>0</v>
      </c>
      <c r="AW10" s="474">
        <v>0</v>
      </c>
      <c r="AX10" s="474">
        <v>0</v>
      </c>
      <c r="AY10" s="474">
        <v>0</v>
      </c>
      <c r="AZ10" s="474">
        <v>0</v>
      </c>
      <c r="BA10" s="474">
        <v>0</v>
      </c>
      <c r="BB10" s="474">
        <v>0</v>
      </c>
      <c r="BC10" s="474">
        <v>0</v>
      </c>
      <c r="BD10" s="474">
        <v>0</v>
      </c>
      <c r="BE10" s="474">
        <v>0</v>
      </c>
      <c r="BF10" s="474"/>
      <c r="BG10" s="474" t="s">
        <v>569</v>
      </c>
      <c r="BH10" s="474"/>
      <c r="BI10" s="474" t="s">
        <v>489</v>
      </c>
      <c r="BJ10" s="474"/>
      <c r="BK10" s="474"/>
      <c r="BL10" s="474"/>
      <c r="BM10" s="468"/>
      <c r="BN10" s="466"/>
      <c r="BO10" s="474"/>
      <c r="BP10" s="474" t="s">
        <v>493</v>
      </c>
      <c r="BQ10" s="474"/>
      <c r="BR10" s="468"/>
      <c r="BS10" s="329" t="s">
        <v>719</v>
      </c>
      <c r="BT10" s="466" t="s">
        <v>572</v>
      </c>
    </row>
    <row r="11" spans="1:73" customFormat="1" ht="13" customHeight="1" x14ac:dyDescent="0.3">
      <c r="A11" s="466">
        <v>2108</v>
      </c>
      <c r="B11" s="467">
        <v>42932</v>
      </c>
      <c r="C11" s="468" t="s">
        <v>699</v>
      </c>
      <c r="D11" s="466" t="s">
        <v>618</v>
      </c>
      <c r="E11" s="469">
        <v>42916</v>
      </c>
      <c r="F11" s="468" t="s">
        <v>708</v>
      </c>
      <c r="G11" s="466" t="s">
        <v>615</v>
      </c>
      <c r="H11" s="470">
        <v>60.399999999999991</v>
      </c>
      <c r="I11" s="471"/>
      <c r="J11" s="471"/>
      <c r="K11" s="472" t="s">
        <v>702</v>
      </c>
      <c r="L11" s="473">
        <v>1242.72</v>
      </c>
      <c r="M11" s="473">
        <v>1223.04</v>
      </c>
      <c r="N11" s="473">
        <v>2958.9</v>
      </c>
      <c r="O11" s="473">
        <v>159287.64000000001</v>
      </c>
      <c r="P11" s="473">
        <v>657863.04</v>
      </c>
      <c r="Q11" s="473"/>
      <c r="R11" s="473"/>
      <c r="S11" s="473"/>
      <c r="T11" s="473"/>
      <c r="U11" s="473"/>
      <c r="V11" s="473"/>
      <c r="W11" s="470">
        <v>3.7818181818181817</v>
      </c>
      <c r="X11" s="470">
        <v>2.6363636363636362</v>
      </c>
      <c r="Y11" s="470">
        <v>2.5181818181818181</v>
      </c>
      <c r="Z11" s="470">
        <v>2.418181818181818</v>
      </c>
      <c r="AA11" s="470">
        <v>2.3454545454545452</v>
      </c>
      <c r="AB11" s="470">
        <v>2.0818181818181816</v>
      </c>
      <c r="AC11" s="471"/>
      <c r="AD11" s="471"/>
      <c r="AE11" s="471"/>
      <c r="AF11" s="471"/>
      <c r="AG11" s="471"/>
      <c r="AH11" s="471"/>
      <c r="AI11" s="471"/>
      <c r="AJ11" s="471"/>
      <c r="AK11" s="471"/>
      <c r="AL11" s="471"/>
      <c r="AM11" s="471"/>
      <c r="AN11" s="471"/>
      <c r="AO11" s="474" t="s">
        <v>703</v>
      </c>
      <c r="AP11" s="466"/>
      <c r="AQ11" s="466"/>
      <c r="AR11" s="466"/>
      <c r="AS11" s="466"/>
      <c r="AT11" s="474">
        <v>16</v>
      </c>
      <c r="AU11" s="474">
        <v>0</v>
      </c>
      <c r="AV11" s="474">
        <v>0</v>
      </c>
      <c r="AW11" s="474">
        <v>0</v>
      </c>
      <c r="AX11" s="474">
        <v>0</v>
      </c>
      <c r="AY11" s="474">
        <v>0</v>
      </c>
      <c r="AZ11" s="474">
        <v>0</v>
      </c>
      <c r="BA11" s="474">
        <v>0</v>
      </c>
      <c r="BB11" s="474">
        <v>0</v>
      </c>
      <c r="BC11" s="474">
        <v>0</v>
      </c>
      <c r="BD11" s="474">
        <v>0</v>
      </c>
      <c r="BE11" s="474">
        <v>0</v>
      </c>
      <c r="BF11" s="474"/>
      <c r="BG11" s="474" t="s">
        <v>703</v>
      </c>
      <c r="BH11" s="474">
        <v>12</v>
      </c>
      <c r="BI11" s="474" t="s">
        <v>703</v>
      </c>
      <c r="BJ11" s="474"/>
      <c r="BK11" s="474">
        <v>12</v>
      </c>
      <c r="BL11" s="474"/>
      <c r="BM11" s="468"/>
      <c r="BN11" s="466"/>
      <c r="BO11" s="474"/>
      <c r="BP11" s="474" t="s">
        <v>704</v>
      </c>
      <c r="BQ11" s="474"/>
      <c r="BR11" s="468"/>
      <c r="BS11" s="466" t="s">
        <v>563</v>
      </c>
      <c r="BT11" s="466" t="s">
        <v>495</v>
      </c>
    </row>
    <row r="12" spans="1:73" customFormat="1" ht="13" customHeight="1" x14ac:dyDescent="0.3">
      <c r="A12" s="466">
        <v>871</v>
      </c>
      <c r="B12" s="467">
        <v>42932</v>
      </c>
      <c r="C12" s="468" t="s">
        <v>699</v>
      </c>
      <c r="D12" s="466" t="s">
        <v>618</v>
      </c>
      <c r="E12" s="469">
        <v>42916</v>
      </c>
      <c r="F12" s="468" t="s">
        <v>720</v>
      </c>
      <c r="G12" s="466" t="s">
        <v>526</v>
      </c>
      <c r="H12" s="470">
        <v>58.749999999999993</v>
      </c>
      <c r="I12" s="471"/>
      <c r="J12" s="471"/>
      <c r="K12" s="472" t="s">
        <v>702</v>
      </c>
      <c r="L12" s="473">
        <v>1242.7380000000001</v>
      </c>
      <c r="M12" s="473">
        <v>1223.0160000000001</v>
      </c>
      <c r="N12" s="473">
        <v>2958.9059999999999</v>
      </c>
      <c r="O12" s="473">
        <v>159287.67000000001</v>
      </c>
      <c r="P12" s="473">
        <v>657863.01599999995</v>
      </c>
      <c r="Q12" s="473"/>
      <c r="R12" s="473"/>
      <c r="S12" s="473"/>
      <c r="T12" s="473"/>
      <c r="U12" s="473"/>
      <c r="V12" s="473"/>
      <c r="W12" s="470">
        <v>3.8899999999999997</v>
      </c>
      <c r="X12" s="470">
        <v>2.58</v>
      </c>
      <c r="Y12" s="470">
        <v>2.5499999999999998</v>
      </c>
      <c r="Z12" s="470">
        <v>2.4699999999999998</v>
      </c>
      <c r="AA12" s="470">
        <v>2.29</v>
      </c>
      <c r="AB12" s="470">
        <v>0.5</v>
      </c>
      <c r="AC12" s="471"/>
      <c r="AD12" s="471"/>
      <c r="AE12" s="471"/>
      <c r="AF12" s="471"/>
      <c r="AG12" s="471"/>
      <c r="AH12" s="471"/>
      <c r="AI12" s="471"/>
      <c r="AJ12" s="471"/>
      <c r="AK12" s="471"/>
      <c r="AL12" s="471"/>
      <c r="AM12" s="471"/>
      <c r="AN12" s="471"/>
      <c r="AO12" s="474" t="s">
        <v>703</v>
      </c>
      <c r="AP12" s="466"/>
      <c r="AQ12" s="466"/>
      <c r="AR12" s="466"/>
      <c r="AS12" s="466"/>
      <c r="AT12" s="474">
        <v>11</v>
      </c>
      <c r="AU12" s="474">
        <v>0</v>
      </c>
      <c r="AV12" s="474">
        <v>0</v>
      </c>
      <c r="AW12" s="474">
        <v>0</v>
      </c>
      <c r="AX12" s="474">
        <v>0</v>
      </c>
      <c r="AY12" s="474">
        <v>0</v>
      </c>
      <c r="AZ12" s="474">
        <v>0</v>
      </c>
      <c r="BA12" s="474">
        <v>0</v>
      </c>
      <c r="BB12" s="474">
        <v>0</v>
      </c>
      <c r="BC12" s="474">
        <v>0</v>
      </c>
      <c r="BD12" s="474">
        <v>0</v>
      </c>
      <c r="BE12" s="474">
        <v>0</v>
      </c>
      <c r="BF12" s="474">
        <v>12</v>
      </c>
      <c r="BG12" s="474" t="s">
        <v>703</v>
      </c>
      <c r="BH12" s="474">
        <v>12</v>
      </c>
      <c r="BI12" s="474" t="s">
        <v>703</v>
      </c>
      <c r="BJ12" s="474"/>
      <c r="BK12" s="474"/>
      <c r="BL12" s="474"/>
      <c r="BM12" s="468"/>
      <c r="BN12" s="466"/>
      <c r="BO12" s="474"/>
      <c r="BP12" s="474" t="s">
        <v>721</v>
      </c>
      <c r="BQ12" s="474"/>
      <c r="BR12" s="466"/>
      <c r="BS12" s="466" t="s">
        <v>563</v>
      </c>
      <c r="BT12" s="466" t="s">
        <v>495</v>
      </c>
    </row>
    <row r="13" spans="1:73" customFormat="1" ht="13" customHeight="1" x14ac:dyDescent="0.3">
      <c r="A13" s="466">
        <v>2109</v>
      </c>
      <c r="B13" s="467">
        <v>42932</v>
      </c>
      <c r="C13" s="468" t="s">
        <v>699</v>
      </c>
      <c r="D13" s="466" t="s">
        <v>619</v>
      </c>
      <c r="E13" s="469">
        <v>42916</v>
      </c>
      <c r="F13" s="468" t="s">
        <v>708</v>
      </c>
      <c r="G13" s="466" t="s">
        <v>615</v>
      </c>
      <c r="H13" s="470">
        <v>73.199999999999989</v>
      </c>
      <c r="I13" s="471"/>
      <c r="J13" s="471"/>
      <c r="K13" s="472" t="s">
        <v>702</v>
      </c>
      <c r="L13" s="473">
        <v>2465.7599999999998</v>
      </c>
      <c r="M13" s="473">
        <v>162246.6</v>
      </c>
      <c r="N13" s="473">
        <v>657862.98</v>
      </c>
      <c r="O13" s="466"/>
      <c r="P13" s="466"/>
      <c r="Q13" s="466"/>
      <c r="R13" s="466"/>
      <c r="S13" s="466"/>
      <c r="T13" s="466"/>
      <c r="U13" s="466"/>
      <c r="V13" s="466"/>
      <c r="W13" s="470">
        <v>3.0363636363636362</v>
      </c>
      <c r="X13" s="470">
        <v>2.7636363636363632</v>
      </c>
      <c r="Y13" s="470">
        <v>2.6727272727272724</v>
      </c>
      <c r="Z13" s="470">
        <v>2.4636363636363634</v>
      </c>
      <c r="AA13" s="471"/>
      <c r="AB13" s="471"/>
      <c r="AC13" s="471"/>
      <c r="AD13" s="471"/>
      <c r="AE13" s="471"/>
      <c r="AF13" s="471"/>
      <c r="AG13" s="471"/>
      <c r="AH13" s="471"/>
      <c r="AI13" s="471"/>
      <c r="AJ13" s="471"/>
      <c r="AK13" s="471"/>
      <c r="AL13" s="471"/>
      <c r="AM13" s="471"/>
      <c r="AN13" s="471"/>
      <c r="AO13" s="474" t="s">
        <v>703</v>
      </c>
      <c r="AP13" s="474"/>
      <c r="AQ13" s="474"/>
      <c r="AR13" s="474"/>
      <c r="AS13" s="466"/>
      <c r="AT13" s="474">
        <v>16</v>
      </c>
      <c r="AU13" s="474">
        <v>0</v>
      </c>
      <c r="AV13" s="474">
        <v>0</v>
      </c>
      <c r="AW13" s="474">
        <v>0</v>
      </c>
      <c r="AX13" s="474">
        <v>0</v>
      </c>
      <c r="AY13" s="474">
        <v>0</v>
      </c>
      <c r="AZ13" s="474">
        <v>0</v>
      </c>
      <c r="BA13" s="474">
        <v>0</v>
      </c>
      <c r="BB13" s="474">
        <v>0</v>
      </c>
      <c r="BC13" s="474">
        <v>0</v>
      </c>
      <c r="BD13" s="474">
        <v>0</v>
      </c>
      <c r="BE13" s="474">
        <v>0</v>
      </c>
      <c r="BF13" s="474"/>
      <c r="BG13" s="474" t="s">
        <v>703</v>
      </c>
      <c r="BH13" s="474">
        <v>12</v>
      </c>
      <c r="BI13" s="474" t="s">
        <v>703</v>
      </c>
      <c r="BJ13" s="474"/>
      <c r="BK13" s="474">
        <v>12</v>
      </c>
      <c r="BL13" s="474"/>
      <c r="BM13" s="468"/>
      <c r="BN13" s="466"/>
      <c r="BO13" s="474"/>
      <c r="BP13" s="474" t="s">
        <v>704</v>
      </c>
      <c r="BQ13" s="474"/>
      <c r="BR13" s="468"/>
      <c r="BS13" s="466" t="s">
        <v>563</v>
      </c>
      <c r="BT13" s="466" t="s">
        <v>495</v>
      </c>
    </row>
    <row r="14" spans="1:73" customFormat="1" ht="13" customHeight="1" x14ac:dyDescent="0.3">
      <c r="A14" s="466">
        <v>872</v>
      </c>
      <c r="B14" s="467">
        <v>42932</v>
      </c>
      <c r="C14" s="468" t="s">
        <v>699</v>
      </c>
      <c r="D14" s="466" t="s">
        <v>619</v>
      </c>
      <c r="E14" s="469">
        <v>42916</v>
      </c>
      <c r="F14" s="468" t="s">
        <v>720</v>
      </c>
      <c r="G14" s="466" t="s">
        <v>526</v>
      </c>
      <c r="H14" s="470">
        <v>75.999999999999986</v>
      </c>
      <c r="I14" s="471"/>
      <c r="J14" s="471"/>
      <c r="K14" s="472" t="s">
        <v>702</v>
      </c>
      <c r="L14" s="473">
        <v>2465.7539999999999</v>
      </c>
      <c r="M14" s="473">
        <v>26531.508000000002</v>
      </c>
      <c r="N14" s="473">
        <v>89358.906000000003</v>
      </c>
      <c r="O14" s="466"/>
      <c r="P14" s="466"/>
      <c r="Q14" s="466"/>
      <c r="R14" s="466"/>
      <c r="S14" s="466"/>
      <c r="T14" s="466"/>
      <c r="U14" s="466"/>
      <c r="V14" s="466"/>
      <c r="W14" s="470">
        <v>3.18</v>
      </c>
      <c r="X14" s="470">
        <v>2.6299999999999994</v>
      </c>
      <c r="Y14" s="470">
        <v>2.5199999999999996</v>
      </c>
      <c r="Z14" s="470">
        <v>2.4499999999999997</v>
      </c>
      <c r="AA14" s="471"/>
      <c r="AB14" s="471"/>
      <c r="AC14" s="471"/>
      <c r="AD14" s="471"/>
      <c r="AE14" s="471"/>
      <c r="AF14" s="471"/>
      <c r="AG14" s="471"/>
      <c r="AH14" s="471"/>
      <c r="AI14" s="471"/>
      <c r="AJ14" s="471"/>
      <c r="AK14" s="471"/>
      <c r="AL14" s="471"/>
      <c r="AM14" s="471"/>
      <c r="AN14" s="471"/>
      <c r="AO14" s="474" t="s">
        <v>703</v>
      </c>
      <c r="AP14" s="474"/>
      <c r="AQ14" s="474"/>
      <c r="AR14" s="474"/>
      <c r="AS14" s="466"/>
      <c r="AT14" s="474">
        <v>11</v>
      </c>
      <c r="AU14" s="474">
        <v>0</v>
      </c>
      <c r="AV14" s="474">
        <v>0</v>
      </c>
      <c r="AW14" s="474">
        <v>0</v>
      </c>
      <c r="AX14" s="474">
        <v>0</v>
      </c>
      <c r="AY14" s="474">
        <v>0</v>
      </c>
      <c r="AZ14" s="474">
        <v>0</v>
      </c>
      <c r="BA14" s="474">
        <v>0</v>
      </c>
      <c r="BB14" s="474">
        <v>0</v>
      </c>
      <c r="BC14" s="474">
        <v>0</v>
      </c>
      <c r="BD14" s="474">
        <v>0</v>
      </c>
      <c r="BE14" s="474">
        <v>0</v>
      </c>
      <c r="BF14" s="474"/>
      <c r="BG14" s="474" t="s">
        <v>703</v>
      </c>
      <c r="BH14" s="474">
        <v>12</v>
      </c>
      <c r="BI14" s="474" t="s">
        <v>703</v>
      </c>
      <c r="BJ14" s="474"/>
      <c r="BK14" s="474"/>
      <c r="BL14" s="474"/>
      <c r="BM14" s="468"/>
      <c r="BN14" s="466"/>
      <c r="BO14" s="474"/>
      <c r="BP14" s="474" t="s">
        <v>721</v>
      </c>
      <c r="BQ14" s="474"/>
      <c r="BR14" s="466"/>
      <c r="BS14" s="466" t="s">
        <v>563</v>
      </c>
      <c r="BT14" s="466" t="s">
        <v>495</v>
      </c>
    </row>
    <row r="15" spans="1:73" customFormat="1" ht="13" customHeight="1" x14ac:dyDescent="0.3">
      <c r="A15" s="466">
        <v>873</v>
      </c>
      <c r="B15" s="467">
        <v>42932</v>
      </c>
      <c r="C15" s="468" t="s">
        <v>699</v>
      </c>
      <c r="D15" s="466" t="s">
        <v>620</v>
      </c>
      <c r="E15" s="469">
        <v>42916</v>
      </c>
      <c r="F15" s="468" t="s">
        <v>720</v>
      </c>
      <c r="G15" s="466" t="s">
        <v>526</v>
      </c>
      <c r="H15" s="470">
        <v>89.3</v>
      </c>
      <c r="I15" s="471"/>
      <c r="J15" s="471"/>
      <c r="K15" s="472"/>
      <c r="L15" s="466"/>
      <c r="M15" s="466"/>
      <c r="N15" s="466"/>
      <c r="O15" s="466"/>
      <c r="P15" s="466"/>
      <c r="Q15" s="466"/>
      <c r="R15" s="466"/>
      <c r="S15" s="466"/>
      <c r="T15" s="466"/>
      <c r="U15" s="466"/>
      <c r="V15" s="466"/>
      <c r="W15" s="470">
        <v>2.9299999999999997</v>
      </c>
      <c r="X15" s="471"/>
      <c r="Y15" s="471"/>
      <c r="Z15" s="471"/>
      <c r="AA15" s="471"/>
      <c r="AB15" s="471"/>
      <c r="AC15" s="471"/>
      <c r="AD15" s="471"/>
      <c r="AE15" s="471"/>
      <c r="AF15" s="471"/>
      <c r="AG15" s="471"/>
      <c r="AH15" s="471"/>
      <c r="AI15" s="471"/>
      <c r="AJ15" s="471"/>
      <c r="AK15" s="471"/>
      <c r="AL15" s="471"/>
      <c r="AM15" s="471"/>
      <c r="AN15" s="471"/>
      <c r="AO15" s="474" t="s">
        <v>703</v>
      </c>
      <c r="AP15" s="474"/>
      <c r="AQ15" s="474"/>
      <c r="AR15" s="474"/>
      <c r="AS15" s="466"/>
      <c r="AT15" s="474">
        <v>6</v>
      </c>
      <c r="AU15" s="474">
        <v>0</v>
      </c>
      <c r="AV15" s="474">
        <v>0</v>
      </c>
      <c r="AW15" s="474">
        <v>0</v>
      </c>
      <c r="AX15" s="474">
        <v>0</v>
      </c>
      <c r="AY15" s="474">
        <v>0</v>
      </c>
      <c r="AZ15" s="474">
        <v>0</v>
      </c>
      <c r="BA15" s="474">
        <v>0</v>
      </c>
      <c r="BB15" s="474">
        <v>0</v>
      </c>
      <c r="BC15" s="474">
        <v>0</v>
      </c>
      <c r="BD15" s="474">
        <v>0</v>
      </c>
      <c r="BE15" s="474">
        <v>0</v>
      </c>
      <c r="BF15" s="474"/>
      <c r="BG15" s="474" t="s">
        <v>703</v>
      </c>
      <c r="BH15" s="474">
        <v>12</v>
      </c>
      <c r="BI15" s="474" t="s">
        <v>703</v>
      </c>
      <c r="BJ15" s="474"/>
      <c r="BK15" s="474"/>
      <c r="BL15" s="474"/>
      <c r="BM15" s="468"/>
      <c r="BN15" s="466"/>
      <c r="BO15" s="474"/>
      <c r="BP15" s="474" t="s">
        <v>721</v>
      </c>
      <c r="BQ15" s="474"/>
      <c r="BR15" s="466"/>
      <c r="BS15" s="466" t="s">
        <v>563</v>
      </c>
      <c r="BT15" s="466" t="s">
        <v>495</v>
      </c>
      <c r="BU15" s="240"/>
    </row>
    <row r="16" spans="1:73" customFormat="1" ht="13" customHeight="1" x14ac:dyDescent="0.3">
      <c r="A16" s="466">
        <v>3073</v>
      </c>
      <c r="B16" s="467">
        <v>42931</v>
      </c>
      <c r="C16" s="468" t="s">
        <v>699</v>
      </c>
      <c r="D16" s="466" t="s">
        <v>621</v>
      </c>
      <c r="E16" s="469">
        <v>42928</v>
      </c>
      <c r="F16" s="468" t="s">
        <v>700</v>
      </c>
      <c r="G16" s="466" t="s">
        <v>701</v>
      </c>
      <c r="H16" s="470">
        <v>55.190909090909088</v>
      </c>
      <c r="I16" s="471"/>
      <c r="J16" s="471"/>
      <c r="K16" s="472" t="s">
        <v>702</v>
      </c>
      <c r="L16" s="466">
        <v>1644</v>
      </c>
      <c r="M16" s="466">
        <v>1314</v>
      </c>
      <c r="N16" s="466"/>
      <c r="O16" s="466"/>
      <c r="P16" s="466"/>
      <c r="Q16" s="466"/>
      <c r="R16" s="466"/>
      <c r="S16" s="466"/>
      <c r="T16" s="466"/>
      <c r="U16" s="466"/>
      <c r="V16" s="466"/>
      <c r="W16" s="470">
        <v>1.9090909090909089</v>
      </c>
      <c r="X16" s="470">
        <v>1.718181818181818</v>
      </c>
      <c r="Y16" s="470">
        <v>1.6272727272727272</v>
      </c>
      <c r="Z16" s="471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1"/>
      <c r="AM16" s="471"/>
      <c r="AN16" s="471"/>
      <c r="AO16" s="474" t="s">
        <v>703</v>
      </c>
      <c r="AP16" s="474"/>
      <c r="AQ16" s="474"/>
      <c r="AR16" s="474"/>
      <c r="AS16" s="466"/>
      <c r="AT16" s="474">
        <v>0</v>
      </c>
      <c r="AU16" s="474">
        <v>0</v>
      </c>
      <c r="AV16" s="474">
        <v>0</v>
      </c>
      <c r="AW16" s="474">
        <v>0</v>
      </c>
      <c r="AX16" s="474">
        <v>0</v>
      </c>
      <c r="AY16" s="474">
        <v>0</v>
      </c>
      <c r="AZ16" s="474">
        <v>0</v>
      </c>
      <c r="BA16" s="474">
        <v>0</v>
      </c>
      <c r="BB16" s="474">
        <v>0</v>
      </c>
      <c r="BC16" s="474">
        <v>0</v>
      </c>
      <c r="BD16" s="474">
        <v>0</v>
      </c>
      <c r="BE16" s="474">
        <v>0</v>
      </c>
      <c r="BF16" s="474"/>
      <c r="BG16" s="474" t="s">
        <v>703</v>
      </c>
      <c r="BH16" s="474">
        <v>12</v>
      </c>
      <c r="BI16" s="474" t="s">
        <v>703</v>
      </c>
      <c r="BJ16" s="474"/>
      <c r="BK16" s="474">
        <v>12</v>
      </c>
      <c r="BL16" s="474"/>
      <c r="BM16" s="475"/>
      <c r="BN16" s="476"/>
      <c r="BO16" s="477"/>
      <c r="BP16" s="474" t="s">
        <v>704</v>
      </c>
      <c r="BQ16" s="474"/>
      <c r="BR16" s="468" t="s">
        <v>705</v>
      </c>
      <c r="BS16" s="485" t="s">
        <v>722</v>
      </c>
      <c r="BT16" s="466" t="s">
        <v>505</v>
      </c>
    </row>
    <row r="17" spans="1:72" customFormat="1" ht="13" customHeight="1" x14ac:dyDescent="0.3">
      <c r="A17" s="466">
        <v>2110</v>
      </c>
      <c r="B17" s="467">
        <v>42932</v>
      </c>
      <c r="C17" s="468" t="s">
        <v>699</v>
      </c>
      <c r="D17" s="466" t="s">
        <v>621</v>
      </c>
      <c r="E17" s="469">
        <v>42916</v>
      </c>
      <c r="F17" s="468" t="s">
        <v>708</v>
      </c>
      <c r="G17" s="466" t="s">
        <v>615</v>
      </c>
      <c r="H17" s="470">
        <v>79.599999999999994</v>
      </c>
      <c r="I17" s="471"/>
      <c r="J17" s="471"/>
      <c r="K17" s="472" t="s">
        <v>702</v>
      </c>
      <c r="L17" s="473">
        <v>6000</v>
      </c>
      <c r="M17" s="473">
        <v>6000</v>
      </c>
      <c r="N17" s="473">
        <v>72000</v>
      </c>
      <c r="O17" s="466"/>
      <c r="P17" s="466"/>
      <c r="Q17" s="466"/>
      <c r="R17" s="466"/>
      <c r="S17" s="466"/>
      <c r="T17" s="466"/>
      <c r="U17" s="466"/>
      <c r="V17" s="466"/>
      <c r="W17" s="470">
        <v>2.5</v>
      </c>
      <c r="X17" s="470">
        <v>2.3181818181818179</v>
      </c>
      <c r="Y17" s="470">
        <v>2.2636363636363637</v>
      </c>
      <c r="Z17" s="470">
        <v>2.2636363636363637</v>
      </c>
      <c r="AA17" s="471"/>
      <c r="AB17" s="471"/>
      <c r="AC17" s="471"/>
      <c r="AD17" s="471"/>
      <c r="AE17" s="471"/>
      <c r="AF17" s="471"/>
      <c r="AG17" s="471"/>
      <c r="AH17" s="471"/>
      <c r="AI17" s="471"/>
      <c r="AJ17" s="471"/>
      <c r="AK17" s="471"/>
      <c r="AL17" s="471"/>
      <c r="AM17" s="471"/>
      <c r="AN17" s="471"/>
      <c r="AO17" s="474" t="s">
        <v>703</v>
      </c>
      <c r="AP17" s="474"/>
      <c r="AQ17" s="474"/>
      <c r="AR17" s="474"/>
      <c r="AS17" s="466"/>
      <c r="AT17" s="474">
        <v>16</v>
      </c>
      <c r="AU17" s="474">
        <v>0</v>
      </c>
      <c r="AV17" s="474">
        <v>0</v>
      </c>
      <c r="AW17" s="474">
        <v>0</v>
      </c>
      <c r="AX17" s="474">
        <v>0</v>
      </c>
      <c r="AY17" s="474">
        <v>0</v>
      </c>
      <c r="AZ17" s="474">
        <v>0</v>
      </c>
      <c r="BA17" s="474">
        <v>0</v>
      </c>
      <c r="BB17" s="474">
        <v>0</v>
      </c>
      <c r="BC17" s="474">
        <v>0</v>
      </c>
      <c r="BD17" s="474">
        <v>0</v>
      </c>
      <c r="BE17" s="474">
        <v>0</v>
      </c>
      <c r="BF17" s="474"/>
      <c r="BG17" s="474" t="s">
        <v>703</v>
      </c>
      <c r="BH17" s="474">
        <v>12</v>
      </c>
      <c r="BI17" s="474" t="s">
        <v>703</v>
      </c>
      <c r="BJ17" s="474"/>
      <c r="BK17" s="474">
        <v>12</v>
      </c>
      <c r="BL17" s="474"/>
      <c r="BM17" s="468"/>
      <c r="BN17" s="466"/>
      <c r="BO17" s="474"/>
      <c r="BP17" s="474" t="s">
        <v>704</v>
      </c>
      <c r="BQ17" s="474"/>
      <c r="BR17" s="468"/>
      <c r="BS17" s="486" t="s">
        <v>723</v>
      </c>
      <c r="BT17" s="466" t="s">
        <v>495</v>
      </c>
    </row>
    <row r="18" spans="1:72" customFormat="1" ht="13" customHeight="1" x14ac:dyDescent="0.3">
      <c r="A18" s="466">
        <v>2829</v>
      </c>
      <c r="B18" s="467">
        <v>42932</v>
      </c>
      <c r="C18" s="468" t="s">
        <v>699</v>
      </c>
      <c r="D18" s="466" t="s">
        <v>621</v>
      </c>
      <c r="E18" s="469">
        <v>42916</v>
      </c>
      <c r="F18" s="468" t="s">
        <v>709</v>
      </c>
      <c r="G18" s="466" t="s">
        <v>710</v>
      </c>
      <c r="H18" s="470">
        <v>52.93636363636363</v>
      </c>
      <c r="I18" s="471"/>
      <c r="J18" s="471"/>
      <c r="K18" s="472" t="s">
        <v>702</v>
      </c>
      <c r="L18" s="473">
        <v>1644</v>
      </c>
      <c r="M18" s="466"/>
      <c r="N18" s="466"/>
      <c r="O18" s="466"/>
      <c r="P18" s="466"/>
      <c r="Q18" s="466"/>
      <c r="R18" s="466"/>
      <c r="S18" s="466"/>
      <c r="T18" s="466"/>
      <c r="U18" s="466"/>
      <c r="V18" s="466"/>
      <c r="W18" s="470">
        <v>2.1818181818181817</v>
      </c>
      <c r="X18" s="470">
        <v>1.8909090909090909</v>
      </c>
      <c r="Y18" s="471"/>
      <c r="Z18" s="471"/>
      <c r="AA18" s="471"/>
      <c r="AB18" s="471"/>
      <c r="AC18" s="471"/>
      <c r="AD18" s="471"/>
      <c r="AE18" s="471"/>
      <c r="AF18" s="471"/>
      <c r="AG18" s="471"/>
      <c r="AH18" s="471"/>
      <c r="AI18" s="471"/>
      <c r="AJ18" s="471"/>
      <c r="AK18" s="471"/>
      <c r="AL18" s="471"/>
      <c r="AM18" s="471"/>
      <c r="AN18" s="471"/>
      <c r="AO18" s="474" t="s">
        <v>703</v>
      </c>
      <c r="AP18" s="474"/>
      <c r="AQ18" s="474"/>
      <c r="AR18" s="474"/>
      <c r="AS18" s="466"/>
      <c r="AT18" s="474">
        <v>0</v>
      </c>
      <c r="AU18" s="474">
        <v>0</v>
      </c>
      <c r="AV18" s="474">
        <v>0</v>
      </c>
      <c r="AW18" s="474">
        <v>0</v>
      </c>
      <c r="AX18" s="474">
        <v>0</v>
      </c>
      <c r="AY18" s="474">
        <v>0</v>
      </c>
      <c r="AZ18" s="474">
        <v>0</v>
      </c>
      <c r="BA18" s="474">
        <v>0</v>
      </c>
      <c r="BB18" s="474">
        <v>0</v>
      </c>
      <c r="BC18" s="474">
        <v>0</v>
      </c>
      <c r="BD18" s="474">
        <v>0</v>
      </c>
      <c r="BE18" s="474">
        <v>0</v>
      </c>
      <c r="BF18" s="474"/>
      <c r="BG18" s="474" t="s">
        <v>703</v>
      </c>
      <c r="BH18" s="474">
        <v>12</v>
      </c>
      <c r="BI18" s="474" t="s">
        <v>703</v>
      </c>
      <c r="BJ18" s="474"/>
      <c r="BK18" s="474">
        <v>12</v>
      </c>
      <c r="BL18" s="474"/>
      <c r="BM18" s="468"/>
      <c r="BN18" s="466"/>
      <c r="BO18" s="480"/>
      <c r="BP18" s="474" t="s">
        <v>704</v>
      </c>
      <c r="BQ18" s="474"/>
      <c r="BR18" s="468"/>
      <c r="BS18" s="478" t="s">
        <v>724</v>
      </c>
      <c r="BT18" s="466" t="s">
        <v>495</v>
      </c>
    </row>
    <row r="19" spans="1:72" customFormat="1" ht="13" customHeight="1" x14ac:dyDescent="0.3">
      <c r="A19" s="466">
        <v>3074</v>
      </c>
      <c r="B19" s="467">
        <v>42931</v>
      </c>
      <c r="C19" s="468" t="s">
        <v>699</v>
      </c>
      <c r="D19" s="466" t="s">
        <v>623</v>
      </c>
      <c r="E19" s="469">
        <v>42928</v>
      </c>
      <c r="F19" s="468" t="s">
        <v>700</v>
      </c>
      <c r="G19" s="466" t="s">
        <v>701</v>
      </c>
      <c r="H19" s="470">
        <v>63.199999999999989</v>
      </c>
      <c r="I19" s="471"/>
      <c r="J19" s="471"/>
      <c r="K19" s="472" t="s">
        <v>702</v>
      </c>
      <c r="L19" s="466">
        <v>1644</v>
      </c>
      <c r="M19" s="466">
        <v>1314</v>
      </c>
      <c r="N19" s="466"/>
      <c r="O19" s="466"/>
      <c r="P19" s="466"/>
      <c r="Q19" s="466"/>
      <c r="R19" s="466"/>
      <c r="S19" s="466"/>
      <c r="T19" s="466"/>
      <c r="U19" s="466"/>
      <c r="V19" s="466"/>
      <c r="W19" s="470">
        <v>2.9909090909090907</v>
      </c>
      <c r="X19" s="470">
        <v>2.7272727272727271</v>
      </c>
      <c r="Y19" s="470">
        <v>2.1727272727272728</v>
      </c>
      <c r="Z19" s="471"/>
      <c r="AA19" s="471"/>
      <c r="AB19" s="471"/>
      <c r="AC19" s="471"/>
      <c r="AD19" s="471"/>
      <c r="AE19" s="471"/>
      <c r="AF19" s="471"/>
      <c r="AG19" s="471"/>
      <c r="AH19" s="471"/>
      <c r="AI19" s="471"/>
      <c r="AJ19" s="471"/>
      <c r="AK19" s="471"/>
      <c r="AL19" s="471"/>
      <c r="AM19" s="471"/>
      <c r="AN19" s="471"/>
      <c r="AO19" s="474" t="s">
        <v>703</v>
      </c>
      <c r="AP19" s="474"/>
      <c r="AQ19" s="474"/>
      <c r="AR19" s="474"/>
      <c r="AS19" s="466"/>
      <c r="AT19" s="474">
        <v>0</v>
      </c>
      <c r="AU19" s="474">
        <v>0</v>
      </c>
      <c r="AV19" s="474">
        <v>0</v>
      </c>
      <c r="AW19" s="474">
        <v>0</v>
      </c>
      <c r="AX19" s="474">
        <v>0</v>
      </c>
      <c r="AY19" s="474">
        <v>0</v>
      </c>
      <c r="AZ19" s="474">
        <v>0</v>
      </c>
      <c r="BA19" s="474">
        <v>0</v>
      </c>
      <c r="BB19" s="474">
        <v>0</v>
      </c>
      <c r="BC19" s="474">
        <v>0</v>
      </c>
      <c r="BD19" s="474">
        <v>0</v>
      </c>
      <c r="BE19" s="474">
        <v>0</v>
      </c>
      <c r="BF19" s="474"/>
      <c r="BG19" s="474" t="s">
        <v>703</v>
      </c>
      <c r="BH19" s="474">
        <v>12</v>
      </c>
      <c r="BI19" s="474" t="s">
        <v>703</v>
      </c>
      <c r="BJ19" s="474"/>
      <c r="BK19" s="474">
        <v>12</v>
      </c>
      <c r="BL19" s="474"/>
      <c r="BM19" s="475"/>
      <c r="BN19" s="476"/>
      <c r="BO19" s="477"/>
      <c r="BP19" s="474" t="s">
        <v>704</v>
      </c>
      <c r="BQ19" s="474"/>
      <c r="BR19" s="468" t="s">
        <v>705</v>
      </c>
      <c r="BS19" s="468" t="s">
        <v>725</v>
      </c>
      <c r="BT19" s="466" t="s">
        <v>505</v>
      </c>
    </row>
    <row r="20" spans="1:72" customFormat="1" ht="13" customHeight="1" x14ac:dyDescent="0.3">
      <c r="A20" s="466">
        <v>2111</v>
      </c>
      <c r="B20" s="467">
        <v>42932</v>
      </c>
      <c r="C20" s="468" t="s">
        <v>699</v>
      </c>
      <c r="D20" s="466" t="s">
        <v>623</v>
      </c>
      <c r="E20" s="469">
        <v>42916</v>
      </c>
      <c r="F20" s="468" t="s">
        <v>708</v>
      </c>
      <c r="G20" s="466" t="s">
        <v>615</v>
      </c>
      <c r="H20" s="470">
        <v>76.400000000000006</v>
      </c>
      <c r="I20" s="471"/>
      <c r="J20" s="471"/>
      <c r="K20" s="472" t="s">
        <v>702</v>
      </c>
      <c r="L20" s="473">
        <v>6000</v>
      </c>
      <c r="M20" s="473">
        <v>6000</v>
      </c>
      <c r="N20" s="473">
        <v>72000</v>
      </c>
      <c r="O20" s="466"/>
      <c r="P20" s="466"/>
      <c r="Q20" s="466"/>
      <c r="R20" s="466"/>
      <c r="S20" s="466"/>
      <c r="T20" s="466"/>
      <c r="U20" s="466"/>
      <c r="V20" s="466"/>
      <c r="W20" s="470">
        <v>3.6363636363636362</v>
      </c>
      <c r="X20" s="470">
        <v>3.2363636363636363</v>
      </c>
      <c r="Y20" s="470">
        <v>2.8818181818181814</v>
      </c>
      <c r="Z20" s="470">
        <v>2.8818181818181814</v>
      </c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4" t="s">
        <v>703</v>
      </c>
      <c r="AP20" s="474"/>
      <c r="AQ20" s="474"/>
      <c r="AR20" s="474"/>
      <c r="AS20" s="466"/>
      <c r="AT20" s="474">
        <v>16</v>
      </c>
      <c r="AU20" s="474">
        <v>0</v>
      </c>
      <c r="AV20" s="474">
        <v>0</v>
      </c>
      <c r="AW20" s="474">
        <v>0</v>
      </c>
      <c r="AX20" s="474">
        <v>0</v>
      </c>
      <c r="AY20" s="474">
        <v>0</v>
      </c>
      <c r="AZ20" s="474">
        <v>0</v>
      </c>
      <c r="BA20" s="474">
        <v>0</v>
      </c>
      <c r="BB20" s="474">
        <v>0</v>
      </c>
      <c r="BC20" s="474">
        <v>0</v>
      </c>
      <c r="BD20" s="474">
        <v>0</v>
      </c>
      <c r="BE20" s="474">
        <v>0</v>
      </c>
      <c r="BF20" s="474"/>
      <c r="BG20" s="474" t="s">
        <v>703</v>
      </c>
      <c r="BH20" s="474">
        <v>12</v>
      </c>
      <c r="BI20" s="474" t="s">
        <v>703</v>
      </c>
      <c r="BJ20" s="474"/>
      <c r="BK20" s="474">
        <v>12</v>
      </c>
      <c r="BL20" s="474"/>
      <c r="BM20" s="468"/>
      <c r="BN20" s="466"/>
      <c r="BO20" s="474"/>
      <c r="BP20" s="474" t="s">
        <v>704</v>
      </c>
      <c r="BQ20" s="474"/>
      <c r="BR20" s="468"/>
      <c r="BS20" s="466" t="s">
        <v>563</v>
      </c>
      <c r="BT20" s="466" t="s">
        <v>495</v>
      </c>
    </row>
    <row r="21" spans="1:72" customFormat="1" ht="13" customHeight="1" x14ac:dyDescent="0.3">
      <c r="A21" s="466">
        <v>2831</v>
      </c>
      <c r="B21" s="467">
        <v>42932</v>
      </c>
      <c r="C21" s="468" t="s">
        <v>699</v>
      </c>
      <c r="D21" s="466" t="s">
        <v>623</v>
      </c>
      <c r="E21" s="469">
        <v>42916</v>
      </c>
      <c r="F21" s="468" t="s">
        <v>709</v>
      </c>
      <c r="G21" s="466" t="s">
        <v>710</v>
      </c>
      <c r="H21" s="470">
        <v>56.218181818181819</v>
      </c>
      <c r="I21" s="471"/>
      <c r="J21" s="471"/>
      <c r="K21" s="472" t="s">
        <v>702</v>
      </c>
      <c r="L21" s="473">
        <v>1644</v>
      </c>
      <c r="M21" s="466"/>
      <c r="N21" s="466"/>
      <c r="O21" s="466"/>
      <c r="P21" s="466"/>
      <c r="Q21" s="466"/>
      <c r="R21" s="466"/>
      <c r="S21" s="466"/>
      <c r="T21" s="466"/>
      <c r="U21" s="466"/>
      <c r="V21" s="466"/>
      <c r="W21" s="470">
        <v>3.2272727272727271</v>
      </c>
      <c r="X21" s="470">
        <v>2.4727272727272727</v>
      </c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4" t="s">
        <v>703</v>
      </c>
      <c r="AP21" s="474"/>
      <c r="AQ21" s="474"/>
      <c r="AR21" s="474"/>
      <c r="AS21" s="466"/>
      <c r="AT21" s="474">
        <v>0</v>
      </c>
      <c r="AU21" s="474">
        <v>0</v>
      </c>
      <c r="AV21" s="474">
        <v>0</v>
      </c>
      <c r="AW21" s="474">
        <v>0</v>
      </c>
      <c r="AX21" s="474">
        <v>0</v>
      </c>
      <c r="AY21" s="474">
        <v>0</v>
      </c>
      <c r="AZ21" s="474">
        <v>0</v>
      </c>
      <c r="BA21" s="474">
        <v>0</v>
      </c>
      <c r="BB21" s="474">
        <v>0</v>
      </c>
      <c r="BC21" s="474">
        <v>0</v>
      </c>
      <c r="BD21" s="474">
        <v>0</v>
      </c>
      <c r="BE21" s="474">
        <v>0</v>
      </c>
      <c r="BF21" s="474"/>
      <c r="BG21" s="474" t="s">
        <v>703</v>
      </c>
      <c r="BH21" s="474">
        <v>12</v>
      </c>
      <c r="BI21" s="474" t="s">
        <v>703</v>
      </c>
      <c r="BJ21" s="474"/>
      <c r="BK21" s="474">
        <v>12</v>
      </c>
      <c r="BL21" s="474"/>
      <c r="BM21" s="468"/>
      <c r="BN21" s="466"/>
      <c r="BO21" s="480"/>
      <c r="BP21" s="474" t="s">
        <v>704</v>
      </c>
      <c r="BQ21" s="474"/>
      <c r="BR21" s="468"/>
      <c r="BS21" s="466" t="s">
        <v>726</v>
      </c>
      <c r="BT21" s="466" t="s">
        <v>495</v>
      </c>
    </row>
    <row r="22" spans="1:72" customFormat="1" ht="13" customHeight="1" x14ac:dyDescent="0.3">
      <c r="A22" s="466">
        <v>2830</v>
      </c>
      <c r="B22" s="467">
        <v>42932</v>
      </c>
      <c r="C22" s="468" t="s">
        <v>699</v>
      </c>
      <c r="D22" s="466" t="s">
        <v>624</v>
      </c>
      <c r="E22" s="469">
        <v>42916</v>
      </c>
      <c r="F22" s="468" t="s">
        <v>709</v>
      </c>
      <c r="G22" s="466" t="s">
        <v>710</v>
      </c>
      <c r="H22" s="470">
        <v>64.099999999999994</v>
      </c>
      <c r="I22" s="471"/>
      <c r="J22" s="471"/>
      <c r="K22" s="472"/>
      <c r="L22" s="466"/>
      <c r="M22" s="466"/>
      <c r="N22" s="466"/>
      <c r="O22" s="466"/>
      <c r="P22" s="466"/>
      <c r="Q22" s="466"/>
      <c r="R22" s="466"/>
      <c r="S22" s="466"/>
      <c r="T22" s="466"/>
      <c r="U22" s="466"/>
      <c r="V22" s="466"/>
      <c r="W22" s="470">
        <v>2.7636363636363632</v>
      </c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4" t="s">
        <v>703</v>
      </c>
      <c r="AP22" s="474"/>
      <c r="AQ22" s="474"/>
      <c r="AR22" s="474"/>
      <c r="AS22" s="466"/>
      <c r="AT22" s="474">
        <v>0</v>
      </c>
      <c r="AU22" s="474">
        <v>0</v>
      </c>
      <c r="AV22" s="474">
        <v>0</v>
      </c>
      <c r="AW22" s="474">
        <v>0</v>
      </c>
      <c r="AX22" s="474">
        <v>0</v>
      </c>
      <c r="AY22" s="474">
        <v>0</v>
      </c>
      <c r="AZ22" s="474">
        <v>0</v>
      </c>
      <c r="BA22" s="474">
        <v>0</v>
      </c>
      <c r="BB22" s="474">
        <v>0</v>
      </c>
      <c r="BC22" s="474">
        <v>0</v>
      </c>
      <c r="BD22" s="474">
        <v>0</v>
      </c>
      <c r="BE22" s="474">
        <v>0</v>
      </c>
      <c r="BF22" s="474"/>
      <c r="BG22" s="474" t="s">
        <v>703</v>
      </c>
      <c r="BH22" s="474">
        <v>12</v>
      </c>
      <c r="BI22" s="474" t="s">
        <v>703</v>
      </c>
      <c r="BJ22" s="474"/>
      <c r="BK22" s="474">
        <v>12</v>
      </c>
      <c r="BL22" s="474"/>
      <c r="BM22" s="468"/>
      <c r="BN22" s="466"/>
      <c r="BO22" s="480"/>
      <c r="BP22" s="474" t="s">
        <v>704</v>
      </c>
      <c r="BQ22" s="474"/>
      <c r="BR22" s="468"/>
      <c r="BS22" s="466" t="s">
        <v>727</v>
      </c>
      <c r="BT22" s="466" t="s">
        <v>495</v>
      </c>
    </row>
    <row r="23" spans="1:72" customFormat="1" ht="13" customHeight="1" x14ac:dyDescent="0.3">
      <c r="A23" s="466">
        <v>2355</v>
      </c>
      <c r="B23" s="467">
        <v>42932</v>
      </c>
      <c r="C23" s="468" t="s">
        <v>485</v>
      </c>
      <c r="D23" s="466" t="s">
        <v>624</v>
      </c>
      <c r="E23" s="481">
        <v>42916</v>
      </c>
      <c r="F23" s="468" t="s">
        <v>521</v>
      </c>
      <c r="G23" s="466" t="s">
        <v>672</v>
      </c>
      <c r="H23" s="470">
        <v>68.990909090909085</v>
      </c>
      <c r="I23" s="471"/>
      <c r="J23" s="471"/>
      <c r="K23" s="472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0">
        <v>2.6909090909090905</v>
      </c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4" t="s">
        <v>489</v>
      </c>
      <c r="AP23" s="466"/>
      <c r="AQ23" s="466"/>
      <c r="AR23" s="466"/>
      <c r="AS23" s="466"/>
      <c r="AT23" s="474">
        <v>0</v>
      </c>
      <c r="AU23" s="474">
        <v>0</v>
      </c>
      <c r="AV23" s="474">
        <v>0</v>
      </c>
      <c r="AW23" s="474">
        <v>0</v>
      </c>
      <c r="AX23" s="474">
        <v>0</v>
      </c>
      <c r="AY23" s="474">
        <v>0</v>
      </c>
      <c r="AZ23" s="474">
        <v>0</v>
      </c>
      <c r="BA23" s="474">
        <v>0</v>
      </c>
      <c r="BB23" s="474">
        <v>0</v>
      </c>
      <c r="BC23" s="474">
        <v>0</v>
      </c>
      <c r="BD23" s="474">
        <v>0</v>
      </c>
      <c r="BE23" s="474">
        <v>0</v>
      </c>
      <c r="BF23" s="474"/>
      <c r="BG23" s="474" t="s">
        <v>489</v>
      </c>
      <c r="BH23" s="474"/>
      <c r="BI23" s="474" t="s">
        <v>489</v>
      </c>
      <c r="BJ23" s="474"/>
      <c r="BK23" s="474"/>
      <c r="BL23" s="482">
        <v>43464</v>
      </c>
      <c r="BM23" s="468"/>
      <c r="BN23" s="466"/>
      <c r="BO23" s="474"/>
      <c r="BP23" s="474" t="s">
        <v>493</v>
      </c>
      <c r="BQ23" s="474"/>
      <c r="BR23" s="468"/>
      <c r="BS23" s="487" t="s">
        <v>694</v>
      </c>
      <c r="BT23" s="466" t="s">
        <v>495</v>
      </c>
    </row>
    <row r="24" spans="1:72" customFormat="1" ht="13" customHeight="1" x14ac:dyDescent="0.3">
      <c r="A24" s="466">
        <v>3075</v>
      </c>
      <c r="B24" s="467">
        <v>42931</v>
      </c>
      <c r="C24" s="468" t="s">
        <v>699</v>
      </c>
      <c r="D24" s="466" t="s">
        <v>625</v>
      </c>
      <c r="E24" s="469">
        <v>42928</v>
      </c>
      <c r="F24" s="468" t="s">
        <v>700</v>
      </c>
      <c r="G24" s="466" t="s">
        <v>701</v>
      </c>
      <c r="H24" s="470">
        <v>75.663636363636357</v>
      </c>
      <c r="I24" s="471"/>
      <c r="J24" s="471"/>
      <c r="K24" s="472"/>
      <c r="L24" s="466"/>
      <c r="M24" s="466"/>
      <c r="N24" s="466"/>
      <c r="O24" s="466"/>
      <c r="P24" s="466"/>
      <c r="Q24" s="466"/>
      <c r="R24" s="466"/>
      <c r="S24" s="466"/>
      <c r="T24" s="466"/>
      <c r="U24" s="466"/>
      <c r="V24" s="466"/>
      <c r="W24" s="470">
        <v>2.5363636363636362</v>
      </c>
      <c r="X24" s="471"/>
      <c r="Y24" s="471"/>
      <c r="Z24" s="471"/>
      <c r="AA24" s="471"/>
      <c r="AB24" s="471"/>
      <c r="AC24" s="471"/>
      <c r="AD24" s="471"/>
      <c r="AE24" s="471"/>
      <c r="AF24" s="471"/>
      <c r="AG24" s="471"/>
      <c r="AH24" s="471"/>
      <c r="AI24" s="471"/>
      <c r="AJ24" s="471"/>
      <c r="AK24" s="471"/>
      <c r="AL24" s="471"/>
      <c r="AM24" s="471"/>
      <c r="AN24" s="471"/>
      <c r="AO24" s="474" t="s">
        <v>703</v>
      </c>
      <c r="AP24" s="474"/>
      <c r="AQ24" s="474"/>
      <c r="AR24" s="474"/>
      <c r="AS24" s="466"/>
      <c r="AT24" s="474">
        <v>0</v>
      </c>
      <c r="AU24" s="474">
        <v>0</v>
      </c>
      <c r="AV24" s="474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>
        <v>0</v>
      </c>
      <c r="BC24" s="474">
        <v>0</v>
      </c>
      <c r="BD24" s="474">
        <v>0</v>
      </c>
      <c r="BE24" s="474">
        <v>0</v>
      </c>
      <c r="BF24" s="474"/>
      <c r="BG24" s="474" t="s">
        <v>703</v>
      </c>
      <c r="BH24" s="474">
        <v>12</v>
      </c>
      <c r="BI24" s="474" t="s">
        <v>703</v>
      </c>
      <c r="BJ24" s="474"/>
      <c r="BK24" s="474">
        <v>12</v>
      </c>
      <c r="BL24" s="474"/>
      <c r="BM24" s="475"/>
      <c r="BN24" s="476"/>
      <c r="BO24" s="477"/>
      <c r="BP24" s="474" t="s">
        <v>704</v>
      </c>
      <c r="BQ24" s="474"/>
      <c r="BR24" s="468" t="s">
        <v>705</v>
      </c>
      <c r="BS24" s="485" t="s">
        <v>728</v>
      </c>
      <c r="BT24" s="466" t="s">
        <v>505</v>
      </c>
    </row>
    <row r="25" spans="1:72" customFormat="1" ht="13" customHeight="1" x14ac:dyDescent="0.3">
      <c r="A25" s="466">
        <v>2832</v>
      </c>
      <c r="B25" s="467">
        <v>42932</v>
      </c>
      <c r="C25" s="468" t="s">
        <v>699</v>
      </c>
      <c r="D25" s="466" t="s">
        <v>625</v>
      </c>
      <c r="E25" s="469">
        <v>42916</v>
      </c>
      <c r="F25" s="468" t="s">
        <v>709</v>
      </c>
      <c r="G25" s="466" t="s">
        <v>710</v>
      </c>
      <c r="H25" s="470">
        <v>68.609090909090909</v>
      </c>
      <c r="I25" s="471"/>
      <c r="J25" s="471"/>
      <c r="K25" s="472"/>
      <c r="L25" s="466"/>
      <c r="M25" s="466"/>
      <c r="N25" s="466"/>
      <c r="O25" s="466"/>
      <c r="P25" s="466"/>
      <c r="Q25" s="466"/>
      <c r="R25" s="466"/>
      <c r="S25" s="466"/>
      <c r="T25" s="466"/>
      <c r="U25" s="466"/>
      <c r="V25" s="466"/>
      <c r="W25" s="470">
        <v>2.7636363636363632</v>
      </c>
      <c r="X25" s="471"/>
      <c r="Y25" s="471"/>
      <c r="Z25" s="471"/>
      <c r="AA25" s="471"/>
      <c r="AB25" s="471"/>
      <c r="AC25" s="471"/>
      <c r="AD25" s="471"/>
      <c r="AE25" s="471"/>
      <c r="AF25" s="471"/>
      <c r="AG25" s="471"/>
      <c r="AH25" s="471"/>
      <c r="AI25" s="471"/>
      <c r="AJ25" s="471"/>
      <c r="AK25" s="471"/>
      <c r="AL25" s="471"/>
      <c r="AM25" s="471"/>
      <c r="AN25" s="471"/>
      <c r="AO25" s="474" t="s">
        <v>703</v>
      </c>
      <c r="AP25" s="474"/>
      <c r="AQ25" s="474"/>
      <c r="AR25" s="474"/>
      <c r="AS25" s="466"/>
      <c r="AT25" s="474">
        <v>0</v>
      </c>
      <c r="AU25" s="474">
        <v>0</v>
      </c>
      <c r="AV25" s="474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>
        <v>0</v>
      </c>
      <c r="BC25" s="474">
        <v>0</v>
      </c>
      <c r="BD25" s="474">
        <v>0</v>
      </c>
      <c r="BE25" s="474">
        <v>0</v>
      </c>
      <c r="BF25" s="474"/>
      <c r="BG25" s="474" t="s">
        <v>703</v>
      </c>
      <c r="BH25" s="474">
        <v>12</v>
      </c>
      <c r="BI25" s="474" t="s">
        <v>703</v>
      </c>
      <c r="BJ25" s="474"/>
      <c r="BK25" s="474">
        <v>12</v>
      </c>
      <c r="BL25" s="474"/>
      <c r="BM25" s="468"/>
      <c r="BN25" s="466"/>
      <c r="BO25" s="480"/>
      <c r="BP25" s="474" t="s">
        <v>704</v>
      </c>
      <c r="BQ25" s="474"/>
      <c r="BR25" s="468"/>
      <c r="BS25" s="486" t="s">
        <v>729</v>
      </c>
      <c r="BT25" s="466" t="s">
        <v>495</v>
      </c>
    </row>
    <row r="26" spans="1:72" customFormat="1" ht="13" customHeight="1" x14ac:dyDescent="0.3">
      <c r="A26" s="466">
        <v>2833</v>
      </c>
      <c r="B26" s="467">
        <v>42932</v>
      </c>
      <c r="C26" s="468" t="s">
        <v>699</v>
      </c>
      <c r="D26" s="466" t="s">
        <v>626</v>
      </c>
      <c r="E26" s="469">
        <v>42916</v>
      </c>
      <c r="F26" s="468" t="s">
        <v>709</v>
      </c>
      <c r="G26" s="466" t="s">
        <v>710</v>
      </c>
      <c r="H26" s="470">
        <v>73.690909090909088</v>
      </c>
      <c r="I26" s="471"/>
      <c r="J26" s="471"/>
      <c r="K26" s="472"/>
      <c r="L26" s="466"/>
      <c r="M26" s="466"/>
      <c r="N26" s="466"/>
      <c r="O26" s="466"/>
      <c r="P26" s="466"/>
      <c r="Q26" s="466"/>
      <c r="R26" s="466"/>
      <c r="S26" s="466"/>
      <c r="T26" s="466"/>
      <c r="U26" s="466"/>
      <c r="V26" s="466"/>
      <c r="W26" s="470">
        <v>2.7636363636363632</v>
      </c>
      <c r="X26" s="471"/>
      <c r="Y26" s="471"/>
      <c r="Z26" s="471"/>
      <c r="AA26" s="471"/>
      <c r="AB26" s="471"/>
      <c r="AC26" s="471"/>
      <c r="AD26" s="471"/>
      <c r="AE26" s="471"/>
      <c r="AF26" s="471"/>
      <c r="AG26" s="471"/>
      <c r="AH26" s="471"/>
      <c r="AI26" s="471"/>
      <c r="AJ26" s="471"/>
      <c r="AK26" s="471"/>
      <c r="AL26" s="471"/>
      <c r="AM26" s="471"/>
      <c r="AN26" s="471"/>
      <c r="AO26" s="474" t="s">
        <v>703</v>
      </c>
      <c r="AP26" s="474"/>
      <c r="AQ26" s="474"/>
      <c r="AR26" s="474"/>
      <c r="AS26" s="466"/>
      <c r="AT26" s="474">
        <v>0</v>
      </c>
      <c r="AU26" s="474">
        <v>0</v>
      </c>
      <c r="AV26" s="474">
        <v>0</v>
      </c>
      <c r="AW26" s="474">
        <v>0</v>
      </c>
      <c r="AX26" s="474">
        <v>0</v>
      </c>
      <c r="AY26" s="474">
        <v>0</v>
      </c>
      <c r="AZ26" s="474">
        <v>0</v>
      </c>
      <c r="BA26" s="474">
        <v>0</v>
      </c>
      <c r="BB26" s="474">
        <v>0</v>
      </c>
      <c r="BC26" s="474">
        <v>0</v>
      </c>
      <c r="BD26" s="474">
        <v>0</v>
      </c>
      <c r="BE26" s="474">
        <v>0</v>
      </c>
      <c r="BF26" s="474"/>
      <c r="BG26" s="474" t="s">
        <v>703</v>
      </c>
      <c r="BH26" s="474">
        <v>12</v>
      </c>
      <c r="BI26" s="474" t="s">
        <v>703</v>
      </c>
      <c r="BJ26" s="474"/>
      <c r="BK26" s="474">
        <v>12</v>
      </c>
      <c r="BL26" s="474"/>
      <c r="BM26" s="468"/>
      <c r="BN26" s="466"/>
      <c r="BO26" s="480"/>
      <c r="BP26" s="474" t="s">
        <v>704</v>
      </c>
      <c r="BQ26" s="474"/>
      <c r="BR26" s="468"/>
      <c r="BS26" s="466" t="s">
        <v>730</v>
      </c>
      <c r="BT26" s="466" t="s">
        <v>495</v>
      </c>
    </row>
    <row r="27" spans="1:72" customFormat="1" ht="13" customHeight="1" x14ac:dyDescent="0.3">
      <c r="A27" s="466">
        <v>2356</v>
      </c>
      <c r="B27" s="467">
        <v>42932</v>
      </c>
      <c r="C27" s="468" t="s">
        <v>485</v>
      </c>
      <c r="D27" s="466" t="s">
        <v>626</v>
      </c>
      <c r="E27" s="481">
        <v>42916</v>
      </c>
      <c r="F27" s="468" t="s">
        <v>521</v>
      </c>
      <c r="G27" s="466" t="s">
        <v>672</v>
      </c>
      <c r="H27" s="470">
        <v>74</v>
      </c>
      <c r="I27" s="471"/>
      <c r="J27" s="471"/>
      <c r="K27" s="472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0">
        <v>2.7</v>
      </c>
      <c r="X27" s="471"/>
      <c r="Y27" s="471"/>
      <c r="Z27" s="471"/>
      <c r="AA27" s="471"/>
      <c r="AB27" s="471"/>
      <c r="AC27" s="471"/>
      <c r="AD27" s="471"/>
      <c r="AE27" s="471"/>
      <c r="AF27" s="471"/>
      <c r="AG27" s="471"/>
      <c r="AH27" s="471"/>
      <c r="AI27" s="471"/>
      <c r="AJ27" s="471"/>
      <c r="AK27" s="471"/>
      <c r="AL27" s="471"/>
      <c r="AM27" s="471"/>
      <c r="AN27" s="471"/>
      <c r="AO27" s="474" t="s">
        <v>489</v>
      </c>
      <c r="AP27" s="466"/>
      <c r="AQ27" s="466"/>
      <c r="AR27" s="466"/>
      <c r="AS27" s="466"/>
      <c r="AT27" s="474">
        <v>0</v>
      </c>
      <c r="AU27" s="474">
        <v>0</v>
      </c>
      <c r="AV27" s="474">
        <v>0</v>
      </c>
      <c r="AW27" s="474">
        <v>0</v>
      </c>
      <c r="AX27" s="474">
        <v>0</v>
      </c>
      <c r="AY27" s="474">
        <v>0</v>
      </c>
      <c r="AZ27" s="474">
        <v>0</v>
      </c>
      <c r="BA27" s="474">
        <v>0</v>
      </c>
      <c r="BB27" s="474">
        <v>0</v>
      </c>
      <c r="BC27" s="474">
        <v>0</v>
      </c>
      <c r="BD27" s="474">
        <v>0</v>
      </c>
      <c r="BE27" s="474">
        <v>0</v>
      </c>
      <c r="BF27" s="474"/>
      <c r="BG27" s="474" t="s">
        <v>489</v>
      </c>
      <c r="BH27" s="474"/>
      <c r="BI27" s="474" t="s">
        <v>489</v>
      </c>
      <c r="BJ27" s="474"/>
      <c r="BK27" s="474"/>
      <c r="BL27" s="482">
        <v>43464</v>
      </c>
      <c r="BM27" s="468"/>
      <c r="BN27" s="466"/>
      <c r="BO27" s="474"/>
      <c r="BP27" s="474" t="s">
        <v>493</v>
      </c>
      <c r="BQ27" s="474"/>
      <c r="BR27" s="468"/>
      <c r="BS27" s="329" t="s">
        <v>696</v>
      </c>
      <c r="BT27" s="466" t="s">
        <v>495</v>
      </c>
    </row>
    <row r="28" spans="1:72" customFormat="1" ht="13" customHeight="1" x14ac:dyDescent="0.3">
      <c r="A28" s="466">
        <v>3076</v>
      </c>
      <c r="B28" s="467">
        <v>42931</v>
      </c>
      <c r="C28" s="468" t="s">
        <v>699</v>
      </c>
      <c r="D28" s="466" t="s">
        <v>627</v>
      </c>
      <c r="E28" s="469">
        <v>42928</v>
      </c>
      <c r="F28" s="468" t="s">
        <v>700</v>
      </c>
      <c r="G28" s="466" t="s">
        <v>701</v>
      </c>
      <c r="H28" s="470">
        <v>85.454545454545453</v>
      </c>
      <c r="I28" s="471"/>
      <c r="J28" s="471"/>
      <c r="K28" s="472"/>
      <c r="L28" s="466"/>
      <c r="M28" s="466"/>
      <c r="N28" s="466"/>
      <c r="O28" s="466"/>
      <c r="P28" s="466"/>
      <c r="Q28" s="466"/>
      <c r="R28" s="466"/>
      <c r="S28" s="466"/>
      <c r="T28" s="466"/>
      <c r="U28" s="466"/>
      <c r="V28" s="466"/>
      <c r="W28" s="470">
        <v>2.0818181818181816</v>
      </c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71"/>
      <c r="AK28" s="471"/>
      <c r="AL28" s="471"/>
      <c r="AM28" s="471"/>
      <c r="AN28" s="471"/>
      <c r="AO28" s="474" t="s">
        <v>703</v>
      </c>
      <c r="AP28" s="474"/>
      <c r="AQ28" s="474"/>
      <c r="AR28" s="474"/>
      <c r="AS28" s="466"/>
      <c r="AT28" s="474">
        <v>0</v>
      </c>
      <c r="AU28" s="474">
        <v>0</v>
      </c>
      <c r="AV28" s="474">
        <v>0</v>
      </c>
      <c r="AW28" s="474">
        <v>0</v>
      </c>
      <c r="AX28" s="474">
        <v>0</v>
      </c>
      <c r="AY28" s="474">
        <v>0</v>
      </c>
      <c r="AZ28" s="474">
        <v>0</v>
      </c>
      <c r="BA28" s="474">
        <v>0</v>
      </c>
      <c r="BB28" s="474">
        <v>0</v>
      </c>
      <c r="BC28" s="474">
        <v>0</v>
      </c>
      <c r="BD28" s="474">
        <v>0</v>
      </c>
      <c r="BE28" s="474">
        <v>0</v>
      </c>
      <c r="BF28" s="474"/>
      <c r="BG28" s="474" t="s">
        <v>703</v>
      </c>
      <c r="BH28" s="474">
        <v>12</v>
      </c>
      <c r="BI28" s="474" t="s">
        <v>703</v>
      </c>
      <c r="BJ28" s="474"/>
      <c r="BK28" s="474">
        <v>12</v>
      </c>
      <c r="BL28" s="474"/>
      <c r="BM28" s="475"/>
      <c r="BN28" s="476"/>
      <c r="BO28" s="477"/>
      <c r="BP28" s="474" t="s">
        <v>704</v>
      </c>
      <c r="BQ28" s="474"/>
      <c r="BR28" s="468" t="s">
        <v>705</v>
      </c>
      <c r="BS28" s="468" t="s">
        <v>731</v>
      </c>
      <c r="BT28" s="466" t="s">
        <v>505</v>
      </c>
    </row>
    <row r="29" spans="1:72" customFormat="1" ht="13" customHeight="1" x14ac:dyDescent="0.3">
      <c r="A29" s="466">
        <v>2834</v>
      </c>
      <c r="B29" s="467">
        <v>42932</v>
      </c>
      <c r="C29" s="468" t="s">
        <v>699</v>
      </c>
      <c r="D29" s="466" t="s">
        <v>627</v>
      </c>
      <c r="E29" s="469">
        <v>42916</v>
      </c>
      <c r="F29" s="468" t="s">
        <v>709</v>
      </c>
      <c r="G29" s="466" t="s">
        <v>710</v>
      </c>
      <c r="H29" s="470">
        <v>78.236363636363635</v>
      </c>
      <c r="I29" s="471"/>
      <c r="J29" s="471"/>
      <c r="K29" s="472"/>
      <c r="L29" s="466"/>
      <c r="M29" s="466"/>
      <c r="N29" s="466"/>
      <c r="O29" s="466"/>
      <c r="P29" s="466"/>
      <c r="Q29" s="466"/>
      <c r="R29" s="466"/>
      <c r="S29" s="466"/>
      <c r="T29" s="466"/>
      <c r="U29" s="466"/>
      <c r="V29" s="466"/>
      <c r="W29" s="470">
        <v>2.336363636363636</v>
      </c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1"/>
      <c r="AM29" s="471"/>
      <c r="AN29" s="471"/>
      <c r="AO29" s="474" t="s">
        <v>703</v>
      </c>
      <c r="AP29" s="474"/>
      <c r="AQ29" s="474"/>
      <c r="AR29" s="474"/>
      <c r="AS29" s="466"/>
      <c r="AT29" s="474">
        <v>0</v>
      </c>
      <c r="AU29" s="474">
        <v>0</v>
      </c>
      <c r="AV29" s="474">
        <v>0</v>
      </c>
      <c r="AW29" s="474">
        <v>0</v>
      </c>
      <c r="AX29" s="474">
        <v>0</v>
      </c>
      <c r="AY29" s="474">
        <v>0</v>
      </c>
      <c r="AZ29" s="474">
        <v>0</v>
      </c>
      <c r="BA29" s="474">
        <v>0</v>
      </c>
      <c r="BB29" s="474">
        <v>0</v>
      </c>
      <c r="BC29" s="474">
        <v>0</v>
      </c>
      <c r="BD29" s="474">
        <v>0</v>
      </c>
      <c r="BE29" s="474">
        <v>0</v>
      </c>
      <c r="BF29" s="474"/>
      <c r="BG29" s="474" t="s">
        <v>703</v>
      </c>
      <c r="BH29" s="474">
        <v>12</v>
      </c>
      <c r="BI29" s="474" t="s">
        <v>703</v>
      </c>
      <c r="BJ29" s="474"/>
      <c r="BK29" s="474">
        <v>12</v>
      </c>
      <c r="BL29" s="474"/>
      <c r="BM29" s="468"/>
      <c r="BN29" s="466"/>
      <c r="BO29" s="480"/>
      <c r="BP29" s="474" t="s">
        <v>704</v>
      </c>
      <c r="BQ29" s="474"/>
      <c r="BR29" s="468"/>
      <c r="BS29" s="466" t="s">
        <v>732</v>
      </c>
      <c r="BT29" s="466" t="s">
        <v>495</v>
      </c>
    </row>
    <row r="30" spans="1:72" customFormat="1" ht="13" customHeight="1" x14ac:dyDescent="0.3">
      <c r="A30" s="466">
        <v>2835</v>
      </c>
      <c r="B30" s="467">
        <v>42932</v>
      </c>
      <c r="C30" s="468" t="s">
        <v>699</v>
      </c>
      <c r="D30" s="466" t="s">
        <v>628</v>
      </c>
      <c r="E30" s="469">
        <v>42916</v>
      </c>
      <c r="F30" s="468" t="s">
        <v>709</v>
      </c>
      <c r="G30" s="466" t="s">
        <v>710</v>
      </c>
      <c r="H30" s="470">
        <v>57.272727272727266</v>
      </c>
      <c r="I30" s="471"/>
      <c r="J30" s="471"/>
      <c r="K30" s="472"/>
      <c r="L30" s="466"/>
      <c r="M30" s="466"/>
      <c r="N30" s="466"/>
      <c r="O30" s="466"/>
      <c r="P30" s="466"/>
      <c r="Q30" s="466"/>
      <c r="R30" s="466"/>
      <c r="S30" s="466"/>
      <c r="T30" s="466"/>
      <c r="U30" s="466"/>
      <c r="V30" s="466"/>
      <c r="W30" s="470">
        <v>3.8181818181818179</v>
      </c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4" t="s">
        <v>703</v>
      </c>
      <c r="AP30" s="474"/>
      <c r="AQ30" s="474"/>
      <c r="AR30" s="474"/>
      <c r="AS30" s="466"/>
      <c r="AT30" s="474">
        <v>0</v>
      </c>
      <c r="AU30" s="474">
        <v>0</v>
      </c>
      <c r="AV30" s="474">
        <v>0</v>
      </c>
      <c r="AW30" s="474">
        <v>0</v>
      </c>
      <c r="AX30" s="474">
        <v>0</v>
      </c>
      <c r="AY30" s="474">
        <v>0</v>
      </c>
      <c r="AZ30" s="474">
        <v>0</v>
      </c>
      <c r="BA30" s="474">
        <v>0</v>
      </c>
      <c r="BB30" s="474">
        <v>0</v>
      </c>
      <c r="BC30" s="474">
        <v>0</v>
      </c>
      <c r="BD30" s="474">
        <v>0</v>
      </c>
      <c r="BE30" s="474">
        <v>0</v>
      </c>
      <c r="BF30" s="474"/>
      <c r="BG30" s="474" t="s">
        <v>703</v>
      </c>
      <c r="BH30" s="474">
        <v>12</v>
      </c>
      <c r="BI30" s="474" t="s">
        <v>703</v>
      </c>
      <c r="BJ30" s="474"/>
      <c r="BK30" s="474">
        <v>12</v>
      </c>
      <c r="BL30" s="474"/>
      <c r="BM30" s="468"/>
      <c r="BN30" s="466"/>
      <c r="BO30" s="480"/>
      <c r="BP30" s="474" t="s">
        <v>704</v>
      </c>
      <c r="BQ30" s="474"/>
      <c r="BR30" s="468"/>
      <c r="BS30" s="466" t="s">
        <v>733</v>
      </c>
      <c r="BT30" s="466" t="s">
        <v>495</v>
      </c>
    </row>
    <row r="37" spans="4:4" x14ac:dyDescent="0.3">
      <c r="D37"/>
    </row>
    <row r="38" spans="4:4" x14ac:dyDescent="0.3">
      <c r="D38"/>
    </row>
    <row r="39" spans="4:4" x14ac:dyDescent="0.3">
      <c r="D39"/>
    </row>
    <row r="40" spans="4:4" x14ac:dyDescent="0.3">
      <c r="D40"/>
    </row>
    <row r="41" spans="4:4" x14ac:dyDescent="0.3">
      <c r="D41"/>
    </row>
    <row r="42" spans="4:4" x14ac:dyDescent="0.3">
      <c r="D42"/>
    </row>
    <row r="43" spans="4:4" x14ac:dyDescent="0.3">
      <c r="D43"/>
    </row>
    <row r="44" spans="4:4" x14ac:dyDescent="0.3">
      <c r="D44"/>
    </row>
    <row r="45" spans="4:4" x14ac:dyDescent="0.3">
      <c r="D45"/>
    </row>
    <row r="46" spans="4:4" x14ac:dyDescent="0.3">
      <c r="D46"/>
    </row>
    <row r="47" spans="4:4" x14ac:dyDescent="0.3">
      <c r="D47"/>
    </row>
    <row r="48" spans="4:4" x14ac:dyDescent="0.3">
      <c r="D48"/>
    </row>
  </sheetData>
  <sheetProtection algorithmName="SHA-512" hashValue="eWzHgffrYdJZ242hWACbvFXRlrqZNYJGW3VpeJ/0DSZvPCk9ESZRkOqli4j0V8mdAOhE9EWio2BOX0S20IHUSQ==" saltValue="SxgUAxzchEc5qOb4uJ2mbQ==" spinCount="100000" sheet="1" objects="1" scenarios="1"/>
  <hyperlinks>
    <hyperlink ref="BS7" r:id="rId1" xr:uid="{68B83184-72F8-204C-8734-D9EDC4D1217E}"/>
  </hyperlink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1024-E2C3-FD4F-BE23-E449A45EA424}">
  <sheetPr codeName="Sheet12"/>
  <dimension ref="A1:BT48"/>
  <sheetViews>
    <sheetView zoomScaleNormal="120" workbookViewId="0">
      <selection activeCell="BS10" sqref="BS10"/>
    </sheetView>
  </sheetViews>
  <sheetFormatPr defaultColWidth="10.84375" defaultRowHeight="13.5" x14ac:dyDescent="0.3"/>
  <cols>
    <col min="1" max="1" width="7.15234375" style="287" customWidth="1"/>
    <col min="2" max="2" width="10.84375" style="287"/>
    <col min="3" max="3" width="6.3046875" style="287" customWidth="1"/>
    <col min="4" max="4" width="30.4609375" style="287" bestFit="1" customWidth="1"/>
    <col min="5" max="5" width="10.84375" style="287"/>
    <col min="6" max="6" width="16.15234375" style="287" customWidth="1"/>
    <col min="7" max="7" width="16.4609375" style="287" customWidth="1"/>
    <col min="8" max="64" width="10.84375" style="287"/>
    <col min="65" max="65" width="50.69140625" style="287" customWidth="1"/>
    <col min="66" max="66" width="12.15234375" style="287" customWidth="1"/>
    <col min="67" max="67" width="10.84375" style="287" customWidth="1"/>
    <col min="68" max="69" width="10.84375" style="287"/>
    <col min="70" max="70" width="20.4609375" style="287" customWidth="1"/>
    <col min="71" max="71" width="88.15234375" style="287" customWidth="1"/>
    <col min="72" max="16384" width="10.84375" style="287"/>
  </cols>
  <sheetData>
    <row r="1" spans="1:72" ht="54" x14ac:dyDescent="0.3">
      <c r="A1" s="262" t="s">
        <v>209</v>
      </c>
      <c r="B1" s="262" t="s">
        <v>366</v>
      </c>
      <c r="C1" s="263" t="s">
        <v>257</v>
      </c>
      <c r="D1" s="264" t="s">
        <v>258</v>
      </c>
      <c r="E1" s="262" t="s">
        <v>259</v>
      </c>
      <c r="F1" s="263" t="s">
        <v>267</v>
      </c>
      <c r="G1" s="264" t="s">
        <v>260</v>
      </c>
      <c r="H1" s="265" t="s">
        <v>268</v>
      </c>
      <c r="I1" s="266" t="s">
        <v>647</v>
      </c>
      <c r="J1" s="267" t="s">
        <v>648</v>
      </c>
      <c r="K1" s="268" t="s">
        <v>261</v>
      </c>
      <c r="L1" s="268" t="s">
        <v>262</v>
      </c>
      <c r="M1" s="268" t="s">
        <v>263</v>
      </c>
      <c r="N1" s="268" t="s">
        <v>264</v>
      </c>
      <c r="O1" s="268" t="s">
        <v>265</v>
      </c>
      <c r="P1" s="269" t="s">
        <v>266</v>
      </c>
      <c r="Q1" s="270" t="s">
        <v>649</v>
      </c>
      <c r="R1" s="270" t="s">
        <v>650</v>
      </c>
      <c r="S1" s="270" t="s">
        <v>651</v>
      </c>
      <c r="T1" s="270" t="s">
        <v>652</v>
      </c>
      <c r="U1" s="270" t="s">
        <v>653</v>
      </c>
      <c r="V1" s="271" t="s">
        <v>654</v>
      </c>
      <c r="W1" s="272" t="s">
        <v>655</v>
      </c>
      <c r="X1" s="272" t="s">
        <v>317</v>
      </c>
      <c r="Y1" s="272" t="s">
        <v>318</v>
      </c>
      <c r="Z1" s="272" t="s">
        <v>319</v>
      </c>
      <c r="AA1" s="272" t="s">
        <v>320</v>
      </c>
      <c r="AB1" s="273" t="s">
        <v>321</v>
      </c>
      <c r="AC1" s="274" t="s">
        <v>322</v>
      </c>
      <c r="AD1" s="274" t="s">
        <v>323</v>
      </c>
      <c r="AE1" s="274" t="s">
        <v>324</v>
      </c>
      <c r="AF1" s="274" t="s">
        <v>428</v>
      </c>
      <c r="AG1" s="274" t="s">
        <v>429</v>
      </c>
      <c r="AH1" s="275" t="s">
        <v>430</v>
      </c>
      <c r="AI1" s="276" t="s">
        <v>431</v>
      </c>
      <c r="AJ1" s="276" t="s">
        <v>331</v>
      </c>
      <c r="AK1" s="276" t="s">
        <v>332</v>
      </c>
      <c r="AL1" s="276" t="s">
        <v>333</v>
      </c>
      <c r="AM1" s="276" t="s">
        <v>334</v>
      </c>
      <c r="AN1" s="277" t="s">
        <v>335</v>
      </c>
      <c r="AO1" s="278" t="s">
        <v>336</v>
      </c>
      <c r="AP1" s="278" t="s">
        <v>337</v>
      </c>
      <c r="AQ1" s="278" t="s">
        <v>338</v>
      </c>
      <c r="AR1" s="279" t="s">
        <v>229</v>
      </c>
      <c r="AS1" s="280" t="s">
        <v>656</v>
      </c>
      <c r="AT1" s="281" t="s">
        <v>230</v>
      </c>
      <c r="AU1" s="282" t="s">
        <v>231</v>
      </c>
      <c r="AV1" s="281" t="s">
        <v>232</v>
      </c>
      <c r="AW1" s="272" t="s">
        <v>340</v>
      </c>
      <c r="AX1" s="283" t="s">
        <v>440</v>
      </c>
      <c r="AY1" s="272" t="s">
        <v>441</v>
      </c>
      <c r="AZ1" s="283" t="s">
        <v>442</v>
      </c>
      <c r="BA1" s="273" t="s">
        <v>443</v>
      </c>
      <c r="BB1" s="281" t="s">
        <v>549</v>
      </c>
      <c r="BC1" s="284" t="s">
        <v>550</v>
      </c>
      <c r="BD1" s="283" t="s">
        <v>444</v>
      </c>
      <c r="BE1" s="273" t="s">
        <v>445</v>
      </c>
      <c r="BF1" s="262" t="s">
        <v>446</v>
      </c>
      <c r="BG1" s="285" t="s">
        <v>447</v>
      </c>
      <c r="BH1" s="286" t="s">
        <v>249</v>
      </c>
      <c r="BI1" s="285" t="s">
        <v>250</v>
      </c>
      <c r="BJ1" s="285" t="s">
        <v>551</v>
      </c>
      <c r="BK1" s="285" t="s">
        <v>552</v>
      </c>
      <c r="BL1" s="285" t="s">
        <v>553</v>
      </c>
      <c r="BM1" s="262" t="s">
        <v>251</v>
      </c>
      <c r="BN1" s="263" t="s">
        <v>252</v>
      </c>
      <c r="BO1" s="285" t="s">
        <v>353</v>
      </c>
      <c r="BP1" s="285" t="s">
        <v>354</v>
      </c>
      <c r="BQ1" s="285" t="s">
        <v>657</v>
      </c>
      <c r="BR1" s="263" t="s">
        <v>355</v>
      </c>
      <c r="BS1" s="285" t="s">
        <v>356</v>
      </c>
      <c r="BT1" s="262" t="s">
        <v>357</v>
      </c>
    </row>
    <row r="2" spans="1:72" x14ac:dyDescent="0.3">
      <c r="A2" s="288">
        <v>2345</v>
      </c>
      <c r="B2" s="289">
        <v>42566</v>
      </c>
      <c r="C2" s="290" t="s">
        <v>565</v>
      </c>
      <c r="D2" s="291" t="s">
        <v>608</v>
      </c>
      <c r="E2" s="289">
        <v>42551</v>
      </c>
      <c r="F2" s="290" t="s">
        <v>204</v>
      </c>
      <c r="G2" s="291" t="s">
        <v>663</v>
      </c>
      <c r="H2" s="292">
        <v>59.063636363636355</v>
      </c>
      <c r="I2" s="292"/>
      <c r="J2" s="292"/>
      <c r="K2" s="293" t="s">
        <v>582</v>
      </c>
      <c r="L2" s="294">
        <v>1200</v>
      </c>
      <c r="M2" s="294">
        <v>1200</v>
      </c>
      <c r="N2" s="294">
        <v>3000</v>
      </c>
      <c r="O2" s="294">
        <v>160000</v>
      </c>
      <c r="P2" s="294">
        <v>658000</v>
      </c>
      <c r="Q2" s="294"/>
      <c r="R2" s="294"/>
      <c r="S2" s="294"/>
      <c r="T2" s="294"/>
      <c r="U2" s="294"/>
      <c r="V2" s="294"/>
      <c r="W2" s="295">
        <v>2.6181818181818177</v>
      </c>
      <c r="X2" s="295">
        <v>2.4727272727272727</v>
      </c>
      <c r="Y2" s="295">
        <v>2.3454545454545452</v>
      </c>
      <c r="Z2" s="295">
        <v>2.336363636363636</v>
      </c>
      <c r="AA2" s="295">
        <v>2.2363636363636363</v>
      </c>
      <c r="AB2" s="295">
        <v>2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6" t="s">
        <v>569</v>
      </c>
      <c r="AP2" s="296"/>
      <c r="AQ2" s="296"/>
      <c r="AR2" s="296"/>
      <c r="AS2" s="291"/>
      <c r="AT2" s="296">
        <v>0</v>
      </c>
      <c r="AU2" s="296">
        <v>0</v>
      </c>
      <c r="AV2" s="296">
        <v>0</v>
      </c>
      <c r="AW2" s="296">
        <v>0</v>
      </c>
      <c r="AX2" s="296">
        <v>0</v>
      </c>
      <c r="AY2" s="296">
        <v>0</v>
      </c>
      <c r="AZ2" s="296">
        <v>0</v>
      </c>
      <c r="BA2" s="296">
        <v>0</v>
      </c>
      <c r="BB2" s="296">
        <v>0</v>
      </c>
      <c r="BC2" s="296">
        <v>0</v>
      </c>
      <c r="BD2" s="296">
        <v>0</v>
      </c>
      <c r="BE2" s="296">
        <v>0</v>
      </c>
      <c r="BF2" s="291"/>
      <c r="BG2" s="296" t="s">
        <v>569</v>
      </c>
      <c r="BH2" s="296">
        <v>12</v>
      </c>
      <c r="BI2" s="296" t="s">
        <v>569</v>
      </c>
      <c r="BJ2" s="296"/>
      <c r="BK2" s="296"/>
      <c r="BL2" s="296"/>
      <c r="BM2" s="290"/>
      <c r="BN2" s="291"/>
      <c r="BO2" s="296"/>
      <c r="BP2" s="296" t="s">
        <v>579</v>
      </c>
      <c r="BQ2" s="296"/>
      <c r="BR2" s="290"/>
      <c r="BS2" s="291" t="s">
        <v>664</v>
      </c>
      <c r="BT2" s="291" t="s">
        <v>572</v>
      </c>
    </row>
    <row r="3" spans="1:72" x14ac:dyDescent="0.3">
      <c r="A3" s="288">
        <v>2558</v>
      </c>
      <c r="B3" s="289">
        <v>42567</v>
      </c>
      <c r="C3" s="290" t="s">
        <v>565</v>
      </c>
      <c r="D3" s="291" t="s">
        <v>608</v>
      </c>
      <c r="E3" s="289">
        <v>42567</v>
      </c>
      <c r="F3" s="290" t="s">
        <v>641</v>
      </c>
      <c r="G3" s="291" t="s">
        <v>665</v>
      </c>
      <c r="H3" s="292">
        <v>59.1</v>
      </c>
      <c r="I3" s="292"/>
      <c r="J3" s="292"/>
      <c r="K3" s="293" t="s">
        <v>582</v>
      </c>
      <c r="L3" s="294">
        <v>1200</v>
      </c>
      <c r="M3" s="294">
        <v>1200</v>
      </c>
      <c r="N3" s="294">
        <v>3000</v>
      </c>
      <c r="O3" s="294">
        <v>160000</v>
      </c>
      <c r="P3" s="294">
        <v>658000</v>
      </c>
      <c r="Q3" s="294"/>
      <c r="R3" s="294"/>
      <c r="S3" s="294"/>
      <c r="T3" s="294"/>
      <c r="U3" s="294"/>
      <c r="V3" s="294"/>
      <c r="W3" s="295">
        <v>3.1090909090909089</v>
      </c>
      <c r="X3" s="295">
        <v>2.0545454545454542</v>
      </c>
      <c r="Y3" s="295">
        <v>1.9272727272727272</v>
      </c>
      <c r="Z3" s="295">
        <v>1.8999999999999997</v>
      </c>
      <c r="AA3" s="295">
        <v>1.8181818181818181</v>
      </c>
      <c r="AB3" s="295">
        <v>1.5090909090909088</v>
      </c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6" t="s">
        <v>569</v>
      </c>
      <c r="AP3" s="291"/>
      <c r="AQ3" s="291"/>
      <c r="AR3" s="291"/>
      <c r="AS3" s="291"/>
      <c r="AT3" s="296">
        <v>0</v>
      </c>
      <c r="AU3" s="296">
        <v>0</v>
      </c>
      <c r="AV3" s="296">
        <v>0</v>
      </c>
      <c r="AW3" s="296">
        <v>0</v>
      </c>
      <c r="AX3" s="296">
        <v>0</v>
      </c>
      <c r="AY3" s="296">
        <v>0</v>
      </c>
      <c r="AZ3" s="296">
        <v>0</v>
      </c>
      <c r="BA3" s="296">
        <v>0</v>
      </c>
      <c r="BB3" s="296">
        <v>0</v>
      </c>
      <c r="BC3" s="296">
        <v>0</v>
      </c>
      <c r="BD3" s="296">
        <v>0</v>
      </c>
      <c r="BE3" s="296">
        <v>0</v>
      </c>
      <c r="BF3" s="296"/>
      <c r="BG3" s="296" t="s">
        <v>569</v>
      </c>
      <c r="BH3" s="296"/>
      <c r="BI3" s="296" t="s">
        <v>569</v>
      </c>
      <c r="BJ3" s="296"/>
      <c r="BK3" s="296"/>
      <c r="BL3" s="296"/>
      <c r="BM3" s="290"/>
      <c r="BN3" s="291"/>
      <c r="BO3" s="296"/>
      <c r="BP3" s="296" t="s">
        <v>579</v>
      </c>
      <c r="BQ3" s="296"/>
      <c r="BR3" s="290"/>
      <c r="BS3" s="329" t="s">
        <v>666</v>
      </c>
      <c r="BT3" s="291" t="s">
        <v>495</v>
      </c>
    </row>
    <row r="4" spans="1:72" x14ac:dyDescent="0.3">
      <c r="A4" s="288">
        <v>2106</v>
      </c>
      <c r="B4" s="289">
        <v>42566</v>
      </c>
      <c r="C4" s="297" t="s">
        <v>565</v>
      </c>
      <c r="D4" s="291" t="s">
        <v>608</v>
      </c>
      <c r="E4" s="289">
        <v>42551</v>
      </c>
      <c r="F4" s="290" t="s">
        <v>642</v>
      </c>
      <c r="G4" s="291" t="s">
        <v>615</v>
      </c>
      <c r="H4" s="292">
        <v>60.399999999999991</v>
      </c>
      <c r="I4" s="292"/>
      <c r="J4" s="292"/>
      <c r="K4" s="293" t="s">
        <v>582</v>
      </c>
      <c r="L4" s="294">
        <v>1242.72</v>
      </c>
      <c r="M4" s="294">
        <v>1223.04</v>
      </c>
      <c r="N4" s="294">
        <v>2958.9</v>
      </c>
      <c r="O4" s="294">
        <v>159287.64000000001</v>
      </c>
      <c r="P4" s="294">
        <v>657863.04</v>
      </c>
      <c r="Q4" s="294"/>
      <c r="R4" s="294"/>
      <c r="S4" s="294"/>
      <c r="T4" s="294"/>
      <c r="U4" s="294"/>
      <c r="V4" s="294"/>
      <c r="W4" s="295">
        <v>3.7818181818181817</v>
      </c>
      <c r="X4" s="295">
        <v>2.6363636363636362</v>
      </c>
      <c r="Y4" s="295">
        <v>2.5181818181818181</v>
      </c>
      <c r="Z4" s="295">
        <v>2.418181818181818</v>
      </c>
      <c r="AA4" s="295">
        <v>2.3454545454545452</v>
      </c>
      <c r="AB4" s="295">
        <v>2.0818181818181816</v>
      </c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6" t="s">
        <v>569</v>
      </c>
      <c r="AP4" s="296"/>
      <c r="AQ4" s="296"/>
      <c r="AR4" s="296"/>
      <c r="AS4" s="291"/>
      <c r="AT4" s="296">
        <v>16</v>
      </c>
      <c r="AU4" s="296">
        <v>0</v>
      </c>
      <c r="AV4" s="296">
        <v>0</v>
      </c>
      <c r="AW4" s="296">
        <v>0</v>
      </c>
      <c r="AX4" s="296">
        <v>0</v>
      </c>
      <c r="AY4" s="296">
        <v>0</v>
      </c>
      <c r="AZ4" s="296">
        <v>0</v>
      </c>
      <c r="BA4" s="296">
        <v>0</v>
      </c>
      <c r="BB4" s="296">
        <v>0</v>
      </c>
      <c r="BC4" s="296">
        <v>0</v>
      </c>
      <c r="BD4" s="296">
        <v>0</v>
      </c>
      <c r="BE4" s="296">
        <v>0</v>
      </c>
      <c r="BF4" s="291"/>
      <c r="BG4" s="296" t="s">
        <v>569</v>
      </c>
      <c r="BH4" s="296">
        <v>12</v>
      </c>
      <c r="BI4" s="296" t="s">
        <v>569</v>
      </c>
      <c r="BJ4" s="296"/>
      <c r="BK4" s="296"/>
      <c r="BL4" s="296"/>
      <c r="BM4" s="290"/>
      <c r="BN4" s="291"/>
      <c r="BO4" s="296"/>
      <c r="BP4" s="296" t="s">
        <v>579</v>
      </c>
      <c r="BQ4" s="296"/>
      <c r="BR4" s="290"/>
      <c r="BS4" s="291" t="s">
        <v>667</v>
      </c>
      <c r="BT4" s="291" t="s">
        <v>572</v>
      </c>
    </row>
    <row r="5" spans="1:72" x14ac:dyDescent="0.3">
      <c r="A5" s="288">
        <v>2148</v>
      </c>
      <c r="B5" s="289">
        <v>42566</v>
      </c>
      <c r="C5" s="290" t="s">
        <v>565</v>
      </c>
      <c r="D5" s="291" t="s">
        <v>608</v>
      </c>
      <c r="E5" s="289">
        <v>42565</v>
      </c>
      <c r="F5" s="290" t="s">
        <v>643</v>
      </c>
      <c r="G5" s="291" t="s">
        <v>668</v>
      </c>
      <c r="H5" s="292">
        <v>59.090909090909086</v>
      </c>
      <c r="I5" s="292"/>
      <c r="J5" s="292"/>
      <c r="K5" s="293" t="s">
        <v>582</v>
      </c>
      <c r="L5" s="294">
        <v>1242</v>
      </c>
      <c r="M5" s="294">
        <v>163440</v>
      </c>
      <c r="N5" s="294"/>
      <c r="O5" s="294"/>
      <c r="P5" s="294"/>
      <c r="Q5" s="294"/>
      <c r="R5" s="294"/>
      <c r="S5" s="294"/>
      <c r="T5" s="294"/>
      <c r="U5" s="294"/>
      <c r="V5" s="294"/>
      <c r="W5" s="295">
        <v>3.5</v>
      </c>
      <c r="X5" s="295">
        <v>2.0909090909090904</v>
      </c>
      <c r="Y5" s="295">
        <v>1.8181818181818181</v>
      </c>
      <c r="Z5" s="295" t="s">
        <v>669</v>
      </c>
      <c r="AA5" s="295" t="s">
        <v>669</v>
      </c>
      <c r="AB5" s="295" t="s">
        <v>669</v>
      </c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6" t="s">
        <v>569</v>
      </c>
      <c r="AP5" s="291"/>
      <c r="AQ5" s="291"/>
      <c r="AR5" s="291"/>
      <c r="AS5" s="291"/>
      <c r="AT5" s="296">
        <v>10</v>
      </c>
      <c r="AU5" s="296">
        <v>0</v>
      </c>
      <c r="AV5" s="296">
        <v>0</v>
      </c>
      <c r="AW5" s="296">
        <v>0</v>
      </c>
      <c r="AX5" s="296">
        <v>0</v>
      </c>
      <c r="AY5" s="296">
        <v>0</v>
      </c>
      <c r="AZ5" s="296">
        <v>0</v>
      </c>
      <c r="BA5" s="296">
        <v>0</v>
      </c>
      <c r="BB5" s="296">
        <v>0</v>
      </c>
      <c r="BC5" s="296">
        <v>0</v>
      </c>
      <c r="BD5" s="296">
        <v>0</v>
      </c>
      <c r="BE5" s="296">
        <v>0</v>
      </c>
      <c r="BF5" s="291"/>
      <c r="BG5" s="296" t="s">
        <v>569</v>
      </c>
      <c r="BH5" s="296">
        <v>12</v>
      </c>
      <c r="BI5" s="296" t="s">
        <v>569</v>
      </c>
      <c r="BJ5" s="296"/>
      <c r="BK5" s="296"/>
      <c r="BL5" s="296"/>
      <c r="BM5" s="290"/>
      <c r="BN5" s="291"/>
      <c r="BO5" s="296"/>
      <c r="BP5" s="296" t="s">
        <v>579</v>
      </c>
      <c r="BQ5" s="296"/>
      <c r="BR5" s="290" t="s">
        <v>670</v>
      </c>
      <c r="BS5" s="291" t="s">
        <v>671</v>
      </c>
      <c r="BT5" s="291" t="s">
        <v>495</v>
      </c>
    </row>
    <row r="6" spans="1:72" x14ac:dyDescent="0.3">
      <c r="A6" s="288">
        <v>2357</v>
      </c>
      <c r="B6" s="289">
        <v>42567</v>
      </c>
      <c r="C6" s="290" t="s">
        <v>565</v>
      </c>
      <c r="D6" s="291" t="s">
        <v>608</v>
      </c>
      <c r="E6" s="289">
        <v>42551</v>
      </c>
      <c r="F6" s="290" t="s">
        <v>644</v>
      </c>
      <c r="G6" s="291" t="s">
        <v>672</v>
      </c>
      <c r="H6" s="292">
        <v>62.999999999999993</v>
      </c>
      <c r="I6" s="292"/>
      <c r="J6" s="292"/>
      <c r="K6" s="293" t="s">
        <v>582</v>
      </c>
      <c r="L6" s="294">
        <v>1242</v>
      </c>
      <c r="M6" s="294">
        <v>1222</v>
      </c>
      <c r="N6" s="294">
        <v>2958</v>
      </c>
      <c r="O6" s="294">
        <v>159287</v>
      </c>
      <c r="P6" s="294">
        <v>657863</v>
      </c>
      <c r="Q6" s="294"/>
      <c r="R6" s="294"/>
      <c r="S6" s="294"/>
      <c r="T6" s="294"/>
      <c r="U6" s="294"/>
      <c r="V6" s="294"/>
      <c r="W6" s="295">
        <v>3.3818181818181818</v>
      </c>
      <c r="X6" s="295">
        <v>2.1</v>
      </c>
      <c r="Y6" s="295">
        <v>2</v>
      </c>
      <c r="Z6" s="295">
        <v>1.9545454545454544</v>
      </c>
      <c r="AA6" s="295">
        <v>1.8999999999999997</v>
      </c>
      <c r="AB6" s="295">
        <v>1.7636363636363634</v>
      </c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6" t="s">
        <v>569</v>
      </c>
      <c r="AP6" s="296"/>
      <c r="AQ6" s="296"/>
      <c r="AR6" s="296"/>
      <c r="AS6" s="291"/>
      <c r="AT6" s="296">
        <v>0</v>
      </c>
      <c r="AU6" s="296">
        <v>0</v>
      </c>
      <c r="AV6" s="296">
        <v>0</v>
      </c>
      <c r="AW6" s="296">
        <v>0</v>
      </c>
      <c r="AX6" s="296">
        <v>0</v>
      </c>
      <c r="AY6" s="296">
        <v>0</v>
      </c>
      <c r="AZ6" s="296">
        <v>0</v>
      </c>
      <c r="BA6" s="296">
        <v>0</v>
      </c>
      <c r="BB6" s="296">
        <v>0</v>
      </c>
      <c r="BC6" s="296">
        <v>0</v>
      </c>
      <c r="BD6" s="296">
        <v>0</v>
      </c>
      <c r="BE6" s="296">
        <v>0</v>
      </c>
      <c r="BF6" s="291"/>
      <c r="BG6" s="296" t="s">
        <v>569</v>
      </c>
      <c r="BH6" s="296"/>
      <c r="BI6" s="296" t="s">
        <v>569</v>
      </c>
      <c r="BJ6" s="296"/>
      <c r="BK6" s="296"/>
      <c r="BL6" s="296"/>
      <c r="BM6" s="290"/>
      <c r="BN6" s="291"/>
      <c r="BO6" s="298"/>
      <c r="BP6" s="296" t="s">
        <v>579</v>
      </c>
      <c r="BQ6" s="296"/>
      <c r="BR6" s="290"/>
      <c r="BS6" s="291" t="s">
        <v>673</v>
      </c>
      <c r="BT6" s="291" t="s">
        <v>572</v>
      </c>
    </row>
    <row r="7" spans="1:72" x14ac:dyDescent="0.3">
      <c r="A7" s="288">
        <v>2686</v>
      </c>
      <c r="B7" s="289">
        <v>42566</v>
      </c>
      <c r="C7" s="290" t="s">
        <v>565</v>
      </c>
      <c r="D7" s="291" t="s">
        <v>608</v>
      </c>
      <c r="E7" s="299">
        <v>42551</v>
      </c>
      <c r="F7" s="290" t="s">
        <v>580</v>
      </c>
      <c r="G7" s="291" t="s">
        <v>674</v>
      </c>
      <c r="H7" s="292">
        <v>35.263636363636358</v>
      </c>
      <c r="I7" s="292"/>
      <c r="J7" s="292"/>
      <c r="K7" s="293" t="s">
        <v>582</v>
      </c>
      <c r="L7" s="294">
        <v>1245</v>
      </c>
      <c r="M7" s="294">
        <v>1250</v>
      </c>
      <c r="N7" s="294">
        <v>2960</v>
      </c>
      <c r="O7" s="294">
        <v>159290</v>
      </c>
      <c r="P7" s="294">
        <v>657865</v>
      </c>
      <c r="Q7" s="294"/>
      <c r="R7" s="294"/>
      <c r="S7" s="294"/>
      <c r="T7" s="294"/>
      <c r="U7" s="294"/>
      <c r="V7" s="294"/>
      <c r="W7" s="295">
        <v>3.6454545454545451</v>
      </c>
      <c r="X7" s="295">
        <v>2.3818181818181818</v>
      </c>
      <c r="Y7" s="295">
        <v>2.336363636363636</v>
      </c>
      <c r="Z7" s="295">
        <v>2.336363636363636</v>
      </c>
      <c r="AA7" s="295">
        <v>2.2999999999999998</v>
      </c>
      <c r="AB7" s="295">
        <v>2.1363636363636362</v>
      </c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6" t="s">
        <v>569</v>
      </c>
      <c r="AP7" s="291"/>
      <c r="AQ7" s="291"/>
      <c r="AR7" s="291"/>
      <c r="AS7" s="291"/>
      <c r="AT7" s="296">
        <v>0</v>
      </c>
      <c r="AU7" s="296">
        <v>0</v>
      </c>
      <c r="AV7" s="296">
        <v>0</v>
      </c>
      <c r="AW7" s="296">
        <v>0</v>
      </c>
      <c r="AX7" s="296">
        <v>0</v>
      </c>
      <c r="AY7" s="296">
        <v>0</v>
      </c>
      <c r="AZ7" s="296">
        <v>0</v>
      </c>
      <c r="BA7" s="296">
        <v>0</v>
      </c>
      <c r="BB7" s="296">
        <v>0</v>
      </c>
      <c r="BC7" s="296">
        <v>0</v>
      </c>
      <c r="BD7" s="296">
        <v>0</v>
      </c>
      <c r="BE7" s="296">
        <v>0</v>
      </c>
      <c r="BF7" s="296"/>
      <c r="BG7" s="296" t="s">
        <v>569</v>
      </c>
      <c r="BH7" s="296"/>
      <c r="BI7" s="296" t="s">
        <v>569</v>
      </c>
      <c r="BJ7" s="296"/>
      <c r="BK7" s="296"/>
      <c r="BL7" s="296"/>
      <c r="BM7" s="290"/>
      <c r="BN7" s="291"/>
      <c r="BO7" s="296"/>
      <c r="BP7" s="296" t="s">
        <v>579</v>
      </c>
      <c r="BQ7" s="296">
        <v>1</v>
      </c>
      <c r="BR7" s="290"/>
      <c r="BS7" s="291" t="s">
        <v>675</v>
      </c>
      <c r="BT7" s="291" t="s">
        <v>572</v>
      </c>
    </row>
    <row r="8" spans="1:72" x14ac:dyDescent="0.3">
      <c r="A8" s="288">
        <v>2674</v>
      </c>
      <c r="B8" s="289">
        <v>42566</v>
      </c>
      <c r="C8" s="290" t="s">
        <v>565</v>
      </c>
      <c r="D8" s="291" t="s">
        <v>608</v>
      </c>
      <c r="E8" s="289">
        <v>42551</v>
      </c>
      <c r="F8" s="290" t="s">
        <v>645</v>
      </c>
      <c r="G8" s="291" t="s">
        <v>676</v>
      </c>
      <c r="H8" s="292">
        <v>32.68181818181818</v>
      </c>
      <c r="I8" s="292"/>
      <c r="J8" s="292"/>
      <c r="K8" s="293" t="s">
        <v>582</v>
      </c>
      <c r="L8" s="294">
        <v>1243</v>
      </c>
      <c r="M8" s="294">
        <v>1223</v>
      </c>
      <c r="N8" s="294">
        <v>1959</v>
      </c>
      <c r="O8" s="294">
        <v>159240</v>
      </c>
      <c r="P8" s="294">
        <v>657840</v>
      </c>
      <c r="Q8" s="294"/>
      <c r="R8" s="294"/>
      <c r="S8" s="294"/>
      <c r="T8" s="294"/>
      <c r="U8" s="294"/>
      <c r="V8" s="294"/>
      <c r="W8" s="295">
        <v>3.3818181818181818</v>
      </c>
      <c r="X8" s="295">
        <v>2.1999999999999997</v>
      </c>
      <c r="Y8" s="295">
        <v>2.1636363636363636</v>
      </c>
      <c r="Z8" s="295">
        <v>2.1636363636363636</v>
      </c>
      <c r="AA8" s="295">
        <v>2.127272727272727</v>
      </c>
      <c r="AB8" s="295">
        <v>1.9727272727272724</v>
      </c>
      <c r="AC8" s="295"/>
      <c r="AD8" s="295"/>
      <c r="AE8" s="295"/>
      <c r="AF8" s="295"/>
      <c r="AG8" s="295"/>
      <c r="AH8" s="295"/>
      <c r="AI8" s="295"/>
      <c r="AJ8" s="295"/>
      <c r="AK8" s="295"/>
      <c r="AL8" s="295"/>
      <c r="AM8" s="295"/>
      <c r="AN8" s="295"/>
      <c r="AO8" s="296" t="s">
        <v>569</v>
      </c>
      <c r="AP8" s="296"/>
      <c r="AQ8" s="296"/>
      <c r="AR8" s="296"/>
      <c r="AS8" s="291"/>
      <c r="AT8" s="296">
        <v>0</v>
      </c>
      <c r="AU8" s="296">
        <v>0</v>
      </c>
      <c r="AV8" s="296">
        <v>0</v>
      </c>
      <c r="AW8" s="296">
        <v>0</v>
      </c>
      <c r="AX8" s="296">
        <v>0</v>
      </c>
      <c r="AY8" s="296">
        <v>0</v>
      </c>
      <c r="AZ8" s="296">
        <v>0</v>
      </c>
      <c r="BA8" s="296">
        <v>0</v>
      </c>
      <c r="BB8" s="296">
        <v>0</v>
      </c>
      <c r="BC8" s="296">
        <v>0</v>
      </c>
      <c r="BD8" s="296">
        <v>0</v>
      </c>
      <c r="BE8" s="296">
        <v>0</v>
      </c>
      <c r="BF8" s="291"/>
      <c r="BG8" s="296" t="s">
        <v>569</v>
      </c>
      <c r="BH8" s="296"/>
      <c r="BI8" s="296" t="s">
        <v>569</v>
      </c>
      <c r="BJ8" s="296"/>
      <c r="BK8" s="296"/>
      <c r="BL8" s="296"/>
      <c r="BM8" s="290"/>
      <c r="BN8" s="291"/>
      <c r="BO8" s="296"/>
      <c r="BP8" s="296" t="s">
        <v>579</v>
      </c>
      <c r="BQ8" s="296">
        <v>1</v>
      </c>
      <c r="BR8" s="290"/>
      <c r="BS8" s="291" t="s">
        <v>677</v>
      </c>
      <c r="BT8" s="291" t="s">
        <v>572</v>
      </c>
    </row>
    <row r="9" spans="1:72" x14ac:dyDescent="0.3">
      <c r="A9" s="288">
        <v>2687</v>
      </c>
      <c r="B9" s="289">
        <v>42567</v>
      </c>
      <c r="C9" s="290" t="s">
        <v>565</v>
      </c>
      <c r="D9" s="291" t="s">
        <v>608</v>
      </c>
      <c r="E9" s="289">
        <v>42551</v>
      </c>
      <c r="F9" s="290" t="s">
        <v>646</v>
      </c>
      <c r="G9" s="291" t="s">
        <v>678</v>
      </c>
      <c r="H9" s="292">
        <v>52.999999999999993</v>
      </c>
      <c r="I9" s="292"/>
      <c r="J9" s="292"/>
      <c r="K9" s="293" t="s">
        <v>582</v>
      </c>
      <c r="L9" s="294">
        <v>1240</v>
      </c>
      <c r="M9" s="294">
        <v>1220</v>
      </c>
      <c r="N9" s="294">
        <v>2960</v>
      </c>
      <c r="O9" s="294">
        <v>159300</v>
      </c>
      <c r="P9" s="294">
        <v>657900</v>
      </c>
      <c r="Q9" s="294"/>
      <c r="R9" s="294"/>
      <c r="S9" s="294"/>
      <c r="T9" s="294"/>
      <c r="U9" s="294"/>
      <c r="V9" s="294"/>
      <c r="W9" s="295">
        <v>3.4090909090909087</v>
      </c>
      <c r="X9" s="295">
        <v>2.2727272727272725</v>
      </c>
      <c r="Y9" s="295">
        <v>2.1</v>
      </c>
      <c r="Z9" s="295">
        <v>2.0818181818181816</v>
      </c>
      <c r="AA9" s="295">
        <v>1.9818181818181817</v>
      </c>
      <c r="AB9" s="295">
        <v>1.1272727272727272</v>
      </c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295"/>
      <c r="AN9" s="295"/>
      <c r="AO9" s="296" t="s">
        <v>569</v>
      </c>
      <c r="AP9" s="296"/>
      <c r="AQ9" s="296"/>
      <c r="AR9" s="296"/>
      <c r="AS9" s="291"/>
      <c r="AT9" s="296">
        <v>20</v>
      </c>
      <c r="AU9" s="296">
        <v>0</v>
      </c>
      <c r="AV9" s="296">
        <v>0</v>
      </c>
      <c r="AW9" s="296">
        <v>0</v>
      </c>
      <c r="AX9" s="296">
        <v>0</v>
      </c>
      <c r="AY9" s="296">
        <v>0</v>
      </c>
      <c r="AZ9" s="296">
        <v>0</v>
      </c>
      <c r="BA9" s="296">
        <v>0</v>
      </c>
      <c r="BB9" s="296">
        <v>0</v>
      </c>
      <c r="BC9" s="296">
        <v>0</v>
      </c>
      <c r="BD9" s="296">
        <v>0</v>
      </c>
      <c r="BE9" s="296">
        <v>0</v>
      </c>
      <c r="BF9" s="291"/>
      <c r="BG9" s="296" t="s">
        <v>569</v>
      </c>
      <c r="BH9" s="296"/>
      <c r="BI9" s="296" t="s">
        <v>569</v>
      </c>
      <c r="BJ9" s="296"/>
      <c r="BK9" s="296"/>
      <c r="BL9" s="296"/>
      <c r="BM9" s="290"/>
      <c r="BN9" s="291"/>
      <c r="BO9" s="296"/>
      <c r="BP9" s="296" t="s">
        <v>579</v>
      </c>
      <c r="BQ9" s="296"/>
      <c r="BR9" s="290"/>
      <c r="BS9" s="291" t="s">
        <v>679</v>
      </c>
      <c r="BT9" s="291" t="s">
        <v>572</v>
      </c>
    </row>
    <row r="10" spans="1:72" x14ac:dyDescent="0.3">
      <c r="A10" s="288">
        <v>2479</v>
      </c>
      <c r="B10" s="289">
        <v>42567</v>
      </c>
      <c r="C10" s="297" t="s">
        <v>565</v>
      </c>
      <c r="D10" s="291" t="s">
        <v>608</v>
      </c>
      <c r="E10" s="299">
        <v>42503</v>
      </c>
      <c r="F10" s="290" t="s">
        <v>680</v>
      </c>
      <c r="G10" s="291" t="s">
        <v>681</v>
      </c>
      <c r="H10" s="292">
        <v>44.999999999999993</v>
      </c>
      <c r="I10" s="292"/>
      <c r="J10" s="292"/>
      <c r="K10" s="293" t="s">
        <v>582</v>
      </c>
      <c r="L10" s="294">
        <v>1242</v>
      </c>
      <c r="M10" s="294"/>
      <c r="N10" s="294"/>
      <c r="O10" s="294"/>
      <c r="P10" s="294"/>
      <c r="Q10" s="294"/>
      <c r="R10" s="294"/>
      <c r="S10" s="294"/>
      <c r="T10" s="294"/>
      <c r="U10" s="294"/>
      <c r="V10" s="294"/>
      <c r="W10" s="295">
        <v>3.5</v>
      </c>
      <c r="X10" s="295">
        <v>2.2999999999999998</v>
      </c>
      <c r="Y10" s="295" t="s">
        <v>669</v>
      </c>
      <c r="Z10" s="295" t="s">
        <v>669</v>
      </c>
      <c r="AA10" s="295" t="s">
        <v>669</v>
      </c>
      <c r="AB10" s="295" t="s">
        <v>669</v>
      </c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6" t="s">
        <v>569</v>
      </c>
      <c r="AP10" s="296"/>
      <c r="AQ10" s="296"/>
      <c r="AR10" s="296"/>
      <c r="AS10" s="291"/>
      <c r="AT10" s="296">
        <v>0</v>
      </c>
      <c r="AU10" s="296">
        <v>0</v>
      </c>
      <c r="AV10" s="296">
        <v>5</v>
      </c>
      <c r="AW10" s="296">
        <v>0</v>
      </c>
      <c r="AX10" s="296">
        <v>0</v>
      </c>
      <c r="AY10" s="296">
        <v>0</v>
      </c>
      <c r="AZ10" s="296">
        <v>0</v>
      </c>
      <c r="BA10" s="296">
        <v>0</v>
      </c>
      <c r="BB10" s="296">
        <v>0</v>
      </c>
      <c r="BC10" s="296">
        <v>0</v>
      </c>
      <c r="BD10" s="296">
        <v>0</v>
      </c>
      <c r="BE10" s="296">
        <v>0</v>
      </c>
      <c r="BF10" s="296"/>
      <c r="BG10" s="296" t="s">
        <v>569</v>
      </c>
      <c r="BH10" s="296"/>
      <c r="BI10" s="296" t="s">
        <v>569</v>
      </c>
      <c r="BJ10" s="296"/>
      <c r="BK10" s="296"/>
      <c r="BL10" s="296"/>
      <c r="BM10" s="290"/>
      <c r="BN10" s="291"/>
      <c r="BO10" s="296"/>
      <c r="BP10" s="296" t="s">
        <v>579</v>
      </c>
      <c r="BQ10" s="296"/>
      <c r="BR10" s="290"/>
      <c r="BS10" s="329" t="s">
        <v>682</v>
      </c>
      <c r="BT10" s="291" t="s">
        <v>572</v>
      </c>
    </row>
    <row r="11" spans="1:72" x14ac:dyDescent="0.3">
      <c r="A11" s="288">
        <v>2108</v>
      </c>
      <c r="B11" s="289">
        <v>42566</v>
      </c>
      <c r="C11" s="290" t="s">
        <v>565</v>
      </c>
      <c r="D11" s="291" t="s">
        <v>618</v>
      </c>
      <c r="E11" s="289">
        <v>42467</v>
      </c>
      <c r="F11" s="290" t="s">
        <v>642</v>
      </c>
      <c r="G11" s="291" t="s">
        <v>615</v>
      </c>
      <c r="H11" s="292">
        <v>60.29999999999999</v>
      </c>
      <c r="I11" s="292"/>
      <c r="J11" s="292"/>
      <c r="K11" s="293" t="s">
        <v>582</v>
      </c>
      <c r="L11" s="294">
        <v>1242.72</v>
      </c>
      <c r="M11" s="294">
        <v>1223.04</v>
      </c>
      <c r="N11" s="294">
        <v>2958.9</v>
      </c>
      <c r="O11" s="294">
        <v>159287.64000000001</v>
      </c>
      <c r="P11" s="294">
        <v>657863.04</v>
      </c>
      <c r="Q11" s="294"/>
      <c r="R11" s="294"/>
      <c r="S11" s="294"/>
      <c r="T11" s="294"/>
      <c r="U11" s="294"/>
      <c r="V11" s="294"/>
      <c r="W11" s="295">
        <v>4.1363636363636358</v>
      </c>
      <c r="X11" s="295">
        <v>2.7636363636363632</v>
      </c>
      <c r="Y11" s="295">
        <v>2.6454545454545455</v>
      </c>
      <c r="Z11" s="295">
        <v>2.545454545454545</v>
      </c>
      <c r="AA11" s="295">
        <v>2.4363636363636365</v>
      </c>
      <c r="AB11" s="295">
        <v>2.1181818181818182</v>
      </c>
      <c r="AC11" s="295"/>
      <c r="AD11" s="295"/>
      <c r="AE11" s="295"/>
      <c r="AF11" s="295"/>
      <c r="AG11" s="295"/>
      <c r="AH11" s="295"/>
      <c r="AI11" s="295"/>
      <c r="AJ11" s="295"/>
      <c r="AK11" s="295"/>
      <c r="AL11" s="295"/>
      <c r="AM11" s="295"/>
      <c r="AN11" s="295"/>
      <c r="AO11" s="296" t="s">
        <v>569</v>
      </c>
      <c r="AP11" s="291"/>
      <c r="AQ11" s="291"/>
      <c r="AR11" s="291"/>
      <c r="AS11" s="291"/>
      <c r="AT11" s="296">
        <v>16</v>
      </c>
      <c r="AU11" s="296">
        <v>0</v>
      </c>
      <c r="AV11" s="296">
        <v>0</v>
      </c>
      <c r="AW11" s="296">
        <v>0</v>
      </c>
      <c r="AX11" s="296">
        <v>0</v>
      </c>
      <c r="AY11" s="296">
        <v>0</v>
      </c>
      <c r="AZ11" s="296">
        <v>0</v>
      </c>
      <c r="BA11" s="296">
        <v>0</v>
      </c>
      <c r="BB11" s="296">
        <v>0</v>
      </c>
      <c r="BC11" s="296">
        <v>0</v>
      </c>
      <c r="BD11" s="296">
        <v>0</v>
      </c>
      <c r="BE11" s="296">
        <v>0</v>
      </c>
      <c r="BF11" s="291"/>
      <c r="BG11" s="296" t="s">
        <v>569</v>
      </c>
      <c r="BH11" s="296">
        <v>12</v>
      </c>
      <c r="BI11" s="296" t="s">
        <v>569</v>
      </c>
      <c r="BJ11" s="296"/>
      <c r="BK11" s="296"/>
      <c r="BL11" s="296"/>
      <c r="BM11" s="290"/>
      <c r="BN11" s="291"/>
      <c r="BO11" s="296"/>
      <c r="BP11" s="296" t="s">
        <v>579</v>
      </c>
      <c r="BQ11" s="296"/>
      <c r="BR11" s="290"/>
      <c r="BS11" s="291" t="s">
        <v>683</v>
      </c>
      <c r="BT11" s="291" t="s">
        <v>572</v>
      </c>
    </row>
    <row r="12" spans="1:72" x14ac:dyDescent="0.3">
      <c r="A12" s="288">
        <v>871</v>
      </c>
      <c r="B12" s="289">
        <v>42566</v>
      </c>
      <c r="C12" s="290" t="s">
        <v>565</v>
      </c>
      <c r="D12" s="291" t="s">
        <v>618</v>
      </c>
      <c r="E12" s="289">
        <v>42551</v>
      </c>
      <c r="F12" s="290" t="s">
        <v>684</v>
      </c>
      <c r="G12" s="291" t="s">
        <v>526</v>
      </c>
      <c r="H12" s="292">
        <v>58.754545454545443</v>
      </c>
      <c r="I12" s="292"/>
      <c r="J12" s="292"/>
      <c r="K12" s="293" t="s">
        <v>582</v>
      </c>
      <c r="L12" s="294">
        <v>1242.7380000000001</v>
      </c>
      <c r="M12" s="294">
        <v>1223.0160000000001</v>
      </c>
      <c r="N12" s="294">
        <v>2958.9059999999999</v>
      </c>
      <c r="O12" s="294">
        <v>159287.67000000001</v>
      </c>
      <c r="P12" s="294">
        <v>657863.01599999995</v>
      </c>
      <c r="Q12" s="294"/>
      <c r="R12" s="294"/>
      <c r="S12" s="294"/>
      <c r="T12" s="294"/>
      <c r="U12" s="294"/>
      <c r="V12" s="294"/>
      <c r="W12" s="295">
        <v>3.8909090909090907</v>
      </c>
      <c r="X12" s="295">
        <v>2.5818181818181816</v>
      </c>
      <c r="Y12" s="295">
        <v>2.5545454545454542</v>
      </c>
      <c r="Z12" s="295">
        <v>2.4727272727272727</v>
      </c>
      <c r="AA12" s="295">
        <v>2.2909090909090906</v>
      </c>
      <c r="AB12" s="295">
        <v>0.5</v>
      </c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295"/>
      <c r="AN12" s="295"/>
      <c r="AO12" s="296" t="s">
        <v>569</v>
      </c>
      <c r="AP12" s="291"/>
      <c r="AQ12" s="291"/>
      <c r="AR12" s="291"/>
      <c r="AS12" s="291"/>
      <c r="AT12" s="296">
        <v>11</v>
      </c>
      <c r="AU12" s="296">
        <v>0</v>
      </c>
      <c r="AV12" s="296">
        <v>0</v>
      </c>
      <c r="AW12" s="296">
        <v>0</v>
      </c>
      <c r="AX12" s="296">
        <v>0</v>
      </c>
      <c r="AY12" s="296">
        <v>0</v>
      </c>
      <c r="AZ12" s="296">
        <v>0</v>
      </c>
      <c r="BA12" s="296">
        <v>0</v>
      </c>
      <c r="BB12" s="296">
        <v>0</v>
      </c>
      <c r="BC12" s="296">
        <v>0</v>
      </c>
      <c r="BD12" s="296">
        <v>0</v>
      </c>
      <c r="BE12" s="296">
        <v>0</v>
      </c>
      <c r="BF12" s="291">
        <v>12</v>
      </c>
      <c r="BG12" s="296" t="s">
        <v>569</v>
      </c>
      <c r="BH12" s="296">
        <v>12</v>
      </c>
      <c r="BI12" s="296" t="s">
        <v>569</v>
      </c>
      <c r="BJ12" s="296"/>
      <c r="BK12" s="296"/>
      <c r="BL12" s="296"/>
      <c r="BM12" s="290"/>
      <c r="BN12" s="291"/>
      <c r="BO12" s="296"/>
      <c r="BP12" s="296" t="s">
        <v>570</v>
      </c>
      <c r="BQ12" s="296"/>
      <c r="BR12" s="290"/>
      <c r="BS12" s="291" t="s">
        <v>685</v>
      </c>
      <c r="BT12" s="291" t="s">
        <v>572</v>
      </c>
    </row>
    <row r="13" spans="1:72" x14ac:dyDescent="0.3">
      <c r="A13" s="288">
        <v>2109</v>
      </c>
      <c r="B13" s="289">
        <v>42566</v>
      </c>
      <c r="C13" s="290" t="s">
        <v>565</v>
      </c>
      <c r="D13" s="291" t="s">
        <v>619</v>
      </c>
      <c r="E13" s="289">
        <v>42467</v>
      </c>
      <c r="F13" s="290" t="s">
        <v>642</v>
      </c>
      <c r="G13" s="291" t="s">
        <v>615</v>
      </c>
      <c r="H13" s="292">
        <v>73.199999999999989</v>
      </c>
      <c r="I13" s="292"/>
      <c r="J13" s="292"/>
      <c r="K13" s="293" t="s">
        <v>582</v>
      </c>
      <c r="L13" s="294">
        <v>2465.7599999999998</v>
      </c>
      <c r="M13" s="294">
        <v>162246.6</v>
      </c>
      <c r="N13" s="294">
        <v>657862.98</v>
      </c>
      <c r="O13" s="294"/>
      <c r="P13" s="294"/>
      <c r="Q13" s="294"/>
      <c r="R13" s="294"/>
      <c r="S13" s="294"/>
      <c r="T13" s="294"/>
      <c r="U13" s="294"/>
      <c r="V13" s="294"/>
      <c r="W13" s="295">
        <v>3.0363636363636362</v>
      </c>
      <c r="X13" s="295">
        <v>2.7636363636363632</v>
      </c>
      <c r="Y13" s="295">
        <v>2.6727272727272724</v>
      </c>
      <c r="Z13" s="295">
        <v>2.4636363636363634</v>
      </c>
      <c r="AA13" s="295" t="s">
        <v>669</v>
      </c>
      <c r="AB13" s="295" t="s">
        <v>669</v>
      </c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6" t="s">
        <v>569</v>
      </c>
      <c r="AP13" s="296"/>
      <c r="AQ13" s="296"/>
      <c r="AR13" s="296"/>
      <c r="AS13" s="291"/>
      <c r="AT13" s="296">
        <v>16</v>
      </c>
      <c r="AU13" s="296">
        <v>0</v>
      </c>
      <c r="AV13" s="296">
        <v>0</v>
      </c>
      <c r="AW13" s="296">
        <v>0</v>
      </c>
      <c r="AX13" s="296">
        <v>0</v>
      </c>
      <c r="AY13" s="296">
        <v>0</v>
      </c>
      <c r="AZ13" s="296">
        <v>0</v>
      </c>
      <c r="BA13" s="296">
        <v>0</v>
      </c>
      <c r="BB13" s="296">
        <v>0</v>
      </c>
      <c r="BC13" s="296">
        <v>0</v>
      </c>
      <c r="BD13" s="296">
        <v>0</v>
      </c>
      <c r="BE13" s="296">
        <v>0</v>
      </c>
      <c r="BF13" s="291"/>
      <c r="BG13" s="296" t="s">
        <v>569</v>
      </c>
      <c r="BH13" s="296">
        <v>12</v>
      </c>
      <c r="BI13" s="296" t="s">
        <v>569</v>
      </c>
      <c r="BJ13" s="296"/>
      <c r="BK13" s="296"/>
      <c r="BL13" s="296"/>
      <c r="BM13" s="290"/>
      <c r="BN13" s="291"/>
      <c r="BO13" s="296"/>
      <c r="BP13" s="296" t="s">
        <v>579</v>
      </c>
      <c r="BQ13" s="296"/>
      <c r="BR13" s="290"/>
      <c r="BS13" s="291" t="s">
        <v>686</v>
      </c>
      <c r="BT13" s="291" t="s">
        <v>572</v>
      </c>
    </row>
    <row r="14" spans="1:72" x14ac:dyDescent="0.3">
      <c r="A14" s="288">
        <v>872</v>
      </c>
      <c r="B14" s="289">
        <v>42566</v>
      </c>
      <c r="C14" s="290" t="s">
        <v>565</v>
      </c>
      <c r="D14" s="291" t="s">
        <v>619</v>
      </c>
      <c r="E14" s="289">
        <v>42551</v>
      </c>
      <c r="F14" s="290" t="s">
        <v>684</v>
      </c>
      <c r="G14" s="291" t="s">
        <v>526</v>
      </c>
      <c r="H14" s="292">
        <v>81.354545454545445</v>
      </c>
      <c r="I14" s="292"/>
      <c r="J14" s="292"/>
      <c r="K14" s="293" t="s">
        <v>582</v>
      </c>
      <c r="L14" s="294">
        <v>2465.7539999999999</v>
      </c>
      <c r="M14" s="294">
        <v>26531.508000000002</v>
      </c>
      <c r="N14" s="294">
        <v>89358.906000000003</v>
      </c>
      <c r="O14" s="294"/>
      <c r="P14" s="294"/>
      <c r="Q14" s="294"/>
      <c r="R14" s="294"/>
      <c r="S14" s="294"/>
      <c r="T14" s="294"/>
      <c r="U14" s="294"/>
      <c r="V14" s="294"/>
      <c r="W14" s="295">
        <v>3.1545454545454543</v>
      </c>
      <c r="X14" s="295">
        <v>2.627272727272727</v>
      </c>
      <c r="Y14" s="295">
        <v>2.5363636363636362</v>
      </c>
      <c r="Z14" s="295">
        <v>2.5090909090909088</v>
      </c>
      <c r="AA14" s="295" t="s">
        <v>669</v>
      </c>
      <c r="AB14" s="295" t="s">
        <v>669</v>
      </c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6" t="s">
        <v>569</v>
      </c>
      <c r="AP14" s="296"/>
      <c r="AQ14" s="296"/>
      <c r="AR14" s="296"/>
      <c r="AS14" s="291"/>
      <c r="AT14" s="296">
        <v>11</v>
      </c>
      <c r="AU14" s="296">
        <v>0</v>
      </c>
      <c r="AV14" s="296">
        <v>0</v>
      </c>
      <c r="AW14" s="296">
        <v>0</v>
      </c>
      <c r="AX14" s="296">
        <v>0</v>
      </c>
      <c r="AY14" s="296">
        <v>0</v>
      </c>
      <c r="AZ14" s="296">
        <v>0</v>
      </c>
      <c r="BA14" s="296">
        <v>0</v>
      </c>
      <c r="BB14" s="296">
        <v>0</v>
      </c>
      <c r="BC14" s="296">
        <v>0</v>
      </c>
      <c r="BD14" s="296">
        <v>0</v>
      </c>
      <c r="BE14" s="296">
        <v>0</v>
      </c>
      <c r="BF14" s="291"/>
      <c r="BG14" s="296" t="s">
        <v>569</v>
      </c>
      <c r="BH14" s="296">
        <v>12</v>
      </c>
      <c r="BI14" s="296" t="s">
        <v>569</v>
      </c>
      <c r="BJ14" s="296"/>
      <c r="BK14" s="296"/>
      <c r="BL14" s="296"/>
      <c r="BM14" s="290"/>
      <c r="BN14" s="291"/>
      <c r="BO14" s="296"/>
      <c r="BP14" s="296" t="s">
        <v>570</v>
      </c>
      <c r="BQ14" s="296"/>
      <c r="BR14" s="290"/>
      <c r="BS14" s="291" t="s">
        <v>687</v>
      </c>
      <c r="BT14" s="291" t="s">
        <v>572</v>
      </c>
    </row>
    <row r="15" spans="1:72" x14ac:dyDescent="0.3">
      <c r="A15" s="288">
        <v>873</v>
      </c>
      <c r="B15" s="289">
        <v>42566</v>
      </c>
      <c r="C15" s="290" t="s">
        <v>565</v>
      </c>
      <c r="D15" s="291" t="s">
        <v>620</v>
      </c>
      <c r="E15" s="289">
        <v>42551</v>
      </c>
      <c r="F15" s="290" t="s">
        <v>684</v>
      </c>
      <c r="G15" s="291" t="s">
        <v>526</v>
      </c>
      <c r="H15" s="292">
        <v>87.490909090909085</v>
      </c>
      <c r="I15" s="292"/>
      <c r="Q15" s="294"/>
      <c r="R15" s="294"/>
      <c r="S15" s="294"/>
      <c r="T15" s="294"/>
      <c r="U15" s="294"/>
      <c r="V15" s="294"/>
      <c r="W15" s="295">
        <v>2.8909090909090907</v>
      </c>
      <c r="X15" s="295" t="s">
        <v>669</v>
      </c>
      <c r="Y15" s="295" t="s">
        <v>669</v>
      </c>
      <c r="Z15" s="295" t="s">
        <v>669</v>
      </c>
      <c r="AA15" s="295" t="s">
        <v>669</v>
      </c>
      <c r="AB15" s="295" t="s">
        <v>669</v>
      </c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6" t="s">
        <v>569</v>
      </c>
      <c r="AP15" s="296"/>
      <c r="AQ15" s="296"/>
      <c r="AR15" s="296"/>
      <c r="AS15" s="291"/>
      <c r="AT15" s="296">
        <v>6</v>
      </c>
      <c r="AU15" s="296">
        <v>0</v>
      </c>
      <c r="AV15" s="296">
        <v>0</v>
      </c>
      <c r="AW15" s="296">
        <v>0</v>
      </c>
      <c r="AX15" s="296">
        <v>0</v>
      </c>
      <c r="AY15" s="296">
        <v>0</v>
      </c>
      <c r="AZ15" s="296">
        <v>0</v>
      </c>
      <c r="BA15" s="296">
        <v>0</v>
      </c>
      <c r="BB15" s="296">
        <v>0</v>
      </c>
      <c r="BC15" s="296">
        <v>0</v>
      </c>
      <c r="BD15" s="296">
        <v>0</v>
      </c>
      <c r="BE15" s="296">
        <v>0</v>
      </c>
      <c r="BF15" s="291"/>
      <c r="BG15" s="296" t="s">
        <v>569</v>
      </c>
      <c r="BH15" s="296">
        <v>12</v>
      </c>
      <c r="BI15" s="296" t="s">
        <v>569</v>
      </c>
      <c r="BJ15" s="296"/>
      <c r="BK15" s="296"/>
      <c r="BL15" s="296"/>
      <c r="BM15" s="290"/>
      <c r="BN15" s="291"/>
      <c r="BO15" s="296"/>
      <c r="BP15" s="296" t="s">
        <v>570</v>
      </c>
      <c r="BQ15" s="296"/>
      <c r="BR15" s="290"/>
      <c r="BS15" s="291" t="s">
        <v>688</v>
      </c>
      <c r="BT15" s="291" t="s">
        <v>572</v>
      </c>
    </row>
    <row r="16" spans="1:72" x14ac:dyDescent="0.3">
      <c r="A16" s="288">
        <v>2346</v>
      </c>
      <c r="B16" s="289">
        <v>42566</v>
      </c>
      <c r="C16" s="290" t="s">
        <v>565</v>
      </c>
      <c r="D16" s="291" t="s">
        <v>621</v>
      </c>
      <c r="E16" s="289">
        <v>42551</v>
      </c>
      <c r="F16" s="290" t="s">
        <v>204</v>
      </c>
      <c r="G16" s="291" t="s">
        <v>663</v>
      </c>
      <c r="H16" s="292">
        <v>57.418181818181807</v>
      </c>
      <c r="I16" s="292"/>
      <c r="J16" s="292"/>
      <c r="K16" s="293" t="s">
        <v>582</v>
      </c>
      <c r="L16" s="294">
        <v>1644</v>
      </c>
      <c r="M16" s="294">
        <v>1314</v>
      </c>
      <c r="N16" s="294"/>
      <c r="O16" s="294"/>
      <c r="P16" s="294"/>
      <c r="Q16" s="294"/>
      <c r="R16" s="294"/>
      <c r="S16" s="294"/>
      <c r="T16" s="294"/>
      <c r="U16" s="294"/>
      <c r="V16" s="294"/>
      <c r="W16" s="295">
        <v>1.8363636363636362</v>
      </c>
      <c r="X16" s="295">
        <v>1.6545454545454545</v>
      </c>
      <c r="Y16" s="295">
        <v>1.5727272727272725</v>
      </c>
      <c r="Z16" s="295" t="s">
        <v>669</v>
      </c>
      <c r="AA16" s="295" t="s">
        <v>669</v>
      </c>
      <c r="AB16" s="295" t="s">
        <v>669</v>
      </c>
      <c r="AC16" s="295"/>
      <c r="AD16" s="295"/>
      <c r="AE16" s="295"/>
      <c r="AF16" s="295"/>
      <c r="AG16" s="295"/>
      <c r="AH16" s="295"/>
      <c r="AI16" s="295"/>
      <c r="AJ16" s="295"/>
      <c r="AK16" s="295"/>
      <c r="AL16" s="295"/>
      <c r="AM16" s="295"/>
      <c r="AN16" s="295"/>
      <c r="AO16" s="296" t="s">
        <v>569</v>
      </c>
      <c r="AP16" s="296"/>
      <c r="AQ16" s="296"/>
      <c r="AR16" s="296"/>
      <c r="AS16" s="291"/>
      <c r="AT16" s="296">
        <v>0</v>
      </c>
      <c r="AU16" s="296">
        <v>0</v>
      </c>
      <c r="AV16" s="296">
        <v>0</v>
      </c>
      <c r="AW16" s="296">
        <v>0</v>
      </c>
      <c r="AX16" s="296">
        <v>0</v>
      </c>
      <c r="AY16" s="296">
        <v>0</v>
      </c>
      <c r="AZ16" s="296">
        <v>0</v>
      </c>
      <c r="BA16" s="296">
        <v>0</v>
      </c>
      <c r="BB16" s="296">
        <v>0</v>
      </c>
      <c r="BC16" s="296">
        <v>0</v>
      </c>
      <c r="BD16" s="296">
        <v>0</v>
      </c>
      <c r="BE16" s="296">
        <v>0</v>
      </c>
      <c r="BF16" s="291"/>
      <c r="BG16" s="296" t="s">
        <v>569</v>
      </c>
      <c r="BH16" s="296">
        <v>12</v>
      </c>
      <c r="BI16" s="296" t="s">
        <v>569</v>
      </c>
      <c r="BJ16" s="296"/>
      <c r="BK16" s="296"/>
      <c r="BL16" s="296"/>
      <c r="BM16" s="290"/>
      <c r="BN16" s="291"/>
      <c r="BO16" s="296"/>
      <c r="BP16" s="296" t="s">
        <v>579</v>
      </c>
      <c r="BQ16" s="296"/>
      <c r="BR16" s="290"/>
      <c r="BS16" s="291" t="s">
        <v>689</v>
      </c>
      <c r="BT16" s="291" t="s">
        <v>572</v>
      </c>
    </row>
    <row r="17" spans="1:72" x14ac:dyDescent="0.3">
      <c r="A17" s="288">
        <v>2110</v>
      </c>
      <c r="B17" s="289">
        <v>42566</v>
      </c>
      <c r="C17" s="290" t="s">
        <v>565</v>
      </c>
      <c r="D17" s="291" t="s">
        <v>621</v>
      </c>
      <c r="E17" s="289">
        <v>42467</v>
      </c>
      <c r="F17" s="290" t="s">
        <v>642</v>
      </c>
      <c r="G17" s="291" t="s">
        <v>615</v>
      </c>
      <c r="H17" s="292">
        <v>79.599999999999994</v>
      </c>
      <c r="I17" s="292"/>
      <c r="J17" s="292"/>
      <c r="K17" s="293" t="s">
        <v>582</v>
      </c>
      <c r="L17" s="294">
        <v>6000</v>
      </c>
      <c r="M17" s="294">
        <v>6000</v>
      </c>
      <c r="N17" s="294">
        <v>72000</v>
      </c>
      <c r="O17" s="294"/>
      <c r="P17" s="294"/>
      <c r="Q17" s="294"/>
      <c r="R17" s="294"/>
      <c r="S17" s="294"/>
      <c r="T17" s="294"/>
      <c r="U17" s="294"/>
      <c r="V17" s="294"/>
      <c r="W17" s="295">
        <v>2.5</v>
      </c>
      <c r="X17" s="295">
        <v>2.3181818181818179</v>
      </c>
      <c r="Y17" s="295">
        <v>2.2636363636363637</v>
      </c>
      <c r="Z17" s="295">
        <v>2.2636363636363637</v>
      </c>
      <c r="AA17" s="295" t="s">
        <v>669</v>
      </c>
      <c r="AB17" s="295" t="s">
        <v>669</v>
      </c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295"/>
      <c r="AN17" s="295"/>
      <c r="AO17" s="296" t="s">
        <v>569</v>
      </c>
      <c r="AP17" s="296"/>
      <c r="AQ17" s="296"/>
      <c r="AR17" s="296"/>
      <c r="AS17" s="291"/>
      <c r="AT17" s="296">
        <v>16</v>
      </c>
      <c r="AU17" s="296">
        <v>0</v>
      </c>
      <c r="AV17" s="296">
        <v>0</v>
      </c>
      <c r="AW17" s="296">
        <v>0</v>
      </c>
      <c r="AX17" s="296">
        <v>0</v>
      </c>
      <c r="AY17" s="296">
        <v>0</v>
      </c>
      <c r="AZ17" s="296">
        <v>0</v>
      </c>
      <c r="BA17" s="296">
        <v>0</v>
      </c>
      <c r="BB17" s="296">
        <v>0</v>
      </c>
      <c r="BC17" s="296">
        <v>0</v>
      </c>
      <c r="BD17" s="296">
        <v>0</v>
      </c>
      <c r="BE17" s="296">
        <v>0</v>
      </c>
      <c r="BF17" s="291"/>
      <c r="BG17" s="296" t="s">
        <v>569</v>
      </c>
      <c r="BH17" s="296">
        <v>12</v>
      </c>
      <c r="BI17" s="296" t="s">
        <v>569</v>
      </c>
      <c r="BJ17" s="296"/>
      <c r="BK17" s="296"/>
      <c r="BL17" s="296"/>
      <c r="BM17" s="290"/>
      <c r="BN17" s="291"/>
      <c r="BO17" s="298"/>
      <c r="BP17" s="296" t="s">
        <v>579</v>
      </c>
      <c r="BQ17" s="296"/>
      <c r="BR17" s="290"/>
      <c r="BS17" s="291" t="s">
        <v>690</v>
      </c>
      <c r="BT17" s="291" t="s">
        <v>572</v>
      </c>
    </row>
    <row r="18" spans="1:72" x14ac:dyDescent="0.3">
      <c r="A18" s="288">
        <v>2152</v>
      </c>
      <c r="B18" s="289">
        <v>42566</v>
      </c>
      <c r="C18" s="290" t="s">
        <v>565</v>
      </c>
      <c r="D18" s="291" t="s">
        <v>621</v>
      </c>
      <c r="E18" s="289">
        <v>42565</v>
      </c>
      <c r="F18" s="290" t="s">
        <v>643</v>
      </c>
      <c r="G18" s="291" t="s">
        <v>668</v>
      </c>
      <c r="H18" s="292">
        <v>54.454545454545446</v>
      </c>
      <c r="I18" s="292"/>
      <c r="J18" s="292"/>
      <c r="K18" s="293" t="s">
        <v>582</v>
      </c>
      <c r="L18" s="294">
        <v>1644</v>
      </c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5">
        <v>2.0909090909090904</v>
      </c>
      <c r="X18" s="295">
        <v>1.7727272727272725</v>
      </c>
      <c r="Y18" s="295" t="s">
        <v>669</v>
      </c>
      <c r="Z18" s="295" t="s">
        <v>669</v>
      </c>
      <c r="AA18" s="295" t="s">
        <v>669</v>
      </c>
      <c r="AB18" s="295" t="s">
        <v>669</v>
      </c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295"/>
      <c r="AN18" s="295"/>
      <c r="AO18" s="296" t="s">
        <v>569</v>
      </c>
      <c r="AP18" s="296"/>
      <c r="AQ18" s="296"/>
      <c r="AR18" s="296"/>
      <c r="AS18" s="291"/>
      <c r="AT18" s="296">
        <v>10</v>
      </c>
      <c r="AU18" s="296">
        <v>0</v>
      </c>
      <c r="AV18" s="296">
        <v>0</v>
      </c>
      <c r="AW18" s="296">
        <v>0</v>
      </c>
      <c r="AX18" s="296">
        <v>0</v>
      </c>
      <c r="AY18" s="296">
        <v>0</v>
      </c>
      <c r="AZ18" s="296">
        <v>0</v>
      </c>
      <c r="BA18" s="296">
        <v>0</v>
      </c>
      <c r="BB18" s="296">
        <v>0</v>
      </c>
      <c r="BC18" s="296">
        <v>0</v>
      </c>
      <c r="BD18" s="296">
        <v>0</v>
      </c>
      <c r="BE18" s="296">
        <v>0</v>
      </c>
      <c r="BF18" s="291"/>
      <c r="BG18" s="296" t="s">
        <v>569</v>
      </c>
      <c r="BH18" s="296">
        <v>12</v>
      </c>
      <c r="BI18" s="296" t="s">
        <v>569</v>
      </c>
      <c r="BJ18" s="296"/>
      <c r="BK18" s="296"/>
      <c r="BL18" s="296"/>
      <c r="BM18" s="290"/>
      <c r="BN18" s="291"/>
      <c r="BO18" s="296"/>
      <c r="BP18" s="296" t="s">
        <v>579</v>
      </c>
      <c r="BQ18" s="296"/>
      <c r="BR18" s="290" t="s">
        <v>670</v>
      </c>
      <c r="BS18" s="291" t="s">
        <v>691</v>
      </c>
      <c r="BT18" s="291" t="s">
        <v>495</v>
      </c>
    </row>
    <row r="19" spans="1:72" x14ac:dyDescent="0.3">
      <c r="A19" s="288">
        <v>2347</v>
      </c>
      <c r="B19" s="289">
        <v>42566</v>
      </c>
      <c r="C19" s="290" t="s">
        <v>565</v>
      </c>
      <c r="D19" s="291" t="s">
        <v>623</v>
      </c>
      <c r="E19" s="289">
        <v>42551</v>
      </c>
      <c r="F19" s="290" t="s">
        <v>204</v>
      </c>
      <c r="G19" s="291" t="s">
        <v>663</v>
      </c>
      <c r="H19" s="292">
        <v>65.763636363636365</v>
      </c>
      <c r="I19" s="292"/>
      <c r="J19" s="292"/>
      <c r="K19" s="293" t="s">
        <v>582</v>
      </c>
      <c r="L19" s="294">
        <v>1644</v>
      </c>
      <c r="M19" s="294">
        <v>1314</v>
      </c>
      <c r="N19" s="294"/>
      <c r="O19" s="294"/>
      <c r="P19" s="294"/>
      <c r="Q19" s="294"/>
      <c r="R19" s="294"/>
      <c r="S19" s="294"/>
      <c r="T19" s="294"/>
      <c r="U19" s="294"/>
      <c r="V19" s="294"/>
      <c r="W19" s="295">
        <v>2.8818181818181814</v>
      </c>
      <c r="X19" s="295">
        <v>2.627272727272727</v>
      </c>
      <c r="Y19" s="295">
        <v>2.0909090909090904</v>
      </c>
      <c r="Z19" s="295" t="s">
        <v>669</v>
      </c>
      <c r="AA19" s="295" t="s">
        <v>669</v>
      </c>
      <c r="AB19" s="295" t="s">
        <v>669</v>
      </c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295"/>
      <c r="AN19" s="295"/>
      <c r="AO19" s="296" t="s">
        <v>569</v>
      </c>
      <c r="AP19" s="296"/>
      <c r="AQ19" s="296"/>
      <c r="AR19" s="296"/>
      <c r="AS19" s="291"/>
      <c r="AT19" s="296">
        <v>0</v>
      </c>
      <c r="AU19" s="296">
        <v>0</v>
      </c>
      <c r="AV19" s="296">
        <v>0</v>
      </c>
      <c r="AW19" s="296">
        <v>0</v>
      </c>
      <c r="AX19" s="296">
        <v>0</v>
      </c>
      <c r="AY19" s="296">
        <v>0</v>
      </c>
      <c r="AZ19" s="296">
        <v>0</v>
      </c>
      <c r="BA19" s="296">
        <v>0</v>
      </c>
      <c r="BB19" s="296">
        <v>0</v>
      </c>
      <c r="BC19" s="296">
        <v>0</v>
      </c>
      <c r="BD19" s="296">
        <v>0</v>
      </c>
      <c r="BE19" s="296">
        <v>0</v>
      </c>
      <c r="BF19" s="291"/>
      <c r="BG19" s="296" t="s">
        <v>569</v>
      </c>
      <c r="BH19" s="296">
        <v>12</v>
      </c>
      <c r="BI19" s="296" t="s">
        <v>569</v>
      </c>
      <c r="BJ19" s="296"/>
      <c r="BK19" s="296"/>
      <c r="BL19" s="296"/>
      <c r="BM19" s="290"/>
      <c r="BN19" s="291"/>
      <c r="BO19" s="296"/>
      <c r="BP19" s="296" t="s">
        <v>579</v>
      </c>
      <c r="BQ19" s="296"/>
      <c r="BR19" s="290"/>
      <c r="BS19" s="291" t="s">
        <v>692</v>
      </c>
      <c r="BT19" s="291" t="s">
        <v>572</v>
      </c>
    </row>
    <row r="20" spans="1:72" x14ac:dyDescent="0.3">
      <c r="A20" s="288">
        <v>2111</v>
      </c>
      <c r="B20" s="289">
        <v>42566</v>
      </c>
      <c r="C20" s="290" t="s">
        <v>565</v>
      </c>
      <c r="D20" s="291" t="s">
        <v>623</v>
      </c>
      <c r="E20" s="289">
        <v>42467</v>
      </c>
      <c r="F20" s="290" t="s">
        <v>642</v>
      </c>
      <c r="G20" s="291" t="s">
        <v>615</v>
      </c>
      <c r="H20" s="292">
        <v>76.400000000000006</v>
      </c>
      <c r="I20" s="292"/>
      <c r="J20" s="292"/>
      <c r="K20" s="293" t="s">
        <v>582</v>
      </c>
      <c r="L20" s="294">
        <v>6000</v>
      </c>
      <c r="M20" s="294">
        <v>6000</v>
      </c>
      <c r="N20" s="294">
        <v>72000</v>
      </c>
      <c r="O20" s="294"/>
      <c r="P20" s="294"/>
      <c r="Q20" s="294"/>
      <c r="R20" s="294"/>
      <c r="S20" s="294"/>
      <c r="T20" s="294"/>
      <c r="U20" s="294"/>
      <c r="V20" s="294"/>
      <c r="W20" s="295">
        <v>3.6363636363636362</v>
      </c>
      <c r="X20" s="295">
        <v>3.2363636363636363</v>
      </c>
      <c r="Y20" s="295">
        <v>2.8818181818181814</v>
      </c>
      <c r="Z20" s="295">
        <v>2.8818181818181814</v>
      </c>
      <c r="AA20" s="295" t="s">
        <v>669</v>
      </c>
      <c r="AB20" s="295" t="s">
        <v>669</v>
      </c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295"/>
      <c r="AN20" s="295"/>
      <c r="AO20" s="296" t="s">
        <v>569</v>
      </c>
      <c r="AP20" s="296"/>
      <c r="AQ20" s="296"/>
      <c r="AR20" s="296"/>
      <c r="AS20" s="291"/>
      <c r="AT20" s="296">
        <v>16</v>
      </c>
      <c r="AU20" s="296">
        <v>0</v>
      </c>
      <c r="AV20" s="296">
        <v>0</v>
      </c>
      <c r="AW20" s="296">
        <v>0</v>
      </c>
      <c r="AX20" s="296">
        <v>0</v>
      </c>
      <c r="AY20" s="296">
        <v>0</v>
      </c>
      <c r="AZ20" s="296">
        <v>0</v>
      </c>
      <c r="BA20" s="296">
        <v>0</v>
      </c>
      <c r="BB20" s="296">
        <v>0</v>
      </c>
      <c r="BC20" s="296">
        <v>0</v>
      </c>
      <c r="BD20" s="296">
        <v>0</v>
      </c>
      <c r="BE20" s="296">
        <v>0</v>
      </c>
      <c r="BF20" s="291"/>
      <c r="BG20" s="296" t="s">
        <v>569</v>
      </c>
      <c r="BH20" s="296">
        <v>12</v>
      </c>
      <c r="BI20" s="296" t="s">
        <v>569</v>
      </c>
      <c r="BJ20" s="296"/>
      <c r="BK20" s="296"/>
      <c r="BL20" s="296"/>
      <c r="BM20" s="290"/>
      <c r="BN20" s="291"/>
      <c r="BO20" s="298"/>
      <c r="BP20" s="296" t="s">
        <v>579</v>
      </c>
      <c r="BQ20" s="296"/>
      <c r="BR20" s="290"/>
      <c r="BS20" s="291" t="s">
        <v>693</v>
      </c>
      <c r="BT20" s="291" t="s">
        <v>572</v>
      </c>
    </row>
    <row r="21" spans="1:72" x14ac:dyDescent="0.3">
      <c r="A21" s="288">
        <v>2156</v>
      </c>
      <c r="B21" s="289">
        <v>42566</v>
      </c>
      <c r="C21" s="290" t="s">
        <v>565</v>
      </c>
      <c r="D21" s="291" t="s">
        <v>623</v>
      </c>
      <c r="E21" s="289">
        <v>42565</v>
      </c>
      <c r="F21" s="290" t="s">
        <v>643</v>
      </c>
      <c r="G21" s="291" t="s">
        <v>668</v>
      </c>
      <c r="H21" s="292">
        <v>62.272727272727266</v>
      </c>
      <c r="I21" s="292"/>
      <c r="J21" s="292"/>
      <c r="K21" s="293" t="s">
        <v>582</v>
      </c>
      <c r="L21" s="294">
        <v>1644</v>
      </c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5">
        <v>3.2090909090909085</v>
      </c>
      <c r="X21" s="295">
        <v>2.3727272727272726</v>
      </c>
      <c r="Y21" s="295" t="s">
        <v>669</v>
      </c>
      <c r="Z21" s="295" t="s">
        <v>669</v>
      </c>
      <c r="AA21" s="295" t="s">
        <v>669</v>
      </c>
      <c r="AB21" s="295" t="s">
        <v>669</v>
      </c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6" t="s">
        <v>569</v>
      </c>
      <c r="AP21" s="296"/>
      <c r="AQ21" s="296"/>
      <c r="AR21" s="296"/>
      <c r="AS21" s="291"/>
      <c r="AT21" s="296">
        <v>10</v>
      </c>
      <c r="AU21" s="296">
        <v>0</v>
      </c>
      <c r="AV21" s="296">
        <v>0</v>
      </c>
      <c r="AW21" s="296">
        <v>0</v>
      </c>
      <c r="AX21" s="296">
        <v>0</v>
      </c>
      <c r="AY21" s="296">
        <v>0</v>
      </c>
      <c r="AZ21" s="296">
        <v>0</v>
      </c>
      <c r="BA21" s="296">
        <v>0</v>
      </c>
      <c r="BB21" s="296">
        <v>0</v>
      </c>
      <c r="BC21" s="296">
        <v>0</v>
      </c>
      <c r="BD21" s="296">
        <v>0</v>
      </c>
      <c r="BE21" s="296">
        <v>0</v>
      </c>
      <c r="BF21" s="291"/>
      <c r="BG21" s="296" t="s">
        <v>569</v>
      </c>
      <c r="BH21" s="296">
        <v>12</v>
      </c>
      <c r="BI21" s="296" t="s">
        <v>569</v>
      </c>
      <c r="BJ21" s="296"/>
      <c r="BK21" s="296"/>
      <c r="BL21" s="296"/>
      <c r="BM21" s="290"/>
      <c r="BN21" s="291"/>
      <c r="BO21" s="296"/>
      <c r="BP21" s="296" t="s">
        <v>579</v>
      </c>
      <c r="BQ21" s="296"/>
      <c r="BR21" s="290" t="s">
        <v>670</v>
      </c>
      <c r="BS21" s="291" t="s">
        <v>563</v>
      </c>
      <c r="BT21" s="291" t="s">
        <v>495</v>
      </c>
    </row>
    <row r="22" spans="1:72" x14ac:dyDescent="0.3">
      <c r="A22" s="288">
        <v>2160</v>
      </c>
      <c r="B22" s="289">
        <v>42566</v>
      </c>
      <c r="C22" s="290" t="s">
        <v>565</v>
      </c>
      <c r="D22" s="291" t="s">
        <v>624</v>
      </c>
      <c r="E22" s="289">
        <v>42565</v>
      </c>
      <c r="F22" s="290" t="s">
        <v>643</v>
      </c>
      <c r="G22" s="291" t="s">
        <v>668</v>
      </c>
      <c r="H22" s="292">
        <v>70.909090909090907</v>
      </c>
      <c r="I22" s="292"/>
      <c r="J22" s="292"/>
      <c r="K22" s="293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5">
        <v>2.6818181818181817</v>
      </c>
      <c r="X22" s="295" t="s">
        <v>669</v>
      </c>
      <c r="Y22" s="295" t="s">
        <v>669</v>
      </c>
      <c r="Z22" s="295" t="s">
        <v>669</v>
      </c>
      <c r="AA22" s="295" t="s">
        <v>669</v>
      </c>
      <c r="AB22" s="295" t="s">
        <v>669</v>
      </c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6" t="s">
        <v>569</v>
      </c>
      <c r="AP22" s="296"/>
      <c r="AQ22" s="296"/>
      <c r="AR22" s="296"/>
      <c r="AS22" s="291"/>
      <c r="AT22" s="296">
        <v>10</v>
      </c>
      <c r="AU22" s="296">
        <v>0</v>
      </c>
      <c r="AV22" s="296">
        <v>0</v>
      </c>
      <c r="AW22" s="296">
        <v>0</v>
      </c>
      <c r="AX22" s="296">
        <v>0</v>
      </c>
      <c r="AY22" s="296">
        <v>0</v>
      </c>
      <c r="AZ22" s="296">
        <v>0</v>
      </c>
      <c r="BA22" s="296">
        <v>0</v>
      </c>
      <c r="BB22" s="296">
        <v>0</v>
      </c>
      <c r="BC22" s="296">
        <v>0</v>
      </c>
      <c r="BD22" s="296">
        <v>0</v>
      </c>
      <c r="BE22" s="296">
        <v>0</v>
      </c>
      <c r="BF22" s="291"/>
      <c r="BG22" s="296" t="s">
        <v>569</v>
      </c>
      <c r="BH22" s="296">
        <v>12</v>
      </c>
      <c r="BI22" s="296" t="s">
        <v>569</v>
      </c>
      <c r="BJ22" s="296"/>
      <c r="BK22" s="296"/>
      <c r="BL22" s="296"/>
      <c r="BM22" s="290"/>
      <c r="BN22" s="291"/>
      <c r="BO22" s="298"/>
      <c r="BP22" s="296" t="s">
        <v>579</v>
      </c>
      <c r="BQ22" s="296"/>
      <c r="BR22" s="290" t="s">
        <v>670</v>
      </c>
      <c r="BS22" s="291" t="s">
        <v>563</v>
      </c>
      <c r="BT22" s="291" t="s">
        <v>495</v>
      </c>
    </row>
    <row r="23" spans="1:72" x14ac:dyDescent="0.3">
      <c r="A23" s="288">
        <v>2355</v>
      </c>
      <c r="B23" s="289">
        <v>42567</v>
      </c>
      <c r="C23" s="290" t="s">
        <v>565</v>
      </c>
      <c r="D23" s="291" t="s">
        <v>624</v>
      </c>
      <c r="E23" s="299">
        <v>42551</v>
      </c>
      <c r="F23" s="290" t="s">
        <v>644</v>
      </c>
      <c r="G23" s="291" t="s">
        <v>672</v>
      </c>
      <c r="H23" s="292">
        <v>64</v>
      </c>
      <c r="I23" s="292"/>
      <c r="J23" s="292"/>
      <c r="K23" s="293"/>
      <c r="L23" s="294"/>
      <c r="M23" s="294"/>
      <c r="N23" s="294"/>
      <c r="O23" s="294"/>
      <c r="P23" s="294"/>
      <c r="Q23" s="294"/>
      <c r="R23" s="294"/>
      <c r="S23" s="294"/>
      <c r="T23" s="294"/>
      <c r="U23" s="294"/>
      <c r="V23" s="294"/>
      <c r="W23" s="295">
        <v>2.5999999999999996</v>
      </c>
      <c r="X23" s="295" t="s">
        <v>669</v>
      </c>
      <c r="Y23" s="295" t="s">
        <v>669</v>
      </c>
      <c r="Z23" s="295" t="s">
        <v>669</v>
      </c>
      <c r="AA23" s="295" t="s">
        <v>669</v>
      </c>
      <c r="AB23" s="295" t="s">
        <v>669</v>
      </c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6" t="s">
        <v>569</v>
      </c>
      <c r="AP23" s="291"/>
      <c r="AQ23" s="291"/>
      <c r="AR23" s="291"/>
      <c r="AS23" s="291"/>
      <c r="AT23" s="296">
        <v>0</v>
      </c>
      <c r="AU23" s="296">
        <v>0</v>
      </c>
      <c r="AV23" s="296">
        <v>0</v>
      </c>
      <c r="AW23" s="296">
        <v>0</v>
      </c>
      <c r="AX23" s="296">
        <v>0</v>
      </c>
      <c r="AY23" s="296">
        <v>0</v>
      </c>
      <c r="AZ23" s="296">
        <v>0</v>
      </c>
      <c r="BA23" s="296">
        <v>0</v>
      </c>
      <c r="BB23" s="296">
        <v>0</v>
      </c>
      <c r="BC23" s="296">
        <v>0</v>
      </c>
      <c r="BD23" s="296">
        <v>0</v>
      </c>
      <c r="BE23" s="296">
        <v>0</v>
      </c>
      <c r="BF23" s="296"/>
      <c r="BG23" s="296" t="s">
        <v>569</v>
      </c>
      <c r="BH23" s="296"/>
      <c r="BI23" s="296" t="s">
        <v>569</v>
      </c>
      <c r="BJ23" s="296"/>
      <c r="BK23" s="296"/>
      <c r="BL23" s="296"/>
      <c r="BM23" s="290"/>
      <c r="BN23" s="291"/>
      <c r="BO23" s="296"/>
      <c r="BP23" s="296" t="s">
        <v>579</v>
      </c>
      <c r="BQ23" s="296"/>
      <c r="BR23" s="290"/>
      <c r="BS23" s="291" t="s">
        <v>694</v>
      </c>
      <c r="BT23" s="291" t="s">
        <v>572</v>
      </c>
    </row>
    <row r="24" spans="1:72" x14ac:dyDescent="0.3">
      <c r="A24" s="288">
        <v>2348</v>
      </c>
      <c r="B24" s="289">
        <v>42566</v>
      </c>
      <c r="C24" s="290" t="s">
        <v>565</v>
      </c>
      <c r="D24" s="291" t="s">
        <v>625</v>
      </c>
      <c r="E24" s="289">
        <v>42551</v>
      </c>
      <c r="F24" s="290" t="s">
        <v>204</v>
      </c>
      <c r="G24" s="291" t="s">
        <v>663</v>
      </c>
      <c r="H24" s="292">
        <v>78.718181818181819</v>
      </c>
      <c r="I24" s="292"/>
      <c r="J24" s="292"/>
      <c r="K24" s="293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5">
        <v>2.4454545454545453</v>
      </c>
      <c r="X24" s="295" t="s">
        <v>669</v>
      </c>
      <c r="Y24" s="295" t="s">
        <v>669</v>
      </c>
      <c r="Z24" s="295" t="s">
        <v>669</v>
      </c>
      <c r="AA24" s="295" t="s">
        <v>669</v>
      </c>
      <c r="AB24" s="295" t="s">
        <v>669</v>
      </c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295"/>
      <c r="AN24" s="295"/>
      <c r="AO24" s="296" t="s">
        <v>569</v>
      </c>
      <c r="AP24" s="296"/>
      <c r="AQ24" s="296"/>
      <c r="AR24" s="296"/>
      <c r="AS24" s="291"/>
      <c r="AT24" s="296">
        <v>0</v>
      </c>
      <c r="AU24" s="296">
        <v>0</v>
      </c>
      <c r="AV24" s="296">
        <v>0</v>
      </c>
      <c r="AW24" s="296">
        <v>0</v>
      </c>
      <c r="AX24" s="296">
        <v>0</v>
      </c>
      <c r="AY24" s="296">
        <v>0</v>
      </c>
      <c r="AZ24" s="296">
        <v>0</v>
      </c>
      <c r="BA24" s="296">
        <v>0</v>
      </c>
      <c r="BB24" s="296">
        <v>0</v>
      </c>
      <c r="BC24" s="296">
        <v>0</v>
      </c>
      <c r="BD24" s="296">
        <v>0</v>
      </c>
      <c r="BE24" s="296">
        <v>0</v>
      </c>
      <c r="BF24" s="291"/>
      <c r="BG24" s="296" t="s">
        <v>569</v>
      </c>
      <c r="BH24" s="296">
        <v>12</v>
      </c>
      <c r="BI24" s="296" t="s">
        <v>569</v>
      </c>
      <c r="BJ24" s="296"/>
      <c r="BK24" s="296"/>
      <c r="BL24" s="296"/>
      <c r="BM24" s="290"/>
      <c r="BN24" s="291"/>
      <c r="BO24" s="298"/>
      <c r="BP24" s="296" t="s">
        <v>579</v>
      </c>
      <c r="BQ24" s="296"/>
      <c r="BR24" s="290"/>
      <c r="BS24" s="291" t="s">
        <v>695</v>
      </c>
      <c r="BT24" s="291" t="s">
        <v>572</v>
      </c>
    </row>
    <row r="25" spans="1:72" x14ac:dyDescent="0.3">
      <c r="A25" s="288">
        <v>2172</v>
      </c>
      <c r="B25" s="289">
        <v>42566</v>
      </c>
      <c r="C25" s="290" t="s">
        <v>565</v>
      </c>
      <c r="D25" s="291" t="s">
        <v>625</v>
      </c>
      <c r="E25" s="289">
        <v>42565</v>
      </c>
      <c r="F25" s="290" t="s">
        <v>643</v>
      </c>
      <c r="G25" s="291" t="s">
        <v>668</v>
      </c>
      <c r="H25" s="292">
        <v>75.909090909090907</v>
      </c>
      <c r="I25" s="292"/>
      <c r="J25" s="292"/>
      <c r="K25" s="293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5">
        <v>2.6818181818181817</v>
      </c>
      <c r="X25" s="295" t="s">
        <v>669</v>
      </c>
      <c r="Y25" s="295" t="s">
        <v>669</v>
      </c>
      <c r="Z25" s="295" t="s">
        <v>669</v>
      </c>
      <c r="AA25" s="295" t="s">
        <v>669</v>
      </c>
      <c r="AB25" s="295" t="s">
        <v>669</v>
      </c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295"/>
      <c r="AN25" s="295"/>
      <c r="AO25" s="296" t="s">
        <v>569</v>
      </c>
      <c r="AP25" s="296"/>
      <c r="AQ25" s="296"/>
      <c r="AR25" s="296"/>
      <c r="AS25" s="291"/>
      <c r="AT25" s="296">
        <v>10</v>
      </c>
      <c r="AU25" s="296">
        <v>0</v>
      </c>
      <c r="AV25" s="296">
        <v>0</v>
      </c>
      <c r="AW25" s="296">
        <v>0</v>
      </c>
      <c r="AX25" s="296">
        <v>0</v>
      </c>
      <c r="AY25" s="296">
        <v>0</v>
      </c>
      <c r="AZ25" s="296">
        <v>0</v>
      </c>
      <c r="BA25" s="296">
        <v>0</v>
      </c>
      <c r="BB25" s="296">
        <v>0</v>
      </c>
      <c r="BC25" s="296">
        <v>0</v>
      </c>
      <c r="BD25" s="296">
        <v>0</v>
      </c>
      <c r="BE25" s="296">
        <v>0</v>
      </c>
      <c r="BF25" s="291"/>
      <c r="BG25" s="296" t="s">
        <v>569</v>
      </c>
      <c r="BH25" s="296">
        <v>12</v>
      </c>
      <c r="BI25" s="296" t="s">
        <v>569</v>
      </c>
      <c r="BJ25" s="296"/>
      <c r="BK25" s="296"/>
      <c r="BL25" s="296"/>
      <c r="BM25" s="290"/>
      <c r="BN25" s="291"/>
      <c r="BO25" s="296"/>
      <c r="BP25" s="296" t="s">
        <v>579</v>
      </c>
      <c r="BQ25" s="296"/>
      <c r="BR25" s="290" t="s">
        <v>670</v>
      </c>
      <c r="BS25" s="291" t="s">
        <v>563</v>
      </c>
      <c r="BT25" s="291" t="s">
        <v>495</v>
      </c>
    </row>
    <row r="26" spans="1:72" x14ac:dyDescent="0.3">
      <c r="A26" s="288">
        <v>2176</v>
      </c>
      <c r="B26" s="289">
        <v>42566</v>
      </c>
      <c r="C26" s="290" t="s">
        <v>565</v>
      </c>
      <c r="D26" s="291" t="s">
        <v>626</v>
      </c>
      <c r="E26" s="289">
        <v>42565</v>
      </c>
      <c r="F26" s="290" t="s">
        <v>643</v>
      </c>
      <c r="G26" s="291" t="s">
        <v>668</v>
      </c>
      <c r="H26" s="292">
        <v>81.36363636363636</v>
      </c>
      <c r="I26" s="292"/>
      <c r="J26" s="292"/>
      <c r="K26" s="293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5">
        <v>2.6818181818181817</v>
      </c>
      <c r="X26" s="295" t="s">
        <v>669</v>
      </c>
      <c r="Y26" s="295" t="s">
        <v>669</v>
      </c>
      <c r="Z26" s="295" t="s">
        <v>669</v>
      </c>
      <c r="AA26" s="295" t="s">
        <v>669</v>
      </c>
      <c r="AB26" s="295" t="s">
        <v>669</v>
      </c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295"/>
      <c r="AN26" s="295"/>
      <c r="AO26" s="296" t="s">
        <v>569</v>
      </c>
      <c r="AP26" s="296"/>
      <c r="AQ26" s="296"/>
      <c r="AR26" s="296"/>
      <c r="AS26" s="291"/>
      <c r="AT26" s="296">
        <v>10</v>
      </c>
      <c r="AU26" s="296">
        <v>0</v>
      </c>
      <c r="AV26" s="296">
        <v>0</v>
      </c>
      <c r="AW26" s="296">
        <v>0</v>
      </c>
      <c r="AX26" s="296">
        <v>0</v>
      </c>
      <c r="AY26" s="296">
        <v>0</v>
      </c>
      <c r="AZ26" s="296">
        <v>0</v>
      </c>
      <c r="BA26" s="296">
        <v>0</v>
      </c>
      <c r="BB26" s="296">
        <v>0</v>
      </c>
      <c r="BC26" s="296">
        <v>0</v>
      </c>
      <c r="BD26" s="296">
        <v>0</v>
      </c>
      <c r="BE26" s="296">
        <v>0</v>
      </c>
      <c r="BF26" s="291"/>
      <c r="BG26" s="296" t="s">
        <v>569</v>
      </c>
      <c r="BH26" s="296">
        <v>12</v>
      </c>
      <c r="BI26" s="296" t="s">
        <v>569</v>
      </c>
      <c r="BJ26" s="296"/>
      <c r="BK26" s="296"/>
      <c r="BL26" s="296"/>
      <c r="BM26" s="290"/>
      <c r="BN26" s="291"/>
      <c r="BO26" s="298"/>
      <c r="BP26" s="296" t="s">
        <v>579</v>
      </c>
      <c r="BQ26" s="296"/>
      <c r="BR26" s="290" t="s">
        <v>670</v>
      </c>
      <c r="BS26" s="291" t="s">
        <v>563</v>
      </c>
      <c r="BT26" s="291" t="s">
        <v>495</v>
      </c>
    </row>
    <row r="27" spans="1:72" x14ac:dyDescent="0.3">
      <c r="A27" s="288">
        <v>2356</v>
      </c>
      <c r="B27" s="289">
        <v>42567</v>
      </c>
      <c r="C27" s="290" t="s">
        <v>565</v>
      </c>
      <c r="D27" s="291" t="s">
        <v>626</v>
      </c>
      <c r="E27" s="299">
        <v>42551</v>
      </c>
      <c r="F27" s="290" t="s">
        <v>644</v>
      </c>
      <c r="G27" s="291" t="s">
        <v>672</v>
      </c>
      <c r="H27" s="292">
        <v>74</v>
      </c>
      <c r="I27" s="292"/>
      <c r="J27" s="292"/>
      <c r="K27" s="293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5">
        <v>2.7</v>
      </c>
      <c r="X27" s="295" t="s">
        <v>669</v>
      </c>
      <c r="Y27" s="295" t="s">
        <v>669</v>
      </c>
      <c r="Z27" s="295" t="s">
        <v>669</v>
      </c>
      <c r="AA27" s="295" t="s">
        <v>669</v>
      </c>
      <c r="AB27" s="295" t="s">
        <v>669</v>
      </c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295"/>
      <c r="AN27" s="295"/>
      <c r="AO27" s="296" t="s">
        <v>569</v>
      </c>
      <c r="AP27" s="291"/>
      <c r="AQ27" s="291"/>
      <c r="AR27" s="291"/>
      <c r="AS27" s="291"/>
      <c r="AT27" s="296">
        <v>0</v>
      </c>
      <c r="AU27" s="296">
        <v>0</v>
      </c>
      <c r="AV27" s="296">
        <v>0</v>
      </c>
      <c r="AW27" s="296">
        <v>0</v>
      </c>
      <c r="AX27" s="296">
        <v>0</v>
      </c>
      <c r="AY27" s="296">
        <v>0</v>
      </c>
      <c r="AZ27" s="296">
        <v>0</v>
      </c>
      <c r="BA27" s="296">
        <v>0</v>
      </c>
      <c r="BB27" s="296">
        <v>0</v>
      </c>
      <c r="BC27" s="296">
        <v>0</v>
      </c>
      <c r="BD27" s="296">
        <v>0</v>
      </c>
      <c r="BE27" s="296">
        <v>0</v>
      </c>
      <c r="BF27" s="296"/>
      <c r="BG27" s="296" t="s">
        <v>569</v>
      </c>
      <c r="BH27" s="296"/>
      <c r="BI27" s="296" t="s">
        <v>569</v>
      </c>
      <c r="BJ27" s="296"/>
      <c r="BK27" s="296"/>
      <c r="BL27" s="296"/>
      <c r="BM27" s="290"/>
      <c r="BN27" s="291"/>
      <c r="BO27" s="296"/>
      <c r="BP27" s="296" t="s">
        <v>579</v>
      </c>
      <c r="BQ27" s="296"/>
      <c r="BR27" s="290"/>
      <c r="BS27" s="291" t="s">
        <v>696</v>
      </c>
      <c r="BT27" s="291" t="s">
        <v>572</v>
      </c>
    </row>
    <row r="28" spans="1:72" x14ac:dyDescent="0.3">
      <c r="A28" s="288">
        <v>2349</v>
      </c>
      <c r="B28" s="289">
        <v>42566</v>
      </c>
      <c r="C28" s="290" t="s">
        <v>565</v>
      </c>
      <c r="D28" s="291" t="s">
        <v>627</v>
      </c>
      <c r="E28" s="289">
        <v>42551</v>
      </c>
      <c r="F28" s="290" t="s">
        <v>204</v>
      </c>
      <c r="G28" s="291" t="s">
        <v>663</v>
      </c>
      <c r="H28" s="292">
        <v>88.909090909090892</v>
      </c>
      <c r="I28" s="292"/>
      <c r="J28" s="292"/>
      <c r="K28" s="293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5">
        <v>2.0090909090909088</v>
      </c>
      <c r="X28" s="295" t="s">
        <v>669</v>
      </c>
      <c r="Y28" s="295" t="s">
        <v>669</v>
      </c>
      <c r="Z28" s="295" t="s">
        <v>669</v>
      </c>
      <c r="AA28" s="295" t="s">
        <v>669</v>
      </c>
      <c r="AB28" s="295" t="s">
        <v>669</v>
      </c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295"/>
      <c r="AN28" s="295"/>
      <c r="AO28" s="296" t="s">
        <v>569</v>
      </c>
      <c r="AP28" s="296"/>
      <c r="AQ28" s="296"/>
      <c r="AR28" s="296"/>
      <c r="AS28" s="291"/>
      <c r="AT28" s="296">
        <v>0</v>
      </c>
      <c r="AU28" s="296">
        <v>0</v>
      </c>
      <c r="AV28" s="296">
        <v>0</v>
      </c>
      <c r="AW28" s="296">
        <v>0</v>
      </c>
      <c r="AX28" s="296">
        <v>0</v>
      </c>
      <c r="AY28" s="296">
        <v>0</v>
      </c>
      <c r="AZ28" s="296">
        <v>0</v>
      </c>
      <c r="BA28" s="296">
        <v>0</v>
      </c>
      <c r="BB28" s="296">
        <v>0</v>
      </c>
      <c r="BC28" s="296">
        <v>0</v>
      </c>
      <c r="BD28" s="296">
        <v>0</v>
      </c>
      <c r="BE28" s="296">
        <v>0</v>
      </c>
      <c r="BF28" s="291"/>
      <c r="BG28" s="296" t="s">
        <v>569</v>
      </c>
      <c r="BH28" s="296">
        <v>12</v>
      </c>
      <c r="BI28" s="296" t="s">
        <v>569</v>
      </c>
      <c r="BJ28" s="296"/>
      <c r="BK28" s="296"/>
      <c r="BL28" s="296"/>
      <c r="BM28" s="290"/>
      <c r="BN28" s="291"/>
      <c r="BO28" s="298"/>
      <c r="BP28" s="296" t="s">
        <v>579</v>
      </c>
      <c r="BQ28" s="296"/>
      <c r="BR28" s="290"/>
      <c r="BS28" s="291" t="s">
        <v>697</v>
      </c>
      <c r="BT28" s="291" t="s">
        <v>572</v>
      </c>
    </row>
    <row r="29" spans="1:72" x14ac:dyDescent="0.3">
      <c r="A29" s="288">
        <v>2164</v>
      </c>
      <c r="B29" s="289">
        <v>42566</v>
      </c>
      <c r="C29" s="290" t="s">
        <v>565</v>
      </c>
      <c r="D29" s="291" t="s">
        <v>627</v>
      </c>
      <c r="E29" s="289">
        <v>42565</v>
      </c>
      <c r="F29" s="290" t="s">
        <v>643</v>
      </c>
      <c r="G29" s="291" t="s">
        <v>668</v>
      </c>
      <c r="H29" s="292">
        <v>86.36363636363636</v>
      </c>
      <c r="I29" s="292"/>
      <c r="J29" s="292"/>
      <c r="K29" s="293"/>
      <c r="L29" s="291"/>
      <c r="M29" s="291"/>
      <c r="N29" s="291"/>
      <c r="O29" s="291"/>
      <c r="P29" s="291"/>
      <c r="Q29" s="291"/>
      <c r="R29" s="291"/>
      <c r="S29" s="291"/>
      <c r="T29" s="291"/>
      <c r="U29" s="291"/>
      <c r="V29" s="291"/>
      <c r="W29" s="295">
        <v>2.2181818181818178</v>
      </c>
      <c r="X29" s="295" t="s">
        <v>669</v>
      </c>
      <c r="Y29" s="295" t="s">
        <v>669</v>
      </c>
      <c r="Z29" s="295" t="s">
        <v>669</v>
      </c>
      <c r="AA29" s="295" t="s">
        <v>669</v>
      </c>
      <c r="AB29" s="295" t="s">
        <v>669</v>
      </c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295"/>
      <c r="AN29" s="295"/>
      <c r="AO29" s="296" t="s">
        <v>569</v>
      </c>
      <c r="AP29" s="296"/>
      <c r="AQ29" s="296"/>
      <c r="AR29" s="296"/>
      <c r="AS29" s="291"/>
      <c r="AT29" s="296">
        <v>10</v>
      </c>
      <c r="AU29" s="296">
        <v>0</v>
      </c>
      <c r="AV29" s="296">
        <v>0</v>
      </c>
      <c r="AW29" s="296">
        <v>0</v>
      </c>
      <c r="AX29" s="296">
        <v>0</v>
      </c>
      <c r="AY29" s="296">
        <v>0</v>
      </c>
      <c r="AZ29" s="296">
        <v>0</v>
      </c>
      <c r="BA29" s="296">
        <v>0</v>
      </c>
      <c r="BB29" s="296">
        <v>0</v>
      </c>
      <c r="BC29" s="296">
        <v>0</v>
      </c>
      <c r="BD29" s="296">
        <v>0</v>
      </c>
      <c r="BE29" s="296">
        <v>0</v>
      </c>
      <c r="BF29" s="291"/>
      <c r="BG29" s="296" t="s">
        <v>569</v>
      </c>
      <c r="BH29" s="296">
        <v>12</v>
      </c>
      <c r="BI29" s="296" t="s">
        <v>569</v>
      </c>
      <c r="BJ29" s="296"/>
      <c r="BK29" s="296"/>
      <c r="BL29" s="296"/>
      <c r="BM29" s="290"/>
      <c r="BN29" s="291"/>
      <c r="BO29" s="296"/>
      <c r="BP29" s="296" t="s">
        <v>579</v>
      </c>
      <c r="BQ29" s="296"/>
      <c r="BR29" s="290" t="s">
        <v>670</v>
      </c>
      <c r="BS29" s="291" t="s">
        <v>563</v>
      </c>
      <c r="BT29" s="291" t="s">
        <v>495</v>
      </c>
    </row>
    <row r="30" spans="1:72" x14ac:dyDescent="0.3">
      <c r="A30" s="288">
        <v>2168</v>
      </c>
      <c r="B30" s="289">
        <v>42566</v>
      </c>
      <c r="C30" s="290" t="s">
        <v>565</v>
      </c>
      <c r="D30" s="291" t="s">
        <v>628</v>
      </c>
      <c r="E30" s="289">
        <v>42565</v>
      </c>
      <c r="F30" s="290" t="s">
        <v>643</v>
      </c>
      <c r="G30" s="291" t="s">
        <v>668</v>
      </c>
      <c r="H30" s="292">
        <v>63.636363636363633</v>
      </c>
      <c r="I30" s="292"/>
      <c r="J30" s="292"/>
      <c r="K30" s="293"/>
      <c r="L30" s="291"/>
      <c r="M30" s="291"/>
      <c r="N30" s="291"/>
      <c r="O30" s="291"/>
      <c r="P30" s="291"/>
      <c r="Q30" s="291"/>
      <c r="R30" s="291"/>
      <c r="S30" s="291"/>
      <c r="T30" s="291"/>
      <c r="U30" s="291"/>
      <c r="V30" s="291"/>
      <c r="W30" s="295">
        <v>3.8636363636363633</v>
      </c>
      <c r="X30" s="295" t="s">
        <v>669</v>
      </c>
      <c r="Y30" s="295" t="s">
        <v>669</v>
      </c>
      <c r="Z30" s="295" t="s">
        <v>669</v>
      </c>
      <c r="AA30" s="295" t="s">
        <v>669</v>
      </c>
      <c r="AB30" s="295" t="s">
        <v>669</v>
      </c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6" t="s">
        <v>569</v>
      </c>
      <c r="AP30" s="296"/>
      <c r="AQ30" s="296"/>
      <c r="AR30" s="296"/>
      <c r="AS30" s="291"/>
      <c r="AT30" s="296">
        <v>10</v>
      </c>
      <c r="AU30" s="296">
        <v>0</v>
      </c>
      <c r="AV30" s="296">
        <v>0</v>
      </c>
      <c r="AW30" s="296">
        <v>0</v>
      </c>
      <c r="AX30" s="296">
        <v>0</v>
      </c>
      <c r="AY30" s="296">
        <v>0</v>
      </c>
      <c r="AZ30" s="296">
        <v>0</v>
      </c>
      <c r="BA30" s="296">
        <v>0</v>
      </c>
      <c r="BB30" s="296">
        <v>0</v>
      </c>
      <c r="BC30" s="296">
        <v>0</v>
      </c>
      <c r="BD30" s="296">
        <v>0</v>
      </c>
      <c r="BE30" s="296">
        <v>0</v>
      </c>
      <c r="BF30" s="291"/>
      <c r="BG30" s="296" t="s">
        <v>569</v>
      </c>
      <c r="BH30" s="296">
        <v>12</v>
      </c>
      <c r="BI30" s="296" t="s">
        <v>569</v>
      </c>
      <c r="BJ30" s="296"/>
      <c r="BK30" s="296"/>
      <c r="BL30" s="296"/>
      <c r="BM30" s="290"/>
      <c r="BN30" s="291"/>
      <c r="BO30" s="298"/>
      <c r="BP30" s="296" t="s">
        <v>579</v>
      </c>
      <c r="BQ30" s="296"/>
      <c r="BR30" s="290" t="s">
        <v>670</v>
      </c>
      <c r="BS30" s="291" t="s">
        <v>563</v>
      </c>
      <c r="BT30" s="291" t="s">
        <v>495</v>
      </c>
    </row>
    <row r="37" spans="4:4" x14ac:dyDescent="0.3">
      <c r="D37"/>
    </row>
    <row r="38" spans="4:4" x14ac:dyDescent="0.3">
      <c r="D38"/>
    </row>
    <row r="39" spans="4:4" x14ac:dyDescent="0.3">
      <c r="D39"/>
    </row>
    <row r="40" spans="4:4" x14ac:dyDescent="0.3">
      <c r="D40"/>
    </row>
    <row r="41" spans="4:4" x14ac:dyDescent="0.3">
      <c r="D41"/>
    </row>
    <row r="42" spans="4:4" x14ac:dyDescent="0.3">
      <c r="D42"/>
    </row>
    <row r="43" spans="4:4" x14ac:dyDescent="0.3">
      <c r="D43"/>
    </row>
    <row r="44" spans="4:4" x14ac:dyDescent="0.3">
      <c r="D44"/>
    </row>
    <row r="45" spans="4:4" x14ac:dyDescent="0.3">
      <c r="D45"/>
    </row>
    <row r="46" spans="4:4" x14ac:dyDescent="0.3">
      <c r="D46"/>
    </row>
    <row r="47" spans="4:4" x14ac:dyDescent="0.3">
      <c r="D47"/>
    </row>
    <row r="48" spans="4:4" x14ac:dyDescent="0.3">
      <c r="D48"/>
    </row>
  </sheetData>
  <sheetProtection algorithmName="SHA-512" hashValue="CZbbL83CuIBneKrkWEsOsGdxeyHJh8vxRRRVXPUih92HM4yrl5AG7Q03uzZlBYg4eazWaxCPNJDIuki8Oaqjhw==" saltValue="iNHONfa5MJ7PENhnymECLQ==" spinCount="100000" sheet="1" objects="1" scenarios="1"/>
  <hyperlinks>
    <hyperlink ref="BS3" r:id="rId1" xr:uid="{F13C6A9F-670F-4041-80AD-7435D228DACA}"/>
    <hyperlink ref="BS10" r:id="rId2" xr:uid="{AC4EB316-4CCF-F645-8409-02F340225C4C}"/>
  </hyperlink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0D1A3-2813-BE48-A4D6-B3CF00B1169D}">
  <sheetPr codeName="Sheet13"/>
  <dimension ref="A1:BL30"/>
  <sheetViews>
    <sheetView topLeftCell="AD1" zoomScale="120" zoomScaleNormal="120" workbookViewId="0">
      <selection activeCell="A19" sqref="A19:XFD20"/>
    </sheetView>
  </sheetViews>
  <sheetFormatPr defaultColWidth="11.07421875" defaultRowHeight="13.5" x14ac:dyDescent="0.3"/>
  <cols>
    <col min="1" max="1" width="7.15234375" customWidth="1"/>
    <col min="3" max="3" width="6.3046875" customWidth="1"/>
    <col min="4" max="4" width="18.69140625" customWidth="1"/>
    <col min="6" max="6" width="16.15234375" customWidth="1"/>
    <col min="7" max="7" width="16.4609375" customWidth="1"/>
    <col min="57" max="57" width="50.69140625" customWidth="1"/>
    <col min="58" max="58" width="12.15234375" customWidth="1"/>
    <col min="59" max="59" width="10.84375" customWidth="1"/>
    <col min="61" max="61" width="20.4609375" customWidth="1"/>
    <col min="62" max="62" width="88.15234375" customWidth="1"/>
  </cols>
  <sheetData>
    <row r="1" spans="1:64" ht="54" x14ac:dyDescent="0.3">
      <c r="A1" s="163" t="s">
        <v>209</v>
      </c>
      <c r="B1" s="163" t="s">
        <v>366</v>
      </c>
      <c r="C1" s="164" t="s">
        <v>257</v>
      </c>
      <c r="D1" s="165" t="s">
        <v>258</v>
      </c>
      <c r="E1" s="163" t="s">
        <v>259</v>
      </c>
      <c r="F1" s="164" t="s">
        <v>267</v>
      </c>
      <c r="G1" s="166" t="s">
        <v>260</v>
      </c>
      <c r="H1" s="167" t="s">
        <v>268</v>
      </c>
      <c r="I1" s="168" t="s">
        <v>261</v>
      </c>
      <c r="J1" s="168" t="s">
        <v>262</v>
      </c>
      <c r="K1" s="168" t="s">
        <v>263</v>
      </c>
      <c r="L1" s="168" t="s">
        <v>264</v>
      </c>
      <c r="M1" s="168" t="s">
        <v>265</v>
      </c>
      <c r="N1" s="169" t="s">
        <v>266</v>
      </c>
      <c r="O1" s="170" t="s">
        <v>316</v>
      </c>
      <c r="P1" s="170" t="s">
        <v>317</v>
      </c>
      <c r="Q1" s="170" t="s">
        <v>318</v>
      </c>
      <c r="R1" s="170" t="s">
        <v>319</v>
      </c>
      <c r="S1" s="170" t="s">
        <v>320</v>
      </c>
      <c r="T1" s="171" t="s">
        <v>321</v>
      </c>
      <c r="U1" s="172" t="s">
        <v>322</v>
      </c>
      <c r="V1" s="172" t="s">
        <v>323</v>
      </c>
      <c r="W1" s="172" t="s">
        <v>324</v>
      </c>
      <c r="X1" s="172" t="s">
        <v>428</v>
      </c>
      <c r="Y1" s="172" t="s">
        <v>429</v>
      </c>
      <c r="Z1" s="173" t="s">
        <v>430</v>
      </c>
      <c r="AA1" s="174" t="s">
        <v>431</v>
      </c>
      <c r="AB1" s="174" t="s">
        <v>331</v>
      </c>
      <c r="AC1" s="174" t="s">
        <v>332</v>
      </c>
      <c r="AD1" s="174" t="s">
        <v>333</v>
      </c>
      <c r="AE1" s="174" t="s">
        <v>334</v>
      </c>
      <c r="AF1" s="175" t="s">
        <v>335</v>
      </c>
      <c r="AG1" s="176" t="s">
        <v>336</v>
      </c>
      <c r="AH1" s="176" t="s">
        <v>337</v>
      </c>
      <c r="AI1" s="176" t="s">
        <v>338</v>
      </c>
      <c r="AJ1" s="177" t="s">
        <v>229</v>
      </c>
      <c r="AK1" s="176"/>
      <c r="AL1" s="178" t="s">
        <v>230</v>
      </c>
      <c r="AM1" s="179" t="s">
        <v>231</v>
      </c>
      <c r="AN1" s="180" t="s">
        <v>232</v>
      </c>
      <c r="AO1" s="170" t="s">
        <v>340</v>
      </c>
      <c r="AP1" s="181" t="s">
        <v>440</v>
      </c>
      <c r="AQ1" s="182" t="s">
        <v>441</v>
      </c>
      <c r="AR1" s="183" t="s">
        <v>442</v>
      </c>
      <c r="AS1" s="171" t="s">
        <v>443</v>
      </c>
      <c r="AT1" s="237" t="s">
        <v>549</v>
      </c>
      <c r="AU1" s="238" t="s">
        <v>550</v>
      </c>
      <c r="AV1" s="183" t="s">
        <v>444</v>
      </c>
      <c r="AW1" s="171" t="s">
        <v>445</v>
      </c>
      <c r="AX1" s="163" t="s">
        <v>446</v>
      </c>
      <c r="AY1" s="184" t="s">
        <v>447</v>
      </c>
      <c r="AZ1" s="185" t="s">
        <v>249</v>
      </c>
      <c r="BA1" s="184" t="s">
        <v>250</v>
      </c>
      <c r="BB1" s="184" t="s">
        <v>551</v>
      </c>
      <c r="BC1" s="184" t="s">
        <v>552</v>
      </c>
      <c r="BD1" s="184" t="s">
        <v>553</v>
      </c>
      <c r="BE1" s="186" t="s">
        <v>251</v>
      </c>
      <c r="BF1" s="187" t="s">
        <v>252</v>
      </c>
      <c r="BG1" s="188" t="s">
        <v>353</v>
      </c>
      <c r="BH1" s="188" t="s">
        <v>354</v>
      </c>
      <c r="BI1" s="187" t="s">
        <v>355</v>
      </c>
      <c r="BJ1" s="188" t="s">
        <v>356</v>
      </c>
      <c r="BK1" s="186" t="s">
        <v>357</v>
      </c>
    </row>
    <row r="2" spans="1:64" x14ac:dyDescent="0.3">
      <c r="A2" s="189">
        <v>2095</v>
      </c>
      <c r="B2" s="255">
        <v>42202</v>
      </c>
      <c r="C2" s="191" t="s">
        <v>485</v>
      </c>
      <c r="D2" s="246" t="s">
        <v>608</v>
      </c>
      <c r="E2" s="193">
        <v>42187</v>
      </c>
      <c r="F2" s="191" t="s">
        <v>487</v>
      </c>
      <c r="G2" s="246" t="s">
        <v>609</v>
      </c>
      <c r="H2" s="259">
        <v>65.999999999999986</v>
      </c>
      <c r="I2" s="247" t="s">
        <v>558</v>
      </c>
      <c r="J2" s="242">
        <v>1200</v>
      </c>
      <c r="K2" s="242">
        <v>2400</v>
      </c>
      <c r="L2" s="242">
        <v>5400</v>
      </c>
      <c r="M2" s="242">
        <v>165400</v>
      </c>
      <c r="N2" s="242">
        <v>832000</v>
      </c>
      <c r="O2" s="260">
        <v>3.1545454545454543</v>
      </c>
      <c r="P2" s="260">
        <v>2.9818181818181815</v>
      </c>
      <c r="Q2" s="260">
        <v>2.8272727272727267</v>
      </c>
      <c r="R2" s="260">
        <v>2.8090909090909086</v>
      </c>
      <c r="S2" s="260">
        <v>2.6909090909090905</v>
      </c>
      <c r="T2" s="260">
        <v>2.4090909090909087</v>
      </c>
      <c r="U2" s="257" t="s">
        <v>629</v>
      </c>
      <c r="V2" s="257" t="s">
        <v>629</v>
      </c>
      <c r="W2" s="257" t="s">
        <v>629</v>
      </c>
      <c r="X2" s="257" t="s">
        <v>629</v>
      </c>
      <c r="Y2" s="257" t="s">
        <v>629</v>
      </c>
      <c r="Z2" s="257" t="s">
        <v>629</v>
      </c>
      <c r="AA2" s="257" t="s">
        <v>629</v>
      </c>
      <c r="AB2" s="257" t="s">
        <v>629</v>
      </c>
      <c r="AC2" s="257" t="s">
        <v>629</v>
      </c>
      <c r="AD2" s="257" t="s">
        <v>629</v>
      </c>
      <c r="AE2" s="257" t="s">
        <v>629</v>
      </c>
      <c r="AF2" s="257" t="s">
        <v>629</v>
      </c>
      <c r="AG2" s="196" t="s">
        <v>489</v>
      </c>
      <c r="AH2" s="196"/>
      <c r="AI2" s="196"/>
      <c r="AJ2" s="196"/>
      <c r="AK2" s="246"/>
      <c r="AL2" s="196">
        <v>8</v>
      </c>
      <c r="AM2" s="196">
        <v>0</v>
      </c>
      <c r="AN2" s="196">
        <v>0</v>
      </c>
      <c r="AO2" s="196">
        <v>0</v>
      </c>
      <c r="AP2" s="196">
        <v>0</v>
      </c>
      <c r="AQ2" s="196">
        <v>0</v>
      </c>
      <c r="AR2" s="196">
        <v>0</v>
      </c>
      <c r="AS2" s="196">
        <v>0</v>
      </c>
      <c r="AT2" s="196">
        <v>0</v>
      </c>
      <c r="AU2" s="196">
        <v>0</v>
      </c>
      <c r="AV2" s="196">
        <v>0</v>
      </c>
      <c r="AW2" s="196">
        <v>0</v>
      </c>
      <c r="AX2" s="192"/>
      <c r="AY2" s="196" t="s">
        <v>489</v>
      </c>
      <c r="AZ2" s="196">
        <v>12</v>
      </c>
      <c r="BA2" s="196" t="s">
        <v>489</v>
      </c>
      <c r="BB2" s="196"/>
      <c r="BC2" s="196"/>
      <c r="BD2" s="196"/>
      <c r="BE2" s="241"/>
      <c r="BF2" s="192"/>
      <c r="BG2" s="196"/>
      <c r="BH2" s="196" t="s">
        <v>493</v>
      </c>
      <c r="BI2" s="241"/>
      <c r="BJ2" s="246" t="s">
        <v>563</v>
      </c>
      <c r="BK2" s="246" t="s">
        <v>505</v>
      </c>
    </row>
    <row r="3" spans="1:64" x14ac:dyDescent="0.3">
      <c r="A3" s="189">
        <v>1088</v>
      </c>
      <c r="B3" s="255">
        <v>42202</v>
      </c>
      <c r="C3" s="191" t="s">
        <v>485</v>
      </c>
      <c r="D3" s="246" t="s">
        <v>608</v>
      </c>
      <c r="E3" s="193">
        <v>42185</v>
      </c>
      <c r="F3" s="191" t="s">
        <v>498</v>
      </c>
      <c r="G3" s="192" t="s">
        <v>499</v>
      </c>
      <c r="H3" s="259">
        <v>79.5</v>
      </c>
      <c r="I3" s="247" t="s">
        <v>558</v>
      </c>
      <c r="J3" s="242">
        <v>1200</v>
      </c>
      <c r="K3" s="242">
        <v>2400</v>
      </c>
      <c r="L3" s="242">
        <v>5400</v>
      </c>
      <c r="M3" s="242">
        <v>165400</v>
      </c>
      <c r="N3" s="242">
        <v>832000</v>
      </c>
      <c r="O3" s="260">
        <v>4.2181818181818178</v>
      </c>
      <c r="P3" s="260">
        <v>2.7363636363636359</v>
      </c>
      <c r="Q3" s="260">
        <v>2.5909090909090908</v>
      </c>
      <c r="R3" s="260">
        <v>2.5909090909090908</v>
      </c>
      <c r="S3" s="260">
        <v>2.4909090909090907</v>
      </c>
      <c r="T3" s="260">
        <v>2.1545454545454543</v>
      </c>
      <c r="U3" s="257" t="s">
        <v>629</v>
      </c>
      <c r="V3" s="257" t="s">
        <v>629</v>
      </c>
      <c r="W3" s="257" t="s">
        <v>629</v>
      </c>
      <c r="X3" s="257" t="s">
        <v>629</v>
      </c>
      <c r="Y3" s="257" t="s">
        <v>629</v>
      </c>
      <c r="Z3" s="257" t="s">
        <v>629</v>
      </c>
      <c r="AA3" s="257" t="s">
        <v>629</v>
      </c>
      <c r="AB3" s="257" t="s">
        <v>629</v>
      </c>
      <c r="AC3" s="257" t="s">
        <v>629</v>
      </c>
      <c r="AD3" s="257" t="s">
        <v>629</v>
      </c>
      <c r="AE3" s="257" t="s">
        <v>629</v>
      </c>
      <c r="AF3" s="257" t="s">
        <v>629</v>
      </c>
      <c r="AG3" s="196" t="s">
        <v>489</v>
      </c>
      <c r="AH3" s="192"/>
      <c r="AI3" s="192"/>
      <c r="AJ3" s="192"/>
      <c r="AK3" s="246"/>
      <c r="AL3" s="196">
        <v>0</v>
      </c>
      <c r="AM3" s="196">
        <v>0</v>
      </c>
      <c r="AN3" s="196">
        <v>20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/>
      <c r="AY3" s="196" t="s">
        <v>489</v>
      </c>
      <c r="AZ3" s="196"/>
      <c r="BA3" s="196" t="s">
        <v>489</v>
      </c>
      <c r="BB3" s="196"/>
      <c r="BC3" s="196"/>
      <c r="BD3" s="196"/>
      <c r="BE3" s="241" t="s">
        <v>513</v>
      </c>
      <c r="BF3" s="192" t="s">
        <v>492</v>
      </c>
      <c r="BG3" s="196">
        <v>50</v>
      </c>
      <c r="BH3" s="196" t="s">
        <v>493</v>
      </c>
      <c r="BI3" s="191"/>
      <c r="BJ3" s="246" t="s">
        <v>563</v>
      </c>
      <c r="BK3" s="246" t="s">
        <v>495</v>
      </c>
    </row>
    <row r="4" spans="1:64" x14ac:dyDescent="0.3">
      <c r="A4" s="189">
        <v>2103</v>
      </c>
      <c r="B4" s="255">
        <v>42202</v>
      </c>
      <c r="C4" s="243" t="s">
        <v>565</v>
      </c>
      <c r="D4" s="246" t="s">
        <v>608</v>
      </c>
      <c r="E4" s="255">
        <v>42185</v>
      </c>
      <c r="F4" s="191" t="s">
        <v>610</v>
      </c>
      <c r="G4" s="246" t="s">
        <v>611</v>
      </c>
      <c r="H4" s="259">
        <v>59.1</v>
      </c>
      <c r="I4" s="247" t="s">
        <v>558</v>
      </c>
      <c r="J4" s="242">
        <v>1200</v>
      </c>
      <c r="K4" s="242">
        <v>2400</v>
      </c>
      <c r="L4" s="242">
        <v>5400</v>
      </c>
      <c r="M4" s="242">
        <v>165400</v>
      </c>
      <c r="N4" s="242">
        <v>832000</v>
      </c>
      <c r="O4" s="260">
        <v>3.1090909090909089</v>
      </c>
      <c r="P4" s="260">
        <v>2.0545454545454542</v>
      </c>
      <c r="Q4" s="260">
        <v>1.9272727272727272</v>
      </c>
      <c r="R4" s="260">
        <v>1.8999999999999997</v>
      </c>
      <c r="S4" s="260">
        <v>1.8181818181818181</v>
      </c>
      <c r="T4" s="260">
        <v>1.5090909090909088</v>
      </c>
      <c r="U4" s="257" t="s">
        <v>629</v>
      </c>
      <c r="V4" s="257" t="s">
        <v>629</v>
      </c>
      <c r="W4" s="257" t="s">
        <v>629</v>
      </c>
      <c r="X4" s="257" t="s">
        <v>629</v>
      </c>
      <c r="Y4" s="257" t="s">
        <v>629</v>
      </c>
      <c r="Z4" s="257" t="s">
        <v>629</v>
      </c>
      <c r="AA4" s="257" t="s">
        <v>629</v>
      </c>
      <c r="AB4" s="257" t="s">
        <v>629</v>
      </c>
      <c r="AC4" s="257" t="s">
        <v>629</v>
      </c>
      <c r="AD4" s="257" t="s">
        <v>629</v>
      </c>
      <c r="AE4" s="257" t="s">
        <v>629</v>
      </c>
      <c r="AF4" s="257" t="s">
        <v>629</v>
      </c>
      <c r="AG4" s="196" t="s">
        <v>569</v>
      </c>
      <c r="AH4" s="196"/>
      <c r="AI4" s="196"/>
      <c r="AJ4" s="196"/>
      <c r="AK4" s="246"/>
      <c r="AL4" s="196">
        <v>0</v>
      </c>
      <c r="AM4" s="196">
        <v>0</v>
      </c>
      <c r="AN4" s="196">
        <v>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2"/>
      <c r="AY4" s="196" t="s">
        <v>489</v>
      </c>
      <c r="AZ4" s="196"/>
      <c r="BA4" s="196" t="s">
        <v>489</v>
      </c>
      <c r="BB4" s="196"/>
      <c r="BC4" s="196"/>
      <c r="BD4" s="196"/>
      <c r="BE4" s="191"/>
      <c r="BF4" s="192"/>
      <c r="BG4" s="196"/>
      <c r="BH4" s="196" t="s">
        <v>579</v>
      </c>
      <c r="BI4" s="191"/>
      <c r="BJ4" s="192" t="s">
        <v>563</v>
      </c>
      <c r="BK4" s="246" t="s">
        <v>505</v>
      </c>
    </row>
    <row r="5" spans="1:64" x14ac:dyDescent="0.3">
      <c r="A5" s="189">
        <v>2106</v>
      </c>
      <c r="B5" s="255">
        <v>42202</v>
      </c>
      <c r="C5" s="191" t="s">
        <v>485</v>
      </c>
      <c r="D5" s="246" t="s">
        <v>608</v>
      </c>
      <c r="E5" s="193">
        <v>42195</v>
      </c>
      <c r="F5" s="191" t="s">
        <v>511</v>
      </c>
      <c r="G5" s="246" t="s">
        <v>615</v>
      </c>
      <c r="H5" s="259">
        <v>59.3</v>
      </c>
      <c r="I5" s="247" t="s">
        <v>558</v>
      </c>
      <c r="J5" s="242">
        <v>1200</v>
      </c>
      <c r="K5" s="242">
        <v>2400</v>
      </c>
      <c r="L5" s="242">
        <v>5400</v>
      </c>
      <c r="M5" s="242">
        <v>165400</v>
      </c>
      <c r="N5" s="242">
        <v>832000</v>
      </c>
      <c r="O5" s="260">
        <v>4.07</v>
      </c>
      <c r="P5" s="260">
        <v>2.72</v>
      </c>
      <c r="Q5" s="260">
        <v>2.6</v>
      </c>
      <c r="R5" s="260">
        <v>2.5</v>
      </c>
      <c r="S5" s="260">
        <v>2.4</v>
      </c>
      <c r="T5" s="260">
        <v>2.08</v>
      </c>
      <c r="U5" s="257" t="s">
        <v>629</v>
      </c>
      <c r="V5" s="257" t="s">
        <v>629</v>
      </c>
      <c r="W5" s="257" t="s">
        <v>629</v>
      </c>
      <c r="X5" s="257" t="s">
        <v>629</v>
      </c>
      <c r="Y5" s="257" t="s">
        <v>629</v>
      </c>
      <c r="Z5" s="257" t="s">
        <v>629</v>
      </c>
      <c r="AA5" s="257" t="s">
        <v>629</v>
      </c>
      <c r="AB5" s="257" t="s">
        <v>629</v>
      </c>
      <c r="AC5" s="257" t="s">
        <v>629</v>
      </c>
      <c r="AD5" s="257" t="s">
        <v>629</v>
      </c>
      <c r="AE5" s="257" t="s">
        <v>629</v>
      </c>
      <c r="AF5" s="257" t="s">
        <v>629</v>
      </c>
      <c r="AG5" s="196" t="s">
        <v>489</v>
      </c>
      <c r="AH5" s="192"/>
      <c r="AI5" s="192"/>
      <c r="AJ5" s="192"/>
      <c r="AK5" s="246"/>
      <c r="AL5" s="196">
        <v>16</v>
      </c>
      <c r="AM5" s="196">
        <v>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2"/>
      <c r="AY5" s="196" t="s">
        <v>489</v>
      </c>
      <c r="AZ5" s="196">
        <v>12</v>
      </c>
      <c r="BA5" s="196" t="s">
        <v>489</v>
      </c>
      <c r="BB5" s="196"/>
      <c r="BC5" s="196"/>
      <c r="BD5" s="196"/>
      <c r="BE5" s="191"/>
      <c r="BF5" s="192"/>
      <c r="BG5" s="196"/>
      <c r="BH5" s="196" t="s">
        <v>493</v>
      </c>
      <c r="BI5" s="191"/>
      <c r="BJ5" s="246" t="s">
        <v>563</v>
      </c>
      <c r="BK5" s="246" t="s">
        <v>505</v>
      </c>
    </row>
    <row r="6" spans="1:64" x14ac:dyDescent="0.3">
      <c r="A6" s="189">
        <v>2149</v>
      </c>
      <c r="B6" s="255">
        <v>42202</v>
      </c>
      <c r="C6" s="191" t="s">
        <v>485</v>
      </c>
      <c r="D6" s="246" t="s">
        <v>608</v>
      </c>
      <c r="E6" s="193">
        <v>42199</v>
      </c>
      <c r="F6" s="191" t="s">
        <v>516</v>
      </c>
      <c r="G6" s="246" t="s">
        <v>616</v>
      </c>
      <c r="H6" s="259">
        <v>61.036363636363632</v>
      </c>
      <c r="I6" s="247" t="s">
        <v>582</v>
      </c>
      <c r="J6" s="242">
        <v>1200</v>
      </c>
      <c r="K6" s="242">
        <v>2400</v>
      </c>
      <c r="L6" s="242">
        <v>165400</v>
      </c>
      <c r="M6" s="242">
        <v>832000</v>
      </c>
      <c r="N6" s="242">
        <v>832000</v>
      </c>
      <c r="O6" s="260">
        <v>3.6818181818181812</v>
      </c>
      <c r="P6" s="260">
        <v>2.5090909090909088</v>
      </c>
      <c r="Q6" s="260">
        <v>2.418181818181818</v>
      </c>
      <c r="R6" s="260">
        <v>2.127272727272727</v>
      </c>
      <c r="S6" s="260">
        <v>2.0272727272727269</v>
      </c>
      <c r="T6" s="260">
        <v>0</v>
      </c>
      <c r="U6" s="257" t="s">
        <v>629</v>
      </c>
      <c r="V6" s="257" t="s">
        <v>629</v>
      </c>
      <c r="W6" s="257" t="s">
        <v>629</v>
      </c>
      <c r="X6" s="257" t="s">
        <v>629</v>
      </c>
      <c r="Y6" s="257" t="s">
        <v>629</v>
      </c>
      <c r="Z6" s="257" t="s">
        <v>629</v>
      </c>
      <c r="AA6" s="257" t="s">
        <v>629</v>
      </c>
      <c r="AB6" s="257" t="s">
        <v>629</v>
      </c>
      <c r="AC6" s="257" t="s">
        <v>629</v>
      </c>
      <c r="AD6" s="257" t="s">
        <v>629</v>
      </c>
      <c r="AE6" s="257" t="s">
        <v>629</v>
      </c>
      <c r="AF6" s="257" t="s">
        <v>629</v>
      </c>
      <c r="AG6" s="196" t="s">
        <v>489</v>
      </c>
      <c r="AH6" s="196"/>
      <c r="AI6" s="196"/>
      <c r="AJ6" s="196"/>
      <c r="AK6" s="246"/>
      <c r="AL6" s="196">
        <v>6</v>
      </c>
      <c r="AM6" s="196">
        <v>0</v>
      </c>
      <c r="AN6" s="196">
        <v>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2"/>
      <c r="AY6" s="196" t="s">
        <v>489</v>
      </c>
      <c r="AZ6" s="196">
        <v>12</v>
      </c>
      <c r="BA6" s="196" t="s">
        <v>489</v>
      </c>
      <c r="BB6" s="196"/>
      <c r="BC6" s="196"/>
      <c r="BD6" s="196"/>
      <c r="BE6" s="241"/>
      <c r="BF6" s="246"/>
      <c r="BG6" s="258"/>
      <c r="BH6" s="196" t="s">
        <v>493</v>
      </c>
      <c r="BI6" s="241"/>
      <c r="BJ6" s="246" t="s">
        <v>563</v>
      </c>
      <c r="BK6" s="246" t="s">
        <v>505</v>
      </c>
    </row>
    <row r="7" spans="1:64" x14ac:dyDescent="0.3">
      <c r="A7" s="189">
        <v>876</v>
      </c>
      <c r="B7" s="255">
        <v>42202</v>
      </c>
      <c r="C7" s="191" t="s">
        <v>485</v>
      </c>
      <c r="D7" s="246" t="s">
        <v>608</v>
      </c>
      <c r="E7" s="244">
        <v>42185</v>
      </c>
      <c r="F7" s="191" t="s">
        <v>521</v>
      </c>
      <c r="G7" s="192" t="s">
        <v>522</v>
      </c>
      <c r="H7" s="259">
        <v>59.999999999999993</v>
      </c>
      <c r="I7" s="247" t="s">
        <v>558</v>
      </c>
      <c r="J7" s="242">
        <v>1200</v>
      </c>
      <c r="K7" s="242">
        <v>2400</v>
      </c>
      <c r="L7" s="242">
        <v>5400</v>
      </c>
      <c r="M7" s="242">
        <v>165400</v>
      </c>
      <c r="N7" s="242">
        <v>832000</v>
      </c>
      <c r="O7" s="260">
        <v>3.6500000000000004</v>
      </c>
      <c r="P7" s="260">
        <v>2.2999999999999998</v>
      </c>
      <c r="Q7" s="260">
        <v>2.2000000000000002</v>
      </c>
      <c r="R7" s="260">
        <v>2.1</v>
      </c>
      <c r="S7" s="260">
        <v>2</v>
      </c>
      <c r="T7" s="260">
        <v>1.76</v>
      </c>
      <c r="U7" s="257" t="s">
        <v>629</v>
      </c>
      <c r="V7" s="257" t="s">
        <v>629</v>
      </c>
      <c r="W7" s="257" t="s">
        <v>629</v>
      </c>
      <c r="X7" s="257" t="s">
        <v>629</v>
      </c>
      <c r="Y7" s="257" t="s">
        <v>629</v>
      </c>
      <c r="Z7" s="257" t="s">
        <v>629</v>
      </c>
      <c r="AA7" s="257" t="s">
        <v>629</v>
      </c>
      <c r="AB7" s="257" t="s">
        <v>629</v>
      </c>
      <c r="AC7" s="257" t="s">
        <v>629</v>
      </c>
      <c r="AD7" s="257" t="s">
        <v>629</v>
      </c>
      <c r="AE7" s="257" t="s">
        <v>629</v>
      </c>
      <c r="AF7" s="257" t="s">
        <v>629</v>
      </c>
      <c r="AG7" s="196" t="s">
        <v>489</v>
      </c>
      <c r="AH7" s="192"/>
      <c r="AI7" s="192"/>
      <c r="AJ7" s="192"/>
      <c r="AK7" s="246"/>
      <c r="AL7" s="196">
        <v>0</v>
      </c>
      <c r="AM7" s="196">
        <v>0</v>
      </c>
      <c r="AN7" s="196">
        <v>10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/>
      <c r="AY7" s="196" t="s">
        <v>489</v>
      </c>
      <c r="AZ7" s="196"/>
      <c r="BA7" s="196" t="s">
        <v>489</v>
      </c>
      <c r="BB7" s="196"/>
      <c r="BC7" s="196"/>
      <c r="BD7" s="196"/>
      <c r="BE7" s="191"/>
      <c r="BF7" s="192"/>
      <c r="BG7" s="196"/>
      <c r="BH7" s="245" t="s">
        <v>579</v>
      </c>
      <c r="BI7" s="191"/>
      <c r="BJ7" s="246" t="s">
        <v>563</v>
      </c>
      <c r="BK7" s="246" t="s">
        <v>495</v>
      </c>
      <c r="BL7" s="240"/>
    </row>
    <row r="8" spans="1:64" x14ac:dyDescent="0.3">
      <c r="A8" s="189">
        <v>1965</v>
      </c>
      <c r="B8" s="255">
        <v>42202</v>
      </c>
      <c r="C8" s="191" t="s">
        <v>485</v>
      </c>
      <c r="D8" s="246" t="s">
        <v>608</v>
      </c>
      <c r="E8" s="193">
        <v>42188</v>
      </c>
      <c r="F8" s="191" t="s">
        <v>580</v>
      </c>
      <c r="G8" s="192" t="s">
        <v>612</v>
      </c>
      <c r="H8" s="259">
        <v>34.4</v>
      </c>
      <c r="I8" s="247" t="s">
        <v>558</v>
      </c>
      <c r="J8" s="242">
        <v>1200</v>
      </c>
      <c r="K8" s="242">
        <v>2400</v>
      </c>
      <c r="L8" s="242">
        <v>5400</v>
      </c>
      <c r="M8" s="242">
        <v>165400</v>
      </c>
      <c r="N8" s="242">
        <v>832000</v>
      </c>
      <c r="O8" s="260">
        <v>3.56</v>
      </c>
      <c r="P8" s="260">
        <v>2.3199999999999998</v>
      </c>
      <c r="Q8" s="260">
        <v>2.2799999999999998</v>
      </c>
      <c r="R8" s="260">
        <v>2.2799999999999998</v>
      </c>
      <c r="S8" s="260">
        <v>2.2400000000000002</v>
      </c>
      <c r="T8" s="260">
        <v>2.08</v>
      </c>
      <c r="U8" s="257" t="s">
        <v>629</v>
      </c>
      <c r="V8" s="257" t="s">
        <v>629</v>
      </c>
      <c r="W8" s="257" t="s">
        <v>629</v>
      </c>
      <c r="X8" s="257" t="s">
        <v>629</v>
      </c>
      <c r="Y8" s="257" t="s">
        <v>629</v>
      </c>
      <c r="Z8" s="257" t="s">
        <v>629</v>
      </c>
      <c r="AA8" s="257" t="s">
        <v>629</v>
      </c>
      <c r="AB8" s="257" t="s">
        <v>629</v>
      </c>
      <c r="AC8" s="257" t="s">
        <v>629</v>
      </c>
      <c r="AD8" s="257" t="s">
        <v>629</v>
      </c>
      <c r="AE8" s="257" t="s">
        <v>629</v>
      </c>
      <c r="AF8" s="257" t="s">
        <v>629</v>
      </c>
      <c r="AG8" s="196" t="s">
        <v>489</v>
      </c>
      <c r="AH8" s="196"/>
      <c r="AI8" s="196"/>
      <c r="AJ8" s="196"/>
      <c r="AK8" s="246"/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2"/>
      <c r="AY8" s="196" t="s">
        <v>489</v>
      </c>
      <c r="AZ8" s="196"/>
      <c r="BA8" s="196" t="s">
        <v>489</v>
      </c>
      <c r="BB8" s="196"/>
      <c r="BC8" s="196"/>
      <c r="BD8" s="196"/>
      <c r="BE8" s="191"/>
      <c r="BF8" s="192"/>
      <c r="BG8" s="196"/>
      <c r="BH8" s="196" t="s">
        <v>493</v>
      </c>
      <c r="BI8" s="191" t="s">
        <v>583</v>
      </c>
      <c r="BJ8" s="246" t="s">
        <v>630</v>
      </c>
      <c r="BK8" s="246" t="s">
        <v>495</v>
      </c>
    </row>
    <row r="9" spans="1:64" x14ac:dyDescent="0.3">
      <c r="A9" s="189">
        <v>2105</v>
      </c>
      <c r="B9" s="255">
        <v>42202</v>
      </c>
      <c r="C9" s="191" t="s">
        <v>485</v>
      </c>
      <c r="D9" s="246" t="s">
        <v>608</v>
      </c>
      <c r="E9" s="193">
        <v>42185</v>
      </c>
      <c r="F9" s="191" t="s">
        <v>613</v>
      </c>
      <c r="G9" s="246" t="s">
        <v>614</v>
      </c>
      <c r="H9" s="259">
        <v>36.554545454545455</v>
      </c>
      <c r="I9" s="247" t="s">
        <v>558</v>
      </c>
      <c r="J9" s="242">
        <v>1200</v>
      </c>
      <c r="K9" s="242">
        <v>2400</v>
      </c>
      <c r="L9" s="242">
        <v>5400</v>
      </c>
      <c r="M9" s="242">
        <v>165400</v>
      </c>
      <c r="N9" s="242">
        <v>832000</v>
      </c>
      <c r="O9" s="260">
        <v>3.7818181818181817</v>
      </c>
      <c r="P9" s="260">
        <v>2.4636363636363634</v>
      </c>
      <c r="Q9" s="260">
        <v>2.418181818181818</v>
      </c>
      <c r="R9" s="260">
        <v>2.418181818181818</v>
      </c>
      <c r="S9" s="260">
        <v>2.3818181818181818</v>
      </c>
      <c r="T9" s="260">
        <v>2.209090909090909</v>
      </c>
      <c r="U9" s="257" t="s">
        <v>629</v>
      </c>
      <c r="V9" s="257" t="s">
        <v>629</v>
      </c>
      <c r="W9" s="257" t="s">
        <v>629</v>
      </c>
      <c r="X9" s="257" t="s">
        <v>629</v>
      </c>
      <c r="Y9" s="257" t="s">
        <v>629</v>
      </c>
      <c r="Z9" s="257" t="s">
        <v>629</v>
      </c>
      <c r="AA9" s="257" t="s">
        <v>629</v>
      </c>
      <c r="AB9" s="257" t="s">
        <v>629</v>
      </c>
      <c r="AC9" s="257" t="s">
        <v>629</v>
      </c>
      <c r="AD9" s="257" t="s">
        <v>629</v>
      </c>
      <c r="AE9" s="257" t="s">
        <v>629</v>
      </c>
      <c r="AF9" s="257" t="s">
        <v>629</v>
      </c>
      <c r="AG9" s="196" t="s">
        <v>489</v>
      </c>
      <c r="AH9" s="196"/>
      <c r="AI9" s="196"/>
      <c r="AJ9" s="196"/>
      <c r="AK9" s="246"/>
      <c r="AL9" s="196">
        <v>0</v>
      </c>
      <c r="AM9" s="196">
        <v>0</v>
      </c>
      <c r="AN9" s="196">
        <v>0</v>
      </c>
      <c r="AO9" s="196">
        <v>0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2"/>
      <c r="AY9" s="196" t="s">
        <v>489</v>
      </c>
      <c r="AZ9" s="196"/>
      <c r="BA9" s="196" t="s">
        <v>489</v>
      </c>
      <c r="BB9" s="196"/>
      <c r="BC9" s="196"/>
      <c r="BD9" s="196"/>
      <c r="BE9" s="191"/>
      <c r="BF9" s="192"/>
      <c r="BG9" s="196"/>
      <c r="BH9" s="196" t="s">
        <v>493</v>
      </c>
      <c r="BI9" s="191" t="s">
        <v>631</v>
      </c>
      <c r="BJ9" s="246" t="s">
        <v>563</v>
      </c>
      <c r="BK9" s="246" t="s">
        <v>505</v>
      </c>
    </row>
    <row r="10" spans="1:64" x14ac:dyDescent="0.3">
      <c r="A10" s="189">
        <v>1092</v>
      </c>
      <c r="B10" s="255">
        <v>42202</v>
      </c>
      <c r="C10" s="243" t="s">
        <v>565</v>
      </c>
      <c r="D10" s="246" t="s">
        <v>608</v>
      </c>
      <c r="E10" s="244">
        <v>42185</v>
      </c>
      <c r="F10" s="191" t="s">
        <v>617</v>
      </c>
      <c r="G10" s="192" t="s">
        <v>588</v>
      </c>
      <c r="H10" s="259">
        <v>60.22727272727272</v>
      </c>
      <c r="I10" s="247" t="s">
        <v>558</v>
      </c>
      <c r="J10" s="242">
        <v>1200</v>
      </c>
      <c r="K10" s="242">
        <v>2400</v>
      </c>
      <c r="L10" s="242">
        <v>5400</v>
      </c>
      <c r="M10" s="242">
        <v>165400</v>
      </c>
      <c r="N10" s="242">
        <v>832000</v>
      </c>
      <c r="O10" s="260">
        <v>3.8818181818181809</v>
      </c>
      <c r="P10" s="260">
        <v>2.5818181818181816</v>
      </c>
      <c r="Q10" s="260">
        <v>2.3909090909090907</v>
      </c>
      <c r="R10" s="260">
        <v>2.3636363636363633</v>
      </c>
      <c r="S10" s="260">
        <v>2.2545454545454544</v>
      </c>
      <c r="T10" s="260">
        <v>1.2818181818181817</v>
      </c>
      <c r="U10" s="257" t="s">
        <v>629</v>
      </c>
      <c r="V10" s="257" t="s">
        <v>629</v>
      </c>
      <c r="W10" s="257" t="s">
        <v>629</v>
      </c>
      <c r="X10" s="257" t="s">
        <v>629</v>
      </c>
      <c r="Y10" s="257" t="s">
        <v>629</v>
      </c>
      <c r="Z10" s="257" t="s">
        <v>629</v>
      </c>
      <c r="AA10" s="257" t="s">
        <v>629</v>
      </c>
      <c r="AB10" s="257" t="s">
        <v>629</v>
      </c>
      <c r="AC10" s="257" t="s">
        <v>629</v>
      </c>
      <c r="AD10" s="257" t="s">
        <v>629</v>
      </c>
      <c r="AE10" s="257" t="s">
        <v>629</v>
      </c>
      <c r="AF10" s="257" t="s">
        <v>629</v>
      </c>
      <c r="AG10" s="196" t="s">
        <v>569</v>
      </c>
      <c r="AH10" s="196"/>
      <c r="AI10" s="196"/>
      <c r="AJ10" s="196"/>
      <c r="AK10" s="246"/>
      <c r="AL10" s="196">
        <v>0</v>
      </c>
      <c r="AM10" s="196">
        <v>0</v>
      </c>
      <c r="AN10" s="196">
        <v>0</v>
      </c>
      <c r="AO10" s="196">
        <v>0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/>
      <c r="AY10" s="196" t="s">
        <v>569</v>
      </c>
      <c r="AZ10" s="196"/>
      <c r="BA10" s="196" t="s">
        <v>489</v>
      </c>
      <c r="BB10" s="196"/>
      <c r="BC10" s="196"/>
      <c r="BD10" s="196"/>
      <c r="BE10" s="241" t="s">
        <v>632</v>
      </c>
      <c r="BF10" s="192" t="s">
        <v>633</v>
      </c>
      <c r="BG10" s="196">
        <v>30</v>
      </c>
      <c r="BH10" s="196" t="s">
        <v>508</v>
      </c>
      <c r="BI10" s="191"/>
      <c r="BJ10" s="192" t="s">
        <v>563</v>
      </c>
      <c r="BK10" s="246" t="s">
        <v>495</v>
      </c>
    </row>
    <row r="11" spans="1:64" x14ac:dyDescent="0.3">
      <c r="A11" s="189">
        <v>871</v>
      </c>
      <c r="B11" s="255">
        <v>42202</v>
      </c>
      <c r="C11" s="191" t="s">
        <v>485</v>
      </c>
      <c r="D11" s="246" t="s">
        <v>618</v>
      </c>
      <c r="E11" s="193">
        <v>42195</v>
      </c>
      <c r="F11" s="191" t="s">
        <v>525</v>
      </c>
      <c r="G11" s="192" t="s">
        <v>526</v>
      </c>
      <c r="H11" s="259">
        <v>71.809090909090898</v>
      </c>
      <c r="I11" s="247" t="s">
        <v>558</v>
      </c>
      <c r="J11" s="242">
        <v>1200</v>
      </c>
      <c r="K11" s="242">
        <v>2400</v>
      </c>
      <c r="L11" s="242">
        <v>5400</v>
      </c>
      <c r="M11" s="242">
        <v>165400</v>
      </c>
      <c r="N11" s="242">
        <v>832000</v>
      </c>
      <c r="O11" s="260">
        <v>3.9818181818181815</v>
      </c>
      <c r="P11" s="260">
        <v>2.6545454545454543</v>
      </c>
      <c r="Q11" s="260">
        <v>2.5909090909090908</v>
      </c>
      <c r="R11" s="260">
        <v>2.5</v>
      </c>
      <c r="S11" s="260">
        <v>2.4090909090909087</v>
      </c>
      <c r="T11" s="260">
        <v>0.53636363636363626</v>
      </c>
      <c r="U11" s="257" t="s">
        <v>629</v>
      </c>
      <c r="V11" s="257" t="s">
        <v>629</v>
      </c>
      <c r="W11" s="257" t="s">
        <v>629</v>
      </c>
      <c r="X11" s="257" t="s">
        <v>629</v>
      </c>
      <c r="Y11" s="257" t="s">
        <v>629</v>
      </c>
      <c r="Z11" s="257" t="s">
        <v>629</v>
      </c>
      <c r="AA11" s="257" t="s">
        <v>629</v>
      </c>
      <c r="AB11" s="257" t="s">
        <v>629</v>
      </c>
      <c r="AC11" s="257" t="s">
        <v>629</v>
      </c>
      <c r="AD11" s="257" t="s">
        <v>629</v>
      </c>
      <c r="AE11" s="257" t="s">
        <v>629</v>
      </c>
      <c r="AF11" s="257" t="s">
        <v>629</v>
      </c>
      <c r="AG11" s="196" t="s">
        <v>489</v>
      </c>
      <c r="AH11" s="192"/>
      <c r="AI11" s="192"/>
      <c r="AJ11" s="192"/>
      <c r="AK11" s="246"/>
      <c r="AL11" s="196">
        <v>0</v>
      </c>
      <c r="AM11" s="196">
        <v>10</v>
      </c>
      <c r="AN11" s="196">
        <v>0</v>
      </c>
      <c r="AO11" s="196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2"/>
      <c r="AY11" s="196" t="s">
        <v>489</v>
      </c>
      <c r="AZ11" s="196">
        <v>24</v>
      </c>
      <c r="BA11" s="196" t="s">
        <v>489</v>
      </c>
      <c r="BB11" s="196"/>
      <c r="BC11" s="196"/>
      <c r="BD11" s="196"/>
      <c r="BE11" s="191"/>
      <c r="BF11" s="192"/>
      <c r="BG11" s="196"/>
      <c r="BH11" s="196" t="s">
        <v>508</v>
      </c>
      <c r="BI11" s="191" t="s">
        <v>529</v>
      </c>
      <c r="BJ11" s="192" t="s">
        <v>563</v>
      </c>
      <c r="BK11" s="246" t="s">
        <v>495</v>
      </c>
    </row>
    <row r="12" spans="1:64" x14ac:dyDescent="0.3">
      <c r="A12" s="189">
        <v>2108</v>
      </c>
      <c r="B12" s="255">
        <v>42202</v>
      </c>
      <c r="C12" s="191" t="s">
        <v>485</v>
      </c>
      <c r="D12" s="246" t="s">
        <v>618</v>
      </c>
      <c r="E12" s="193">
        <v>42195</v>
      </c>
      <c r="F12" s="191" t="s">
        <v>511</v>
      </c>
      <c r="G12" s="246" t="s">
        <v>615</v>
      </c>
      <c r="H12" s="259">
        <v>57.827272727272721</v>
      </c>
      <c r="I12" s="247" t="s">
        <v>558</v>
      </c>
      <c r="J12" s="242">
        <v>1200</v>
      </c>
      <c r="K12" s="242">
        <v>2400</v>
      </c>
      <c r="L12" s="242">
        <v>5400</v>
      </c>
      <c r="M12" s="242">
        <v>165400</v>
      </c>
      <c r="N12" s="242">
        <v>832000</v>
      </c>
      <c r="O12" s="260">
        <v>3.9909090909090903</v>
      </c>
      <c r="P12" s="260">
        <v>2.6727272727272724</v>
      </c>
      <c r="Q12" s="260">
        <v>2.5545454545454542</v>
      </c>
      <c r="R12" s="260">
        <v>2.4545454545454546</v>
      </c>
      <c r="S12" s="260">
        <v>2.3545454545454541</v>
      </c>
      <c r="T12" s="260">
        <v>2.0363636363636366</v>
      </c>
      <c r="U12" s="257" t="s">
        <v>629</v>
      </c>
      <c r="V12" s="257" t="s">
        <v>629</v>
      </c>
      <c r="W12" s="257" t="s">
        <v>629</v>
      </c>
      <c r="X12" s="257" t="s">
        <v>629</v>
      </c>
      <c r="Y12" s="257" t="s">
        <v>629</v>
      </c>
      <c r="Z12" s="257" t="s">
        <v>629</v>
      </c>
      <c r="AA12" s="257" t="s">
        <v>629</v>
      </c>
      <c r="AB12" s="257" t="s">
        <v>629</v>
      </c>
      <c r="AC12" s="257" t="s">
        <v>629</v>
      </c>
      <c r="AD12" s="257" t="s">
        <v>629</v>
      </c>
      <c r="AE12" s="257" t="s">
        <v>629</v>
      </c>
      <c r="AF12" s="257" t="s">
        <v>629</v>
      </c>
      <c r="AG12" s="196" t="s">
        <v>489</v>
      </c>
      <c r="AH12" s="192"/>
      <c r="AI12" s="192"/>
      <c r="AJ12" s="192"/>
      <c r="AK12" s="246"/>
      <c r="AL12" s="196">
        <v>16</v>
      </c>
      <c r="AM12" s="196">
        <v>0</v>
      </c>
      <c r="AN12" s="196">
        <v>0</v>
      </c>
      <c r="AO12" s="196">
        <v>0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2"/>
      <c r="AY12" s="196" t="s">
        <v>489</v>
      </c>
      <c r="AZ12" s="196">
        <v>12</v>
      </c>
      <c r="BA12" s="196" t="s">
        <v>489</v>
      </c>
      <c r="BB12" s="196"/>
      <c r="BC12" s="196"/>
      <c r="BD12" s="196"/>
      <c r="BE12" s="191"/>
      <c r="BF12" s="192"/>
      <c r="BG12" s="196"/>
      <c r="BH12" s="196" t="s">
        <v>493</v>
      </c>
      <c r="BI12" s="191"/>
      <c r="BJ12" s="246" t="s">
        <v>563</v>
      </c>
      <c r="BK12" s="246" t="s">
        <v>505</v>
      </c>
    </row>
    <row r="13" spans="1:64" x14ac:dyDescent="0.3">
      <c r="A13" s="189">
        <v>872</v>
      </c>
      <c r="B13" s="255">
        <v>42202</v>
      </c>
      <c r="C13" s="191" t="s">
        <v>485</v>
      </c>
      <c r="D13" s="246" t="s">
        <v>619</v>
      </c>
      <c r="E13" s="193">
        <v>42195</v>
      </c>
      <c r="F13" s="191" t="s">
        <v>525</v>
      </c>
      <c r="G13" s="192" t="s">
        <v>526</v>
      </c>
      <c r="H13" s="256">
        <v>81.354545454545445</v>
      </c>
      <c r="I13" s="247" t="s">
        <v>558</v>
      </c>
      <c r="J13" s="195">
        <v>2460</v>
      </c>
      <c r="K13" s="195">
        <v>28980</v>
      </c>
      <c r="L13" s="195">
        <v>118320</v>
      </c>
      <c r="M13" s="195">
        <v>118320</v>
      </c>
      <c r="N13" s="195">
        <v>118320</v>
      </c>
      <c r="O13" s="257">
        <v>3.1545454545454543</v>
      </c>
      <c r="P13" s="257">
        <v>2.627272727272727</v>
      </c>
      <c r="Q13" s="257">
        <v>2.5363636363636362</v>
      </c>
      <c r="R13" s="257">
        <v>2.5090909090909088</v>
      </c>
      <c r="S13" s="257">
        <v>0</v>
      </c>
      <c r="T13" s="257">
        <v>0</v>
      </c>
      <c r="U13" s="257" t="s">
        <v>629</v>
      </c>
      <c r="V13" s="257" t="s">
        <v>629</v>
      </c>
      <c r="W13" s="257" t="s">
        <v>629</v>
      </c>
      <c r="X13" s="257" t="s">
        <v>629</v>
      </c>
      <c r="Y13" s="257" t="s">
        <v>629</v>
      </c>
      <c r="Z13" s="257" t="s">
        <v>629</v>
      </c>
      <c r="AA13" s="257" t="s">
        <v>629</v>
      </c>
      <c r="AB13" s="257" t="s">
        <v>629</v>
      </c>
      <c r="AC13" s="257" t="s">
        <v>629</v>
      </c>
      <c r="AD13" s="257" t="s">
        <v>629</v>
      </c>
      <c r="AE13" s="257" t="s">
        <v>629</v>
      </c>
      <c r="AF13" s="257" t="s">
        <v>629</v>
      </c>
      <c r="AG13" s="196" t="s">
        <v>489</v>
      </c>
      <c r="AH13" s="196"/>
      <c r="AI13" s="196"/>
      <c r="AJ13" s="196"/>
      <c r="AK13" s="246"/>
      <c r="AL13" s="196">
        <v>0</v>
      </c>
      <c r="AM13" s="196">
        <v>12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2"/>
      <c r="AY13" s="196" t="s">
        <v>489</v>
      </c>
      <c r="AZ13" s="196">
        <v>24</v>
      </c>
      <c r="BA13" s="196" t="s">
        <v>489</v>
      </c>
      <c r="BB13" s="196"/>
      <c r="BC13" s="196"/>
      <c r="BD13" s="196"/>
      <c r="BE13" s="191"/>
      <c r="BF13" s="192"/>
      <c r="BG13" s="196"/>
      <c r="BH13" s="196" t="s">
        <v>508</v>
      </c>
      <c r="BI13" s="191" t="s">
        <v>529</v>
      </c>
      <c r="BJ13" s="192" t="s">
        <v>634</v>
      </c>
      <c r="BK13" s="246" t="s">
        <v>495</v>
      </c>
    </row>
    <row r="14" spans="1:64" x14ac:dyDescent="0.3">
      <c r="A14" s="189">
        <v>2109</v>
      </c>
      <c r="B14" s="255">
        <v>42202</v>
      </c>
      <c r="C14" s="191" t="s">
        <v>485</v>
      </c>
      <c r="D14" s="246" t="s">
        <v>619</v>
      </c>
      <c r="E14" s="193">
        <v>42195</v>
      </c>
      <c r="F14" s="191" t="s">
        <v>511</v>
      </c>
      <c r="G14" s="246" t="s">
        <v>615</v>
      </c>
      <c r="H14" s="256">
        <v>72</v>
      </c>
      <c r="I14" s="247" t="s">
        <v>558</v>
      </c>
      <c r="J14" s="195">
        <v>2460</v>
      </c>
      <c r="K14" s="195">
        <v>164700</v>
      </c>
      <c r="L14" s="195">
        <v>822540</v>
      </c>
      <c r="M14" s="195">
        <v>822540</v>
      </c>
      <c r="N14" s="195">
        <v>822540</v>
      </c>
      <c r="O14" s="257">
        <v>2.99</v>
      </c>
      <c r="P14" s="257">
        <v>2.72</v>
      </c>
      <c r="Q14" s="257">
        <v>2.63</v>
      </c>
      <c r="R14" s="257">
        <v>2.42</v>
      </c>
      <c r="S14" s="257">
        <v>0</v>
      </c>
      <c r="T14" s="257">
        <v>0</v>
      </c>
      <c r="U14" s="257" t="s">
        <v>629</v>
      </c>
      <c r="V14" s="257" t="s">
        <v>629</v>
      </c>
      <c r="W14" s="257" t="s">
        <v>629</v>
      </c>
      <c r="X14" s="257" t="s">
        <v>629</v>
      </c>
      <c r="Y14" s="257" t="s">
        <v>629</v>
      </c>
      <c r="Z14" s="257" t="s">
        <v>629</v>
      </c>
      <c r="AA14" s="257" t="s">
        <v>629</v>
      </c>
      <c r="AB14" s="257" t="s">
        <v>629</v>
      </c>
      <c r="AC14" s="257" t="s">
        <v>629</v>
      </c>
      <c r="AD14" s="257" t="s">
        <v>629</v>
      </c>
      <c r="AE14" s="257" t="s">
        <v>629</v>
      </c>
      <c r="AF14" s="257" t="s">
        <v>629</v>
      </c>
      <c r="AG14" s="196" t="s">
        <v>489</v>
      </c>
      <c r="AH14" s="196"/>
      <c r="AI14" s="196"/>
      <c r="AJ14" s="196"/>
      <c r="AK14" s="246"/>
      <c r="AL14" s="196">
        <v>16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2"/>
      <c r="AY14" s="196" t="s">
        <v>489</v>
      </c>
      <c r="AZ14" s="196">
        <v>12</v>
      </c>
      <c r="BA14" s="196" t="s">
        <v>489</v>
      </c>
      <c r="BB14" s="196"/>
      <c r="BC14" s="196"/>
      <c r="BD14" s="196"/>
      <c r="BE14" s="191"/>
      <c r="BF14" s="192"/>
      <c r="BG14" s="196"/>
      <c r="BH14" s="196" t="s">
        <v>493</v>
      </c>
      <c r="BI14" s="191"/>
      <c r="BJ14" s="246" t="s">
        <v>563</v>
      </c>
      <c r="BK14" s="246" t="s">
        <v>505</v>
      </c>
    </row>
    <row r="15" spans="1:64" x14ac:dyDescent="0.3">
      <c r="A15" s="189">
        <v>873</v>
      </c>
      <c r="B15" s="255">
        <v>42202</v>
      </c>
      <c r="C15" s="191" t="s">
        <v>485</v>
      </c>
      <c r="D15" s="246" t="s">
        <v>620</v>
      </c>
      <c r="E15" s="193">
        <v>42195</v>
      </c>
      <c r="F15" s="191" t="s">
        <v>525</v>
      </c>
      <c r="G15" s="192" t="s">
        <v>526</v>
      </c>
      <c r="H15" s="256">
        <v>87.490909090909085</v>
      </c>
      <c r="I15" s="247"/>
      <c r="J15" s="242"/>
      <c r="K15" s="242"/>
      <c r="L15" s="242"/>
      <c r="M15" s="242"/>
      <c r="N15" s="242"/>
      <c r="O15" s="257">
        <v>2.8909090909090907</v>
      </c>
      <c r="P15" s="257" t="s">
        <v>629</v>
      </c>
      <c r="Q15" s="257" t="s">
        <v>629</v>
      </c>
      <c r="R15" s="257" t="s">
        <v>629</v>
      </c>
      <c r="S15" s="257" t="s">
        <v>629</v>
      </c>
      <c r="T15" s="257" t="s">
        <v>629</v>
      </c>
      <c r="U15" s="257" t="s">
        <v>629</v>
      </c>
      <c r="V15" s="257" t="s">
        <v>629</v>
      </c>
      <c r="W15" s="257" t="s">
        <v>629</v>
      </c>
      <c r="X15" s="257" t="s">
        <v>629</v>
      </c>
      <c r="Y15" s="257" t="s">
        <v>629</v>
      </c>
      <c r="Z15" s="257" t="s">
        <v>629</v>
      </c>
      <c r="AA15" s="257" t="s">
        <v>629</v>
      </c>
      <c r="AB15" s="257" t="s">
        <v>629</v>
      </c>
      <c r="AC15" s="257" t="s">
        <v>629</v>
      </c>
      <c r="AD15" s="257" t="s">
        <v>629</v>
      </c>
      <c r="AE15" s="257" t="s">
        <v>629</v>
      </c>
      <c r="AF15" s="257" t="s">
        <v>629</v>
      </c>
      <c r="AG15" s="196" t="s">
        <v>489</v>
      </c>
      <c r="AH15" s="196"/>
      <c r="AI15" s="196"/>
      <c r="AJ15" s="196"/>
      <c r="AK15" s="246"/>
      <c r="AL15" s="196">
        <v>0</v>
      </c>
      <c r="AM15" s="196">
        <v>5</v>
      </c>
      <c r="AN15" s="196">
        <v>0</v>
      </c>
      <c r="AO15" s="196">
        <v>0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2"/>
      <c r="AY15" s="196" t="s">
        <v>489</v>
      </c>
      <c r="AZ15" s="196">
        <v>24</v>
      </c>
      <c r="BA15" s="196" t="s">
        <v>489</v>
      </c>
      <c r="BB15" s="196"/>
      <c r="BC15" s="196"/>
      <c r="BD15" s="196"/>
      <c r="BE15" s="191"/>
      <c r="BF15" s="192"/>
      <c r="BG15" s="196"/>
      <c r="BH15" s="196" t="s">
        <v>508</v>
      </c>
      <c r="BI15" s="191" t="s">
        <v>529</v>
      </c>
      <c r="BJ15" s="192" t="s">
        <v>563</v>
      </c>
      <c r="BK15" s="246" t="s">
        <v>495</v>
      </c>
    </row>
    <row r="16" spans="1:64" x14ac:dyDescent="0.3">
      <c r="A16" s="189">
        <v>2110</v>
      </c>
      <c r="B16" s="255">
        <v>42202</v>
      </c>
      <c r="C16" s="191" t="s">
        <v>485</v>
      </c>
      <c r="D16" s="246" t="s">
        <v>621</v>
      </c>
      <c r="E16" s="193">
        <v>42195</v>
      </c>
      <c r="F16" s="191" t="s">
        <v>511</v>
      </c>
      <c r="G16" s="246" t="s">
        <v>615</v>
      </c>
      <c r="H16" s="256">
        <v>75.499999999999986</v>
      </c>
      <c r="I16" s="247" t="s">
        <v>558</v>
      </c>
      <c r="J16" s="242">
        <v>6000</v>
      </c>
      <c r="K16" s="242">
        <v>12000</v>
      </c>
      <c r="L16" s="242">
        <v>84000</v>
      </c>
      <c r="M16" s="242">
        <v>84000</v>
      </c>
      <c r="N16" s="242">
        <v>84000</v>
      </c>
      <c r="O16" s="257">
        <v>2.3727272727272726</v>
      </c>
      <c r="P16" s="257">
        <v>2.1999999999999997</v>
      </c>
      <c r="Q16" s="257">
        <v>2.1545454545454543</v>
      </c>
      <c r="R16" s="257">
        <v>2.1545454545454543</v>
      </c>
      <c r="S16" s="257">
        <v>0</v>
      </c>
      <c r="T16" s="257">
        <v>0</v>
      </c>
      <c r="U16" s="257" t="s">
        <v>629</v>
      </c>
      <c r="V16" s="257" t="s">
        <v>629</v>
      </c>
      <c r="W16" s="257" t="s">
        <v>629</v>
      </c>
      <c r="X16" s="257" t="s">
        <v>629</v>
      </c>
      <c r="Y16" s="257" t="s">
        <v>629</v>
      </c>
      <c r="Z16" s="257" t="s">
        <v>629</v>
      </c>
      <c r="AA16" s="257" t="s">
        <v>629</v>
      </c>
      <c r="AB16" s="257" t="s">
        <v>629</v>
      </c>
      <c r="AC16" s="257" t="s">
        <v>629</v>
      </c>
      <c r="AD16" s="257" t="s">
        <v>629</v>
      </c>
      <c r="AE16" s="257" t="s">
        <v>629</v>
      </c>
      <c r="AF16" s="257" t="s">
        <v>629</v>
      </c>
      <c r="AG16" s="196" t="s">
        <v>489</v>
      </c>
      <c r="AH16" s="196"/>
      <c r="AI16" s="196"/>
      <c r="AJ16" s="196"/>
      <c r="AK16" s="246"/>
      <c r="AL16" s="196">
        <v>16</v>
      </c>
      <c r="AM16" s="196">
        <v>0</v>
      </c>
      <c r="AN16" s="196">
        <v>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2"/>
      <c r="AY16" s="196" t="s">
        <v>489</v>
      </c>
      <c r="AZ16" s="196">
        <v>12</v>
      </c>
      <c r="BA16" s="196" t="s">
        <v>489</v>
      </c>
      <c r="BB16" s="196"/>
      <c r="BC16" s="196"/>
      <c r="BD16" s="196"/>
      <c r="BE16" s="191"/>
      <c r="BF16" s="192"/>
      <c r="BG16" s="196"/>
      <c r="BH16" s="196" t="s">
        <v>493</v>
      </c>
      <c r="BI16" s="191"/>
      <c r="BJ16" s="246" t="s">
        <v>563</v>
      </c>
      <c r="BK16" s="246" t="s">
        <v>505</v>
      </c>
    </row>
    <row r="17" spans="1:63" x14ac:dyDescent="0.3">
      <c r="A17" s="189">
        <v>2153</v>
      </c>
      <c r="B17" s="255">
        <v>42202</v>
      </c>
      <c r="C17" s="191" t="s">
        <v>485</v>
      </c>
      <c r="D17" s="246" t="s">
        <v>621</v>
      </c>
      <c r="E17" s="193">
        <v>42199</v>
      </c>
      <c r="F17" s="191" t="s">
        <v>516</v>
      </c>
      <c r="G17" s="246" t="s">
        <v>622</v>
      </c>
      <c r="H17" s="256">
        <v>54.518181818181816</v>
      </c>
      <c r="I17" s="247" t="s">
        <v>594</v>
      </c>
      <c r="J17" s="242">
        <v>1650</v>
      </c>
      <c r="K17" s="242">
        <v>2960</v>
      </c>
      <c r="L17" s="242">
        <v>2960</v>
      </c>
      <c r="M17" s="242">
        <v>2960</v>
      </c>
      <c r="N17" s="242">
        <v>2960</v>
      </c>
      <c r="O17" s="257">
        <v>2.1636363636363636</v>
      </c>
      <c r="P17" s="257">
        <v>1.9363636363636361</v>
      </c>
      <c r="Q17" s="257">
        <v>1.8181818181818181</v>
      </c>
      <c r="R17" s="257">
        <v>0</v>
      </c>
      <c r="S17" s="257">
        <v>0</v>
      </c>
      <c r="T17" s="257">
        <v>0</v>
      </c>
      <c r="U17" s="257" t="s">
        <v>629</v>
      </c>
      <c r="V17" s="257" t="s">
        <v>629</v>
      </c>
      <c r="W17" s="257" t="s">
        <v>629</v>
      </c>
      <c r="X17" s="257" t="s">
        <v>629</v>
      </c>
      <c r="Y17" s="257" t="s">
        <v>629</v>
      </c>
      <c r="Z17" s="257" t="s">
        <v>629</v>
      </c>
      <c r="AA17" s="257" t="s">
        <v>629</v>
      </c>
      <c r="AB17" s="257" t="s">
        <v>629</v>
      </c>
      <c r="AC17" s="257" t="s">
        <v>629</v>
      </c>
      <c r="AD17" s="257" t="s">
        <v>629</v>
      </c>
      <c r="AE17" s="257" t="s">
        <v>629</v>
      </c>
      <c r="AF17" s="257" t="s">
        <v>629</v>
      </c>
      <c r="AG17" s="196" t="s">
        <v>489</v>
      </c>
      <c r="AH17" s="196"/>
      <c r="AI17" s="196"/>
      <c r="AJ17" s="196"/>
      <c r="AK17" s="246"/>
      <c r="AL17" s="196">
        <v>6</v>
      </c>
      <c r="AM17" s="196">
        <v>0</v>
      </c>
      <c r="AN17" s="196">
        <v>0</v>
      </c>
      <c r="AO17" s="196">
        <v>0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2"/>
      <c r="AY17" s="196" t="s">
        <v>489</v>
      </c>
      <c r="AZ17" s="196">
        <v>12</v>
      </c>
      <c r="BA17" s="196" t="s">
        <v>489</v>
      </c>
      <c r="BB17" s="196"/>
      <c r="BC17" s="196"/>
      <c r="BD17" s="196"/>
      <c r="BE17" s="241"/>
      <c r="BF17" s="246"/>
      <c r="BG17" s="258"/>
      <c r="BH17" s="196" t="s">
        <v>493</v>
      </c>
      <c r="BI17" s="241"/>
      <c r="BJ17" s="246" t="s">
        <v>635</v>
      </c>
      <c r="BK17" s="246" t="s">
        <v>505</v>
      </c>
    </row>
    <row r="18" spans="1:63" x14ac:dyDescent="0.3">
      <c r="A18" s="189">
        <v>2097</v>
      </c>
      <c r="B18" s="255">
        <v>42202</v>
      </c>
      <c r="C18" s="191" t="s">
        <v>485</v>
      </c>
      <c r="D18" s="246" t="s">
        <v>621</v>
      </c>
      <c r="E18" s="193">
        <v>42187</v>
      </c>
      <c r="F18" s="191" t="s">
        <v>487</v>
      </c>
      <c r="G18" s="246" t="s">
        <v>609</v>
      </c>
      <c r="H18" s="256">
        <v>82.354545454545445</v>
      </c>
      <c r="I18" s="247" t="s">
        <v>558</v>
      </c>
      <c r="J18" s="242">
        <v>1650</v>
      </c>
      <c r="K18" s="242">
        <v>2960</v>
      </c>
      <c r="L18" s="242">
        <v>2960</v>
      </c>
      <c r="M18" s="242">
        <v>2960</v>
      </c>
      <c r="N18" s="242">
        <v>2960</v>
      </c>
      <c r="O18" s="257">
        <v>2.2181818181818178</v>
      </c>
      <c r="P18" s="257">
        <v>2</v>
      </c>
      <c r="Q18" s="257">
        <v>1.8909090909090909</v>
      </c>
      <c r="R18" s="257">
        <v>0</v>
      </c>
      <c r="S18" s="257">
        <v>0</v>
      </c>
      <c r="T18" s="257">
        <v>0</v>
      </c>
      <c r="U18" s="257" t="s">
        <v>629</v>
      </c>
      <c r="V18" s="257" t="s">
        <v>629</v>
      </c>
      <c r="W18" s="257" t="s">
        <v>629</v>
      </c>
      <c r="X18" s="257" t="s">
        <v>629</v>
      </c>
      <c r="Y18" s="257" t="s">
        <v>629</v>
      </c>
      <c r="Z18" s="257" t="s">
        <v>629</v>
      </c>
      <c r="AA18" s="257" t="s">
        <v>629</v>
      </c>
      <c r="AB18" s="257" t="s">
        <v>629</v>
      </c>
      <c r="AC18" s="257" t="s">
        <v>629</v>
      </c>
      <c r="AD18" s="257" t="s">
        <v>629</v>
      </c>
      <c r="AE18" s="257" t="s">
        <v>629</v>
      </c>
      <c r="AF18" s="257" t="s">
        <v>629</v>
      </c>
      <c r="AG18" s="196" t="s">
        <v>489</v>
      </c>
      <c r="AH18" s="196"/>
      <c r="AI18" s="196"/>
      <c r="AJ18" s="196"/>
      <c r="AK18" s="246"/>
      <c r="AL18" s="196">
        <v>8</v>
      </c>
      <c r="AM18" s="196">
        <v>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2"/>
      <c r="AY18" s="196" t="s">
        <v>489</v>
      </c>
      <c r="AZ18" s="196">
        <v>12</v>
      </c>
      <c r="BA18" s="196" t="s">
        <v>489</v>
      </c>
      <c r="BB18" s="196"/>
      <c r="BC18" s="196"/>
      <c r="BD18" s="196"/>
      <c r="BE18" s="241"/>
      <c r="BF18" s="192"/>
      <c r="BG18" s="196"/>
      <c r="BH18" s="196" t="s">
        <v>493</v>
      </c>
      <c r="BI18" s="241"/>
      <c r="BJ18" s="246" t="s">
        <v>563</v>
      </c>
      <c r="BK18" s="246" t="s">
        <v>505</v>
      </c>
    </row>
    <row r="19" spans="1:63" x14ac:dyDescent="0.3">
      <c r="A19" s="189">
        <v>2111</v>
      </c>
      <c r="B19" s="255">
        <v>42202</v>
      </c>
      <c r="C19" s="191" t="s">
        <v>485</v>
      </c>
      <c r="D19" s="246" t="s">
        <v>623</v>
      </c>
      <c r="E19" s="193">
        <v>42195</v>
      </c>
      <c r="F19" s="191" t="s">
        <v>511</v>
      </c>
      <c r="G19" s="246" t="s">
        <v>615</v>
      </c>
      <c r="H19" s="256">
        <v>72.5</v>
      </c>
      <c r="I19" s="247" t="s">
        <v>558</v>
      </c>
      <c r="J19" s="242">
        <v>6000</v>
      </c>
      <c r="K19" s="242">
        <v>12000</v>
      </c>
      <c r="L19" s="242">
        <v>84000</v>
      </c>
      <c r="M19" s="242">
        <v>84000</v>
      </c>
      <c r="N19" s="242">
        <v>84000</v>
      </c>
      <c r="O19" s="257">
        <v>3.4545454545454541</v>
      </c>
      <c r="P19" s="257">
        <v>3.0727272727272723</v>
      </c>
      <c r="Q19" s="257">
        <v>2.7272727272727271</v>
      </c>
      <c r="R19" s="257">
        <v>2.7272727272727271</v>
      </c>
      <c r="S19" s="257">
        <v>0</v>
      </c>
      <c r="T19" s="257">
        <v>0</v>
      </c>
      <c r="U19" s="257" t="s">
        <v>629</v>
      </c>
      <c r="V19" s="257" t="s">
        <v>629</v>
      </c>
      <c r="W19" s="257" t="s">
        <v>629</v>
      </c>
      <c r="X19" s="257" t="s">
        <v>629</v>
      </c>
      <c r="Y19" s="257" t="s">
        <v>629</v>
      </c>
      <c r="Z19" s="257" t="s">
        <v>629</v>
      </c>
      <c r="AA19" s="257" t="s">
        <v>629</v>
      </c>
      <c r="AB19" s="257" t="s">
        <v>629</v>
      </c>
      <c r="AC19" s="257" t="s">
        <v>629</v>
      </c>
      <c r="AD19" s="257" t="s">
        <v>629</v>
      </c>
      <c r="AE19" s="257" t="s">
        <v>629</v>
      </c>
      <c r="AF19" s="257" t="s">
        <v>629</v>
      </c>
      <c r="AG19" s="196" t="s">
        <v>489</v>
      </c>
      <c r="AH19" s="196"/>
      <c r="AI19" s="196"/>
      <c r="AJ19" s="196"/>
      <c r="AK19" s="246"/>
      <c r="AL19" s="196">
        <v>16</v>
      </c>
      <c r="AM19" s="196">
        <v>0</v>
      </c>
      <c r="AN19" s="196">
        <v>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2"/>
      <c r="AY19" s="196" t="s">
        <v>489</v>
      </c>
      <c r="AZ19" s="196">
        <v>12</v>
      </c>
      <c r="BA19" s="196" t="s">
        <v>489</v>
      </c>
      <c r="BB19" s="196"/>
      <c r="BC19" s="196"/>
      <c r="BD19" s="196"/>
      <c r="BE19" s="191"/>
      <c r="BF19" s="192"/>
      <c r="BG19" s="196"/>
      <c r="BH19" s="196" t="s">
        <v>493</v>
      </c>
      <c r="BI19" s="191"/>
      <c r="BJ19" s="246" t="s">
        <v>563</v>
      </c>
      <c r="BK19" s="246" t="s">
        <v>505</v>
      </c>
    </row>
    <row r="20" spans="1:63" x14ac:dyDescent="0.3">
      <c r="A20" s="189">
        <v>2157</v>
      </c>
      <c r="B20" s="255">
        <v>42202</v>
      </c>
      <c r="C20" s="191" t="s">
        <v>485</v>
      </c>
      <c r="D20" s="246" t="s">
        <v>623</v>
      </c>
      <c r="E20" s="193">
        <v>42199</v>
      </c>
      <c r="F20" s="191" t="s">
        <v>516</v>
      </c>
      <c r="G20" s="246" t="s">
        <v>622</v>
      </c>
      <c r="H20" s="256">
        <v>62.290909090909082</v>
      </c>
      <c r="I20" s="247" t="s">
        <v>594</v>
      </c>
      <c r="J20" s="242">
        <v>1650</v>
      </c>
      <c r="K20" s="242">
        <v>2960</v>
      </c>
      <c r="L20" s="242">
        <v>2960</v>
      </c>
      <c r="M20" s="242">
        <v>2960</v>
      </c>
      <c r="N20" s="242">
        <v>2960</v>
      </c>
      <c r="O20" s="257">
        <v>3.2090909090909085</v>
      </c>
      <c r="P20" s="257">
        <v>2.9727272727272727</v>
      </c>
      <c r="Q20" s="257">
        <v>2.3818181818181818</v>
      </c>
      <c r="R20" s="257">
        <v>0</v>
      </c>
      <c r="S20" s="257">
        <v>0</v>
      </c>
      <c r="T20" s="257">
        <v>0</v>
      </c>
      <c r="U20" s="257" t="s">
        <v>629</v>
      </c>
      <c r="V20" s="257" t="s">
        <v>629</v>
      </c>
      <c r="W20" s="257" t="s">
        <v>629</v>
      </c>
      <c r="X20" s="257" t="s">
        <v>629</v>
      </c>
      <c r="Y20" s="257" t="s">
        <v>629</v>
      </c>
      <c r="Z20" s="257" t="s">
        <v>629</v>
      </c>
      <c r="AA20" s="257" t="s">
        <v>629</v>
      </c>
      <c r="AB20" s="257" t="s">
        <v>629</v>
      </c>
      <c r="AC20" s="257" t="s">
        <v>629</v>
      </c>
      <c r="AD20" s="257" t="s">
        <v>629</v>
      </c>
      <c r="AE20" s="257" t="s">
        <v>629</v>
      </c>
      <c r="AF20" s="257" t="s">
        <v>629</v>
      </c>
      <c r="AG20" s="196" t="s">
        <v>489</v>
      </c>
      <c r="AH20" s="196"/>
      <c r="AI20" s="196"/>
      <c r="AJ20" s="196"/>
      <c r="AK20" s="246"/>
      <c r="AL20" s="196">
        <v>6</v>
      </c>
      <c r="AM20" s="196">
        <v>0</v>
      </c>
      <c r="AN20" s="196">
        <v>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2"/>
      <c r="AY20" s="196" t="s">
        <v>489</v>
      </c>
      <c r="AZ20" s="196">
        <v>12</v>
      </c>
      <c r="BA20" s="196" t="s">
        <v>489</v>
      </c>
      <c r="BB20" s="196"/>
      <c r="BC20" s="196"/>
      <c r="BD20" s="196"/>
      <c r="BE20" s="241"/>
      <c r="BF20" s="246"/>
      <c r="BG20" s="258"/>
      <c r="BH20" s="196" t="s">
        <v>493</v>
      </c>
      <c r="BI20" s="241"/>
      <c r="BJ20" s="246" t="s">
        <v>636</v>
      </c>
      <c r="BK20" s="246" t="s">
        <v>505</v>
      </c>
    </row>
    <row r="21" spans="1:63" x14ac:dyDescent="0.3">
      <c r="A21" s="189">
        <v>2098</v>
      </c>
      <c r="B21" s="255">
        <v>42202</v>
      </c>
      <c r="C21" s="191" t="s">
        <v>485</v>
      </c>
      <c r="D21" s="246" t="s">
        <v>623</v>
      </c>
      <c r="E21" s="193">
        <v>42187</v>
      </c>
      <c r="F21" s="191" t="s">
        <v>487</v>
      </c>
      <c r="G21" s="246" t="s">
        <v>609</v>
      </c>
      <c r="H21" s="256">
        <v>73.490909090909085</v>
      </c>
      <c r="I21" s="247" t="s">
        <v>558</v>
      </c>
      <c r="J21" s="242">
        <v>1650</v>
      </c>
      <c r="K21" s="242">
        <v>2960</v>
      </c>
      <c r="L21" s="242">
        <v>2960</v>
      </c>
      <c r="M21" s="242">
        <v>2960</v>
      </c>
      <c r="N21" s="242">
        <v>2960</v>
      </c>
      <c r="O21" s="257">
        <v>3.4818181818181815</v>
      </c>
      <c r="P21" s="257">
        <v>3.1636363636363636</v>
      </c>
      <c r="Q21" s="257">
        <v>2.5272727272727269</v>
      </c>
      <c r="R21" s="257">
        <v>0</v>
      </c>
      <c r="S21" s="257">
        <v>0</v>
      </c>
      <c r="T21" s="257">
        <v>0</v>
      </c>
      <c r="U21" s="257" t="s">
        <v>629</v>
      </c>
      <c r="V21" s="257" t="s">
        <v>629</v>
      </c>
      <c r="W21" s="257" t="s">
        <v>629</v>
      </c>
      <c r="X21" s="257" t="s">
        <v>629</v>
      </c>
      <c r="Y21" s="257" t="s">
        <v>629</v>
      </c>
      <c r="Z21" s="257" t="s">
        <v>629</v>
      </c>
      <c r="AA21" s="257" t="s">
        <v>629</v>
      </c>
      <c r="AB21" s="257" t="s">
        <v>629</v>
      </c>
      <c r="AC21" s="257" t="s">
        <v>629</v>
      </c>
      <c r="AD21" s="257" t="s">
        <v>629</v>
      </c>
      <c r="AE21" s="257" t="s">
        <v>629</v>
      </c>
      <c r="AF21" s="257" t="s">
        <v>629</v>
      </c>
      <c r="AG21" s="196" t="s">
        <v>489</v>
      </c>
      <c r="AH21" s="196"/>
      <c r="AI21" s="196"/>
      <c r="AJ21" s="196"/>
      <c r="AK21" s="246"/>
      <c r="AL21" s="196">
        <v>8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2"/>
      <c r="AY21" s="196" t="s">
        <v>489</v>
      </c>
      <c r="AZ21" s="196">
        <v>12</v>
      </c>
      <c r="BA21" s="196" t="s">
        <v>489</v>
      </c>
      <c r="BB21" s="196"/>
      <c r="BC21" s="196"/>
      <c r="BD21" s="196"/>
      <c r="BE21" s="241"/>
      <c r="BF21" s="192"/>
      <c r="BG21" s="196"/>
      <c r="BH21" s="196" t="s">
        <v>493</v>
      </c>
      <c r="BI21" s="241"/>
      <c r="BJ21" s="246" t="s">
        <v>563</v>
      </c>
      <c r="BK21" s="246" t="s">
        <v>505</v>
      </c>
    </row>
    <row r="22" spans="1:63" x14ac:dyDescent="0.3">
      <c r="A22" s="189">
        <v>2161</v>
      </c>
      <c r="B22" s="255">
        <v>42202</v>
      </c>
      <c r="C22" s="191" t="s">
        <v>485</v>
      </c>
      <c r="D22" s="246" t="s">
        <v>624</v>
      </c>
      <c r="E22" s="193">
        <v>42199</v>
      </c>
      <c r="F22" s="191" t="s">
        <v>516</v>
      </c>
      <c r="G22" s="246" t="s">
        <v>622</v>
      </c>
      <c r="H22" s="256">
        <v>71.036363636363632</v>
      </c>
      <c r="I22" s="247"/>
      <c r="J22" s="201"/>
      <c r="K22" s="201"/>
      <c r="L22" s="201"/>
      <c r="M22" s="201"/>
      <c r="N22" s="201"/>
      <c r="O22" s="257">
        <v>2.6909090909090905</v>
      </c>
      <c r="P22" s="257" t="s">
        <v>629</v>
      </c>
      <c r="Q22" s="257" t="s">
        <v>629</v>
      </c>
      <c r="R22" s="257" t="s">
        <v>629</v>
      </c>
      <c r="S22" s="257" t="s">
        <v>629</v>
      </c>
      <c r="T22" s="257" t="s">
        <v>629</v>
      </c>
      <c r="U22" s="257" t="s">
        <v>629</v>
      </c>
      <c r="V22" s="257" t="s">
        <v>629</v>
      </c>
      <c r="W22" s="257" t="s">
        <v>629</v>
      </c>
      <c r="X22" s="257" t="s">
        <v>629</v>
      </c>
      <c r="Y22" s="257" t="s">
        <v>629</v>
      </c>
      <c r="Z22" s="257" t="s">
        <v>629</v>
      </c>
      <c r="AA22" s="257" t="s">
        <v>629</v>
      </c>
      <c r="AB22" s="257" t="s">
        <v>629</v>
      </c>
      <c r="AC22" s="257" t="s">
        <v>629</v>
      </c>
      <c r="AD22" s="257" t="s">
        <v>629</v>
      </c>
      <c r="AE22" s="257" t="s">
        <v>629</v>
      </c>
      <c r="AF22" s="257" t="s">
        <v>629</v>
      </c>
      <c r="AG22" s="196" t="s">
        <v>489</v>
      </c>
      <c r="AH22" s="196"/>
      <c r="AI22" s="196"/>
      <c r="AJ22" s="196"/>
      <c r="AK22" s="246"/>
      <c r="AL22" s="196">
        <v>6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2"/>
      <c r="AY22" s="196" t="s">
        <v>489</v>
      </c>
      <c r="AZ22" s="196">
        <v>12</v>
      </c>
      <c r="BA22" s="196" t="s">
        <v>489</v>
      </c>
      <c r="BB22" s="196"/>
      <c r="BC22" s="196"/>
      <c r="BD22" s="196"/>
      <c r="BE22" s="241"/>
      <c r="BF22" s="246"/>
      <c r="BG22" s="258"/>
      <c r="BH22" s="196" t="s">
        <v>493</v>
      </c>
      <c r="BI22" s="241"/>
      <c r="BJ22" s="246" t="s">
        <v>563</v>
      </c>
      <c r="BK22" s="246" t="s">
        <v>505</v>
      </c>
    </row>
    <row r="23" spans="1:63" x14ac:dyDescent="0.3">
      <c r="A23" s="189">
        <v>874</v>
      </c>
      <c r="B23" s="255">
        <v>42202</v>
      </c>
      <c r="C23" s="191" t="s">
        <v>485</v>
      </c>
      <c r="D23" s="246" t="s">
        <v>624</v>
      </c>
      <c r="E23" s="244">
        <v>42185</v>
      </c>
      <c r="F23" s="191" t="s">
        <v>521</v>
      </c>
      <c r="G23" s="192" t="s">
        <v>522</v>
      </c>
      <c r="H23" s="256">
        <v>72.61</v>
      </c>
      <c r="I23" s="247"/>
      <c r="J23" s="242"/>
      <c r="K23" s="242"/>
      <c r="L23" s="242"/>
      <c r="M23" s="242"/>
      <c r="N23" s="242"/>
      <c r="O23" s="257">
        <v>2.67</v>
      </c>
      <c r="P23" s="257" t="s">
        <v>629</v>
      </c>
      <c r="Q23" s="257" t="s">
        <v>629</v>
      </c>
      <c r="R23" s="257" t="s">
        <v>629</v>
      </c>
      <c r="S23" s="257" t="s">
        <v>629</v>
      </c>
      <c r="T23" s="257" t="s">
        <v>629</v>
      </c>
      <c r="U23" s="257" t="s">
        <v>629</v>
      </c>
      <c r="V23" s="257" t="s">
        <v>629</v>
      </c>
      <c r="W23" s="257" t="s">
        <v>629</v>
      </c>
      <c r="X23" s="257" t="s">
        <v>629</v>
      </c>
      <c r="Y23" s="257" t="s">
        <v>629</v>
      </c>
      <c r="Z23" s="257" t="s">
        <v>629</v>
      </c>
      <c r="AA23" s="257" t="s">
        <v>629</v>
      </c>
      <c r="AB23" s="257" t="s">
        <v>629</v>
      </c>
      <c r="AC23" s="257" t="s">
        <v>629</v>
      </c>
      <c r="AD23" s="257" t="s">
        <v>629</v>
      </c>
      <c r="AE23" s="257" t="s">
        <v>629</v>
      </c>
      <c r="AF23" s="257" t="s">
        <v>629</v>
      </c>
      <c r="AG23" s="196" t="s">
        <v>489</v>
      </c>
      <c r="AH23" s="192"/>
      <c r="AI23" s="192"/>
      <c r="AJ23" s="192"/>
      <c r="AK23" s="246"/>
      <c r="AL23" s="196">
        <v>0</v>
      </c>
      <c r="AM23" s="196">
        <v>0</v>
      </c>
      <c r="AN23" s="196">
        <v>10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/>
      <c r="AY23" s="196" t="s">
        <v>489</v>
      </c>
      <c r="AZ23" s="196"/>
      <c r="BA23" s="196" t="s">
        <v>489</v>
      </c>
      <c r="BB23" s="196"/>
      <c r="BC23" s="196"/>
      <c r="BD23" s="196"/>
      <c r="BE23" s="191"/>
      <c r="BF23" s="192"/>
      <c r="BG23" s="196"/>
      <c r="BH23" s="245" t="s">
        <v>579</v>
      </c>
      <c r="BI23" s="191"/>
      <c r="BJ23" s="246" t="s">
        <v>563</v>
      </c>
      <c r="BK23" s="246" t="s">
        <v>495</v>
      </c>
    </row>
    <row r="24" spans="1:63" x14ac:dyDescent="0.3">
      <c r="A24" s="189">
        <v>2173</v>
      </c>
      <c r="B24" s="255">
        <v>42202</v>
      </c>
      <c r="C24" s="191" t="s">
        <v>485</v>
      </c>
      <c r="D24" s="246" t="s">
        <v>625</v>
      </c>
      <c r="E24" s="193">
        <v>42199</v>
      </c>
      <c r="F24" s="191" t="s">
        <v>516</v>
      </c>
      <c r="G24" s="246" t="s">
        <v>622</v>
      </c>
      <c r="H24" s="256">
        <v>75.954545454545439</v>
      </c>
      <c r="I24" s="247"/>
      <c r="J24" s="201"/>
      <c r="K24" s="201"/>
      <c r="L24" s="201"/>
      <c r="M24" s="201"/>
      <c r="N24" s="201"/>
      <c r="O24" s="257">
        <v>2.7272727272727271</v>
      </c>
      <c r="P24" s="257" t="s">
        <v>629</v>
      </c>
      <c r="Q24" s="257" t="s">
        <v>629</v>
      </c>
      <c r="R24" s="257" t="s">
        <v>629</v>
      </c>
      <c r="S24" s="257" t="s">
        <v>629</v>
      </c>
      <c r="T24" s="257" t="s">
        <v>629</v>
      </c>
      <c r="U24" s="257" t="s">
        <v>629</v>
      </c>
      <c r="V24" s="257" t="s">
        <v>629</v>
      </c>
      <c r="W24" s="257" t="s">
        <v>629</v>
      </c>
      <c r="X24" s="257" t="s">
        <v>629</v>
      </c>
      <c r="Y24" s="257" t="s">
        <v>629</v>
      </c>
      <c r="Z24" s="257" t="s">
        <v>629</v>
      </c>
      <c r="AA24" s="257" t="s">
        <v>629</v>
      </c>
      <c r="AB24" s="257" t="s">
        <v>629</v>
      </c>
      <c r="AC24" s="257" t="s">
        <v>629</v>
      </c>
      <c r="AD24" s="257" t="s">
        <v>629</v>
      </c>
      <c r="AE24" s="257" t="s">
        <v>629</v>
      </c>
      <c r="AF24" s="257" t="s">
        <v>629</v>
      </c>
      <c r="AG24" s="196" t="s">
        <v>489</v>
      </c>
      <c r="AH24" s="196"/>
      <c r="AI24" s="196"/>
      <c r="AJ24" s="196"/>
      <c r="AK24" s="246"/>
      <c r="AL24" s="196">
        <v>6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2"/>
      <c r="AY24" s="196" t="s">
        <v>489</v>
      </c>
      <c r="AZ24" s="196">
        <v>12</v>
      </c>
      <c r="BA24" s="196" t="s">
        <v>489</v>
      </c>
      <c r="BB24" s="196"/>
      <c r="BC24" s="196"/>
      <c r="BD24" s="196"/>
      <c r="BE24" s="241"/>
      <c r="BF24" s="246"/>
      <c r="BG24" s="258"/>
      <c r="BH24" s="196" t="s">
        <v>493</v>
      </c>
      <c r="BI24" s="241"/>
      <c r="BJ24" s="246" t="s">
        <v>637</v>
      </c>
      <c r="BK24" s="246" t="s">
        <v>505</v>
      </c>
    </row>
    <row r="25" spans="1:63" x14ac:dyDescent="0.3">
      <c r="A25" s="189">
        <v>2096</v>
      </c>
      <c r="B25" s="255">
        <v>42202</v>
      </c>
      <c r="C25" s="191" t="s">
        <v>485</v>
      </c>
      <c r="D25" s="246" t="s">
        <v>625</v>
      </c>
      <c r="E25" s="193">
        <v>42187</v>
      </c>
      <c r="F25" s="191" t="s">
        <v>487</v>
      </c>
      <c r="G25" s="246" t="s">
        <v>609</v>
      </c>
      <c r="H25" s="256">
        <v>87.98181818181817</v>
      </c>
      <c r="I25" s="247"/>
      <c r="J25" s="201"/>
      <c r="K25" s="201"/>
      <c r="L25" s="201"/>
      <c r="M25" s="201"/>
      <c r="N25" s="201"/>
      <c r="O25" s="257">
        <v>2.9545454545454541</v>
      </c>
      <c r="P25" s="257" t="s">
        <v>629</v>
      </c>
      <c r="Q25" s="257" t="s">
        <v>629</v>
      </c>
      <c r="R25" s="257" t="s">
        <v>629</v>
      </c>
      <c r="S25" s="257" t="s">
        <v>629</v>
      </c>
      <c r="T25" s="257" t="s">
        <v>629</v>
      </c>
      <c r="U25" s="257" t="s">
        <v>629</v>
      </c>
      <c r="V25" s="257" t="s">
        <v>629</v>
      </c>
      <c r="W25" s="257" t="s">
        <v>629</v>
      </c>
      <c r="X25" s="257" t="s">
        <v>629</v>
      </c>
      <c r="Y25" s="257" t="s">
        <v>629</v>
      </c>
      <c r="Z25" s="257" t="s">
        <v>629</v>
      </c>
      <c r="AA25" s="257" t="s">
        <v>629</v>
      </c>
      <c r="AB25" s="257" t="s">
        <v>629</v>
      </c>
      <c r="AC25" s="257" t="s">
        <v>629</v>
      </c>
      <c r="AD25" s="257" t="s">
        <v>629</v>
      </c>
      <c r="AE25" s="257" t="s">
        <v>629</v>
      </c>
      <c r="AF25" s="257" t="s">
        <v>629</v>
      </c>
      <c r="AG25" s="196" t="s">
        <v>489</v>
      </c>
      <c r="AH25" s="196"/>
      <c r="AI25" s="196"/>
      <c r="AJ25" s="196"/>
      <c r="AK25" s="246"/>
      <c r="AL25" s="196">
        <v>8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2"/>
      <c r="AY25" s="196" t="s">
        <v>489</v>
      </c>
      <c r="AZ25" s="196">
        <v>12</v>
      </c>
      <c r="BA25" s="196" t="s">
        <v>489</v>
      </c>
      <c r="BB25" s="196"/>
      <c r="BC25" s="196"/>
      <c r="BD25" s="196"/>
      <c r="BE25" s="241"/>
      <c r="BF25" s="192"/>
      <c r="BG25" s="196"/>
      <c r="BH25" s="196" t="s">
        <v>493</v>
      </c>
      <c r="BI25" s="241"/>
      <c r="BJ25" s="246" t="s">
        <v>563</v>
      </c>
      <c r="BK25" s="246" t="s">
        <v>505</v>
      </c>
    </row>
    <row r="26" spans="1:63" x14ac:dyDescent="0.3">
      <c r="A26" s="189">
        <v>2177</v>
      </c>
      <c r="B26" s="255">
        <v>42202</v>
      </c>
      <c r="C26" s="191" t="s">
        <v>485</v>
      </c>
      <c r="D26" s="246" t="s">
        <v>626</v>
      </c>
      <c r="E26" s="193">
        <v>42199</v>
      </c>
      <c r="F26" s="191" t="s">
        <v>516</v>
      </c>
      <c r="G26" s="246" t="s">
        <v>622</v>
      </c>
      <c r="H26" s="256">
        <v>81.536363636363632</v>
      </c>
      <c r="I26" s="247"/>
      <c r="J26" s="201"/>
      <c r="K26" s="201"/>
      <c r="L26" s="201"/>
      <c r="M26" s="201"/>
      <c r="N26" s="201"/>
      <c r="O26" s="257">
        <v>2.8</v>
      </c>
      <c r="P26" s="257" t="s">
        <v>629</v>
      </c>
      <c r="Q26" s="257" t="s">
        <v>629</v>
      </c>
      <c r="R26" s="257" t="s">
        <v>629</v>
      </c>
      <c r="S26" s="257" t="s">
        <v>629</v>
      </c>
      <c r="T26" s="257" t="s">
        <v>629</v>
      </c>
      <c r="U26" s="257" t="s">
        <v>629</v>
      </c>
      <c r="V26" s="257" t="s">
        <v>629</v>
      </c>
      <c r="W26" s="257" t="s">
        <v>629</v>
      </c>
      <c r="X26" s="257" t="s">
        <v>629</v>
      </c>
      <c r="Y26" s="257" t="s">
        <v>629</v>
      </c>
      <c r="Z26" s="257" t="s">
        <v>629</v>
      </c>
      <c r="AA26" s="257" t="s">
        <v>629</v>
      </c>
      <c r="AB26" s="257" t="s">
        <v>629</v>
      </c>
      <c r="AC26" s="257" t="s">
        <v>629</v>
      </c>
      <c r="AD26" s="257" t="s">
        <v>629</v>
      </c>
      <c r="AE26" s="257" t="s">
        <v>629</v>
      </c>
      <c r="AF26" s="257" t="s">
        <v>629</v>
      </c>
      <c r="AG26" s="196" t="s">
        <v>489</v>
      </c>
      <c r="AH26" s="196"/>
      <c r="AI26" s="196"/>
      <c r="AJ26" s="196"/>
      <c r="AK26" s="246"/>
      <c r="AL26" s="196">
        <v>6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2"/>
      <c r="AY26" s="196" t="s">
        <v>489</v>
      </c>
      <c r="AZ26" s="196">
        <v>12</v>
      </c>
      <c r="BA26" s="196" t="s">
        <v>489</v>
      </c>
      <c r="BB26" s="196"/>
      <c r="BC26" s="196"/>
      <c r="BD26" s="196"/>
      <c r="BE26" s="241"/>
      <c r="BF26" s="246"/>
      <c r="BG26" s="258"/>
      <c r="BH26" s="196" t="s">
        <v>493</v>
      </c>
      <c r="BI26" s="241"/>
      <c r="BJ26" s="246" t="s">
        <v>638</v>
      </c>
      <c r="BK26" s="246" t="s">
        <v>505</v>
      </c>
    </row>
    <row r="27" spans="1:63" x14ac:dyDescent="0.3">
      <c r="A27" s="189">
        <v>875</v>
      </c>
      <c r="B27" s="255">
        <v>42202</v>
      </c>
      <c r="C27" s="191" t="s">
        <v>485</v>
      </c>
      <c r="D27" s="246" t="s">
        <v>626</v>
      </c>
      <c r="E27" s="244">
        <v>42035</v>
      </c>
      <c r="F27" s="191" t="s">
        <v>521</v>
      </c>
      <c r="G27" s="192" t="s">
        <v>522</v>
      </c>
      <c r="H27" s="256">
        <v>83.02</v>
      </c>
      <c r="I27" s="247"/>
      <c r="J27" s="242"/>
      <c r="K27" s="242"/>
      <c r="L27" s="242"/>
      <c r="M27" s="242"/>
      <c r="N27" s="242"/>
      <c r="O27" s="257">
        <v>2.78</v>
      </c>
      <c r="P27" s="257" t="s">
        <v>629</v>
      </c>
      <c r="Q27" s="257" t="s">
        <v>629</v>
      </c>
      <c r="R27" s="257" t="s">
        <v>629</v>
      </c>
      <c r="S27" s="257" t="s">
        <v>629</v>
      </c>
      <c r="T27" s="257" t="s">
        <v>629</v>
      </c>
      <c r="U27" s="257" t="s">
        <v>629</v>
      </c>
      <c r="V27" s="257" t="s">
        <v>629</v>
      </c>
      <c r="W27" s="257" t="s">
        <v>629</v>
      </c>
      <c r="X27" s="257" t="s">
        <v>629</v>
      </c>
      <c r="Y27" s="257" t="s">
        <v>629</v>
      </c>
      <c r="Z27" s="257" t="s">
        <v>629</v>
      </c>
      <c r="AA27" s="257" t="s">
        <v>629</v>
      </c>
      <c r="AB27" s="257" t="s">
        <v>629</v>
      </c>
      <c r="AC27" s="257" t="s">
        <v>629</v>
      </c>
      <c r="AD27" s="257" t="s">
        <v>629</v>
      </c>
      <c r="AE27" s="257" t="s">
        <v>629</v>
      </c>
      <c r="AF27" s="257" t="s">
        <v>629</v>
      </c>
      <c r="AG27" s="196" t="s">
        <v>489</v>
      </c>
      <c r="AH27" s="192"/>
      <c r="AI27" s="192"/>
      <c r="AJ27" s="192"/>
      <c r="AK27" s="246"/>
      <c r="AL27" s="196">
        <v>0</v>
      </c>
      <c r="AM27" s="196">
        <v>0</v>
      </c>
      <c r="AN27" s="196">
        <v>10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/>
      <c r="AY27" s="196" t="s">
        <v>489</v>
      </c>
      <c r="AZ27" s="196"/>
      <c r="BA27" s="196" t="s">
        <v>489</v>
      </c>
      <c r="BB27" s="196"/>
      <c r="BC27" s="196"/>
      <c r="BD27" s="196"/>
      <c r="BE27" s="191"/>
      <c r="BF27" s="192"/>
      <c r="BG27" s="196"/>
      <c r="BH27" s="245" t="s">
        <v>579</v>
      </c>
      <c r="BI27" s="191"/>
      <c r="BJ27" s="246" t="s">
        <v>563</v>
      </c>
      <c r="BK27" s="246" t="s">
        <v>495</v>
      </c>
    </row>
    <row r="28" spans="1:63" x14ac:dyDescent="0.3">
      <c r="A28" s="189">
        <v>2165</v>
      </c>
      <c r="B28" s="255">
        <v>42202</v>
      </c>
      <c r="C28" s="191" t="s">
        <v>485</v>
      </c>
      <c r="D28" s="246" t="s">
        <v>627</v>
      </c>
      <c r="E28" s="193">
        <v>42199</v>
      </c>
      <c r="F28" s="191" t="s">
        <v>516</v>
      </c>
      <c r="G28" s="246" t="s">
        <v>622</v>
      </c>
      <c r="H28" s="256">
        <v>86.590909090909079</v>
      </c>
      <c r="I28" s="247"/>
      <c r="J28" s="201"/>
      <c r="K28" s="201"/>
      <c r="L28" s="201"/>
      <c r="M28" s="201"/>
      <c r="N28" s="201"/>
      <c r="O28" s="257">
        <v>2.2727272727272725</v>
      </c>
      <c r="P28" s="257" t="s">
        <v>629</v>
      </c>
      <c r="Q28" s="257" t="s">
        <v>629</v>
      </c>
      <c r="R28" s="257" t="s">
        <v>629</v>
      </c>
      <c r="S28" s="257" t="s">
        <v>629</v>
      </c>
      <c r="T28" s="257" t="s">
        <v>629</v>
      </c>
      <c r="U28" s="257" t="s">
        <v>629</v>
      </c>
      <c r="V28" s="257" t="s">
        <v>629</v>
      </c>
      <c r="W28" s="257" t="s">
        <v>629</v>
      </c>
      <c r="X28" s="257" t="s">
        <v>629</v>
      </c>
      <c r="Y28" s="257" t="s">
        <v>629</v>
      </c>
      <c r="Z28" s="257" t="s">
        <v>629</v>
      </c>
      <c r="AA28" s="257" t="s">
        <v>629</v>
      </c>
      <c r="AB28" s="257" t="s">
        <v>629</v>
      </c>
      <c r="AC28" s="257" t="s">
        <v>629</v>
      </c>
      <c r="AD28" s="257" t="s">
        <v>629</v>
      </c>
      <c r="AE28" s="257" t="s">
        <v>629</v>
      </c>
      <c r="AF28" s="257" t="s">
        <v>629</v>
      </c>
      <c r="AG28" s="196" t="s">
        <v>489</v>
      </c>
      <c r="AH28" s="196"/>
      <c r="AI28" s="196"/>
      <c r="AJ28" s="196"/>
      <c r="AK28" s="246"/>
      <c r="AL28" s="196">
        <v>6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2"/>
      <c r="AY28" s="196" t="s">
        <v>489</v>
      </c>
      <c r="AZ28" s="196">
        <v>12</v>
      </c>
      <c r="BA28" s="196" t="s">
        <v>489</v>
      </c>
      <c r="BB28" s="196"/>
      <c r="BC28" s="196"/>
      <c r="BD28" s="196"/>
      <c r="BE28" s="241"/>
      <c r="BF28" s="246"/>
      <c r="BG28" s="258"/>
      <c r="BH28" s="196" t="s">
        <v>493</v>
      </c>
      <c r="BI28" s="241"/>
      <c r="BJ28" s="246" t="s">
        <v>639</v>
      </c>
      <c r="BK28" s="246" t="s">
        <v>505</v>
      </c>
    </row>
    <row r="29" spans="1:63" x14ac:dyDescent="0.3">
      <c r="A29" s="189">
        <v>2099</v>
      </c>
      <c r="B29" s="255">
        <v>42202</v>
      </c>
      <c r="C29" s="191" t="s">
        <v>485</v>
      </c>
      <c r="D29" s="246" t="s">
        <v>627</v>
      </c>
      <c r="E29" s="193">
        <v>42187</v>
      </c>
      <c r="F29" s="191" t="s">
        <v>487</v>
      </c>
      <c r="G29" s="246" t="s">
        <v>609</v>
      </c>
      <c r="H29" s="256">
        <v>99.36363636363636</v>
      </c>
      <c r="I29" s="247"/>
      <c r="J29" s="201"/>
      <c r="K29" s="201"/>
      <c r="L29" s="201"/>
      <c r="M29" s="201"/>
      <c r="N29" s="201"/>
      <c r="O29" s="257">
        <v>2.418181818181818</v>
      </c>
      <c r="P29" s="257" t="s">
        <v>629</v>
      </c>
      <c r="Q29" s="257" t="s">
        <v>629</v>
      </c>
      <c r="R29" s="257" t="s">
        <v>629</v>
      </c>
      <c r="S29" s="257" t="s">
        <v>629</v>
      </c>
      <c r="T29" s="257" t="s">
        <v>629</v>
      </c>
      <c r="U29" s="257" t="s">
        <v>629</v>
      </c>
      <c r="V29" s="257" t="s">
        <v>629</v>
      </c>
      <c r="W29" s="257" t="s">
        <v>629</v>
      </c>
      <c r="X29" s="257" t="s">
        <v>629</v>
      </c>
      <c r="Y29" s="257" t="s">
        <v>629</v>
      </c>
      <c r="Z29" s="257" t="s">
        <v>629</v>
      </c>
      <c r="AA29" s="257" t="s">
        <v>629</v>
      </c>
      <c r="AB29" s="257" t="s">
        <v>629</v>
      </c>
      <c r="AC29" s="257" t="s">
        <v>629</v>
      </c>
      <c r="AD29" s="257" t="s">
        <v>629</v>
      </c>
      <c r="AE29" s="257" t="s">
        <v>629</v>
      </c>
      <c r="AF29" s="257" t="s">
        <v>629</v>
      </c>
      <c r="AG29" s="196" t="s">
        <v>489</v>
      </c>
      <c r="AH29" s="196"/>
      <c r="AI29" s="196"/>
      <c r="AJ29" s="196"/>
      <c r="AK29" s="246"/>
      <c r="AL29" s="196">
        <v>8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2"/>
      <c r="AY29" s="196" t="s">
        <v>489</v>
      </c>
      <c r="AZ29" s="196">
        <v>12</v>
      </c>
      <c r="BA29" s="196" t="s">
        <v>489</v>
      </c>
      <c r="BB29" s="196"/>
      <c r="BC29" s="196"/>
      <c r="BD29" s="196"/>
      <c r="BE29" s="241"/>
      <c r="BF29" s="192"/>
      <c r="BG29" s="196"/>
      <c r="BH29" s="196" t="s">
        <v>493</v>
      </c>
      <c r="BI29" s="241"/>
      <c r="BJ29" s="246" t="s">
        <v>563</v>
      </c>
      <c r="BK29" s="246" t="s">
        <v>505</v>
      </c>
    </row>
    <row r="30" spans="1:63" x14ac:dyDescent="0.3">
      <c r="A30" s="189">
        <v>2169</v>
      </c>
      <c r="B30" s="255">
        <v>42202</v>
      </c>
      <c r="C30" s="191" t="s">
        <v>485</v>
      </c>
      <c r="D30" s="246" t="s">
        <v>628</v>
      </c>
      <c r="E30" s="193">
        <v>42199</v>
      </c>
      <c r="F30" s="191" t="s">
        <v>516</v>
      </c>
      <c r="G30" s="246" t="s">
        <v>622</v>
      </c>
      <c r="H30" s="256">
        <v>64.009090909090901</v>
      </c>
      <c r="I30" s="247"/>
      <c r="J30" s="201"/>
      <c r="K30" s="201"/>
      <c r="L30" s="201"/>
      <c r="M30" s="201"/>
      <c r="N30" s="201"/>
      <c r="O30" s="257">
        <v>3.9272727272727272</v>
      </c>
      <c r="P30" s="257" t="s">
        <v>629</v>
      </c>
      <c r="Q30" s="257" t="s">
        <v>629</v>
      </c>
      <c r="R30" s="257" t="s">
        <v>629</v>
      </c>
      <c r="S30" s="257" t="s">
        <v>629</v>
      </c>
      <c r="T30" s="257" t="s">
        <v>629</v>
      </c>
      <c r="U30" s="257" t="s">
        <v>629</v>
      </c>
      <c r="V30" s="257" t="s">
        <v>629</v>
      </c>
      <c r="W30" s="257" t="s">
        <v>629</v>
      </c>
      <c r="X30" s="257" t="s">
        <v>629</v>
      </c>
      <c r="Y30" s="257" t="s">
        <v>629</v>
      </c>
      <c r="Z30" s="257" t="s">
        <v>629</v>
      </c>
      <c r="AA30" s="257" t="s">
        <v>629</v>
      </c>
      <c r="AB30" s="257" t="s">
        <v>629</v>
      </c>
      <c r="AC30" s="257" t="s">
        <v>629</v>
      </c>
      <c r="AD30" s="257" t="s">
        <v>629</v>
      </c>
      <c r="AE30" s="257" t="s">
        <v>629</v>
      </c>
      <c r="AF30" s="257" t="s">
        <v>629</v>
      </c>
      <c r="AG30" s="196" t="s">
        <v>489</v>
      </c>
      <c r="AH30" s="196"/>
      <c r="AI30" s="196"/>
      <c r="AJ30" s="196"/>
      <c r="AK30" s="246"/>
      <c r="AL30" s="196">
        <v>6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2"/>
      <c r="AY30" s="196" t="s">
        <v>489</v>
      </c>
      <c r="AZ30" s="196">
        <v>12</v>
      </c>
      <c r="BA30" s="196" t="s">
        <v>489</v>
      </c>
      <c r="BB30" s="196"/>
      <c r="BC30" s="196"/>
      <c r="BD30" s="196"/>
      <c r="BE30" s="241"/>
      <c r="BF30" s="246"/>
      <c r="BG30" s="258"/>
      <c r="BH30" s="196" t="s">
        <v>493</v>
      </c>
      <c r="BI30" s="241"/>
      <c r="BJ30" s="246" t="s">
        <v>640</v>
      </c>
      <c r="BK30" s="246" t="s">
        <v>505</v>
      </c>
    </row>
  </sheetData>
  <sheetProtection algorithmName="SHA-512" hashValue="uhcAiuhXl8/65AxOE5RWnrUY9ewoEEXXHnX11IPM7VvNenisJMX4wt2OGa8lbvM3gG62Z0cnwvNkQ+T+dHN5jg==" saltValue="qePxu2bnvX8Y6LLI3goLIg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64AC7-D667-BB4A-A705-55679987998C}">
  <sheetPr codeName="Sheet14"/>
  <dimension ref="A1:BL27"/>
  <sheetViews>
    <sheetView zoomScale="120" zoomScaleNormal="120" workbookViewId="0">
      <selection activeCell="A19" sqref="A19:XFD20"/>
    </sheetView>
  </sheetViews>
  <sheetFormatPr defaultColWidth="11.07421875" defaultRowHeight="13.5" x14ac:dyDescent="0.3"/>
  <cols>
    <col min="1" max="1" width="7.15234375" customWidth="1"/>
    <col min="3" max="3" width="6.3046875" customWidth="1"/>
    <col min="4" max="4" width="18.69140625" customWidth="1"/>
    <col min="6" max="6" width="16.15234375" customWidth="1"/>
    <col min="7" max="7" width="16.4609375" customWidth="1"/>
    <col min="57" max="57" width="50.69140625" customWidth="1"/>
    <col min="58" max="58" width="12.15234375" customWidth="1"/>
    <col min="59" max="59" width="10.84375" customWidth="1"/>
    <col min="61" max="61" width="20.4609375" customWidth="1"/>
    <col min="62" max="62" width="88.15234375" customWidth="1"/>
  </cols>
  <sheetData>
    <row r="1" spans="1:64" ht="54" x14ac:dyDescent="0.3">
      <c r="A1" s="163" t="s">
        <v>209</v>
      </c>
      <c r="B1" s="163" t="s">
        <v>366</v>
      </c>
      <c r="C1" s="164" t="s">
        <v>257</v>
      </c>
      <c r="D1" s="165" t="s">
        <v>258</v>
      </c>
      <c r="E1" s="163" t="s">
        <v>259</v>
      </c>
      <c r="F1" s="164" t="s">
        <v>267</v>
      </c>
      <c r="G1" s="166" t="s">
        <v>260</v>
      </c>
      <c r="H1" s="167" t="s">
        <v>268</v>
      </c>
      <c r="I1" s="168" t="s">
        <v>261</v>
      </c>
      <c r="J1" s="168" t="s">
        <v>262</v>
      </c>
      <c r="K1" s="168" t="s">
        <v>263</v>
      </c>
      <c r="L1" s="168" t="s">
        <v>264</v>
      </c>
      <c r="M1" s="168" t="s">
        <v>265</v>
      </c>
      <c r="N1" s="169" t="s">
        <v>266</v>
      </c>
      <c r="O1" s="170" t="s">
        <v>316</v>
      </c>
      <c r="P1" s="170" t="s">
        <v>317</v>
      </c>
      <c r="Q1" s="170" t="s">
        <v>318</v>
      </c>
      <c r="R1" s="170" t="s">
        <v>319</v>
      </c>
      <c r="S1" s="170" t="s">
        <v>320</v>
      </c>
      <c r="T1" s="171" t="s">
        <v>321</v>
      </c>
      <c r="U1" s="172" t="s">
        <v>322</v>
      </c>
      <c r="V1" s="172" t="s">
        <v>323</v>
      </c>
      <c r="W1" s="172" t="s">
        <v>324</v>
      </c>
      <c r="X1" s="172" t="s">
        <v>428</v>
      </c>
      <c r="Y1" s="172" t="s">
        <v>429</v>
      </c>
      <c r="Z1" s="173" t="s">
        <v>430</v>
      </c>
      <c r="AA1" s="174" t="s">
        <v>431</v>
      </c>
      <c r="AB1" s="174" t="s">
        <v>331</v>
      </c>
      <c r="AC1" s="174" t="s">
        <v>332</v>
      </c>
      <c r="AD1" s="174" t="s">
        <v>333</v>
      </c>
      <c r="AE1" s="174" t="s">
        <v>334</v>
      </c>
      <c r="AF1" s="175" t="s">
        <v>335</v>
      </c>
      <c r="AG1" s="176" t="s">
        <v>336</v>
      </c>
      <c r="AH1" s="176" t="s">
        <v>337</v>
      </c>
      <c r="AI1" s="176" t="s">
        <v>338</v>
      </c>
      <c r="AJ1" s="177" t="s">
        <v>229</v>
      </c>
      <c r="AK1" s="176"/>
      <c r="AL1" s="178" t="s">
        <v>230</v>
      </c>
      <c r="AM1" s="179" t="s">
        <v>231</v>
      </c>
      <c r="AN1" s="180" t="s">
        <v>232</v>
      </c>
      <c r="AO1" s="170" t="s">
        <v>340</v>
      </c>
      <c r="AP1" s="181" t="s">
        <v>440</v>
      </c>
      <c r="AQ1" s="182" t="s">
        <v>441</v>
      </c>
      <c r="AR1" s="183" t="s">
        <v>442</v>
      </c>
      <c r="AS1" s="171" t="s">
        <v>443</v>
      </c>
      <c r="AT1" s="237" t="s">
        <v>549</v>
      </c>
      <c r="AU1" s="238" t="s">
        <v>550</v>
      </c>
      <c r="AV1" s="183" t="s">
        <v>444</v>
      </c>
      <c r="AW1" s="171" t="s">
        <v>445</v>
      </c>
      <c r="AX1" s="163" t="s">
        <v>446</v>
      </c>
      <c r="AY1" s="184" t="s">
        <v>447</v>
      </c>
      <c r="AZ1" s="185" t="s">
        <v>249</v>
      </c>
      <c r="BA1" s="184" t="s">
        <v>250</v>
      </c>
      <c r="BB1" s="184" t="s">
        <v>551</v>
      </c>
      <c r="BC1" s="184" t="s">
        <v>552</v>
      </c>
      <c r="BD1" s="184" t="s">
        <v>553</v>
      </c>
      <c r="BE1" s="186" t="s">
        <v>251</v>
      </c>
      <c r="BF1" s="187" t="s">
        <v>252</v>
      </c>
      <c r="BG1" s="188" t="s">
        <v>353</v>
      </c>
      <c r="BH1" s="188" t="s">
        <v>354</v>
      </c>
      <c r="BI1" s="187" t="s">
        <v>355</v>
      </c>
      <c r="BJ1" s="188" t="s">
        <v>356</v>
      </c>
      <c r="BK1" s="186" t="s">
        <v>357</v>
      </c>
    </row>
    <row r="2" spans="1:64" x14ac:dyDescent="0.3">
      <c r="A2" s="189">
        <v>370</v>
      </c>
      <c r="B2" s="239">
        <v>41902</v>
      </c>
      <c r="C2" s="191" t="s">
        <v>554</v>
      </c>
      <c r="D2" s="192" t="s">
        <v>555</v>
      </c>
      <c r="E2" s="193">
        <v>41822</v>
      </c>
      <c r="F2" s="191" t="s">
        <v>556</v>
      </c>
      <c r="G2" s="192" t="s">
        <v>557</v>
      </c>
      <c r="H2" s="192">
        <v>64</v>
      </c>
      <c r="I2" s="194" t="s">
        <v>558</v>
      </c>
      <c r="J2" s="195">
        <v>6660</v>
      </c>
      <c r="K2" s="195">
        <v>6660</v>
      </c>
      <c r="L2" s="195">
        <v>6660</v>
      </c>
      <c r="M2" s="195">
        <v>6660</v>
      </c>
      <c r="N2" s="195">
        <v>6660</v>
      </c>
      <c r="O2" s="192">
        <v>2.92</v>
      </c>
      <c r="P2" s="192">
        <v>2.5</v>
      </c>
      <c r="Q2" s="192">
        <v>0</v>
      </c>
      <c r="R2" s="192">
        <v>0</v>
      </c>
      <c r="S2" s="192">
        <v>0</v>
      </c>
      <c r="T2" s="192">
        <v>0</v>
      </c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6" t="s">
        <v>559</v>
      </c>
      <c r="AH2" s="196"/>
      <c r="AI2" s="196"/>
      <c r="AJ2" s="196"/>
      <c r="AK2" s="240"/>
      <c r="AL2" s="196">
        <v>0</v>
      </c>
      <c r="AM2" s="196">
        <v>0</v>
      </c>
      <c r="AN2" s="196">
        <v>0</v>
      </c>
      <c r="AO2" s="196">
        <v>13</v>
      </c>
      <c r="AP2" s="196">
        <v>0</v>
      </c>
      <c r="AQ2" s="196">
        <v>0</v>
      </c>
      <c r="AR2" s="196">
        <v>0</v>
      </c>
      <c r="AS2" s="196">
        <v>0</v>
      </c>
      <c r="AT2" s="196">
        <v>0</v>
      </c>
      <c r="AU2" s="196">
        <v>0</v>
      </c>
      <c r="AV2" s="196">
        <v>0</v>
      </c>
      <c r="AW2" s="196">
        <v>0</v>
      </c>
      <c r="AX2" s="192"/>
      <c r="AY2" s="196" t="s">
        <v>559</v>
      </c>
      <c r="AZ2" s="196">
        <v>12</v>
      </c>
      <c r="BA2" s="196" t="s">
        <v>559</v>
      </c>
      <c r="BB2" s="196"/>
      <c r="BC2" s="196"/>
      <c r="BD2" s="196"/>
      <c r="BE2" s="241" t="s">
        <v>560</v>
      </c>
      <c r="BF2" s="192" t="s">
        <v>561</v>
      </c>
      <c r="BG2" s="196">
        <v>25</v>
      </c>
      <c r="BH2" s="196" t="s">
        <v>562</v>
      </c>
      <c r="BI2" s="191"/>
      <c r="BJ2" s="240" t="s">
        <v>563</v>
      </c>
      <c r="BK2" s="240" t="s">
        <v>495</v>
      </c>
    </row>
    <row r="3" spans="1:64" x14ac:dyDescent="0.3">
      <c r="A3" s="189">
        <v>1088</v>
      </c>
      <c r="B3" s="239">
        <v>41902</v>
      </c>
      <c r="C3" s="191" t="s">
        <v>554</v>
      </c>
      <c r="D3" s="192" t="s">
        <v>555</v>
      </c>
      <c r="E3" s="193">
        <v>41820</v>
      </c>
      <c r="F3" s="191" t="s">
        <v>564</v>
      </c>
      <c r="G3" s="192" t="s">
        <v>499</v>
      </c>
      <c r="H3" s="192">
        <v>75</v>
      </c>
      <c r="I3" s="194" t="s">
        <v>558</v>
      </c>
      <c r="J3" s="242">
        <v>1200</v>
      </c>
      <c r="K3" s="242">
        <v>2400</v>
      </c>
      <c r="L3" s="242">
        <v>5400</v>
      </c>
      <c r="M3" s="242">
        <v>165400</v>
      </c>
      <c r="N3" s="242">
        <v>832000</v>
      </c>
      <c r="O3" s="192">
        <v>3.85</v>
      </c>
      <c r="P3" s="192">
        <v>2.4500000000000002</v>
      </c>
      <c r="Q3" s="192">
        <v>2.31</v>
      </c>
      <c r="R3" s="192">
        <v>2.31</v>
      </c>
      <c r="S3" s="192">
        <v>2.2200000000000002</v>
      </c>
      <c r="T3" s="192">
        <v>1.9</v>
      </c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6" t="s">
        <v>559</v>
      </c>
      <c r="AH3" s="192"/>
      <c r="AI3" s="192"/>
      <c r="AJ3" s="192"/>
      <c r="AK3" s="240"/>
      <c r="AL3" s="196">
        <v>0</v>
      </c>
      <c r="AM3" s="196">
        <v>0</v>
      </c>
      <c r="AN3" s="196">
        <v>20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/>
      <c r="AY3" s="196" t="s">
        <v>559</v>
      </c>
      <c r="AZ3" s="196"/>
      <c r="BA3" s="196" t="s">
        <v>559</v>
      </c>
      <c r="BB3" s="196"/>
      <c r="BC3" s="196"/>
      <c r="BD3" s="196"/>
      <c r="BE3" s="191"/>
      <c r="BF3" s="192"/>
      <c r="BG3" s="196"/>
      <c r="BH3" s="196" t="s">
        <v>562</v>
      </c>
      <c r="BI3" s="191"/>
      <c r="BJ3" s="240" t="s">
        <v>563</v>
      </c>
      <c r="BK3" s="240" t="s">
        <v>495</v>
      </c>
    </row>
    <row r="4" spans="1:64" x14ac:dyDescent="0.3">
      <c r="A4" s="189">
        <v>1159</v>
      </c>
      <c r="B4" s="239">
        <v>41902</v>
      </c>
      <c r="C4" s="243" t="s">
        <v>565</v>
      </c>
      <c r="D4" s="192" t="s">
        <v>566</v>
      </c>
      <c r="E4" s="244">
        <v>41852</v>
      </c>
      <c r="F4" s="191" t="s">
        <v>567</v>
      </c>
      <c r="G4" s="201" t="s">
        <v>568</v>
      </c>
      <c r="H4" s="192">
        <v>59.1</v>
      </c>
      <c r="I4" s="194" t="s">
        <v>558</v>
      </c>
      <c r="J4" s="242">
        <v>1200</v>
      </c>
      <c r="K4" s="242">
        <v>2400</v>
      </c>
      <c r="L4" s="242">
        <v>5400</v>
      </c>
      <c r="M4" s="242">
        <v>165400</v>
      </c>
      <c r="N4" s="242">
        <v>832000</v>
      </c>
      <c r="O4" s="192">
        <v>3.79</v>
      </c>
      <c r="P4" s="192">
        <v>2.5</v>
      </c>
      <c r="Q4" s="192">
        <v>2.35</v>
      </c>
      <c r="R4" s="192">
        <v>2.3199999999999998</v>
      </c>
      <c r="S4" s="192">
        <v>2.2200000000000002</v>
      </c>
      <c r="T4" s="192">
        <v>1.84</v>
      </c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6" t="s">
        <v>569</v>
      </c>
      <c r="AH4" s="196"/>
      <c r="AI4" s="196"/>
      <c r="AJ4" s="196"/>
      <c r="AK4" s="240"/>
      <c r="AL4" s="196">
        <v>0</v>
      </c>
      <c r="AM4" s="196">
        <v>0</v>
      </c>
      <c r="AN4" s="196">
        <v>0</v>
      </c>
      <c r="AO4" s="196">
        <v>18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2"/>
      <c r="AY4" s="196" t="s">
        <v>559</v>
      </c>
      <c r="AZ4" s="197">
        <v>24</v>
      </c>
      <c r="BA4" s="196" t="s">
        <v>559</v>
      </c>
      <c r="BB4" s="196"/>
      <c r="BC4" s="196"/>
      <c r="BD4" s="196"/>
      <c r="BE4" s="191"/>
      <c r="BF4" s="192"/>
      <c r="BG4" s="196"/>
      <c r="BH4" s="196" t="s">
        <v>570</v>
      </c>
      <c r="BI4" s="191"/>
      <c r="BJ4" s="240" t="s">
        <v>571</v>
      </c>
      <c r="BK4" s="240" t="s">
        <v>572</v>
      </c>
    </row>
    <row r="5" spans="1:64" x14ac:dyDescent="0.3">
      <c r="A5" s="189">
        <v>839</v>
      </c>
      <c r="B5" s="239">
        <v>41902</v>
      </c>
      <c r="C5" s="191" t="s">
        <v>554</v>
      </c>
      <c r="D5" s="192" t="s">
        <v>555</v>
      </c>
      <c r="E5" s="193">
        <v>41880</v>
      </c>
      <c r="F5" s="191" t="s">
        <v>573</v>
      </c>
      <c r="G5" s="192" t="s">
        <v>574</v>
      </c>
      <c r="H5" s="192">
        <v>59.3</v>
      </c>
      <c r="I5" s="194" t="s">
        <v>558</v>
      </c>
      <c r="J5" s="242">
        <v>1200</v>
      </c>
      <c r="K5" s="242">
        <v>2400</v>
      </c>
      <c r="L5" s="242">
        <v>5400</v>
      </c>
      <c r="M5" s="242">
        <v>165400</v>
      </c>
      <c r="N5" s="242">
        <v>832000</v>
      </c>
      <c r="O5" s="192">
        <v>4.07</v>
      </c>
      <c r="P5" s="192">
        <v>2.72</v>
      </c>
      <c r="Q5" s="192">
        <v>2.6</v>
      </c>
      <c r="R5" s="192">
        <v>2.5</v>
      </c>
      <c r="S5" s="192">
        <v>2.4</v>
      </c>
      <c r="T5" s="192">
        <v>2.08</v>
      </c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6" t="s">
        <v>559</v>
      </c>
      <c r="AH5" s="192"/>
      <c r="AI5" s="192"/>
      <c r="AJ5" s="192"/>
      <c r="AK5" s="240"/>
      <c r="AL5" s="196">
        <v>0</v>
      </c>
      <c r="AM5" s="196">
        <v>20</v>
      </c>
      <c r="AN5" s="196">
        <v>0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2"/>
      <c r="AY5" s="196" t="s">
        <v>559</v>
      </c>
      <c r="AZ5" s="196">
        <v>12</v>
      </c>
      <c r="BA5" s="196" t="s">
        <v>559</v>
      </c>
      <c r="BB5" s="196"/>
      <c r="BC5" s="196"/>
      <c r="BD5" s="196"/>
      <c r="BE5" s="191" t="s">
        <v>513</v>
      </c>
      <c r="BF5" s="192" t="s">
        <v>561</v>
      </c>
      <c r="BG5" s="196">
        <v>50</v>
      </c>
      <c r="BH5" s="196" t="s">
        <v>562</v>
      </c>
      <c r="BI5" s="191"/>
      <c r="BJ5" s="240" t="s">
        <v>563</v>
      </c>
      <c r="BK5" s="240" t="s">
        <v>495</v>
      </c>
    </row>
    <row r="6" spans="1:64" x14ac:dyDescent="0.3">
      <c r="A6" s="189">
        <v>508</v>
      </c>
      <c r="B6" s="239">
        <v>41902</v>
      </c>
      <c r="C6" s="191" t="s">
        <v>554</v>
      </c>
      <c r="D6" s="192" t="s">
        <v>555</v>
      </c>
      <c r="E6" s="193">
        <v>41820</v>
      </c>
      <c r="F6" s="191" t="s">
        <v>575</v>
      </c>
      <c r="G6" s="192" t="s">
        <v>576</v>
      </c>
      <c r="H6" s="192">
        <v>60.9</v>
      </c>
      <c r="I6" s="194" t="s">
        <v>558</v>
      </c>
      <c r="J6" s="242">
        <v>1200</v>
      </c>
      <c r="K6" s="242">
        <v>2400</v>
      </c>
      <c r="L6" s="242">
        <v>5400</v>
      </c>
      <c r="M6" s="242">
        <v>165400</v>
      </c>
      <c r="N6" s="242">
        <v>832000</v>
      </c>
      <c r="O6" s="192">
        <v>3.59</v>
      </c>
      <c r="P6" s="192">
        <v>2.42</v>
      </c>
      <c r="Q6" s="192">
        <v>2.33</v>
      </c>
      <c r="R6" s="192">
        <v>2.33</v>
      </c>
      <c r="S6" s="192">
        <v>2.04</v>
      </c>
      <c r="T6" s="192">
        <v>1.94</v>
      </c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6" t="s">
        <v>559</v>
      </c>
      <c r="AH6" s="196"/>
      <c r="AI6" s="196"/>
      <c r="AJ6" s="196"/>
      <c r="AK6" s="240"/>
      <c r="AL6" s="196">
        <v>0</v>
      </c>
      <c r="AM6" s="196">
        <v>0</v>
      </c>
      <c r="AN6" s="196">
        <v>0</v>
      </c>
      <c r="AO6" s="197">
        <v>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2"/>
      <c r="AY6" s="196" t="s">
        <v>559</v>
      </c>
      <c r="AZ6" s="196">
        <v>12</v>
      </c>
      <c r="BA6" s="196" t="s">
        <v>559</v>
      </c>
      <c r="BB6" s="196"/>
      <c r="BC6" s="196"/>
      <c r="BD6" s="196"/>
      <c r="BE6" s="191"/>
      <c r="BF6" s="192"/>
      <c r="BG6" s="196"/>
      <c r="BH6" s="196" t="s">
        <v>562</v>
      </c>
      <c r="BI6" s="191"/>
      <c r="BJ6" s="240" t="s">
        <v>563</v>
      </c>
      <c r="BK6" s="240" t="s">
        <v>495</v>
      </c>
    </row>
    <row r="7" spans="1:64" x14ac:dyDescent="0.3">
      <c r="A7" s="189">
        <v>876</v>
      </c>
      <c r="B7" s="239">
        <v>41902</v>
      </c>
      <c r="C7" s="191" t="s">
        <v>554</v>
      </c>
      <c r="D7" s="192" t="s">
        <v>555</v>
      </c>
      <c r="E7" s="193">
        <v>41879</v>
      </c>
      <c r="F7" s="191" t="s">
        <v>577</v>
      </c>
      <c r="G7" s="192" t="s">
        <v>578</v>
      </c>
      <c r="H7" s="192">
        <v>60</v>
      </c>
      <c r="I7" s="194" t="s">
        <v>558</v>
      </c>
      <c r="J7" s="242">
        <v>1200</v>
      </c>
      <c r="K7" s="242">
        <v>2400</v>
      </c>
      <c r="L7" s="242">
        <v>5400</v>
      </c>
      <c r="M7" s="242">
        <v>165400</v>
      </c>
      <c r="N7" s="242">
        <v>832000</v>
      </c>
      <c r="O7" s="192">
        <v>3.65</v>
      </c>
      <c r="P7" s="192">
        <v>2.2999999999999998</v>
      </c>
      <c r="Q7" s="192">
        <v>2.2000000000000002</v>
      </c>
      <c r="R7" s="192">
        <v>2.1</v>
      </c>
      <c r="S7" s="192">
        <v>2</v>
      </c>
      <c r="T7" s="192">
        <v>1.76</v>
      </c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6" t="s">
        <v>559</v>
      </c>
      <c r="AH7" s="192"/>
      <c r="AI7" s="192"/>
      <c r="AJ7" s="192"/>
      <c r="AK7" s="240"/>
      <c r="AL7" s="196">
        <v>0</v>
      </c>
      <c r="AM7" s="196">
        <v>0</v>
      </c>
      <c r="AN7" s="196">
        <v>10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/>
      <c r="AY7" s="196" t="s">
        <v>559</v>
      </c>
      <c r="AZ7" s="196"/>
      <c r="BA7" s="196" t="s">
        <v>559</v>
      </c>
      <c r="BB7" s="196"/>
      <c r="BC7" s="196"/>
      <c r="BD7" s="196"/>
      <c r="BE7" s="191"/>
      <c r="BF7" s="192"/>
      <c r="BG7" s="196"/>
      <c r="BH7" s="245" t="s">
        <v>579</v>
      </c>
      <c r="BI7" s="191"/>
      <c r="BJ7" s="240" t="s">
        <v>563</v>
      </c>
      <c r="BK7" s="240" t="s">
        <v>495</v>
      </c>
    </row>
    <row r="8" spans="1:64" x14ac:dyDescent="0.3">
      <c r="A8" s="189">
        <v>1274</v>
      </c>
      <c r="B8" s="239">
        <v>41902</v>
      </c>
      <c r="C8" s="191" t="s">
        <v>554</v>
      </c>
      <c r="D8" s="192" t="s">
        <v>555</v>
      </c>
      <c r="E8" s="193">
        <v>41880</v>
      </c>
      <c r="F8" s="191" t="s">
        <v>580</v>
      </c>
      <c r="G8" s="201" t="s">
        <v>581</v>
      </c>
      <c r="H8" s="192">
        <v>43</v>
      </c>
      <c r="I8" s="194" t="s">
        <v>582</v>
      </c>
      <c r="J8" s="242">
        <v>1200</v>
      </c>
      <c r="K8" s="242">
        <v>2400</v>
      </c>
      <c r="L8" s="242">
        <v>5400</v>
      </c>
      <c r="M8" s="242">
        <v>165400</v>
      </c>
      <c r="N8" s="242">
        <v>832000</v>
      </c>
      <c r="O8" s="192">
        <v>4.45</v>
      </c>
      <c r="P8" s="192">
        <v>2.9</v>
      </c>
      <c r="Q8" s="192">
        <v>2.85</v>
      </c>
      <c r="R8" s="192">
        <v>2.85</v>
      </c>
      <c r="S8" s="192">
        <v>2.8</v>
      </c>
      <c r="T8" s="192">
        <v>2.6</v>
      </c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6" t="s">
        <v>559</v>
      </c>
      <c r="AH8" s="196"/>
      <c r="AI8" s="196"/>
      <c r="AJ8" s="196"/>
      <c r="AK8" s="240"/>
      <c r="AL8" s="196">
        <v>0</v>
      </c>
      <c r="AM8" s="196">
        <v>0</v>
      </c>
      <c r="AN8" s="196">
        <v>15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2"/>
      <c r="AY8" s="196" t="s">
        <v>559</v>
      </c>
      <c r="AZ8" s="196"/>
      <c r="BA8" s="196" t="s">
        <v>559</v>
      </c>
      <c r="BB8" s="196"/>
      <c r="BC8" s="196"/>
      <c r="BD8" s="196"/>
      <c r="BE8" s="191"/>
      <c r="BF8" s="192"/>
      <c r="BG8" s="196"/>
      <c r="BH8" s="196" t="s">
        <v>562</v>
      </c>
      <c r="BI8" s="191" t="s">
        <v>583</v>
      </c>
      <c r="BJ8" s="240" t="s">
        <v>563</v>
      </c>
      <c r="BK8" s="240" t="s">
        <v>495</v>
      </c>
    </row>
    <row r="9" spans="1:64" x14ac:dyDescent="0.3">
      <c r="A9" s="189">
        <v>1438</v>
      </c>
      <c r="B9" s="239">
        <v>41902</v>
      </c>
      <c r="C9" s="191" t="s">
        <v>554</v>
      </c>
      <c r="D9" s="192" t="s">
        <v>555</v>
      </c>
      <c r="E9" s="193">
        <v>41880</v>
      </c>
      <c r="F9" s="191" t="s">
        <v>584</v>
      </c>
      <c r="G9" s="246" t="s">
        <v>585</v>
      </c>
      <c r="H9" s="192">
        <v>43</v>
      </c>
      <c r="I9" s="194" t="s">
        <v>558</v>
      </c>
      <c r="J9" s="242">
        <v>1200</v>
      </c>
      <c r="K9" s="242">
        <v>2400</v>
      </c>
      <c r="L9" s="242">
        <v>5400</v>
      </c>
      <c r="M9" s="242">
        <v>165400</v>
      </c>
      <c r="N9" s="242">
        <v>832000</v>
      </c>
      <c r="O9" s="192">
        <v>4.45</v>
      </c>
      <c r="P9" s="192">
        <v>2.9</v>
      </c>
      <c r="Q9" s="192">
        <v>2.85</v>
      </c>
      <c r="R9" s="192">
        <v>2.85</v>
      </c>
      <c r="S9" s="192">
        <v>2.8</v>
      </c>
      <c r="T9" s="192">
        <v>2.6</v>
      </c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6" t="s">
        <v>559</v>
      </c>
      <c r="AH9" s="196"/>
      <c r="AI9" s="196"/>
      <c r="AJ9" s="196"/>
      <c r="AK9" s="240"/>
      <c r="AL9" s="196">
        <v>0</v>
      </c>
      <c r="AM9" s="196">
        <v>0</v>
      </c>
      <c r="AN9" s="196">
        <v>11</v>
      </c>
      <c r="AO9" s="196">
        <v>0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2"/>
      <c r="AY9" s="196" t="s">
        <v>559</v>
      </c>
      <c r="AZ9" s="196"/>
      <c r="BA9" s="196" t="s">
        <v>559</v>
      </c>
      <c r="BB9" s="196"/>
      <c r="BC9" s="196"/>
      <c r="BD9" s="196"/>
      <c r="BE9" s="191"/>
      <c r="BF9" s="192"/>
      <c r="BG9" s="196"/>
      <c r="BH9" s="196" t="s">
        <v>562</v>
      </c>
      <c r="BI9" s="191" t="s">
        <v>586</v>
      </c>
      <c r="BJ9" s="240" t="s">
        <v>563</v>
      </c>
      <c r="BK9" s="240" t="s">
        <v>495</v>
      </c>
      <c r="BL9" s="240"/>
    </row>
    <row r="10" spans="1:64" x14ac:dyDescent="0.3">
      <c r="A10" s="189">
        <v>1092</v>
      </c>
      <c r="B10" s="239">
        <v>41902</v>
      </c>
      <c r="C10" s="243" t="s">
        <v>565</v>
      </c>
      <c r="D10" s="192" t="s">
        <v>566</v>
      </c>
      <c r="E10" s="244">
        <v>41879</v>
      </c>
      <c r="F10" s="191" t="s">
        <v>587</v>
      </c>
      <c r="G10" s="201" t="s">
        <v>588</v>
      </c>
      <c r="H10" s="201">
        <v>54.75</v>
      </c>
      <c r="I10" s="247" t="s">
        <v>558</v>
      </c>
      <c r="J10" s="242">
        <v>1200</v>
      </c>
      <c r="K10" s="242">
        <v>2400</v>
      </c>
      <c r="L10" s="242">
        <v>5400</v>
      </c>
      <c r="M10" s="242">
        <v>165400</v>
      </c>
      <c r="N10" s="242">
        <v>832000</v>
      </c>
      <c r="O10" s="201">
        <v>3.97</v>
      </c>
      <c r="P10" s="201">
        <v>2.64</v>
      </c>
      <c r="Q10" s="201">
        <v>2.4500000000000002</v>
      </c>
      <c r="R10" s="248">
        <v>2.42</v>
      </c>
      <c r="S10" s="3">
        <v>2.31</v>
      </c>
      <c r="T10" s="201">
        <v>1.31</v>
      </c>
      <c r="U10" s="201"/>
      <c r="V10" s="201"/>
      <c r="W10" s="201"/>
      <c r="X10" s="201"/>
      <c r="Y10" s="201"/>
      <c r="Z10" s="201"/>
      <c r="AA10" s="201"/>
      <c r="AB10" s="201"/>
      <c r="AC10" s="201"/>
      <c r="AD10" s="192"/>
      <c r="AE10" s="192"/>
      <c r="AF10" s="192"/>
      <c r="AG10" s="196" t="s">
        <v>569</v>
      </c>
      <c r="AH10" s="196"/>
      <c r="AI10" s="197"/>
      <c r="AJ10" s="197"/>
      <c r="AK10" s="240"/>
      <c r="AL10" s="196">
        <v>0</v>
      </c>
      <c r="AM10" s="196">
        <v>0</v>
      </c>
      <c r="AN10" s="196">
        <v>0</v>
      </c>
      <c r="AO10" s="197">
        <v>18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/>
      <c r="AY10" s="196" t="s">
        <v>569</v>
      </c>
      <c r="AZ10" s="197">
        <v>24</v>
      </c>
      <c r="BA10" s="196" t="s">
        <v>559</v>
      </c>
      <c r="BB10" s="196"/>
      <c r="BC10" s="196"/>
      <c r="BD10" s="196"/>
      <c r="BE10" s="191" t="s">
        <v>589</v>
      </c>
      <c r="BF10" s="249" t="s">
        <v>590</v>
      </c>
      <c r="BG10" s="196">
        <v>50</v>
      </c>
      <c r="BH10" s="196" t="s">
        <v>591</v>
      </c>
      <c r="BI10" s="191"/>
      <c r="BJ10" t="s">
        <v>563</v>
      </c>
      <c r="BK10" s="240" t="s">
        <v>495</v>
      </c>
    </row>
    <row r="11" spans="1:64" x14ac:dyDescent="0.3">
      <c r="A11" s="189">
        <v>871</v>
      </c>
      <c r="B11" s="239">
        <v>41902</v>
      </c>
      <c r="C11" s="191" t="s">
        <v>554</v>
      </c>
      <c r="D11" s="192" t="s">
        <v>312</v>
      </c>
      <c r="E11" s="193">
        <v>41820</v>
      </c>
      <c r="F11" s="191" t="s">
        <v>592</v>
      </c>
      <c r="G11" s="201" t="s">
        <v>526</v>
      </c>
      <c r="H11" s="192">
        <v>70.61</v>
      </c>
      <c r="I11" s="194" t="s">
        <v>558</v>
      </c>
      <c r="J11" s="242">
        <v>1200</v>
      </c>
      <c r="K11" s="242">
        <v>2400</v>
      </c>
      <c r="L11" s="242">
        <v>5400</v>
      </c>
      <c r="M11" s="242">
        <v>165400</v>
      </c>
      <c r="N11" s="242">
        <v>832000</v>
      </c>
      <c r="O11" s="192">
        <v>3.911</v>
      </c>
      <c r="P11" s="192">
        <v>2.617</v>
      </c>
      <c r="Q11" s="192">
        <v>2.5470000000000002</v>
      </c>
      <c r="R11" s="192">
        <v>2.4590000000000001</v>
      </c>
      <c r="S11" s="192">
        <v>2.3719999999999999</v>
      </c>
      <c r="T11" s="192">
        <v>0.53</v>
      </c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6" t="s">
        <v>559</v>
      </c>
      <c r="AH11" s="192"/>
      <c r="AI11" s="192"/>
      <c r="AJ11" s="192"/>
      <c r="AK11" s="240"/>
      <c r="AL11" s="196">
        <v>0</v>
      </c>
      <c r="AM11" s="196">
        <v>0</v>
      </c>
      <c r="AN11" s="196">
        <v>0</v>
      </c>
      <c r="AO11" s="196">
        <v>10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2"/>
      <c r="AY11" s="196" t="s">
        <v>559</v>
      </c>
      <c r="AZ11" s="196">
        <v>24</v>
      </c>
      <c r="BA11" s="196" t="s">
        <v>559</v>
      </c>
      <c r="BB11" s="196"/>
      <c r="BC11" s="196"/>
      <c r="BD11" s="196"/>
      <c r="BE11" s="191"/>
      <c r="BF11" s="192"/>
      <c r="BG11" s="196"/>
      <c r="BH11" s="196" t="s">
        <v>591</v>
      </c>
      <c r="BI11" s="191" t="s">
        <v>593</v>
      </c>
      <c r="BJ11" t="s">
        <v>563</v>
      </c>
      <c r="BK11" t="s">
        <v>495</v>
      </c>
    </row>
    <row r="12" spans="1:64" x14ac:dyDescent="0.3">
      <c r="A12" s="189">
        <v>840</v>
      </c>
      <c r="B12" s="239">
        <v>41902</v>
      </c>
      <c r="C12" s="191" t="s">
        <v>554</v>
      </c>
      <c r="D12" s="192" t="s">
        <v>312</v>
      </c>
      <c r="E12" s="193">
        <v>41880</v>
      </c>
      <c r="F12" s="191" t="s">
        <v>573</v>
      </c>
      <c r="G12" s="192" t="s">
        <v>574</v>
      </c>
      <c r="H12" s="192">
        <v>58.1</v>
      </c>
      <c r="I12" s="194" t="s">
        <v>558</v>
      </c>
      <c r="J12" s="242">
        <v>1200</v>
      </c>
      <c r="K12" s="242">
        <v>2400</v>
      </c>
      <c r="L12" s="242">
        <v>5400</v>
      </c>
      <c r="M12" s="242">
        <v>165400</v>
      </c>
      <c r="N12" s="242">
        <v>832000</v>
      </c>
      <c r="O12" s="192">
        <v>3.99</v>
      </c>
      <c r="P12" s="192">
        <v>2.67</v>
      </c>
      <c r="Q12" s="192">
        <v>2.5499999999999998</v>
      </c>
      <c r="R12" s="192">
        <v>2.4500000000000002</v>
      </c>
      <c r="S12" s="192">
        <v>2.35</v>
      </c>
      <c r="T12" s="192">
        <v>2.04</v>
      </c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6" t="s">
        <v>559</v>
      </c>
      <c r="AH12" s="196"/>
      <c r="AI12" s="196"/>
      <c r="AJ12" s="196"/>
      <c r="AK12" s="240"/>
      <c r="AL12" s="196">
        <v>0</v>
      </c>
      <c r="AM12" s="196">
        <v>20</v>
      </c>
      <c r="AN12" s="196">
        <v>0</v>
      </c>
      <c r="AO12" s="196">
        <v>0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2"/>
      <c r="AY12" s="196" t="s">
        <v>559</v>
      </c>
      <c r="AZ12" s="196">
        <v>12</v>
      </c>
      <c r="BA12" s="196" t="s">
        <v>559</v>
      </c>
      <c r="BB12" s="196"/>
      <c r="BC12" s="196"/>
      <c r="BD12" s="196"/>
      <c r="BE12" s="191" t="s">
        <v>513</v>
      </c>
      <c r="BF12" s="192" t="s">
        <v>561</v>
      </c>
      <c r="BG12" s="196">
        <v>50</v>
      </c>
      <c r="BH12" s="196" t="s">
        <v>562</v>
      </c>
      <c r="BI12" s="191"/>
      <c r="BJ12" s="240" t="s">
        <v>563</v>
      </c>
      <c r="BK12" s="240" t="s">
        <v>495</v>
      </c>
    </row>
    <row r="13" spans="1:64" x14ac:dyDescent="0.3">
      <c r="A13" s="189">
        <v>843</v>
      </c>
      <c r="B13" s="239">
        <v>41902</v>
      </c>
      <c r="C13" s="191" t="s">
        <v>554</v>
      </c>
      <c r="D13" s="192" t="s">
        <v>369</v>
      </c>
      <c r="E13" s="193">
        <v>41880</v>
      </c>
      <c r="F13" s="191" t="s">
        <v>573</v>
      </c>
      <c r="G13" s="192" t="s">
        <v>574</v>
      </c>
      <c r="H13" s="192">
        <v>75.5</v>
      </c>
      <c r="I13" s="194" t="s">
        <v>558</v>
      </c>
      <c r="J13" s="200">
        <v>6000</v>
      </c>
      <c r="K13" s="200">
        <v>12000</v>
      </c>
      <c r="L13" s="200">
        <v>85000</v>
      </c>
      <c r="M13" s="200">
        <v>85000</v>
      </c>
      <c r="N13" s="200">
        <v>85000</v>
      </c>
      <c r="O13" s="192">
        <v>2.37</v>
      </c>
      <c r="P13" s="192">
        <v>2.2000000000000002</v>
      </c>
      <c r="Q13" s="192">
        <v>2.15</v>
      </c>
      <c r="R13" s="192">
        <v>2.15</v>
      </c>
      <c r="S13" s="192">
        <v>0</v>
      </c>
      <c r="T13" s="192">
        <v>0</v>
      </c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6" t="s">
        <v>559</v>
      </c>
      <c r="AH13" s="196"/>
      <c r="AI13" s="196"/>
      <c r="AJ13" s="196"/>
      <c r="AK13" s="240"/>
      <c r="AL13" s="196">
        <v>0</v>
      </c>
      <c r="AM13" s="196">
        <v>20</v>
      </c>
      <c r="AN13" s="196">
        <v>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2"/>
      <c r="AY13" s="196" t="s">
        <v>559</v>
      </c>
      <c r="AZ13" s="196">
        <v>12</v>
      </c>
      <c r="BA13" s="196" t="s">
        <v>559</v>
      </c>
      <c r="BB13" s="196"/>
      <c r="BC13" s="196"/>
      <c r="BD13" s="196"/>
      <c r="BE13" s="191" t="s">
        <v>513</v>
      </c>
      <c r="BF13" s="192" t="s">
        <v>561</v>
      </c>
      <c r="BG13" s="196">
        <v>50</v>
      </c>
      <c r="BH13" s="196" t="s">
        <v>562</v>
      </c>
      <c r="BI13" s="191"/>
      <c r="BJ13" s="240" t="s">
        <v>563</v>
      </c>
      <c r="BK13" s="240" t="s">
        <v>495</v>
      </c>
    </row>
    <row r="14" spans="1:64" x14ac:dyDescent="0.3">
      <c r="A14" s="189">
        <v>520</v>
      </c>
      <c r="B14" s="239">
        <v>41902</v>
      </c>
      <c r="C14" s="191" t="s">
        <v>554</v>
      </c>
      <c r="D14" s="192" t="s">
        <v>369</v>
      </c>
      <c r="E14" s="193">
        <v>41820</v>
      </c>
      <c r="F14" s="191" t="s">
        <v>575</v>
      </c>
      <c r="G14" s="192" t="s">
        <v>576</v>
      </c>
      <c r="H14" s="192">
        <v>54.02</v>
      </c>
      <c r="I14" s="194" t="s">
        <v>558</v>
      </c>
      <c r="J14" s="200">
        <v>1650</v>
      </c>
      <c r="K14" s="200">
        <v>2960</v>
      </c>
      <c r="L14" s="200">
        <v>2960</v>
      </c>
      <c r="M14" s="200">
        <v>2960</v>
      </c>
      <c r="N14" s="200">
        <v>2960</v>
      </c>
      <c r="O14" s="192">
        <v>2.0699999999999998</v>
      </c>
      <c r="P14" s="192">
        <v>1.85</v>
      </c>
      <c r="Q14" s="192">
        <v>1.73</v>
      </c>
      <c r="R14" s="192">
        <v>0</v>
      </c>
      <c r="S14" s="192">
        <v>0</v>
      </c>
      <c r="T14" s="192">
        <v>0</v>
      </c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6" t="s">
        <v>559</v>
      </c>
      <c r="AH14" s="196"/>
      <c r="AI14" s="196"/>
      <c r="AJ14" s="196"/>
      <c r="AK14" s="240"/>
      <c r="AL14" s="196">
        <v>0</v>
      </c>
      <c r="AM14" s="196">
        <v>0</v>
      </c>
      <c r="AN14" s="196">
        <v>0</v>
      </c>
      <c r="AO14" s="197">
        <v>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2"/>
      <c r="AY14" s="196" t="s">
        <v>559</v>
      </c>
      <c r="AZ14" s="196">
        <v>12</v>
      </c>
      <c r="BA14" s="196" t="s">
        <v>559</v>
      </c>
      <c r="BB14" s="196"/>
      <c r="BC14" s="196"/>
      <c r="BD14" s="196"/>
      <c r="BE14" s="191"/>
      <c r="BF14" s="192"/>
      <c r="BG14" s="196"/>
      <c r="BH14" s="196" t="s">
        <v>562</v>
      </c>
      <c r="BI14" s="191"/>
      <c r="BJ14" s="240" t="s">
        <v>563</v>
      </c>
      <c r="BK14" s="240" t="s">
        <v>495</v>
      </c>
    </row>
    <row r="15" spans="1:64" x14ac:dyDescent="0.3">
      <c r="A15" s="189">
        <v>1534</v>
      </c>
      <c r="B15" s="239">
        <v>41902</v>
      </c>
      <c r="C15" s="191" t="s">
        <v>554</v>
      </c>
      <c r="D15" s="192" t="s">
        <v>369</v>
      </c>
      <c r="E15" s="193">
        <v>41822</v>
      </c>
      <c r="F15" s="191" t="s">
        <v>556</v>
      </c>
      <c r="G15" s="192" t="s">
        <v>557</v>
      </c>
      <c r="H15" s="192">
        <v>62</v>
      </c>
      <c r="I15" s="194" t="s">
        <v>594</v>
      </c>
      <c r="J15" s="242">
        <v>1650</v>
      </c>
      <c r="K15" s="242">
        <v>2960</v>
      </c>
      <c r="L15" s="242">
        <v>2960</v>
      </c>
      <c r="M15" s="242">
        <v>2960</v>
      </c>
      <c r="N15" s="242">
        <v>2960</v>
      </c>
      <c r="O15" s="192">
        <v>2.14</v>
      </c>
      <c r="P15" s="192">
        <v>1.93</v>
      </c>
      <c r="Q15" s="192">
        <v>1.83</v>
      </c>
      <c r="R15" s="192">
        <v>0</v>
      </c>
      <c r="S15" s="192">
        <v>0</v>
      </c>
      <c r="T15" s="192">
        <v>0</v>
      </c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6" t="s">
        <v>559</v>
      </c>
      <c r="AH15" s="196"/>
      <c r="AI15" s="196"/>
      <c r="AJ15" s="196"/>
      <c r="AK15" s="240"/>
      <c r="AL15" s="196">
        <v>0</v>
      </c>
      <c r="AM15" s="196">
        <v>0</v>
      </c>
      <c r="AN15" s="196">
        <v>0</v>
      </c>
      <c r="AO15" s="196">
        <v>13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2"/>
      <c r="AY15" s="196" t="s">
        <v>559</v>
      </c>
      <c r="AZ15" s="196">
        <v>12</v>
      </c>
      <c r="BA15" s="196" t="s">
        <v>559</v>
      </c>
      <c r="BB15" s="196"/>
      <c r="BC15" s="196"/>
      <c r="BD15" s="196"/>
      <c r="BE15" s="241" t="s">
        <v>560</v>
      </c>
      <c r="BF15" s="192" t="s">
        <v>561</v>
      </c>
      <c r="BG15" s="196">
        <v>25</v>
      </c>
      <c r="BH15" s="196" t="s">
        <v>562</v>
      </c>
      <c r="BI15" s="191"/>
      <c r="BJ15" s="240" t="s">
        <v>563</v>
      </c>
      <c r="BK15" s="240" t="s">
        <v>495</v>
      </c>
    </row>
    <row r="16" spans="1:64" x14ac:dyDescent="0.3">
      <c r="A16" s="189">
        <v>844</v>
      </c>
      <c r="B16" s="239">
        <v>41902</v>
      </c>
      <c r="C16" s="191" t="s">
        <v>554</v>
      </c>
      <c r="D16" s="192" t="s">
        <v>595</v>
      </c>
      <c r="E16" s="193">
        <v>41880</v>
      </c>
      <c r="F16" s="191" t="s">
        <v>573</v>
      </c>
      <c r="G16" s="192" t="s">
        <v>574</v>
      </c>
      <c r="H16" s="192">
        <v>72.5</v>
      </c>
      <c r="I16" s="194" t="s">
        <v>558</v>
      </c>
      <c r="J16" s="200">
        <v>6000</v>
      </c>
      <c r="K16" s="200">
        <v>12000</v>
      </c>
      <c r="L16" s="200">
        <v>84000</v>
      </c>
      <c r="M16" s="200">
        <v>84000</v>
      </c>
      <c r="N16" s="200">
        <v>84000</v>
      </c>
      <c r="O16" s="192">
        <v>3.45</v>
      </c>
      <c r="P16" s="192">
        <v>3.07</v>
      </c>
      <c r="Q16" s="192">
        <v>2.73</v>
      </c>
      <c r="R16" s="192">
        <v>2.73</v>
      </c>
      <c r="S16" s="192">
        <v>0</v>
      </c>
      <c r="T16" s="192">
        <v>0</v>
      </c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6" t="s">
        <v>559</v>
      </c>
      <c r="AH16" s="196"/>
      <c r="AI16" s="196"/>
      <c r="AJ16" s="196"/>
      <c r="AK16" s="240"/>
      <c r="AL16" s="196">
        <v>0</v>
      </c>
      <c r="AM16" s="196">
        <v>20</v>
      </c>
      <c r="AN16" s="196">
        <v>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2"/>
      <c r="AY16" s="196" t="s">
        <v>559</v>
      </c>
      <c r="AZ16" s="196">
        <v>12</v>
      </c>
      <c r="BA16" s="196" t="s">
        <v>559</v>
      </c>
      <c r="BB16" s="196"/>
      <c r="BC16" s="196"/>
      <c r="BD16" s="196"/>
      <c r="BE16" s="191" t="s">
        <v>513</v>
      </c>
      <c r="BF16" s="192" t="s">
        <v>561</v>
      </c>
      <c r="BG16" s="196">
        <v>50</v>
      </c>
      <c r="BH16" s="196" t="s">
        <v>562</v>
      </c>
      <c r="BI16" s="191"/>
      <c r="BJ16" s="240" t="s">
        <v>563</v>
      </c>
      <c r="BK16" s="240" t="s">
        <v>495</v>
      </c>
    </row>
    <row r="17" spans="1:63" x14ac:dyDescent="0.3">
      <c r="A17" s="189">
        <v>522</v>
      </c>
      <c r="B17" s="239">
        <v>41902</v>
      </c>
      <c r="C17" s="191" t="s">
        <v>554</v>
      </c>
      <c r="D17" s="192" t="s">
        <v>595</v>
      </c>
      <c r="E17" s="193">
        <v>41820</v>
      </c>
      <c r="F17" s="191" t="s">
        <v>575</v>
      </c>
      <c r="G17" s="192" t="s">
        <v>576</v>
      </c>
      <c r="H17" s="192">
        <v>61.79</v>
      </c>
      <c r="I17" s="194" t="s">
        <v>558</v>
      </c>
      <c r="J17" s="200">
        <v>1650</v>
      </c>
      <c r="K17" s="200">
        <v>2960</v>
      </c>
      <c r="L17" s="200">
        <v>2960</v>
      </c>
      <c r="M17" s="200">
        <v>2960</v>
      </c>
      <c r="N17" s="200">
        <v>2960</v>
      </c>
      <c r="O17" s="192">
        <v>3.11</v>
      </c>
      <c r="P17" s="192">
        <v>2.87</v>
      </c>
      <c r="Q17" s="192">
        <v>2.2799999999999998</v>
      </c>
      <c r="R17" s="192">
        <v>0</v>
      </c>
      <c r="S17" s="192">
        <v>0</v>
      </c>
      <c r="T17" s="192">
        <v>0</v>
      </c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6" t="s">
        <v>559</v>
      </c>
      <c r="AH17" s="196"/>
      <c r="AI17" s="196"/>
      <c r="AJ17" s="196"/>
      <c r="AK17" s="240"/>
      <c r="AL17" s="196">
        <v>0</v>
      </c>
      <c r="AM17" s="196">
        <v>0</v>
      </c>
      <c r="AN17" s="196">
        <v>0</v>
      </c>
      <c r="AO17" s="197">
        <v>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2"/>
      <c r="AY17" s="196" t="s">
        <v>559</v>
      </c>
      <c r="AZ17" s="196">
        <v>12</v>
      </c>
      <c r="BA17" s="196" t="s">
        <v>559</v>
      </c>
      <c r="BB17" s="196"/>
      <c r="BC17" s="196"/>
      <c r="BD17" s="196"/>
      <c r="BE17" s="191"/>
      <c r="BF17" s="192"/>
      <c r="BG17" s="196"/>
      <c r="BH17" s="196" t="s">
        <v>562</v>
      </c>
      <c r="BI17" s="191"/>
      <c r="BJ17" s="240" t="s">
        <v>563</v>
      </c>
      <c r="BK17" s="240" t="s">
        <v>495</v>
      </c>
    </row>
    <row r="18" spans="1:63" x14ac:dyDescent="0.3">
      <c r="A18" s="189">
        <v>1540</v>
      </c>
      <c r="B18" s="239">
        <v>41902</v>
      </c>
      <c r="C18" s="191" t="s">
        <v>554</v>
      </c>
      <c r="D18" s="192" t="s">
        <v>596</v>
      </c>
      <c r="E18" s="193">
        <v>41822</v>
      </c>
      <c r="F18" s="191" t="s">
        <v>556</v>
      </c>
      <c r="G18" s="192" t="s">
        <v>557</v>
      </c>
      <c r="H18" s="192">
        <v>71</v>
      </c>
      <c r="I18" s="194" t="s">
        <v>594</v>
      </c>
      <c r="J18" s="242">
        <v>1650</v>
      </c>
      <c r="K18" s="242">
        <v>2960</v>
      </c>
      <c r="L18" s="242">
        <v>2960</v>
      </c>
      <c r="M18" s="242">
        <v>2960</v>
      </c>
      <c r="N18" s="242">
        <v>2960</v>
      </c>
      <c r="O18" s="192">
        <v>3.36</v>
      </c>
      <c r="P18" s="192">
        <v>3.06</v>
      </c>
      <c r="Q18" s="192">
        <v>2.44</v>
      </c>
      <c r="R18" s="192">
        <v>0</v>
      </c>
      <c r="S18" s="192">
        <v>0</v>
      </c>
      <c r="T18" s="192">
        <v>0</v>
      </c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6" t="s">
        <v>559</v>
      </c>
      <c r="AH18" s="196"/>
      <c r="AI18" s="196"/>
      <c r="AJ18" s="196"/>
      <c r="AK18" s="240"/>
      <c r="AL18" s="196">
        <v>0</v>
      </c>
      <c r="AM18" s="196">
        <v>0</v>
      </c>
      <c r="AN18" s="196">
        <v>0</v>
      </c>
      <c r="AO18" s="196">
        <v>13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2"/>
      <c r="AY18" s="196" t="s">
        <v>559</v>
      </c>
      <c r="AZ18" s="196">
        <v>12</v>
      </c>
      <c r="BA18" s="196" t="s">
        <v>559</v>
      </c>
      <c r="BB18" s="196"/>
      <c r="BC18" s="196"/>
      <c r="BD18" s="196"/>
      <c r="BE18" s="241" t="s">
        <v>560</v>
      </c>
      <c r="BF18" s="192" t="s">
        <v>561</v>
      </c>
      <c r="BG18" s="196">
        <v>25</v>
      </c>
      <c r="BH18" s="196" t="s">
        <v>562</v>
      </c>
      <c r="BI18" s="191"/>
      <c r="BJ18" s="240" t="s">
        <v>563</v>
      </c>
      <c r="BK18" s="240" t="s">
        <v>495</v>
      </c>
    </row>
    <row r="19" spans="1:63" x14ac:dyDescent="0.3">
      <c r="A19" s="189">
        <v>510</v>
      </c>
      <c r="B19" s="239">
        <v>41902</v>
      </c>
      <c r="C19" s="191" t="s">
        <v>554</v>
      </c>
      <c r="D19" s="192" t="s">
        <v>450</v>
      </c>
      <c r="E19" s="193">
        <v>41820</v>
      </c>
      <c r="F19" s="191" t="s">
        <v>575</v>
      </c>
      <c r="G19" s="192" t="s">
        <v>576</v>
      </c>
      <c r="H19" s="192">
        <v>70.42</v>
      </c>
      <c r="I19" s="194"/>
      <c r="J19" s="192"/>
      <c r="K19" s="192"/>
      <c r="L19" s="192"/>
      <c r="M19" s="192"/>
      <c r="N19" s="192"/>
      <c r="O19" s="192">
        <v>2.59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6" t="s">
        <v>559</v>
      </c>
      <c r="AH19" s="196"/>
      <c r="AI19" s="196"/>
      <c r="AJ19" s="196"/>
      <c r="AK19" s="240"/>
      <c r="AL19" s="196">
        <v>0</v>
      </c>
      <c r="AM19" s="196">
        <v>0</v>
      </c>
      <c r="AN19" s="196">
        <v>0</v>
      </c>
      <c r="AO19" s="197">
        <v>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2"/>
      <c r="AY19" s="196" t="s">
        <v>559</v>
      </c>
      <c r="AZ19" s="196">
        <v>12</v>
      </c>
      <c r="BA19" s="196" t="s">
        <v>559</v>
      </c>
      <c r="BB19" s="196"/>
      <c r="BC19" s="196"/>
      <c r="BD19" s="196"/>
      <c r="BE19" s="191"/>
      <c r="BF19" s="192"/>
      <c r="BG19" s="196"/>
      <c r="BH19" s="196" t="s">
        <v>562</v>
      </c>
      <c r="BI19" s="191"/>
      <c r="BJ19" s="240" t="s">
        <v>563</v>
      </c>
      <c r="BK19" s="240" t="s">
        <v>495</v>
      </c>
    </row>
    <row r="20" spans="1:63" x14ac:dyDescent="0.3">
      <c r="A20" s="189">
        <v>874</v>
      </c>
      <c r="B20" s="239">
        <v>41902</v>
      </c>
      <c r="C20" s="191" t="s">
        <v>554</v>
      </c>
      <c r="D20" s="192" t="s">
        <v>450</v>
      </c>
      <c r="E20" s="193">
        <v>41879</v>
      </c>
      <c r="F20" s="191" t="s">
        <v>577</v>
      </c>
      <c r="G20" s="192" t="s">
        <v>578</v>
      </c>
      <c r="H20" s="192">
        <v>72.61</v>
      </c>
      <c r="I20" s="194"/>
      <c r="J20" s="195"/>
      <c r="K20" s="195"/>
      <c r="L20" s="195"/>
      <c r="M20" s="195"/>
      <c r="N20" s="195"/>
      <c r="O20" s="192">
        <v>2.67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6" t="s">
        <v>559</v>
      </c>
      <c r="AH20" s="192"/>
      <c r="AI20" s="192"/>
      <c r="AJ20" s="192"/>
      <c r="AK20" s="240"/>
      <c r="AL20" s="196">
        <v>0</v>
      </c>
      <c r="AM20" s="196">
        <v>0</v>
      </c>
      <c r="AN20" s="196">
        <v>10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/>
      <c r="AY20" s="196" t="s">
        <v>559</v>
      </c>
      <c r="AZ20" s="196"/>
      <c r="BA20" s="196" t="s">
        <v>559</v>
      </c>
      <c r="BB20" s="196"/>
      <c r="BC20" s="196"/>
      <c r="BD20" s="196"/>
      <c r="BE20" s="191"/>
      <c r="BF20" s="192"/>
      <c r="BG20" s="196"/>
      <c r="BH20" s="245" t="s">
        <v>579</v>
      </c>
      <c r="BI20" s="191"/>
      <c r="BJ20" s="240" t="s">
        <v>563</v>
      </c>
      <c r="BK20" s="240" t="s">
        <v>495</v>
      </c>
    </row>
    <row r="21" spans="1:63" x14ac:dyDescent="0.3">
      <c r="A21" s="189">
        <v>512</v>
      </c>
      <c r="B21" s="239">
        <v>41902</v>
      </c>
      <c r="C21" s="191" t="s">
        <v>554</v>
      </c>
      <c r="D21" s="192" t="s">
        <v>434</v>
      </c>
      <c r="E21" s="193">
        <v>41820</v>
      </c>
      <c r="F21" s="191" t="s">
        <v>575</v>
      </c>
      <c r="G21" s="192" t="s">
        <v>576</v>
      </c>
      <c r="H21" s="192">
        <v>75.31</v>
      </c>
      <c r="I21" s="194"/>
      <c r="J21" s="192"/>
      <c r="K21" s="192"/>
      <c r="L21" s="192"/>
      <c r="M21" s="192"/>
      <c r="N21" s="192"/>
      <c r="O21" s="192">
        <v>2.63</v>
      </c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6" t="s">
        <v>559</v>
      </c>
      <c r="AH21" s="196"/>
      <c r="AI21" s="196"/>
      <c r="AJ21" s="196"/>
      <c r="AK21" s="240"/>
      <c r="AL21" s="196">
        <v>0</v>
      </c>
      <c r="AM21" s="196">
        <v>0</v>
      </c>
      <c r="AN21" s="196">
        <v>0</v>
      </c>
      <c r="AO21" s="197">
        <v>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2"/>
      <c r="AY21" s="196" t="s">
        <v>559</v>
      </c>
      <c r="AZ21" s="196">
        <v>12</v>
      </c>
      <c r="BA21" s="196" t="s">
        <v>559</v>
      </c>
      <c r="BB21" s="196"/>
      <c r="BC21" s="196"/>
      <c r="BD21" s="196"/>
      <c r="BE21" s="191"/>
      <c r="BF21" s="192"/>
      <c r="BG21" s="196"/>
      <c r="BH21" s="196" t="s">
        <v>562</v>
      </c>
      <c r="BI21" s="191"/>
      <c r="BJ21" s="240" t="s">
        <v>563</v>
      </c>
      <c r="BK21" s="240" t="s">
        <v>495</v>
      </c>
    </row>
    <row r="22" spans="1:63" x14ac:dyDescent="0.3">
      <c r="A22" s="189">
        <v>1531</v>
      </c>
      <c r="B22" s="239">
        <v>41902</v>
      </c>
      <c r="C22" s="191" t="s">
        <v>554</v>
      </c>
      <c r="D22" s="192" t="s">
        <v>434</v>
      </c>
      <c r="E22" s="193">
        <v>41822</v>
      </c>
      <c r="F22" s="191" t="s">
        <v>556</v>
      </c>
      <c r="G22" s="192" t="s">
        <v>557</v>
      </c>
      <c r="H22" s="192">
        <v>85</v>
      </c>
      <c r="I22" s="194"/>
      <c r="J22" s="192"/>
      <c r="K22" s="192"/>
      <c r="L22" s="192"/>
      <c r="M22" s="192"/>
      <c r="N22" s="192"/>
      <c r="O22" s="192">
        <v>2.85</v>
      </c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6" t="s">
        <v>559</v>
      </c>
      <c r="AH22" s="196"/>
      <c r="AI22" s="196"/>
      <c r="AJ22" s="196"/>
      <c r="AK22" s="240"/>
      <c r="AL22" s="196">
        <v>0</v>
      </c>
      <c r="AM22" s="196">
        <v>0</v>
      </c>
      <c r="AN22" s="196">
        <v>0</v>
      </c>
      <c r="AO22" s="196">
        <v>13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2"/>
      <c r="AY22" s="196" t="s">
        <v>559</v>
      </c>
      <c r="AZ22" s="196">
        <v>12</v>
      </c>
      <c r="BA22" s="196" t="s">
        <v>559</v>
      </c>
      <c r="BB22" s="196"/>
      <c r="BC22" s="196"/>
      <c r="BD22" s="196"/>
      <c r="BE22" s="241" t="s">
        <v>560</v>
      </c>
      <c r="BF22" s="192" t="s">
        <v>561</v>
      </c>
      <c r="BG22" s="196">
        <v>25</v>
      </c>
      <c r="BH22" s="196" t="s">
        <v>562</v>
      </c>
      <c r="BI22" s="191"/>
      <c r="BJ22" s="240" t="s">
        <v>563</v>
      </c>
      <c r="BK22" s="240" t="s">
        <v>495</v>
      </c>
    </row>
    <row r="23" spans="1:63" x14ac:dyDescent="0.3">
      <c r="A23" s="189">
        <v>514</v>
      </c>
      <c r="B23" s="239">
        <v>41902</v>
      </c>
      <c r="C23" s="191" t="s">
        <v>554</v>
      </c>
      <c r="D23" s="192" t="s">
        <v>439</v>
      </c>
      <c r="E23" s="193">
        <v>41820</v>
      </c>
      <c r="F23" s="191" t="s">
        <v>575</v>
      </c>
      <c r="G23" s="192" t="s">
        <v>576</v>
      </c>
      <c r="H23" s="192">
        <v>80.52</v>
      </c>
      <c r="I23" s="194"/>
      <c r="J23" s="192"/>
      <c r="K23" s="192"/>
      <c r="L23" s="192"/>
      <c r="M23" s="192"/>
      <c r="N23" s="192"/>
      <c r="O23" s="192">
        <v>2.7</v>
      </c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6" t="s">
        <v>559</v>
      </c>
      <c r="AH23" s="196"/>
      <c r="AI23" s="196"/>
      <c r="AJ23" s="196"/>
      <c r="AK23" s="240"/>
      <c r="AL23" s="196">
        <v>0</v>
      </c>
      <c r="AM23" s="196">
        <v>0</v>
      </c>
      <c r="AN23" s="196">
        <v>0</v>
      </c>
      <c r="AO23" s="197">
        <v>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2"/>
      <c r="AY23" s="196" t="s">
        <v>559</v>
      </c>
      <c r="AZ23" s="196">
        <v>12</v>
      </c>
      <c r="BA23" s="196" t="s">
        <v>559</v>
      </c>
      <c r="BB23" s="196"/>
      <c r="BC23" s="196"/>
      <c r="BD23" s="196"/>
      <c r="BE23" s="191"/>
      <c r="BF23" s="192"/>
      <c r="BG23" s="196"/>
      <c r="BH23" s="196" t="s">
        <v>562</v>
      </c>
      <c r="BI23" s="191"/>
      <c r="BJ23" s="240" t="s">
        <v>563</v>
      </c>
      <c r="BK23" s="240" t="s">
        <v>495</v>
      </c>
    </row>
    <row r="24" spans="1:63" x14ac:dyDescent="0.3">
      <c r="A24" s="189">
        <v>875</v>
      </c>
      <c r="B24" s="239">
        <v>41902</v>
      </c>
      <c r="C24" s="191" t="s">
        <v>554</v>
      </c>
      <c r="D24" s="192" t="s">
        <v>439</v>
      </c>
      <c r="E24" s="193">
        <v>41879</v>
      </c>
      <c r="F24" s="191" t="s">
        <v>577</v>
      </c>
      <c r="G24" s="192" t="s">
        <v>578</v>
      </c>
      <c r="H24" s="192">
        <v>83.02</v>
      </c>
      <c r="I24" s="194"/>
      <c r="J24" s="195"/>
      <c r="K24" s="195"/>
      <c r="L24" s="195"/>
      <c r="M24" s="195"/>
      <c r="N24" s="195"/>
      <c r="O24" s="192">
        <v>2.78</v>
      </c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6" t="s">
        <v>559</v>
      </c>
      <c r="AH24" s="192"/>
      <c r="AI24" s="192"/>
      <c r="AJ24" s="192"/>
      <c r="AK24" s="240"/>
      <c r="AL24" s="196">
        <v>0</v>
      </c>
      <c r="AM24" s="196">
        <v>0</v>
      </c>
      <c r="AN24" s="196">
        <v>10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/>
      <c r="AY24" s="196" t="s">
        <v>559</v>
      </c>
      <c r="AZ24" s="196"/>
      <c r="BA24" s="196" t="s">
        <v>559</v>
      </c>
      <c r="BB24" s="196"/>
      <c r="BC24" s="196"/>
      <c r="BD24" s="196"/>
      <c r="BE24" s="191"/>
      <c r="BF24" s="192"/>
      <c r="BG24" s="196"/>
      <c r="BH24" s="245" t="s">
        <v>579</v>
      </c>
      <c r="BI24" s="191"/>
      <c r="BJ24" s="240" t="s">
        <v>563</v>
      </c>
      <c r="BK24" s="240" t="s">
        <v>495</v>
      </c>
    </row>
    <row r="25" spans="1:63" x14ac:dyDescent="0.3">
      <c r="A25" s="189">
        <v>516</v>
      </c>
      <c r="B25" s="239">
        <v>41902</v>
      </c>
      <c r="C25" s="191" t="s">
        <v>554</v>
      </c>
      <c r="D25" s="192" t="s">
        <v>458</v>
      </c>
      <c r="E25" s="193">
        <v>41820</v>
      </c>
      <c r="F25" s="191" t="s">
        <v>575</v>
      </c>
      <c r="G25" s="192" t="s">
        <v>576</v>
      </c>
      <c r="H25" s="192">
        <v>85.47</v>
      </c>
      <c r="I25" s="194"/>
      <c r="J25" s="192"/>
      <c r="K25" s="192"/>
      <c r="L25" s="192"/>
      <c r="M25" s="192"/>
      <c r="N25" s="192"/>
      <c r="O25" s="192">
        <v>2.1800000000000002</v>
      </c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6" t="s">
        <v>559</v>
      </c>
      <c r="AH25" s="196"/>
      <c r="AI25" s="196"/>
      <c r="AJ25" s="196"/>
      <c r="AK25" s="240"/>
      <c r="AL25" s="196">
        <v>0</v>
      </c>
      <c r="AM25" s="196">
        <v>0</v>
      </c>
      <c r="AN25" s="196">
        <v>0</v>
      </c>
      <c r="AO25" s="197">
        <v>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2"/>
      <c r="AY25" s="196" t="s">
        <v>559</v>
      </c>
      <c r="AZ25" s="196">
        <v>12</v>
      </c>
      <c r="BA25" s="196" t="s">
        <v>559</v>
      </c>
      <c r="BB25" s="196"/>
      <c r="BC25" s="196"/>
      <c r="BD25" s="196"/>
      <c r="BE25" s="191"/>
      <c r="BF25" s="192"/>
      <c r="BG25" s="196"/>
      <c r="BH25" s="196" t="s">
        <v>562</v>
      </c>
      <c r="BI25" s="191"/>
      <c r="BJ25" s="240" t="s">
        <v>563</v>
      </c>
      <c r="BK25" s="240" t="s">
        <v>495</v>
      </c>
    </row>
    <row r="26" spans="1:63" x14ac:dyDescent="0.3">
      <c r="A26" s="189">
        <v>1537</v>
      </c>
      <c r="B26" s="239">
        <v>41902</v>
      </c>
      <c r="C26" s="191" t="s">
        <v>554</v>
      </c>
      <c r="D26" s="192" t="s">
        <v>458</v>
      </c>
      <c r="E26" s="193">
        <v>41822</v>
      </c>
      <c r="F26" s="191" t="s">
        <v>556</v>
      </c>
      <c r="G26" s="192" t="s">
        <v>557</v>
      </c>
      <c r="H26" s="192">
        <v>96</v>
      </c>
      <c r="I26" s="194"/>
      <c r="J26" s="192"/>
      <c r="K26" s="192"/>
      <c r="L26" s="192"/>
      <c r="M26" s="192"/>
      <c r="N26" s="192"/>
      <c r="O26" s="192">
        <v>2.34</v>
      </c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6" t="s">
        <v>559</v>
      </c>
      <c r="AH26" s="196"/>
      <c r="AI26" s="196"/>
      <c r="AJ26" s="196"/>
      <c r="AK26" s="240"/>
      <c r="AL26" s="196">
        <v>0</v>
      </c>
      <c r="AM26" s="196">
        <v>0</v>
      </c>
      <c r="AN26" s="196">
        <v>0</v>
      </c>
      <c r="AO26" s="196">
        <v>13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2"/>
      <c r="AY26" s="196" t="s">
        <v>559</v>
      </c>
      <c r="AZ26" s="196">
        <v>12</v>
      </c>
      <c r="BA26" s="196" t="s">
        <v>559</v>
      </c>
      <c r="BB26" s="196"/>
      <c r="BC26" s="196"/>
      <c r="BD26" s="196"/>
      <c r="BE26" s="241" t="s">
        <v>560</v>
      </c>
      <c r="BF26" s="192" t="s">
        <v>561</v>
      </c>
      <c r="BG26" s="196">
        <v>25</v>
      </c>
      <c r="BH26" s="196" t="s">
        <v>562</v>
      </c>
      <c r="BI26" s="191"/>
      <c r="BJ26" s="240" t="s">
        <v>563</v>
      </c>
      <c r="BK26" s="240" t="s">
        <v>495</v>
      </c>
    </row>
    <row r="27" spans="1:63" x14ac:dyDescent="0.3">
      <c r="A27" s="189">
        <v>518</v>
      </c>
      <c r="B27" s="239">
        <v>41902</v>
      </c>
      <c r="C27" s="191" t="s">
        <v>554</v>
      </c>
      <c r="D27" s="192" t="s">
        <v>597</v>
      </c>
      <c r="E27" s="193">
        <v>41820</v>
      </c>
      <c r="F27" s="191" t="s">
        <v>575</v>
      </c>
      <c r="G27" s="192" t="s">
        <v>576</v>
      </c>
      <c r="H27" s="192">
        <v>64.010000000000005</v>
      </c>
      <c r="I27" s="194"/>
      <c r="J27" s="192"/>
      <c r="K27" s="192"/>
      <c r="L27" s="192"/>
      <c r="M27" s="192"/>
      <c r="N27" s="192"/>
      <c r="O27" s="192">
        <v>3.85</v>
      </c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6" t="s">
        <v>559</v>
      </c>
      <c r="AH27" s="196"/>
      <c r="AI27" s="196"/>
      <c r="AJ27" s="196"/>
      <c r="AK27" s="240"/>
      <c r="AL27" s="196">
        <v>0</v>
      </c>
      <c r="AM27" s="196">
        <v>0</v>
      </c>
      <c r="AN27" s="196">
        <v>0</v>
      </c>
      <c r="AO27" s="197">
        <v>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2"/>
      <c r="AY27" s="196" t="s">
        <v>559</v>
      </c>
      <c r="AZ27" s="196">
        <v>12</v>
      </c>
      <c r="BA27" s="196" t="s">
        <v>559</v>
      </c>
      <c r="BB27" s="196"/>
      <c r="BC27" s="196"/>
      <c r="BD27" s="196"/>
      <c r="BE27" s="191"/>
      <c r="BF27" s="192"/>
      <c r="BG27" s="196"/>
      <c r="BH27" s="196" t="s">
        <v>562</v>
      </c>
      <c r="BI27" s="191"/>
      <c r="BJ27" s="240" t="s">
        <v>563</v>
      </c>
      <c r="BK27" s="240" t="s">
        <v>495</v>
      </c>
    </row>
  </sheetData>
  <sheetProtection algorithmName="SHA-512" hashValue="iWYdKjvNHEEkrzE+5uMYyFrvKolTXW7IDolctLLlczhVCLDN/CcvLu50GidEmP+xYakgym5oF4UO6DSRh5J73w==" saltValue="K8XTvtpXbXRnCNg1uN/gsw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BE20"/>
  <sheetViews>
    <sheetView zoomScale="120" zoomScaleNormal="120" workbookViewId="0">
      <selection activeCell="A7" sqref="A7:XFD7"/>
    </sheetView>
  </sheetViews>
  <sheetFormatPr defaultColWidth="11.07421875" defaultRowHeight="13.5" x14ac:dyDescent="0.3"/>
  <cols>
    <col min="1" max="1" width="4.84375" customWidth="1"/>
    <col min="3" max="3" width="6.3046875" customWidth="1"/>
    <col min="4" max="4" width="18.69140625" customWidth="1"/>
    <col min="6" max="6" width="16.15234375" customWidth="1"/>
    <col min="7" max="7" width="16.4609375" customWidth="1"/>
    <col min="51" max="51" width="50.69140625" customWidth="1"/>
    <col min="52" max="52" width="12.15234375" customWidth="1"/>
    <col min="53" max="53" width="10.84375" customWidth="1"/>
    <col min="55" max="55" width="20.4609375" customWidth="1"/>
    <col min="56" max="56" width="88.15234375" customWidth="1"/>
  </cols>
  <sheetData>
    <row r="1" spans="1:57" ht="54" x14ac:dyDescent="0.3">
      <c r="A1" s="163" t="s">
        <v>209</v>
      </c>
      <c r="B1" s="163" t="s">
        <v>366</v>
      </c>
      <c r="C1" s="164" t="s">
        <v>257</v>
      </c>
      <c r="D1" s="165" t="s">
        <v>258</v>
      </c>
      <c r="E1" s="163" t="s">
        <v>259</v>
      </c>
      <c r="F1" s="164" t="s">
        <v>267</v>
      </c>
      <c r="G1" s="166" t="s">
        <v>260</v>
      </c>
      <c r="H1" s="167" t="s">
        <v>268</v>
      </c>
      <c r="I1" s="168" t="s">
        <v>261</v>
      </c>
      <c r="J1" s="168" t="s">
        <v>262</v>
      </c>
      <c r="K1" s="168" t="s">
        <v>263</v>
      </c>
      <c r="L1" s="168" t="s">
        <v>264</v>
      </c>
      <c r="M1" s="168" t="s">
        <v>265</v>
      </c>
      <c r="N1" s="169" t="s">
        <v>266</v>
      </c>
      <c r="O1" s="170" t="s">
        <v>316</v>
      </c>
      <c r="P1" s="170" t="s">
        <v>317</v>
      </c>
      <c r="Q1" s="170" t="s">
        <v>318</v>
      </c>
      <c r="R1" s="170" t="s">
        <v>319</v>
      </c>
      <c r="S1" s="170" t="s">
        <v>320</v>
      </c>
      <c r="T1" s="171" t="s">
        <v>321</v>
      </c>
      <c r="U1" s="172" t="s">
        <v>322</v>
      </c>
      <c r="V1" s="172" t="s">
        <v>323</v>
      </c>
      <c r="W1" s="172" t="s">
        <v>324</v>
      </c>
      <c r="X1" s="172" t="s">
        <v>428</v>
      </c>
      <c r="Y1" s="172" t="s">
        <v>429</v>
      </c>
      <c r="Z1" s="173" t="s">
        <v>430</v>
      </c>
      <c r="AA1" s="174" t="s">
        <v>431</v>
      </c>
      <c r="AB1" s="174" t="s">
        <v>331</v>
      </c>
      <c r="AC1" s="174" t="s">
        <v>332</v>
      </c>
      <c r="AD1" s="174" t="s">
        <v>333</v>
      </c>
      <c r="AE1" s="174" t="s">
        <v>334</v>
      </c>
      <c r="AF1" s="175" t="s">
        <v>335</v>
      </c>
      <c r="AG1" s="176" t="s">
        <v>336</v>
      </c>
      <c r="AH1" s="176" t="s">
        <v>337</v>
      </c>
      <c r="AI1" s="176" t="s">
        <v>338</v>
      </c>
      <c r="AJ1" s="177" t="s">
        <v>229</v>
      </c>
      <c r="AK1" s="178" t="s">
        <v>230</v>
      </c>
      <c r="AL1" s="179" t="s">
        <v>231</v>
      </c>
      <c r="AM1" s="180" t="s">
        <v>232</v>
      </c>
      <c r="AN1" s="170" t="s">
        <v>340</v>
      </c>
      <c r="AO1" s="181" t="s">
        <v>440</v>
      </c>
      <c r="AP1" s="182" t="s">
        <v>441</v>
      </c>
      <c r="AQ1" s="183" t="s">
        <v>442</v>
      </c>
      <c r="AR1" s="171" t="s">
        <v>443</v>
      </c>
      <c r="AS1" s="183" t="s">
        <v>444</v>
      </c>
      <c r="AT1" s="171" t="s">
        <v>445</v>
      </c>
      <c r="AU1" s="163" t="s">
        <v>446</v>
      </c>
      <c r="AV1" s="184" t="s">
        <v>447</v>
      </c>
      <c r="AW1" s="185" t="s">
        <v>249</v>
      </c>
      <c r="AX1" s="184" t="s">
        <v>250</v>
      </c>
      <c r="AY1" s="186" t="s">
        <v>251</v>
      </c>
      <c r="AZ1" s="187" t="s">
        <v>252</v>
      </c>
      <c r="BA1" s="188" t="s">
        <v>353</v>
      </c>
      <c r="BB1" s="188" t="s">
        <v>354</v>
      </c>
      <c r="BC1" s="187" t="s">
        <v>355</v>
      </c>
      <c r="BD1" s="188" t="s">
        <v>356</v>
      </c>
      <c r="BE1" s="186" t="s">
        <v>357</v>
      </c>
    </row>
    <row r="2" spans="1:57" s="11" customFormat="1" x14ac:dyDescent="0.3">
      <c r="A2" s="189">
        <v>370</v>
      </c>
      <c r="B2" s="226">
        <v>41466</v>
      </c>
      <c r="C2" s="191" t="s">
        <v>485</v>
      </c>
      <c r="D2" s="192" t="s">
        <v>486</v>
      </c>
      <c r="E2" s="193">
        <v>41457</v>
      </c>
      <c r="F2" s="191" t="s">
        <v>487</v>
      </c>
      <c r="G2" s="192" t="s">
        <v>488</v>
      </c>
      <c r="H2" s="192">
        <v>64</v>
      </c>
      <c r="I2" s="194"/>
      <c r="J2" s="195"/>
      <c r="K2" s="195"/>
      <c r="L2" s="195"/>
      <c r="M2" s="195"/>
      <c r="N2" s="195"/>
      <c r="O2" s="192">
        <v>2.8</v>
      </c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6" t="s">
        <v>489</v>
      </c>
      <c r="AH2" s="196"/>
      <c r="AI2" s="196"/>
      <c r="AJ2" s="196"/>
      <c r="AK2" s="196">
        <v>0</v>
      </c>
      <c r="AL2" s="196">
        <v>0</v>
      </c>
      <c r="AM2" s="196">
        <v>0</v>
      </c>
      <c r="AN2" s="196">
        <v>12</v>
      </c>
      <c r="AO2" s="196">
        <v>0</v>
      </c>
      <c r="AP2" s="196">
        <v>0</v>
      </c>
      <c r="AQ2" s="196">
        <v>0</v>
      </c>
      <c r="AR2" s="196">
        <v>0</v>
      </c>
      <c r="AS2" s="196">
        <v>0</v>
      </c>
      <c r="AT2" s="197">
        <v>2</v>
      </c>
      <c r="AU2" s="192"/>
      <c r="AV2" s="196" t="s">
        <v>489</v>
      </c>
      <c r="AW2" s="196">
        <v>12</v>
      </c>
      <c r="AX2" s="196" t="s">
        <v>490</v>
      </c>
      <c r="AY2" s="191" t="s">
        <v>491</v>
      </c>
      <c r="AZ2" s="192" t="s">
        <v>492</v>
      </c>
      <c r="BA2" s="196">
        <v>50</v>
      </c>
      <c r="BB2" s="196" t="s">
        <v>493</v>
      </c>
      <c r="BC2" s="191"/>
      <c r="BD2" t="s">
        <v>494</v>
      </c>
      <c r="BE2" t="s">
        <v>495</v>
      </c>
    </row>
    <row r="3" spans="1:57" x14ac:dyDescent="0.3">
      <c r="A3" s="189">
        <v>1088</v>
      </c>
      <c r="B3" s="226">
        <v>41467</v>
      </c>
      <c r="C3" s="191" t="s">
        <v>496</v>
      </c>
      <c r="D3" s="192" t="s">
        <v>497</v>
      </c>
      <c r="E3" s="193">
        <v>41455</v>
      </c>
      <c r="F3" s="191" t="s">
        <v>498</v>
      </c>
      <c r="G3" s="192" t="s">
        <v>499</v>
      </c>
      <c r="H3" s="192">
        <v>75</v>
      </c>
      <c r="I3" s="194" t="s">
        <v>500</v>
      </c>
      <c r="J3" s="200">
        <v>1200</v>
      </c>
      <c r="K3" s="200">
        <v>2400</v>
      </c>
      <c r="L3" s="200">
        <v>5400</v>
      </c>
      <c r="M3" s="200">
        <v>165400</v>
      </c>
      <c r="N3" s="200">
        <v>832000</v>
      </c>
      <c r="O3" s="192">
        <v>3.85</v>
      </c>
      <c r="P3" s="192">
        <v>2.4500000000000002</v>
      </c>
      <c r="Q3" s="192">
        <v>2.31</v>
      </c>
      <c r="R3" s="192">
        <v>2.31</v>
      </c>
      <c r="S3" s="192">
        <v>2.2200000000000002</v>
      </c>
      <c r="T3" s="192">
        <v>1.9</v>
      </c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6" t="s">
        <v>501</v>
      </c>
      <c r="AH3" s="192"/>
      <c r="AI3" s="192"/>
      <c r="AJ3" s="192"/>
      <c r="AK3" s="196">
        <v>0</v>
      </c>
      <c r="AL3" s="196">
        <v>0</v>
      </c>
      <c r="AM3" s="196">
        <v>0</v>
      </c>
      <c r="AN3" s="196">
        <v>18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12</v>
      </c>
      <c r="AV3" s="196" t="s">
        <v>489</v>
      </c>
      <c r="AW3" s="196"/>
      <c r="AX3" s="196" t="s">
        <v>502</v>
      </c>
      <c r="AY3" s="191"/>
      <c r="AZ3" s="192"/>
      <c r="BA3" s="196"/>
      <c r="BB3" s="196" t="s">
        <v>503</v>
      </c>
      <c r="BC3" s="191"/>
      <c r="BD3" t="s">
        <v>504</v>
      </c>
      <c r="BE3" t="s">
        <v>505</v>
      </c>
    </row>
    <row r="4" spans="1:57" x14ac:dyDescent="0.3">
      <c r="A4" s="189">
        <v>877</v>
      </c>
      <c r="B4" s="226">
        <v>41467</v>
      </c>
      <c r="C4" s="191" t="s">
        <v>496</v>
      </c>
      <c r="D4" s="192" t="s">
        <v>497</v>
      </c>
      <c r="E4" s="193">
        <v>41419</v>
      </c>
      <c r="F4" s="192" t="s">
        <v>506</v>
      </c>
      <c r="G4" s="192" t="s">
        <v>507</v>
      </c>
      <c r="H4" s="192">
        <v>54.44</v>
      </c>
      <c r="I4" s="194" t="s">
        <v>500</v>
      </c>
      <c r="J4" s="200">
        <v>1200</v>
      </c>
      <c r="K4" s="200">
        <v>2400</v>
      </c>
      <c r="L4" s="200">
        <v>5400</v>
      </c>
      <c r="M4" s="200">
        <v>165400</v>
      </c>
      <c r="N4" s="200">
        <v>832000</v>
      </c>
      <c r="O4" s="192">
        <v>4.05</v>
      </c>
      <c r="P4" s="192">
        <v>2.35</v>
      </c>
      <c r="Q4" s="192">
        <v>2.35</v>
      </c>
      <c r="R4" s="192">
        <v>2.35</v>
      </c>
      <c r="S4" s="192">
        <v>2.2000000000000002</v>
      </c>
      <c r="T4" s="192">
        <v>1.8</v>
      </c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6" t="s">
        <v>489</v>
      </c>
      <c r="AH4" s="192"/>
      <c r="AI4" s="192"/>
      <c r="AJ4" s="192"/>
      <c r="AK4" s="196">
        <v>0</v>
      </c>
      <c r="AL4" s="196">
        <v>0</v>
      </c>
      <c r="AM4" s="196">
        <v>0</v>
      </c>
      <c r="AN4" s="196">
        <v>0</v>
      </c>
      <c r="AO4" s="196">
        <v>0</v>
      </c>
      <c r="AP4" s="196">
        <v>20</v>
      </c>
      <c r="AQ4" s="196">
        <v>0</v>
      </c>
      <c r="AR4" s="196">
        <v>0</v>
      </c>
      <c r="AS4" s="196">
        <v>0</v>
      </c>
      <c r="AT4" s="196">
        <v>0</v>
      </c>
      <c r="AU4" s="192"/>
      <c r="AV4" s="196" t="s">
        <v>489</v>
      </c>
      <c r="AW4" s="196"/>
      <c r="AX4" s="196" t="s">
        <v>490</v>
      </c>
      <c r="AY4" s="191"/>
      <c r="AZ4" s="192"/>
      <c r="BA4" s="196"/>
      <c r="BB4" s="196" t="s">
        <v>508</v>
      </c>
      <c r="BC4" s="191"/>
      <c r="BD4" t="s">
        <v>509</v>
      </c>
      <c r="BE4" t="s">
        <v>510</v>
      </c>
    </row>
    <row r="5" spans="1:57" x14ac:dyDescent="0.3">
      <c r="A5" s="189">
        <v>380</v>
      </c>
      <c r="B5" s="226">
        <v>41467</v>
      </c>
      <c r="C5" s="191" t="s">
        <v>496</v>
      </c>
      <c r="D5" s="192" t="s">
        <v>486</v>
      </c>
      <c r="E5" s="193">
        <v>41467</v>
      </c>
      <c r="F5" s="191" t="s">
        <v>511</v>
      </c>
      <c r="G5" s="192" t="s">
        <v>512</v>
      </c>
      <c r="H5" s="192">
        <v>59.3</v>
      </c>
      <c r="I5" s="194" t="s">
        <v>500</v>
      </c>
      <c r="J5" s="200">
        <v>1200</v>
      </c>
      <c r="K5" s="200">
        <v>2400</v>
      </c>
      <c r="L5" s="200">
        <v>5400</v>
      </c>
      <c r="M5" s="200">
        <v>165400</v>
      </c>
      <c r="N5" s="200">
        <v>832000</v>
      </c>
      <c r="O5" s="192">
        <v>4.07</v>
      </c>
      <c r="P5" s="192">
        <v>2.72</v>
      </c>
      <c r="Q5" s="192">
        <v>2.6</v>
      </c>
      <c r="R5" s="192">
        <v>2.5</v>
      </c>
      <c r="S5" s="192">
        <v>2.4</v>
      </c>
      <c r="T5" s="192">
        <v>2.08</v>
      </c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6" t="s">
        <v>489</v>
      </c>
      <c r="AH5" s="192"/>
      <c r="AI5" s="192"/>
      <c r="AJ5" s="192"/>
      <c r="AK5" s="196">
        <v>0</v>
      </c>
      <c r="AL5" s="196">
        <v>0</v>
      </c>
      <c r="AM5" s="196">
        <v>0</v>
      </c>
      <c r="AN5" s="196">
        <v>17</v>
      </c>
      <c r="AO5" s="196">
        <v>0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2"/>
      <c r="AV5" s="196" t="s">
        <v>489</v>
      </c>
      <c r="AW5" s="196">
        <v>12</v>
      </c>
      <c r="AX5" s="196" t="s">
        <v>490</v>
      </c>
      <c r="AY5" s="191" t="s">
        <v>513</v>
      </c>
      <c r="AZ5" s="192" t="s">
        <v>514</v>
      </c>
      <c r="BA5" s="196">
        <v>50</v>
      </c>
      <c r="BB5" s="196" t="s">
        <v>503</v>
      </c>
      <c r="BC5" s="191"/>
      <c r="BD5" s="198" t="s">
        <v>515</v>
      </c>
      <c r="BE5" t="s">
        <v>495</v>
      </c>
    </row>
    <row r="6" spans="1:57" x14ac:dyDescent="0.3">
      <c r="A6" s="189">
        <v>508</v>
      </c>
      <c r="B6" s="226">
        <v>41466</v>
      </c>
      <c r="C6" s="191" t="s">
        <v>496</v>
      </c>
      <c r="D6" s="192" t="s">
        <v>497</v>
      </c>
      <c r="E6" s="193">
        <v>41455</v>
      </c>
      <c r="F6" s="191" t="s">
        <v>516</v>
      </c>
      <c r="G6" s="192" t="s">
        <v>517</v>
      </c>
      <c r="H6" s="192">
        <v>62.79</v>
      </c>
      <c r="I6" s="194" t="s">
        <v>500</v>
      </c>
      <c r="J6" s="200">
        <v>1200</v>
      </c>
      <c r="K6" s="200">
        <v>2400</v>
      </c>
      <c r="L6" s="200">
        <v>5400</v>
      </c>
      <c r="M6" s="200">
        <v>165400</v>
      </c>
      <c r="N6" s="200">
        <v>832000</v>
      </c>
      <c r="O6" s="192">
        <v>3.7</v>
      </c>
      <c r="P6" s="192">
        <v>2.5</v>
      </c>
      <c r="Q6" s="192">
        <v>2.4</v>
      </c>
      <c r="R6" s="192">
        <v>2.4</v>
      </c>
      <c r="S6" s="192">
        <v>2.1</v>
      </c>
      <c r="T6" s="192">
        <v>2</v>
      </c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6" t="s">
        <v>489</v>
      </c>
      <c r="AH6" s="196"/>
      <c r="AI6" s="196"/>
      <c r="AJ6" s="196"/>
      <c r="AK6" s="196">
        <v>0</v>
      </c>
      <c r="AL6" s="196">
        <v>0</v>
      </c>
      <c r="AM6" s="196">
        <v>0</v>
      </c>
      <c r="AN6" s="197">
        <v>10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2"/>
      <c r="AV6" s="196" t="s">
        <v>489</v>
      </c>
      <c r="AW6" s="196">
        <v>12</v>
      </c>
      <c r="AX6" s="196" t="s">
        <v>518</v>
      </c>
      <c r="AY6" s="191"/>
      <c r="AZ6" s="192"/>
      <c r="BA6" s="196"/>
      <c r="BB6" s="196" t="s">
        <v>519</v>
      </c>
      <c r="BC6" s="191"/>
      <c r="BD6" t="s">
        <v>520</v>
      </c>
      <c r="BE6" t="s">
        <v>495</v>
      </c>
    </row>
    <row r="7" spans="1:57" x14ac:dyDescent="0.3">
      <c r="A7" s="189">
        <v>876</v>
      </c>
      <c r="B7" s="226">
        <v>41467</v>
      </c>
      <c r="C7" s="191" t="s">
        <v>496</v>
      </c>
      <c r="D7" s="192" t="s">
        <v>497</v>
      </c>
      <c r="E7" s="193">
        <v>41473</v>
      </c>
      <c r="F7" s="191" t="s">
        <v>521</v>
      </c>
      <c r="G7" s="192" t="s">
        <v>522</v>
      </c>
      <c r="H7" s="192">
        <v>60</v>
      </c>
      <c r="I7" s="194" t="s">
        <v>500</v>
      </c>
      <c r="J7" s="200">
        <v>1200</v>
      </c>
      <c r="K7" s="200">
        <v>2400</v>
      </c>
      <c r="L7" s="200">
        <v>5400</v>
      </c>
      <c r="M7" s="200">
        <v>165400</v>
      </c>
      <c r="N7" s="200">
        <v>832000</v>
      </c>
      <c r="O7" s="192">
        <v>3.65</v>
      </c>
      <c r="P7" s="192">
        <v>2.2999999999999998</v>
      </c>
      <c r="Q7" s="192">
        <v>2.2000000000000002</v>
      </c>
      <c r="R7" s="192">
        <v>2.1</v>
      </c>
      <c r="S7" s="192">
        <v>2</v>
      </c>
      <c r="T7" s="192">
        <v>1.76</v>
      </c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6" t="s">
        <v>501</v>
      </c>
      <c r="AH7" s="192"/>
      <c r="AI7" s="192"/>
      <c r="AJ7" s="192"/>
      <c r="AK7" s="196">
        <v>0</v>
      </c>
      <c r="AL7" s="196">
        <v>0</v>
      </c>
      <c r="AM7" s="196">
        <v>10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/>
      <c r="AV7" s="196" t="s">
        <v>501</v>
      </c>
      <c r="AW7" s="196"/>
      <c r="AX7" s="196" t="s">
        <v>490</v>
      </c>
      <c r="AY7" s="191"/>
      <c r="AZ7" s="192"/>
      <c r="BA7" s="196"/>
      <c r="BB7" s="196" t="s">
        <v>508</v>
      </c>
      <c r="BC7" s="191"/>
      <c r="BD7" t="s">
        <v>523</v>
      </c>
      <c r="BE7" t="s">
        <v>524</v>
      </c>
    </row>
    <row r="8" spans="1:57" x14ac:dyDescent="0.3">
      <c r="A8" s="189">
        <v>871</v>
      </c>
      <c r="B8" s="226">
        <v>41467</v>
      </c>
      <c r="C8" s="191" t="s">
        <v>496</v>
      </c>
      <c r="D8" s="192" t="s">
        <v>312</v>
      </c>
      <c r="E8" s="193">
        <v>41455</v>
      </c>
      <c r="F8" s="191" t="s">
        <v>525</v>
      </c>
      <c r="G8" s="201" t="s">
        <v>526</v>
      </c>
      <c r="H8" s="192">
        <v>66.400000000000006</v>
      </c>
      <c r="I8" s="194" t="s">
        <v>500</v>
      </c>
      <c r="J8" s="200">
        <v>1200</v>
      </c>
      <c r="K8" s="200">
        <v>2400</v>
      </c>
      <c r="L8" s="200">
        <v>5400</v>
      </c>
      <c r="M8" s="200">
        <v>165400</v>
      </c>
      <c r="N8" s="200">
        <v>832000</v>
      </c>
      <c r="O8" s="192">
        <v>3.7469999999999999</v>
      </c>
      <c r="P8" s="192">
        <v>2.5649999999999999</v>
      </c>
      <c r="Q8" s="192">
        <v>2.492</v>
      </c>
      <c r="R8" s="192">
        <v>2.415</v>
      </c>
      <c r="S8" s="192">
        <v>2.3279999999999998</v>
      </c>
      <c r="T8" s="192">
        <v>0.52100000000000002</v>
      </c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6" t="s">
        <v>527</v>
      </c>
      <c r="AH8" s="192"/>
      <c r="AI8" s="192"/>
      <c r="AJ8" s="192"/>
      <c r="AK8" s="196">
        <v>0</v>
      </c>
      <c r="AL8" s="196">
        <v>0</v>
      </c>
      <c r="AM8" s="196">
        <v>0</v>
      </c>
      <c r="AN8" s="196">
        <v>10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2"/>
      <c r="AV8" s="196" t="s">
        <v>527</v>
      </c>
      <c r="AW8" s="196">
        <v>12</v>
      </c>
      <c r="AX8" s="196" t="s">
        <v>490</v>
      </c>
      <c r="AY8" s="191"/>
      <c r="AZ8" s="192"/>
      <c r="BA8" s="196"/>
      <c r="BB8" s="196" t="s">
        <v>528</v>
      </c>
      <c r="BC8" s="191" t="s">
        <v>529</v>
      </c>
      <c r="BD8" t="s">
        <v>530</v>
      </c>
      <c r="BE8" t="s">
        <v>495</v>
      </c>
    </row>
    <row r="9" spans="1:57" x14ac:dyDescent="0.3">
      <c r="A9" s="189">
        <v>385</v>
      </c>
      <c r="B9" s="226">
        <v>41467</v>
      </c>
      <c r="C9" s="191" t="s">
        <v>496</v>
      </c>
      <c r="D9" s="192" t="s">
        <v>312</v>
      </c>
      <c r="E9" s="193">
        <v>41467</v>
      </c>
      <c r="F9" s="191" t="s">
        <v>531</v>
      </c>
      <c r="G9" s="192" t="s">
        <v>532</v>
      </c>
      <c r="H9" s="192">
        <v>58.1</v>
      </c>
      <c r="I9" s="194" t="s">
        <v>500</v>
      </c>
      <c r="J9" s="200">
        <v>1200</v>
      </c>
      <c r="K9" s="200">
        <v>2400</v>
      </c>
      <c r="L9" s="200">
        <v>5400</v>
      </c>
      <c r="M9" s="200">
        <v>165400</v>
      </c>
      <c r="N9" s="200">
        <v>832000</v>
      </c>
      <c r="O9" s="192">
        <v>3.99</v>
      </c>
      <c r="P9" s="192">
        <v>2.67</v>
      </c>
      <c r="Q9" s="192">
        <v>2.5499999999999998</v>
      </c>
      <c r="R9" s="192">
        <v>2.4500000000000002</v>
      </c>
      <c r="S9" s="192">
        <v>2.35</v>
      </c>
      <c r="T9" s="192">
        <v>2.04</v>
      </c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6" t="s">
        <v>489</v>
      </c>
      <c r="AH9" s="196"/>
      <c r="AI9" s="196"/>
      <c r="AJ9" s="196"/>
      <c r="AK9" s="196">
        <v>0</v>
      </c>
      <c r="AL9" s="196">
        <v>0</v>
      </c>
      <c r="AM9" s="196">
        <v>0</v>
      </c>
      <c r="AN9" s="196">
        <v>17</v>
      </c>
      <c r="AO9" s="196">
        <v>0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2"/>
      <c r="AV9" s="196" t="s">
        <v>527</v>
      </c>
      <c r="AW9" s="196">
        <v>12</v>
      </c>
      <c r="AX9" s="196" t="s">
        <v>527</v>
      </c>
      <c r="AY9" s="191" t="s">
        <v>513</v>
      </c>
      <c r="AZ9" s="192" t="s">
        <v>514</v>
      </c>
      <c r="BA9" s="196">
        <v>50</v>
      </c>
      <c r="BB9" s="196" t="s">
        <v>503</v>
      </c>
      <c r="BC9" s="191"/>
      <c r="BD9" t="s">
        <v>533</v>
      </c>
      <c r="BE9" t="s">
        <v>495</v>
      </c>
    </row>
    <row r="10" spans="1:57" x14ac:dyDescent="0.3">
      <c r="A10" s="189">
        <v>389</v>
      </c>
      <c r="B10" s="226">
        <v>41467</v>
      </c>
      <c r="C10" s="191" t="s">
        <v>496</v>
      </c>
      <c r="D10" s="192" t="s">
        <v>369</v>
      </c>
      <c r="E10" s="193">
        <v>41467</v>
      </c>
      <c r="F10" s="191" t="s">
        <v>531</v>
      </c>
      <c r="G10" s="192" t="s">
        <v>532</v>
      </c>
      <c r="H10" s="192">
        <v>75.5</v>
      </c>
      <c r="I10" s="194" t="s">
        <v>500</v>
      </c>
      <c r="J10" s="200">
        <v>6000</v>
      </c>
      <c r="K10" s="200">
        <v>12000</v>
      </c>
      <c r="L10" s="200">
        <v>85000</v>
      </c>
      <c r="M10" s="200">
        <v>85000</v>
      </c>
      <c r="N10" s="200">
        <v>85000</v>
      </c>
      <c r="O10" s="192">
        <v>2.37</v>
      </c>
      <c r="P10" s="192">
        <v>2.2000000000000002</v>
      </c>
      <c r="Q10" s="192">
        <v>2.15</v>
      </c>
      <c r="R10" s="192">
        <v>2.15</v>
      </c>
      <c r="S10" s="192">
        <v>0</v>
      </c>
      <c r="T10" s="192">
        <v>0</v>
      </c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6" t="s">
        <v>490</v>
      </c>
      <c r="AH10" s="196"/>
      <c r="AI10" s="196"/>
      <c r="AJ10" s="196"/>
      <c r="AK10" s="196">
        <v>0</v>
      </c>
      <c r="AL10" s="196">
        <v>0</v>
      </c>
      <c r="AM10" s="196">
        <v>0</v>
      </c>
      <c r="AN10" s="196">
        <v>17</v>
      </c>
      <c r="AO10" s="196">
        <v>0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2"/>
      <c r="AV10" s="196" t="s">
        <v>527</v>
      </c>
      <c r="AW10" s="196">
        <v>12</v>
      </c>
      <c r="AX10" s="196" t="s">
        <v>527</v>
      </c>
      <c r="AY10" s="191" t="s">
        <v>513</v>
      </c>
      <c r="AZ10" s="192" t="s">
        <v>514</v>
      </c>
      <c r="BA10" s="196">
        <v>50</v>
      </c>
      <c r="BB10" s="196" t="s">
        <v>503</v>
      </c>
      <c r="BC10" s="191"/>
      <c r="BD10" t="s">
        <v>534</v>
      </c>
      <c r="BE10" t="s">
        <v>495</v>
      </c>
    </row>
    <row r="11" spans="1:57" x14ac:dyDescent="0.3">
      <c r="A11" s="189">
        <v>520</v>
      </c>
      <c r="B11" s="226">
        <v>41466</v>
      </c>
      <c r="C11" s="191" t="s">
        <v>496</v>
      </c>
      <c r="D11" s="192" t="s">
        <v>369</v>
      </c>
      <c r="E11" s="193">
        <v>41455</v>
      </c>
      <c r="F11" s="191" t="s">
        <v>516</v>
      </c>
      <c r="G11" s="192" t="s">
        <v>517</v>
      </c>
      <c r="H11" s="192">
        <v>55.7</v>
      </c>
      <c r="I11" s="194" t="s">
        <v>500</v>
      </c>
      <c r="J11" s="200">
        <v>1650</v>
      </c>
      <c r="K11" s="200">
        <v>2960</v>
      </c>
      <c r="L11" s="200">
        <v>2960</v>
      </c>
      <c r="M11" s="200">
        <v>2960</v>
      </c>
      <c r="N11" s="200">
        <v>2960</v>
      </c>
      <c r="O11" s="192">
        <v>2.13</v>
      </c>
      <c r="P11" s="192">
        <v>1.91</v>
      </c>
      <c r="Q11" s="192">
        <v>1.78</v>
      </c>
      <c r="R11" s="192">
        <v>0</v>
      </c>
      <c r="S11" s="192">
        <v>0</v>
      </c>
      <c r="T11" s="192">
        <v>0</v>
      </c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6" t="s">
        <v>489</v>
      </c>
      <c r="AH11" s="196"/>
      <c r="AI11" s="196"/>
      <c r="AJ11" s="196"/>
      <c r="AK11" s="196">
        <v>0</v>
      </c>
      <c r="AL11" s="196">
        <v>0</v>
      </c>
      <c r="AM11" s="196">
        <v>0</v>
      </c>
      <c r="AN11" s="197">
        <v>10</v>
      </c>
      <c r="AO11" s="196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2"/>
      <c r="AV11" s="196" t="s">
        <v>489</v>
      </c>
      <c r="AW11" s="196">
        <v>12</v>
      </c>
      <c r="AX11" s="196" t="s">
        <v>518</v>
      </c>
      <c r="AY11" s="191"/>
      <c r="AZ11" s="192"/>
      <c r="BA11" s="196"/>
      <c r="BB11" s="196" t="s">
        <v>519</v>
      </c>
      <c r="BC11" s="191"/>
      <c r="BD11" t="s">
        <v>535</v>
      </c>
      <c r="BE11" t="s">
        <v>495</v>
      </c>
    </row>
    <row r="12" spans="1:57" x14ac:dyDescent="0.3">
      <c r="A12" s="189">
        <v>392</v>
      </c>
      <c r="B12" s="226">
        <v>41467</v>
      </c>
      <c r="C12" s="191" t="s">
        <v>496</v>
      </c>
      <c r="D12" s="192" t="s">
        <v>536</v>
      </c>
      <c r="E12" s="193">
        <v>41467</v>
      </c>
      <c r="F12" s="191" t="s">
        <v>531</v>
      </c>
      <c r="G12" s="192" t="s">
        <v>537</v>
      </c>
      <c r="H12" s="192">
        <v>72.5</v>
      </c>
      <c r="I12" s="194" t="s">
        <v>500</v>
      </c>
      <c r="J12" s="200">
        <v>6000</v>
      </c>
      <c r="K12" s="200">
        <v>12000</v>
      </c>
      <c r="L12" s="200">
        <v>84000</v>
      </c>
      <c r="M12" s="200">
        <v>84000</v>
      </c>
      <c r="N12" s="200">
        <v>84000</v>
      </c>
      <c r="O12" s="192">
        <v>3.45</v>
      </c>
      <c r="P12" s="192">
        <v>3.07</v>
      </c>
      <c r="Q12" s="192">
        <v>2.73</v>
      </c>
      <c r="R12" s="192">
        <v>2.73</v>
      </c>
      <c r="S12" s="192">
        <v>0</v>
      </c>
      <c r="T12" s="192">
        <v>0</v>
      </c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6" t="s">
        <v>490</v>
      </c>
      <c r="AH12" s="196"/>
      <c r="AI12" s="196"/>
      <c r="AJ12" s="196"/>
      <c r="AK12" s="196">
        <v>0</v>
      </c>
      <c r="AL12" s="196">
        <v>0</v>
      </c>
      <c r="AM12" s="196">
        <v>0</v>
      </c>
      <c r="AN12" s="196">
        <v>17</v>
      </c>
      <c r="AO12" s="196">
        <v>0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2"/>
      <c r="AV12" s="196" t="s">
        <v>527</v>
      </c>
      <c r="AW12" s="196">
        <v>12</v>
      </c>
      <c r="AX12" s="196" t="s">
        <v>527</v>
      </c>
      <c r="AY12" s="191" t="s">
        <v>513</v>
      </c>
      <c r="AZ12" s="192" t="s">
        <v>514</v>
      </c>
      <c r="BA12" s="196">
        <v>50</v>
      </c>
      <c r="BB12" s="196" t="s">
        <v>503</v>
      </c>
      <c r="BC12" s="191"/>
      <c r="BD12" t="s">
        <v>538</v>
      </c>
      <c r="BE12" t="s">
        <v>495</v>
      </c>
    </row>
    <row r="13" spans="1:57" x14ac:dyDescent="0.3">
      <c r="A13" s="189">
        <v>522</v>
      </c>
      <c r="B13" s="226">
        <v>41466</v>
      </c>
      <c r="C13" s="191" t="s">
        <v>496</v>
      </c>
      <c r="D13" s="192" t="s">
        <v>536</v>
      </c>
      <c r="E13" s="193">
        <v>41455</v>
      </c>
      <c r="F13" s="191" t="s">
        <v>516</v>
      </c>
      <c r="G13" s="192" t="s">
        <v>517</v>
      </c>
      <c r="H13" s="192">
        <v>64</v>
      </c>
      <c r="I13" s="194" t="s">
        <v>500</v>
      </c>
      <c r="J13" s="200">
        <v>1650</v>
      </c>
      <c r="K13" s="200">
        <v>2960</v>
      </c>
      <c r="L13" s="200">
        <v>2960</v>
      </c>
      <c r="M13" s="200">
        <v>2960</v>
      </c>
      <c r="N13" s="200">
        <v>2960</v>
      </c>
      <c r="O13" s="192">
        <v>2.97</v>
      </c>
      <c r="P13" s="192">
        <v>2.78</v>
      </c>
      <c r="Q13" s="192">
        <v>2.19</v>
      </c>
      <c r="R13" s="192">
        <v>0</v>
      </c>
      <c r="S13" s="192">
        <v>0</v>
      </c>
      <c r="T13" s="192">
        <v>0</v>
      </c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6" t="s">
        <v>489</v>
      </c>
      <c r="AH13" s="196"/>
      <c r="AI13" s="196"/>
      <c r="AJ13" s="196"/>
      <c r="AK13" s="196">
        <v>0</v>
      </c>
      <c r="AL13" s="196">
        <v>0</v>
      </c>
      <c r="AM13" s="196">
        <v>0</v>
      </c>
      <c r="AN13" s="197">
        <v>10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2"/>
      <c r="AV13" s="196" t="s">
        <v>489</v>
      </c>
      <c r="AW13" s="196">
        <v>12</v>
      </c>
      <c r="AX13" s="196" t="s">
        <v>518</v>
      </c>
      <c r="AY13" s="191"/>
      <c r="AZ13" s="192"/>
      <c r="BA13" s="196"/>
      <c r="BB13" s="196" t="s">
        <v>519</v>
      </c>
      <c r="BC13" s="191"/>
      <c r="BD13" t="s">
        <v>539</v>
      </c>
      <c r="BE13" t="s">
        <v>495</v>
      </c>
    </row>
    <row r="14" spans="1:57" x14ac:dyDescent="0.3">
      <c r="A14" s="189">
        <v>510</v>
      </c>
      <c r="B14" s="226">
        <v>41466</v>
      </c>
      <c r="C14" s="191" t="s">
        <v>496</v>
      </c>
      <c r="D14" s="192" t="s">
        <v>450</v>
      </c>
      <c r="E14" s="193">
        <v>41455</v>
      </c>
      <c r="F14" s="191" t="s">
        <v>516</v>
      </c>
      <c r="G14" s="192" t="s">
        <v>517</v>
      </c>
      <c r="H14" s="192">
        <v>72.61</v>
      </c>
      <c r="I14" s="194"/>
      <c r="J14" s="192"/>
      <c r="K14" s="192"/>
      <c r="L14" s="192"/>
      <c r="M14" s="192"/>
      <c r="N14" s="192"/>
      <c r="O14" s="192">
        <v>2.67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6" t="s">
        <v>489</v>
      </c>
      <c r="AH14" s="196"/>
      <c r="AI14" s="196"/>
      <c r="AJ14" s="196"/>
      <c r="AK14" s="196">
        <v>0</v>
      </c>
      <c r="AL14" s="196">
        <v>0</v>
      </c>
      <c r="AM14" s="196">
        <v>0</v>
      </c>
      <c r="AN14" s="197">
        <v>10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2"/>
      <c r="AV14" s="196" t="s">
        <v>489</v>
      </c>
      <c r="AW14" s="196">
        <v>12</v>
      </c>
      <c r="AX14" s="196" t="s">
        <v>518</v>
      </c>
      <c r="AY14" s="191"/>
      <c r="AZ14" s="192"/>
      <c r="BA14" s="196"/>
      <c r="BB14" s="196" t="s">
        <v>519</v>
      </c>
      <c r="BC14" s="191"/>
      <c r="BD14" t="s">
        <v>540</v>
      </c>
      <c r="BE14" t="s">
        <v>495</v>
      </c>
    </row>
    <row r="15" spans="1:57" x14ac:dyDescent="0.3">
      <c r="A15" s="189">
        <v>874</v>
      </c>
      <c r="B15" s="226">
        <v>41467</v>
      </c>
      <c r="C15" s="191" t="s">
        <v>496</v>
      </c>
      <c r="D15" s="192" t="s">
        <v>450</v>
      </c>
      <c r="E15" s="193">
        <v>41473</v>
      </c>
      <c r="F15" s="191" t="s">
        <v>521</v>
      </c>
      <c r="G15" s="192" t="s">
        <v>522</v>
      </c>
      <c r="H15" s="192">
        <v>72.61</v>
      </c>
      <c r="I15" s="194"/>
      <c r="J15" s="195"/>
      <c r="K15" s="195"/>
      <c r="L15" s="195"/>
      <c r="M15" s="195"/>
      <c r="N15" s="195"/>
      <c r="O15" s="192">
        <v>2.67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6" t="s">
        <v>502</v>
      </c>
      <c r="AH15" s="192"/>
      <c r="AI15" s="192"/>
      <c r="AJ15" s="192"/>
      <c r="AK15" s="196">
        <v>0</v>
      </c>
      <c r="AL15" s="196">
        <v>0</v>
      </c>
      <c r="AM15" s="196">
        <v>10</v>
      </c>
      <c r="AN15" s="196">
        <v>0</v>
      </c>
      <c r="AO15" s="196">
        <v>0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/>
      <c r="AV15" s="196" t="s">
        <v>502</v>
      </c>
      <c r="AW15" s="196"/>
      <c r="AX15" s="196" t="s">
        <v>502</v>
      </c>
      <c r="AY15" s="191"/>
      <c r="AZ15" s="192"/>
      <c r="BA15" s="196"/>
      <c r="BB15" s="196" t="s">
        <v>508</v>
      </c>
      <c r="BC15" s="191"/>
      <c r="BD15" t="s">
        <v>432</v>
      </c>
      <c r="BE15" t="s">
        <v>524</v>
      </c>
    </row>
    <row r="16" spans="1:57" x14ac:dyDescent="0.3">
      <c r="A16" s="189">
        <v>512</v>
      </c>
      <c r="B16" s="226">
        <v>41466</v>
      </c>
      <c r="C16" s="191" t="s">
        <v>496</v>
      </c>
      <c r="D16" s="192" t="s">
        <v>434</v>
      </c>
      <c r="E16" s="193">
        <v>41455</v>
      </c>
      <c r="F16" s="191" t="s">
        <v>516</v>
      </c>
      <c r="G16" s="192" t="s">
        <v>517</v>
      </c>
      <c r="H16" s="192">
        <v>77.650000000000006</v>
      </c>
      <c r="I16" s="194"/>
      <c r="J16" s="192"/>
      <c r="K16" s="192"/>
      <c r="L16" s="192"/>
      <c r="M16" s="192"/>
      <c r="N16" s="192"/>
      <c r="O16" s="192">
        <v>2.71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6" t="s">
        <v>489</v>
      </c>
      <c r="AH16" s="196"/>
      <c r="AI16" s="196"/>
      <c r="AJ16" s="196"/>
      <c r="AK16" s="196">
        <v>0</v>
      </c>
      <c r="AL16" s="196">
        <v>0</v>
      </c>
      <c r="AM16" s="196">
        <v>0</v>
      </c>
      <c r="AN16" s="197">
        <v>10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2"/>
      <c r="AV16" s="196" t="s">
        <v>489</v>
      </c>
      <c r="AW16" s="196">
        <v>12</v>
      </c>
      <c r="AX16" s="196" t="s">
        <v>518</v>
      </c>
      <c r="AY16" s="191"/>
      <c r="AZ16" s="192"/>
      <c r="BA16" s="196"/>
      <c r="BB16" s="196" t="s">
        <v>519</v>
      </c>
      <c r="BC16" s="191"/>
      <c r="BD16" t="s">
        <v>541</v>
      </c>
      <c r="BE16" t="s">
        <v>495</v>
      </c>
    </row>
    <row r="17" spans="1:57" x14ac:dyDescent="0.3">
      <c r="A17" s="189">
        <v>514</v>
      </c>
      <c r="B17" s="226">
        <v>41466</v>
      </c>
      <c r="C17" s="191" t="s">
        <v>496</v>
      </c>
      <c r="D17" s="192" t="s">
        <v>439</v>
      </c>
      <c r="E17" s="193">
        <v>41455</v>
      </c>
      <c r="F17" s="191" t="s">
        <v>516</v>
      </c>
      <c r="G17" s="192" t="s">
        <v>517</v>
      </c>
      <c r="H17" s="192">
        <v>83.02</v>
      </c>
      <c r="I17" s="194"/>
      <c r="J17" s="192"/>
      <c r="K17" s="192"/>
      <c r="L17" s="192"/>
      <c r="M17" s="192"/>
      <c r="N17" s="192"/>
      <c r="O17" s="192">
        <v>2.78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6" t="s">
        <v>489</v>
      </c>
      <c r="AH17" s="196"/>
      <c r="AI17" s="196"/>
      <c r="AJ17" s="196"/>
      <c r="AK17" s="196">
        <v>0</v>
      </c>
      <c r="AL17" s="196">
        <v>0</v>
      </c>
      <c r="AM17" s="196">
        <v>0</v>
      </c>
      <c r="AN17" s="197">
        <v>10</v>
      </c>
      <c r="AO17" s="196">
        <v>0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2"/>
      <c r="AV17" s="196" t="s">
        <v>489</v>
      </c>
      <c r="AW17" s="196">
        <v>12</v>
      </c>
      <c r="AX17" s="196" t="s">
        <v>518</v>
      </c>
      <c r="AY17" s="191"/>
      <c r="AZ17" s="192"/>
      <c r="BA17" s="196"/>
      <c r="BB17" s="196" t="s">
        <v>519</v>
      </c>
      <c r="BC17" s="191"/>
      <c r="BD17" t="s">
        <v>542</v>
      </c>
      <c r="BE17" t="s">
        <v>495</v>
      </c>
    </row>
    <row r="18" spans="1:57" x14ac:dyDescent="0.3">
      <c r="A18" s="189">
        <v>875</v>
      </c>
      <c r="B18" s="226">
        <v>41467</v>
      </c>
      <c r="C18" s="191" t="s">
        <v>496</v>
      </c>
      <c r="D18" s="192" t="s">
        <v>439</v>
      </c>
      <c r="E18" s="193">
        <v>41473</v>
      </c>
      <c r="F18" s="191" t="s">
        <v>521</v>
      </c>
      <c r="G18" s="192" t="s">
        <v>522</v>
      </c>
      <c r="H18" s="192">
        <v>82.02</v>
      </c>
      <c r="I18" s="194"/>
      <c r="J18" s="195"/>
      <c r="K18" s="195"/>
      <c r="L18" s="195"/>
      <c r="M18" s="195"/>
      <c r="N18" s="195"/>
      <c r="O18" s="192">
        <v>2.78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6" t="s">
        <v>502</v>
      </c>
      <c r="AH18" s="192"/>
      <c r="AI18" s="192"/>
      <c r="AJ18" s="192"/>
      <c r="AK18" s="196">
        <v>0</v>
      </c>
      <c r="AL18" s="196">
        <v>0</v>
      </c>
      <c r="AM18" s="196">
        <v>10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/>
      <c r="AV18" s="196" t="s">
        <v>502</v>
      </c>
      <c r="AW18" s="196"/>
      <c r="AX18" s="196" t="s">
        <v>502</v>
      </c>
      <c r="AY18" s="191"/>
      <c r="AZ18" s="192"/>
      <c r="BA18" s="196"/>
      <c r="BB18" s="196" t="s">
        <v>508</v>
      </c>
      <c r="BC18" s="191"/>
      <c r="BD18" t="s">
        <v>457</v>
      </c>
      <c r="BE18" t="s">
        <v>524</v>
      </c>
    </row>
    <row r="19" spans="1:57" x14ac:dyDescent="0.3">
      <c r="A19" s="189">
        <v>516</v>
      </c>
      <c r="B19" s="226">
        <v>41466</v>
      </c>
      <c r="C19" s="191" t="s">
        <v>496</v>
      </c>
      <c r="D19" s="192" t="s">
        <v>458</v>
      </c>
      <c r="E19" s="193">
        <v>41455</v>
      </c>
      <c r="F19" s="191" t="s">
        <v>516</v>
      </c>
      <c r="G19" s="192" t="s">
        <v>517</v>
      </c>
      <c r="H19" s="192">
        <v>88.12</v>
      </c>
      <c r="I19" s="194"/>
      <c r="J19" s="192"/>
      <c r="K19" s="192"/>
      <c r="L19" s="192"/>
      <c r="M19" s="192"/>
      <c r="N19" s="192"/>
      <c r="O19" s="192">
        <v>2.25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6" t="s">
        <v>489</v>
      </c>
      <c r="AH19" s="196"/>
      <c r="AI19" s="196"/>
      <c r="AJ19" s="196"/>
      <c r="AK19" s="196">
        <v>0</v>
      </c>
      <c r="AL19" s="196">
        <v>0</v>
      </c>
      <c r="AM19" s="196">
        <v>0</v>
      </c>
      <c r="AN19" s="197">
        <v>10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2"/>
      <c r="AV19" s="196" t="s">
        <v>489</v>
      </c>
      <c r="AW19" s="196">
        <v>12</v>
      </c>
      <c r="AX19" s="196" t="s">
        <v>518</v>
      </c>
      <c r="AY19" s="191"/>
      <c r="AZ19" s="192"/>
      <c r="BA19" s="196"/>
      <c r="BB19" s="196" t="s">
        <v>519</v>
      </c>
      <c r="BC19" s="191"/>
      <c r="BD19" t="s">
        <v>543</v>
      </c>
      <c r="BE19" t="s">
        <v>495</v>
      </c>
    </row>
    <row r="20" spans="1:57" x14ac:dyDescent="0.3">
      <c r="A20" s="189">
        <v>518</v>
      </c>
      <c r="B20" s="226">
        <v>41466</v>
      </c>
      <c r="C20" s="191" t="s">
        <v>496</v>
      </c>
      <c r="D20" s="192" t="s">
        <v>544</v>
      </c>
      <c r="E20" s="193">
        <v>41455</v>
      </c>
      <c r="F20" s="191" t="s">
        <v>516</v>
      </c>
      <c r="G20" s="192" t="s">
        <v>517</v>
      </c>
      <c r="H20" s="192">
        <v>66</v>
      </c>
      <c r="I20" s="194"/>
      <c r="J20" s="192"/>
      <c r="K20" s="192"/>
      <c r="L20" s="192"/>
      <c r="M20" s="192"/>
      <c r="N20" s="192"/>
      <c r="O20" s="192">
        <v>3.97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6" t="s">
        <v>489</v>
      </c>
      <c r="AH20" s="196"/>
      <c r="AI20" s="196"/>
      <c r="AJ20" s="196"/>
      <c r="AK20" s="196">
        <v>0</v>
      </c>
      <c r="AL20" s="196">
        <v>0</v>
      </c>
      <c r="AM20" s="196">
        <v>0</v>
      </c>
      <c r="AN20" s="197">
        <v>10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2"/>
      <c r="AV20" s="196" t="s">
        <v>489</v>
      </c>
      <c r="AW20" s="196">
        <v>12</v>
      </c>
      <c r="AX20" s="196" t="s">
        <v>518</v>
      </c>
      <c r="AY20" s="191"/>
      <c r="AZ20" s="192"/>
      <c r="BA20" s="196"/>
      <c r="BB20" s="196" t="s">
        <v>519</v>
      </c>
      <c r="BC20" s="191"/>
      <c r="BD20" t="s">
        <v>545</v>
      </c>
      <c r="BE20" t="s">
        <v>495</v>
      </c>
    </row>
  </sheetData>
  <sheetProtection algorithmName="SHA-512" hashValue="zawVM4F7N3u1KWqOPxxvrnxx2qisofnhk6AsBNozQUZHuZk46GkFRSC4XCRWOAUJF/BBSbf5s+03d903g6xQhA==" saltValue="w3raFNnEA2hD0FCHWFOXqg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2BC3F-617E-1C48-947F-017118D3ACC2}">
  <sheetPr codeName="Sheet36"/>
  <dimension ref="A1:QX10395"/>
  <sheetViews>
    <sheetView workbookViewId="0">
      <selection activeCell="A18" sqref="A18"/>
    </sheetView>
  </sheetViews>
  <sheetFormatPr defaultColWidth="10.84375" defaultRowHeight="13.5" x14ac:dyDescent="0.3"/>
  <cols>
    <col min="1" max="1" width="18.69140625" style="326" customWidth="1"/>
    <col min="2" max="2" width="30.4609375" style="326" bestFit="1" customWidth="1"/>
    <col min="3" max="3" width="18.15234375" style="326" bestFit="1" customWidth="1"/>
    <col min="4" max="11" width="12.15234375" style="326" customWidth="1"/>
    <col min="12" max="12" width="10.69140625" style="326" hidden="1" customWidth="1"/>
    <col min="13" max="13" width="12.15234375" style="326" hidden="1" customWidth="1"/>
    <col min="14" max="18" width="12.15234375" style="326" customWidth="1"/>
    <col min="19" max="20" width="12.15234375" style="326" hidden="1" customWidth="1"/>
    <col min="21" max="22" width="10.69140625" style="326" hidden="1" customWidth="1"/>
    <col min="23" max="26" width="12.15234375" style="326" customWidth="1"/>
    <col min="27" max="27" width="10.84375" style="326"/>
    <col min="28" max="466" width="11.07421875" customWidth="1"/>
    <col min="467" max="16384" width="10.84375" style="365"/>
  </cols>
  <sheetData>
    <row r="1" spans="1:40" customFormat="1" x14ac:dyDescent="0.3">
      <c r="A1" s="500" t="s">
        <v>483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0"/>
      <c r="AD1" s="500"/>
      <c r="AE1" s="500"/>
      <c r="AF1" s="500"/>
      <c r="AG1" s="500"/>
      <c r="AH1" s="500"/>
      <c r="AI1" s="500"/>
      <c r="AJ1" s="500"/>
      <c r="AK1" s="500"/>
      <c r="AL1" s="500"/>
      <c r="AM1" s="500"/>
      <c r="AN1" s="500"/>
    </row>
    <row r="2" spans="1:40" customFormat="1" x14ac:dyDescent="0.3">
      <c r="A2" s="501" t="s">
        <v>484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  <c r="AH2" s="500"/>
      <c r="AI2" s="500"/>
      <c r="AJ2" s="500"/>
      <c r="AK2" s="500"/>
      <c r="AL2" s="500"/>
      <c r="AM2" s="500"/>
      <c r="AN2" s="500"/>
    </row>
    <row r="3" spans="1:40" customFormat="1" ht="14" thickBot="1" x14ac:dyDescent="0.35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  <c r="AA3" s="500"/>
      <c r="AB3" s="500"/>
      <c r="AC3" s="500"/>
      <c r="AD3" s="500"/>
      <c r="AE3" s="500"/>
      <c r="AF3" s="500"/>
      <c r="AG3" s="500"/>
      <c r="AH3" s="500"/>
      <c r="AI3" s="500"/>
      <c r="AJ3" s="500"/>
      <c r="AK3" s="500"/>
      <c r="AL3" s="500"/>
      <c r="AM3" s="500"/>
      <c r="AN3" s="500"/>
    </row>
    <row r="4" spans="1:40" ht="14" x14ac:dyDescent="0.3">
      <c r="A4" s="300" t="s">
        <v>423</v>
      </c>
      <c r="B4" s="301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3"/>
      <c r="AB4" s="498"/>
      <c r="AC4" s="498"/>
      <c r="AD4" s="498"/>
      <c r="AE4" s="498"/>
      <c r="AF4" s="498"/>
      <c r="AG4" s="498"/>
      <c r="AH4" s="498"/>
      <c r="AI4" s="498"/>
      <c r="AJ4" s="498"/>
      <c r="AK4" s="498"/>
      <c r="AL4" s="498"/>
      <c r="AM4" s="498"/>
      <c r="AN4" s="498"/>
    </row>
    <row r="5" spans="1:40" ht="14" x14ac:dyDescent="0.3">
      <c r="A5" s="304" t="s">
        <v>662</v>
      </c>
      <c r="B5" s="493"/>
      <c r="C5" s="494">
        <v>4000</v>
      </c>
      <c r="D5" s="360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308"/>
      <c r="AB5" s="498"/>
      <c r="AC5" s="498"/>
      <c r="AD5" s="498"/>
      <c r="AE5" s="498"/>
      <c r="AF5" s="498"/>
      <c r="AG5" s="498"/>
      <c r="AH5" s="498"/>
      <c r="AI5" s="498"/>
      <c r="AJ5" s="498"/>
      <c r="AK5" s="498"/>
      <c r="AL5" s="498"/>
      <c r="AM5" s="498"/>
      <c r="AN5" s="498"/>
    </row>
    <row r="6" spans="1:40" ht="14" x14ac:dyDescent="0.3">
      <c r="A6" s="304"/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308"/>
      <c r="AB6" s="498"/>
      <c r="AC6" s="498"/>
      <c r="AD6" s="498"/>
      <c r="AE6" s="498"/>
      <c r="AF6" s="498"/>
      <c r="AG6" s="498"/>
      <c r="AH6" s="498"/>
      <c r="AI6" s="498"/>
      <c r="AJ6" s="498"/>
      <c r="AK6" s="498"/>
      <c r="AL6" s="498"/>
      <c r="AM6" s="498"/>
      <c r="AN6" s="498"/>
    </row>
    <row r="7" spans="1:40" ht="70" x14ac:dyDescent="0.3">
      <c r="A7" s="330" t="s">
        <v>267</v>
      </c>
      <c r="B7" s="331" t="s">
        <v>424</v>
      </c>
      <c r="C7" s="332" t="s">
        <v>351</v>
      </c>
      <c r="D7" s="332" t="s">
        <v>352</v>
      </c>
      <c r="E7" s="332" t="s">
        <v>425</v>
      </c>
      <c r="F7" s="332" t="s">
        <v>426</v>
      </c>
      <c r="G7" s="332" t="s">
        <v>471</v>
      </c>
      <c r="H7" s="332" t="s">
        <v>398</v>
      </c>
      <c r="I7" s="332" t="s">
        <v>399</v>
      </c>
      <c r="J7" s="332" t="s">
        <v>427</v>
      </c>
      <c r="K7" s="332" t="s">
        <v>120</v>
      </c>
      <c r="L7" s="368" t="s">
        <v>401</v>
      </c>
      <c r="M7" s="369" t="s">
        <v>402</v>
      </c>
      <c r="N7" s="333" t="s">
        <v>437</v>
      </c>
      <c r="O7" s="334" t="s">
        <v>403</v>
      </c>
      <c r="P7" s="335" t="s">
        <v>404</v>
      </c>
      <c r="Q7" s="335" t="s">
        <v>405</v>
      </c>
      <c r="R7" s="335" t="s">
        <v>406</v>
      </c>
      <c r="S7" s="336" t="s">
        <v>658</v>
      </c>
      <c r="T7" s="336" t="s">
        <v>659</v>
      </c>
      <c r="U7" s="337" t="s">
        <v>53</v>
      </c>
      <c r="V7" s="337" t="s">
        <v>0</v>
      </c>
      <c r="W7" s="389" t="s">
        <v>419</v>
      </c>
      <c r="X7" s="389" t="s">
        <v>420</v>
      </c>
      <c r="Y7" s="335" t="s">
        <v>421</v>
      </c>
      <c r="Z7" s="335" t="s">
        <v>422</v>
      </c>
      <c r="AA7" s="502" t="s">
        <v>438</v>
      </c>
      <c r="AB7" s="498"/>
      <c r="AC7" s="498"/>
      <c r="AD7" s="498"/>
      <c r="AE7" s="498"/>
      <c r="AF7" s="498"/>
      <c r="AG7" s="498"/>
      <c r="AH7" s="498"/>
      <c r="AI7" s="498"/>
      <c r="AJ7" s="498"/>
      <c r="AK7" s="498"/>
      <c r="AL7" s="498"/>
      <c r="AM7" s="498"/>
      <c r="AN7" s="498"/>
    </row>
    <row r="8" spans="1:40" ht="25" customHeight="1" x14ac:dyDescent="0.3">
      <c r="A8" s="309" t="str">
        <f>'Tariffs 2022'!F2</f>
        <v>AGL</v>
      </c>
      <c r="B8" s="360" t="str">
        <f>'Tariffs 2022'!D2</f>
        <v>Jemena Coastal Network</v>
      </c>
      <c r="C8" s="360" t="str">
        <f>'Tariffs 2022'!G2</f>
        <v>Value Saver</v>
      </c>
      <c r="D8" s="361">
        <f>60*'Tariffs 2022'!H2/100</f>
        <v>36.32181818181818</v>
      </c>
      <c r="E8" s="361">
        <f>IF('Tariffs 2022'!K2="",$C$5*'Tariffs 2022'!W2/100,IF($C$5&gt;='Tariffs 2022'!L2,('Tariffs 2022'!L2*'Tariffs 2022'!W2/100),($C$5*'Tariffs 2022'!W2/100)))</f>
        <v>39.381818181818176</v>
      </c>
      <c r="F8" s="361">
        <f>IF(AND('Tariffs 2022'!L2&gt;0,'Tariffs 2022'!M2&gt;0),IF($C$5&lt;'Tariffs 2022'!L2,0,IF(($C$5-'Tariffs 2022'!L2)&lt;=('Tariffs 2022'!M2+'Tariffs 2022'!L2),(($C$5-'Tariffs 2022'!L2)*'Tariffs 2022'!X2/100),(('Tariffs 2022'!M2)*'Tariffs 2022'!X2/100))),0)</f>
        <v>30.436363636363634</v>
      </c>
      <c r="G8" s="361">
        <f>IF(AND('Tariffs 2022'!M2&gt;0,'Tariffs 2022'!N2&gt;0),IF($C$5&lt;('Tariffs 2022'!L2+'Tariffs 2022'!M2),0,IF(($C$5-'Tariffs 2022'!L2+'Tariffs 2022'!M2)&lt;=('Tariffs 2022'!L2+'Tariffs 2022'!M2+'Tariffs 2022'!N2),(($C$5-('Tariffs 2022'!L2+'Tariffs 2022'!M2))*'Tariffs 2022'!Y2/100),('Tariffs 2022'!N2*'Tariffs 2022'!Y2/100))),0)</f>
        <v>39.418181818181814</v>
      </c>
      <c r="H8" s="361">
        <f>IF(AND('Tariffs 2022'!N2&gt;0,'Tariffs 2022'!O2&gt;0),IF($C$5&lt;('Tariffs 2022'!L2+'Tariffs 2022'!M2+'Tariffs 2022'!N2),0,IF(($C$5-'Tariffs 2022'!L2+'Tariffs 2022'!M2+'Tariffs 2022'!N2)&lt;=('Tariffs 2022'!L2+'Tariffs 2022'!M2+'Tariffs 2022'!N2+'Tariffs 2022'!O2),(($C$5-('Tariffs 2022'!L2+'Tariffs 2022'!M2+'Tariffs 2022'!N2))*'Tariffs 2022'!Z2/100),('Tariffs 2022'!O2*'Tariffs 2022'!Z2/100))),0)</f>
        <v>0</v>
      </c>
      <c r="I8" s="361">
        <f>IF(AND('Tariffs 2022'!O2&gt;0,'Tariffs 2022'!P2&gt;0),IF($C$5&lt;('Tariffs 2022'!L2+'Tariffs 2022'!M2+'Tariffs 2022'!N2+'Tariffs 2022'!O2),0,IF(($C$5-'Tariffs 2022'!L2+'Tariffs 2022'!M2+'Tariffs 2022'!N2+'Tariffs 2022'!O2)&lt;=('Tariffs 2022'!L2+'Tariffs 2022'!M2+'Tariffs 2022'!N2+'Tariffs 2022'!O2+'Tariffs 2022'!P2),(($C$5-('Tariffs 2022'!L2+'Tariffs 2022'!M2+'Tariffs 2022'!N2+'Tariffs 2022'!O2))*'Tariffs 2022'!AA2/100),('Tariffs 2022'!P2*'Tariffs 2022'!AA2/100))),0)</f>
        <v>0</v>
      </c>
      <c r="J8" s="361">
        <f>IF(AND('Tariffs 2022'!P2&gt;0,'Tariffs 2022'!O2&gt;0),IF(($C$5&lt;SUM('Tariffs 2022'!L2:P2)),(0),($C$5-SUM('Tariffs 2022'!L2:P2))*'Tariffs 2022'!AB2/100),IF(AND('Tariffs 2022'!O2&gt;0,'Tariffs 2022'!P2=""),IF(($C$5&lt; SUM('Tariffs 2022'!L2:O2)),(0),($C$5-SUM('Tariffs 2022'!L2:O2))*'Tariffs 2022'!AA2/100),IF(AND('Tariffs 2022'!N2&gt;0,'Tariffs 2022'!O2=""),IF(($C$5&lt; SUM('Tariffs 2022'!L2:N2)),(0),($C$5-SUM('Tariffs 2022'!L2:N2))*'Tariffs 2022'!Z2/100),IF(AND('Tariffs 2022'!M2&gt;0,'Tariffs 2022'!N2=""),IF(($C$5&lt;'Tariffs 2022'!M2+'Tariffs 2022'!L2),(0),(($C$5-('Tariffs 2022'!M2+'Tariffs 2022'!L2))*'Tariffs 2022'!Y2/100)),IF(AND('Tariffs 2022'!L2&gt;0,'Tariffs 2022'!M2=""&gt;0),IF(($C$5&lt;'Tariffs 2022'!L2),(0),($C$5-'Tariffs 2022'!L2)*'Tariffs 2022'!X2/100),0)))))</f>
        <v>0</v>
      </c>
      <c r="K8" s="361">
        <f t="shared" ref="K8:K36" si="0">SUM(D8:J8)</f>
        <v>145.55818181818179</v>
      </c>
      <c r="L8" s="378">
        <f>(K8*6)-(D8*6)</f>
        <v>655.41818181818167</v>
      </c>
      <c r="M8" s="379">
        <f>K8*6</f>
        <v>873.34909090909082</v>
      </c>
      <c r="N8" s="488">
        <f>M8*1.1</f>
        <v>960.68399999999997</v>
      </c>
      <c r="O8" s="360">
        <f>'Tariffs 2022'!AT2</f>
        <v>0</v>
      </c>
      <c r="P8" s="360">
        <f>'Tariffs 2022'!AU2</f>
        <v>0</v>
      </c>
      <c r="Q8" s="360">
        <f>'Tariffs 2022'!AV2</f>
        <v>0</v>
      </c>
      <c r="R8" s="360">
        <f>'Tariffs 2022'!AW2</f>
        <v>0</v>
      </c>
      <c r="S8" s="312" t="str">
        <f t="shared" ref="S8" si="1">IF(SUM(O8:R8)=0,"No discount",IF(O8&gt;0,"Guaranteed off bill",IF(P8&gt;0,"Guaranteed off usage",IF(Q8&gt;0,"Pay-on-time off bill","Pay-on-time off usage"))))</f>
        <v>No discount</v>
      </c>
      <c r="T8" s="312" t="str">
        <f t="shared" ref="T8:T36" si="2">IF(OR(A8="Origin Energy",A8="Red Energy",A8="Powershop"),"Inclusive","Exclusive")</f>
        <v>Exclusive</v>
      </c>
      <c r="U8" s="386">
        <f t="shared" ref="U8:U36" si="3">IF(AND(S8="Guaranteed off bill",T8="Inclusive"),((M8*1.1)-((M8*1.1)*O8/100))/1.1,IF(AND(S8="Guaranteed off usage",T8="Inclusive"),((M8*1.1)-((L8*1.1)*P8/100))/1.1,IF(AND(S8="Guaranteed off bill",T8="Exclusive"),M8-(M8*O8/100),IF(AND(S8="Guaranteed off usage",T8="Exclusive"),M8-(L8*P8/100),IF(T8="Inclusive",((M8*1.1))/1.1,M8)))))</f>
        <v>873.34909090909082</v>
      </c>
      <c r="V8" s="386">
        <f t="shared" ref="V8:V36" si="4">IF(AND(S8="Pay-on-time off bill",T8="Inclusive"),((U8*1.1)-((U8*1.1)*Q8/100))/1.1,IF(AND(S8="Pay-on-time off usage",T8="Inclusive"),((U8*1.1)-((L8*1.1)*R8/100))/1.1,IF(AND(S8="Pay-on-time off bill",T8="Exclusive"),U8-(U8*Q8/100),IF(AND(S8="Pay-on-time off usage",T8="Exclusive"),U8-(L8*R8/100),IF(T8="Inclusive",((U8*1.1))/1.1,U8)))))</f>
        <v>873.34909090909082</v>
      </c>
      <c r="W8" s="390">
        <f t="shared" ref="W8:X23" si="5">U8*1.1</f>
        <v>960.68399999999997</v>
      </c>
      <c r="X8" s="390">
        <f t="shared" si="5"/>
        <v>960.68399999999997</v>
      </c>
      <c r="Y8" s="363">
        <f>'Tariffs 2022'!BF2</f>
        <v>0</v>
      </c>
      <c r="Z8" s="363" t="str">
        <f>'Tariffs 2022'!BG2</f>
        <v>n</v>
      </c>
      <c r="AA8" s="503" t="s">
        <v>288</v>
      </c>
      <c r="AB8" s="498"/>
      <c r="AC8" s="498"/>
      <c r="AD8" s="498"/>
      <c r="AE8" s="498"/>
      <c r="AF8" s="498"/>
      <c r="AG8" s="498"/>
      <c r="AH8" s="498"/>
      <c r="AI8" s="498"/>
      <c r="AJ8" s="498"/>
      <c r="AK8" s="498"/>
      <c r="AL8" s="498"/>
      <c r="AM8" s="498"/>
      <c r="AN8" s="498"/>
    </row>
    <row r="9" spans="1:40" ht="25" customHeight="1" x14ac:dyDescent="0.3">
      <c r="A9" s="309" t="str">
        <f>'Tariffs 2022'!F3</f>
        <v>EnergyAustralia</v>
      </c>
      <c r="B9" s="360" t="str">
        <f>'Tariffs 2022'!D3</f>
        <v>Jemena Coastal Network</v>
      </c>
      <c r="C9" s="360" t="str">
        <f>'Tariffs 2022'!G3</f>
        <v>Flexi Plan</v>
      </c>
      <c r="D9" s="361">
        <f>60*'Tariffs 2022'!H3/100</f>
        <v>40.063636363636363</v>
      </c>
      <c r="E9" s="361">
        <f>IF('Tariffs 2022'!K3="",$C$5*'Tariffs 2022'!W3/100,IF($C$5&gt;='Tariffs 2022'!L3,('Tariffs 2022'!L3*'Tariffs 2022'!W3/100),($C$5*'Tariffs 2022'!W3/100)))</f>
        <v>48.218181818181812</v>
      </c>
      <c r="F9" s="361">
        <f>IF(AND('Tariffs 2022'!L3&gt;0,'Tariffs 2022'!M3&gt;0),IF($C$5&lt;'Tariffs 2022'!L3,0,IF(($C$5-'Tariffs 2022'!L3)&lt;=('Tariffs 2022'!M3+'Tariffs 2022'!L3),(($C$5-'Tariffs 2022'!L3)*'Tariffs 2022'!X3/100),(('Tariffs 2022'!M3)*'Tariffs 2022'!X3/100))),0)</f>
        <v>33.927272727272722</v>
      </c>
      <c r="G9" s="361">
        <f>IF(AND('Tariffs 2022'!M3&gt;0,'Tariffs 2022'!N3&gt;0),IF($C$5&lt;('Tariffs 2022'!L3+'Tariffs 2022'!M3),0,IF(($C$5-'Tariffs 2022'!L3+'Tariffs 2022'!M3)&lt;=('Tariffs 2022'!L3+'Tariffs 2022'!M3+'Tariffs 2022'!N3),(($C$5-('Tariffs 2022'!L3+'Tariffs 2022'!M3))*'Tariffs 2022'!Y3/100),('Tariffs 2022'!N3*'Tariffs 2022'!Y3/100))),0)</f>
        <v>43.345454545454544</v>
      </c>
      <c r="H9" s="361">
        <f>IF(AND('Tariffs 2022'!N3&gt;0,'Tariffs 2022'!O3&gt;0),IF($C$5&lt;('Tariffs 2022'!L3+'Tariffs 2022'!M3+'Tariffs 2022'!N3),0,IF(($C$5-'Tariffs 2022'!L3+'Tariffs 2022'!M3+'Tariffs 2022'!N3)&lt;=('Tariffs 2022'!L3+'Tariffs 2022'!M3+'Tariffs 2022'!N3+'Tariffs 2022'!O3),(($C$5-('Tariffs 2022'!L3+'Tariffs 2022'!M3+'Tariffs 2022'!N3))*'Tariffs 2022'!Z3/100),('Tariffs 2022'!O3*'Tariffs 2022'!Z3/100))),0)</f>
        <v>0</v>
      </c>
      <c r="I9" s="361">
        <f>IF(AND('Tariffs 2022'!O3&gt;0,'Tariffs 2022'!P3&gt;0),IF($C$5&lt;('Tariffs 2022'!L3+'Tariffs 2022'!M3+'Tariffs 2022'!N3+'Tariffs 2022'!O3),0,IF(($C$5-'Tariffs 2022'!L3+'Tariffs 2022'!M3+'Tariffs 2022'!N3+'Tariffs 2022'!O3)&lt;=('Tariffs 2022'!L3+'Tariffs 2022'!M3+'Tariffs 2022'!N3+'Tariffs 2022'!O3+'Tariffs 2022'!P3),(($C$5-('Tariffs 2022'!L3+'Tariffs 2022'!M3+'Tariffs 2022'!N3+'Tariffs 2022'!O3))*'Tariffs 2022'!AA3/100),('Tariffs 2022'!P3*'Tariffs 2022'!AA3/100))),0)</f>
        <v>0</v>
      </c>
      <c r="J9" s="361">
        <f>IF(AND('Tariffs 2022'!P3&gt;0,'Tariffs 2022'!O3&gt;0),IF(($C$5&lt;SUM('Tariffs 2022'!L3:P3)),(0),($C$5-SUM('Tariffs 2022'!L3:P3))*'Tariffs 2022'!AB3/100),IF(AND('Tariffs 2022'!O3&gt;0,'Tariffs 2022'!P3=""),IF(($C$5&lt; SUM('Tariffs 2022'!L3:O3)),(0),($C$5-SUM('Tariffs 2022'!L3:O3))*'Tariffs 2022'!AA3/100),IF(AND('Tariffs 2022'!N3&gt;0,'Tariffs 2022'!O3=""),IF(($C$5&lt; SUM('Tariffs 2022'!L3:N3)),(0),($C$5-SUM('Tariffs 2022'!L3:N3))*'Tariffs 2022'!Z3/100),IF(AND('Tariffs 2022'!M3&gt;0,'Tariffs 2022'!N3=""),IF(($C$5&lt;'Tariffs 2022'!M3+'Tariffs 2022'!L3),(0),(($C$5-('Tariffs 2022'!M3+'Tariffs 2022'!L3))*'Tariffs 2022'!Y3/100)),IF(AND('Tariffs 2022'!L3&gt;0,'Tariffs 2022'!M3=""&gt;0),IF(($C$5&lt;'Tariffs 2022'!L3),(0),($C$5-'Tariffs 2022'!L3)*'Tariffs 2022'!X3/100),0)))))</f>
        <v>0</v>
      </c>
      <c r="K9" s="361">
        <f t="shared" si="0"/>
        <v>165.55454545454546</v>
      </c>
      <c r="L9" s="378">
        <f t="shared" ref="L9:L36" si="6">(K9*6)-(D9*6)</f>
        <v>752.9454545454546</v>
      </c>
      <c r="M9" s="379">
        <f t="shared" ref="M9:M36" si="7">K9*6</f>
        <v>993.32727272727277</v>
      </c>
      <c r="N9" s="488">
        <f t="shared" ref="N9:N36" si="8">M9*1.1</f>
        <v>1092.6600000000001</v>
      </c>
      <c r="O9" s="360">
        <f>'Tariffs 2022'!AT3</f>
        <v>8</v>
      </c>
      <c r="P9" s="360">
        <f>'Tariffs 2022'!AU3</f>
        <v>0</v>
      </c>
      <c r="Q9" s="360">
        <f>'Tariffs 2022'!AV3</f>
        <v>0</v>
      </c>
      <c r="R9" s="360">
        <f>'Tariffs 2022'!AW3</f>
        <v>0</v>
      </c>
      <c r="S9" s="312" t="str">
        <f t="shared" ref="S9:S14" si="9">IF(SUM(O9:R9)=0,"No discount",IF(O9&gt;0,"Guaranteed off bill",IF(P9&gt;0,"Guaranteed off usage",IF(Q9&gt;0,"Pay-on-time off bill","Pay-on-time off usage"))))</f>
        <v>Guaranteed off bill</v>
      </c>
      <c r="T9" s="312" t="str">
        <f t="shared" si="2"/>
        <v>Exclusive</v>
      </c>
      <c r="U9" s="386">
        <f t="shared" si="3"/>
        <v>913.86109090909099</v>
      </c>
      <c r="V9" s="386">
        <f t="shared" si="4"/>
        <v>913.86109090909099</v>
      </c>
      <c r="W9" s="391">
        <f t="shared" si="5"/>
        <v>1005.2472000000001</v>
      </c>
      <c r="X9" s="391">
        <f t="shared" si="5"/>
        <v>1005.2472000000001</v>
      </c>
      <c r="Y9" s="363">
        <f>'Tariffs 2022'!BF3</f>
        <v>0</v>
      </c>
      <c r="Z9" s="363" t="str">
        <f>'Tariffs 2022'!BG3</f>
        <v>n</v>
      </c>
      <c r="AA9" s="503" t="s">
        <v>400</v>
      </c>
      <c r="AB9" s="498"/>
      <c r="AC9" s="498"/>
      <c r="AD9" s="498"/>
      <c r="AE9" s="498"/>
      <c r="AF9" s="498"/>
      <c r="AG9" s="498"/>
      <c r="AH9" s="498"/>
      <c r="AI9" s="498"/>
      <c r="AJ9" s="498"/>
      <c r="AK9" s="498"/>
      <c r="AL9" s="498"/>
      <c r="AM9" s="498"/>
      <c r="AN9" s="498"/>
    </row>
    <row r="10" spans="1:40" ht="25" customHeight="1" x14ac:dyDescent="0.3">
      <c r="A10" s="309" t="str">
        <f>'Tariffs 2022'!F4</f>
        <v>Origin Energy</v>
      </c>
      <c r="B10" s="360" t="str">
        <f>'Tariffs 2022'!D4</f>
        <v>Jemena Coastal Network</v>
      </c>
      <c r="C10" s="360" t="str">
        <f>'Tariffs 2022'!G4</f>
        <v>Go Variable</v>
      </c>
      <c r="D10" s="361">
        <f>60*'Tariffs 2022'!H4/100</f>
        <v>36.376363636363628</v>
      </c>
      <c r="E10" s="361">
        <f>IF('Tariffs 2022'!K4="",$C$5*'Tariffs 2022'!W4/100,IF($C$5&gt;='Tariffs 2022'!L4,('Tariffs 2022'!L4*'Tariffs 2022'!W4/100),($C$5*'Tariffs 2022'!W4/100)))</f>
        <v>45.615272727272725</v>
      </c>
      <c r="F10" s="361">
        <f>IF(AND('Tariffs 2022'!L4&gt;0,'Tariffs 2022'!M4&gt;0),IF($C$5&lt;'Tariffs 2022'!L4,0,IF(($C$5-'Tariffs 2022'!L4)&lt;=('Tariffs 2022'!M4+'Tariffs 2022'!L4),(($C$5-'Tariffs 2022'!L4)*'Tariffs 2022'!X4/100),(('Tariffs 2022'!M4)*'Tariffs 2022'!X4/100))),0)</f>
        <v>66.693454545454543</v>
      </c>
      <c r="G10" s="361">
        <f>IF(AND('Tariffs 2022'!M4&gt;0,'Tariffs 2022'!N4&gt;0),IF($C$5&lt;('Tariffs 2022'!L4+'Tariffs 2022'!M4),0,IF(($C$5-'Tariffs 2022'!L4+'Tariffs 2022'!M4)&lt;=('Tariffs 2022'!L4+'Tariffs 2022'!M4+'Tariffs 2022'!N4),(($C$5-('Tariffs 2022'!L4+'Tariffs 2022'!M4))*'Tariffs 2022'!Y4/100),('Tariffs 2022'!N4*'Tariffs 2022'!Y4/100))),0)</f>
        <v>0</v>
      </c>
      <c r="H10" s="361">
        <f>IF(AND('Tariffs 2022'!N4&gt;0,'Tariffs 2022'!O4&gt;0),IF($C$5&lt;('Tariffs 2022'!L4+'Tariffs 2022'!M4+'Tariffs 2022'!N4),0,IF(($C$5-'Tariffs 2022'!L4+'Tariffs 2022'!M4+'Tariffs 2022'!N4)&lt;=('Tariffs 2022'!L4+'Tariffs 2022'!M4+'Tariffs 2022'!N4+'Tariffs 2022'!O4),(($C$5-('Tariffs 2022'!L4+'Tariffs 2022'!M4+'Tariffs 2022'!N4))*'Tariffs 2022'!Z4/100),('Tariffs 2022'!O4*'Tariffs 2022'!Z4/100))),0)</f>
        <v>0</v>
      </c>
      <c r="I10" s="361">
        <f>IF(AND('Tariffs 2022'!O4&gt;0,'Tariffs 2022'!P4&gt;0),IF($C$5&lt;('Tariffs 2022'!L4+'Tariffs 2022'!M4+'Tariffs 2022'!N4+'Tariffs 2022'!O4),0,IF(($C$5-'Tariffs 2022'!L4+'Tariffs 2022'!M4+'Tariffs 2022'!N4+'Tariffs 2022'!O4)&lt;=('Tariffs 2022'!L4+'Tariffs 2022'!M4+'Tariffs 2022'!N4+'Tariffs 2022'!O4+'Tariffs 2022'!P4),(($C$5-('Tariffs 2022'!L4+'Tariffs 2022'!M4+'Tariffs 2022'!N4+'Tariffs 2022'!O4))*'Tariffs 2022'!AA4/100),('Tariffs 2022'!P4*'Tariffs 2022'!AA4/100))),0)</f>
        <v>0</v>
      </c>
      <c r="J10" s="361">
        <f>IF(AND('Tariffs 2022'!P4&gt;0,'Tariffs 2022'!O4&gt;0),IF(($C$5&lt;SUM('Tariffs 2022'!L4:P4)),(0),($C$5-SUM('Tariffs 2022'!L4:P4))*'Tariffs 2022'!AB4/100),IF(AND('Tariffs 2022'!O4&gt;0,'Tariffs 2022'!P4=""),IF(($C$5&lt; SUM('Tariffs 2022'!L4:O4)),(0),($C$5-SUM('Tariffs 2022'!L4:O4))*'Tariffs 2022'!AA4/100),IF(AND('Tariffs 2022'!N4&gt;0,'Tariffs 2022'!O4=""),IF(($C$5&lt; SUM('Tariffs 2022'!L4:N4)),(0),($C$5-SUM('Tariffs 2022'!L4:N4))*'Tariffs 2022'!Z4/100),IF(AND('Tariffs 2022'!M4&gt;0,'Tariffs 2022'!N4=""),IF(($C$5&lt;'Tariffs 2022'!M4+'Tariffs 2022'!L4),(0),(($C$5-('Tariffs 2022'!M4+'Tariffs 2022'!L4))*'Tariffs 2022'!Y4/100)),IF(AND('Tariffs 2022'!L4&gt;0,'Tariffs 2022'!M4=""&gt;0),IF(($C$5&lt;'Tariffs 2022'!L4),(0),($C$5-'Tariffs 2022'!L4)*'Tariffs 2022'!X4/100),0)))))</f>
        <v>0</v>
      </c>
      <c r="K10" s="361">
        <f t="shared" si="0"/>
        <v>148.68509090909089</v>
      </c>
      <c r="L10" s="378">
        <f t="shared" si="6"/>
        <v>673.85236363636363</v>
      </c>
      <c r="M10" s="379">
        <f t="shared" si="7"/>
        <v>892.11054545454533</v>
      </c>
      <c r="N10" s="488">
        <f t="shared" si="8"/>
        <v>981.32159999999999</v>
      </c>
      <c r="O10" s="360">
        <f>'Tariffs 2022'!AT4</f>
        <v>0</v>
      </c>
      <c r="P10" s="360">
        <f>'Tariffs 2022'!AU4</f>
        <v>0</v>
      </c>
      <c r="Q10" s="360">
        <f>'Tariffs 2022'!AV4</f>
        <v>0</v>
      </c>
      <c r="R10" s="360">
        <f>'Tariffs 2022'!AW4</f>
        <v>0</v>
      </c>
      <c r="S10" s="312" t="str">
        <f t="shared" si="9"/>
        <v>No discount</v>
      </c>
      <c r="T10" s="312" t="str">
        <f t="shared" si="2"/>
        <v>Inclusive</v>
      </c>
      <c r="U10" s="386">
        <f t="shared" si="3"/>
        <v>892.11054545454533</v>
      </c>
      <c r="V10" s="386">
        <f t="shared" si="4"/>
        <v>892.11054545454533</v>
      </c>
      <c r="W10" s="391">
        <f t="shared" si="5"/>
        <v>981.32159999999999</v>
      </c>
      <c r="X10" s="391">
        <f t="shared" si="5"/>
        <v>981.32159999999999</v>
      </c>
      <c r="Y10" s="363">
        <f>'Tariffs 2022'!BF4</f>
        <v>0</v>
      </c>
      <c r="Z10" s="363" t="str">
        <f>'Tariffs 2022'!BG4</f>
        <v>n</v>
      </c>
      <c r="AA10" s="503" t="s">
        <v>288</v>
      </c>
      <c r="AB10" s="498"/>
      <c r="AC10" s="498"/>
      <c r="AD10" s="498"/>
      <c r="AE10" s="498"/>
      <c r="AF10" s="498"/>
      <c r="AG10" s="498"/>
      <c r="AH10" s="498"/>
      <c r="AI10" s="498"/>
      <c r="AJ10" s="498"/>
      <c r="AK10" s="498"/>
      <c r="AL10" s="498"/>
      <c r="AM10" s="498"/>
      <c r="AN10" s="498"/>
    </row>
    <row r="11" spans="1:40" ht="25" customHeight="1" x14ac:dyDescent="0.3">
      <c r="A11" s="309" t="str">
        <f>'Tariffs 2022'!F5</f>
        <v>Red Energy</v>
      </c>
      <c r="B11" s="360" t="str">
        <f>'Tariffs 2022'!D5</f>
        <v>Jemena Coastal Network</v>
      </c>
      <c r="C11" s="360" t="str">
        <f>'Tariffs 2022'!G5</f>
        <v>Living Energy Saver</v>
      </c>
      <c r="D11" s="361">
        <f>60*'Tariffs 2022'!H5/100</f>
        <v>35.994545454545452</v>
      </c>
      <c r="E11" s="361">
        <f>IF('Tariffs 2022'!K5="",$C$5*'Tariffs 2022'!W5/100,IF($C$5&gt;='Tariffs 2022'!L5,('Tariffs 2022'!L5*'Tariffs 2022'!W5/100),($C$5*'Tariffs 2022'!W5/100)))</f>
        <v>37.147090909090906</v>
      </c>
      <c r="F11" s="361">
        <f>IF(AND('Tariffs 2022'!L5&gt;0,'Tariffs 2022'!M5&gt;0),IF($C$5&lt;'Tariffs 2022'!L5,0,IF(($C$5-'Tariffs 2022'!L5)&lt;=('Tariffs 2022'!M5+'Tariffs 2022'!L5),(($C$5-'Tariffs 2022'!L5)*'Tariffs 2022'!X5/100),(('Tariffs 2022'!M5)*'Tariffs 2022'!X5/100))),0)</f>
        <v>29.105818181818179</v>
      </c>
      <c r="G11" s="361">
        <f>IF(AND('Tariffs 2022'!M5&gt;0,'Tariffs 2022'!N5&gt;0),IF($C$5&lt;('Tariffs 2022'!L5+'Tariffs 2022'!M5),0,IF(($C$5-'Tariffs 2022'!L5+'Tariffs 2022'!M5)&lt;=('Tariffs 2022'!L5+'Tariffs 2022'!M5+'Tariffs 2022'!N5),(($C$5-('Tariffs 2022'!L5+'Tariffs 2022'!M5))*'Tariffs 2022'!Y5/100),('Tariffs 2022'!N5*'Tariffs 2022'!Y5/100))),0)</f>
        <v>33.512727272727268</v>
      </c>
      <c r="H11" s="361">
        <f>IF(AND('Tariffs 2022'!N5&gt;0,'Tariffs 2022'!O5&gt;0),IF($C$5&lt;('Tariffs 2022'!L5+'Tariffs 2022'!M5+'Tariffs 2022'!N5),0,IF(($C$5-'Tariffs 2022'!L5+'Tariffs 2022'!M5+'Tariffs 2022'!N5)&lt;=('Tariffs 2022'!L5+'Tariffs 2022'!M5+'Tariffs 2022'!N5+'Tariffs 2022'!O5),(($C$5-('Tariffs 2022'!L5+'Tariffs 2022'!M5+'Tariffs 2022'!N5))*'Tariffs 2022'!Z5/100),('Tariffs 2022'!O5*'Tariffs 2022'!Z5/100))),0)</f>
        <v>0</v>
      </c>
      <c r="I11" s="361">
        <f>IF(AND('Tariffs 2022'!O5&gt;0,'Tariffs 2022'!P5&gt;0),IF($C$5&lt;('Tariffs 2022'!L5+'Tariffs 2022'!M5+'Tariffs 2022'!N5+'Tariffs 2022'!O5),0,IF(($C$5-'Tariffs 2022'!L5+'Tariffs 2022'!M5+'Tariffs 2022'!N5+'Tariffs 2022'!O5)&lt;=('Tariffs 2022'!L5+'Tariffs 2022'!M5+'Tariffs 2022'!N5+'Tariffs 2022'!O5+'Tariffs 2022'!P5),(($C$5-('Tariffs 2022'!L5+'Tariffs 2022'!M5+'Tariffs 2022'!N5+'Tariffs 2022'!O5))*'Tariffs 2022'!AA5/100),('Tariffs 2022'!P5*'Tariffs 2022'!AA5/100))),0)</f>
        <v>0</v>
      </c>
      <c r="J11" s="361">
        <f>IF(AND('Tariffs 2022'!P5&gt;0,'Tariffs 2022'!O5&gt;0),IF(($C$5&lt;SUM('Tariffs 2022'!L5:P5)),(0),($C$5-SUM('Tariffs 2022'!L5:P5))*'Tariffs 2022'!AB5/100),IF(AND('Tariffs 2022'!O5&gt;0,'Tariffs 2022'!P5=""),IF(($C$5&lt; SUM('Tariffs 2022'!L5:O5)),(0),($C$5-SUM('Tariffs 2022'!L5:O5))*'Tariffs 2022'!AA5/100),IF(AND('Tariffs 2022'!N5&gt;0,'Tariffs 2022'!O5=""),IF(($C$5&lt; SUM('Tariffs 2022'!L5:N5)),(0),($C$5-SUM('Tariffs 2022'!L5:N5))*'Tariffs 2022'!Z5/100),IF(AND('Tariffs 2022'!M5&gt;0,'Tariffs 2022'!N5=""),IF(($C$5&lt;'Tariffs 2022'!M5+'Tariffs 2022'!L5),(0),(($C$5-('Tariffs 2022'!M5+'Tariffs 2022'!L5))*'Tariffs 2022'!Y5/100)),IF(AND('Tariffs 2022'!L5&gt;0,'Tariffs 2022'!M5=""&gt;0),IF(($C$5&lt;'Tariffs 2022'!L5),(0),($C$5-'Tariffs 2022'!L5)*'Tariffs 2022'!X5/100),0)))))</f>
        <v>0</v>
      </c>
      <c r="K11" s="361">
        <f t="shared" si="0"/>
        <v>135.76018181818182</v>
      </c>
      <c r="L11" s="378">
        <f t="shared" si="6"/>
        <v>598.59381818181828</v>
      </c>
      <c r="M11" s="379">
        <f t="shared" si="7"/>
        <v>814.56109090909092</v>
      </c>
      <c r="N11" s="488">
        <f t="shared" si="8"/>
        <v>896.01720000000012</v>
      </c>
      <c r="O11" s="360">
        <f>'Tariffs 2022'!AT5</f>
        <v>0</v>
      </c>
      <c r="P11" s="360">
        <f>'Tariffs 2022'!AU5</f>
        <v>0</v>
      </c>
      <c r="Q11" s="360">
        <f>'Tariffs 2022'!AV5</f>
        <v>0</v>
      </c>
      <c r="R11" s="360">
        <f>'Tariffs 2022'!AW5</f>
        <v>0</v>
      </c>
      <c r="S11" s="312" t="str">
        <f t="shared" si="9"/>
        <v>No discount</v>
      </c>
      <c r="T11" s="312" t="str">
        <f t="shared" si="2"/>
        <v>Inclusive</v>
      </c>
      <c r="U11" s="386">
        <f t="shared" si="3"/>
        <v>814.56109090909092</v>
      </c>
      <c r="V11" s="386">
        <f t="shared" si="4"/>
        <v>814.56109090909092</v>
      </c>
      <c r="W11" s="391">
        <f t="shared" si="5"/>
        <v>896.01720000000012</v>
      </c>
      <c r="X11" s="391">
        <f t="shared" si="5"/>
        <v>896.01720000000012</v>
      </c>
      <c r="Y11" s="363">
        <f>'Tariffs 2022'!BF5</f>
        <v>0</v>
      </c>
      <c r="Z11" s="364" t="str">
        <f>'Tariffs 2022'!BG5</f>
        <v>n</v>
      </c>
      <c r="AA11" s="503" t="s">
        <v>288</v>
      </c>
      <c r="AB11" s="498"/>
      <c r="AC11" s="498"/>
      <c r="AD11" s="498"/>
      <c r="AE11" s="498"/>
      <c r="AF11" s="498"/>
      <c r="AG11" s="498"/>
      <c r="AH11" s="498"/>
      <c r="AI11" s="498"/>
      <c r="AJ11" s="498"/>
      <c r="AK11" s="498"/>
      <c r="AL11" s="498"/>
      <c r="AM11" s="498"/>
      <c r="AN11" s="498"/>
    </row>
    <row r="12" spans="1:40" ht="25" customHeight="1" x14ac:dyDescent="0.3">
      <c r="A12" s="309" t="str">
        <f>'Tariffs 2022'!F6</f>
        <v>Simply Energy</v>
      </c>
      <c r="B12" s="360" t="str">
        <f>'Tariffs 2022'!D6</f>
        <v>Jemena Coastal Network</v>
      </c>
      <c r="C12" s="360" t="str">
        <f>'Tariffs 2022'!G6</f>
        <v>NRMA</v>
      </c>
      <c r="D12" s="361">
        <f>60*'Tariffs 2022'!H6/100</f>
        <v>31.799999999999997</v>
      </c>
      <c r="E12" s="361">
        <f>IF('Tariffs 2022'!K6="",$C$5*'Tariffs 2022'!W6/100,IF($C$5&gt;='Tariffs 2022'!L6,('Tariffs 2022'!L6*'Tariffs 2022'!W6/100),($C$5*'Tariffs 2022'!W6/100)))</f>
        <v>63.014545454545448</v>
      </c>
      <c r="F12" s="361">
        <f>IF(AND('Tariffs 2022'!L6&gt;0,'Tariffs 2022'!M6&gt;0),IF($C$5&lt;'Tariffs 2022'!L6,0,IF(($C$5-'Tariffs 2022'!L6)&lt;=('Tariffs 2022'!M6+'Tariffs 2022'!L6),(($C$5-'Tariffs 2022'!L6)*'Tariffs 2022'!X6/100),(('Tariffs 2022'!M6)*'Tariffs 2022'!X6/100))),0)</f>
        <v>41.258181818181818</v>
      </c>
      <c r="G12" s="361">
        <f>IF(AND('Tariffs 2022'!M6&gt;0,'Tariffs 2022'!N6&gt;0),IF($C$5&lt;('Tariffs 2022'!L6+'Tariffs 2022'!M6),0,IF(($C$5-'Tariffs 2022'!L6+'Tariffs 2022'!M6)&lt;=('Tariffs 2022'!L6+'Tariffs 2022'!M6+'Tariffs 2022'!N6),(($C$5-('Tariffs 2022'!L6+'Tariffs 2022'!M6))*'Tariffs 2022'!Y6/100),('Tariffs 2022'!N6*'Tariffs 2022'!Y6/100))),0)</f>
        <v>48.16</v>
      </c>
      <c r="H12" s="361">
        <f>IF(AND('Tariffs 2022'!N6&gt;0,'Tariffs 2022'!O6&gt;0),IF($C$5&lt;('Tariffs 2022'!L6+'Tariffs 2022'!M6+'Tariffs 2022'!N6),0,IF(($C$5-'Tariffs 2022'!L6+'Tariffs 2022'!M6+'Tariffs 2022'!N6)&lt;=('Tariffs 2022'!L6+'Tariffs 2022'!M6+'Tariffs 2022'!N6+'Tariffs 2022'!O6),(($C$5-('Tariffs 2022'!L6+'Tariffs 2022'!M6+'Tariffs 2022'!N6))*'Tariffs 2022'!Z6/100),('Tariffs 2022'!O6*'Tariffs 2022'!Z6/100))),0)</f>
        <v>0</v>
      </c>
      <c r="I12" s="361">
        <f>IF(AND('Tariffs 2022'!O6&gt;0,'Tariffs 2022'!P6&gt;0),IF($C$5&lt;('Tariffs 2022'!L6+'Tariffs 2022'!M6+'Tariffs 2022'!N6+'Tariffs 2022'!O6),0,IF(($C$5-'Tariffs 2022'!L6+'Tariffs 2022'!M6+'Tariffs 2022'!N6+'Tariffs 2022'!O6)&lt;=('Tariffs 2022'!L6+'Tariffs 2022'!M6+'Tariffs 2022'!N6+'Tariffs 2022'!O6+'Tariffs 2022'!P6),(($C$5-('Tariffs 2022'!L6+'Tariffs 2022'!M6+'Tariffs 2022'!N6+'Tariffs 2022'!O6))*'Tariffs 2022'!AA6/100),('Tariffs 2022'!P6*'Tariffs 2022'!AA6/100))),0)</f>
        <v>0</v>
      </c>
      <c r="J12" s="361">
        <f>IF(AND('Tariffs 2022'!P6&gt;0,'Tariffs 2022'!O6&gt;0),IF(($C$5&lt;SUM('Tariffs 2022'!L6:P6)),(0),($C$5-SUM('Tariffs 2022'!L6:P6))*'Tariffs 2022'!AB6/100),IF(AND('Tariffs 2022'!O6&gt;0,'Tariffs 2022'!P6=""),IF(($C$5&lt; SUM('Tariffs 2022'!L6:O6)),(0),($C$5-SUM('Tariffs 2022'!L6:O6))*'Tariffs 2022'!AA6/100),IF(AND('Tariffs 2022'!N6&gt;0,'Tariffs 2022'!O6=""),IF(($C$5&lt; SUM('Tariffs 2022'!L6:N6)),(0),($C$5-SUM('Tariffs 2022'!L6:N6))*'Tariffs 2022'!Z6/100),IF(AND('Tariffs 2022'!M6&gt;0,'Tariffs 2022'!N6=""),IF(($C$5&lt;'Tariffs 2022'!M6+'Tariffs 2022'!L6),(0),(($C$5-('Tariffs 2022'!M6+'Tariffs 2022'!L6))*'Tariffs 2022'!Y6/100)),IF(AND('Tariffs 2022'!L6&gt;0,'Tariffs 2022'!M6=""&gt;0),IF(($C$5&lt;'Tariffs 2022'!L6),(0),($C$5-'Tariffs 2022'!L6)*'Tariffs 2022'!X6/100),0)))))</f>
        <v>0</v>
      </c>
      <c r="K12" s="361">
        <f t="shared" si="0"/>
        <v>184.23272727272726</v>
      </c>
      <c r="L12" s="378">
        <f t="shared" si="6"/>
        <v>914.59636363636355</v>
      </c>
      <c r="M12" s="379">
        <f t="shared" si="7"/>
        <v>1105.3963636363635</v>
      </c>
      <c r="N12" s="488">
        <f t="shared" si="8"/>
        <v>1215.9359999999999</v>
      </c>
      <c r="O12" s="360">
        <f>'Tariffs 2022'!AT6</f>
        <v>1</v>
      </c>
      <c r="P12" s="360">
        <f>'Tariffs 2022'!AU6</f>
        <v>0</v>
      </c>
      <c r="Q12" s="360">
        <f>'Tariffs 2022'!AV6</f>
        <v>0</v>
      </c>
      <c r="R12" s="360">
        <f>'Tariffs 2022'!AW6</f>
        <v>0</v>
      </c>
      <c r="S12" s="312" t="str">
        <f t="shared" si="9"/>
        <v>Guaranteed off bill</v>
      </c>
      <c r="T12" s="312" t="str">
        <f t="shared" si="2"/>
        <v>Exclusive</v>
      </c>
      <c r="U12" s="386">
        <f t="shared" si="3"/>
        <v>1094.3423999999998</v>
      </c>
      <c r="V12" s="386">
        <f t="shared" si="4"/>
        <v>1094.3423999999998</v>
      </c>
      <c r="W12" s="391">
        <f t="shared" si="5"/>
        <v>1203.7766399999998</v>
      </c>
      <c r="X12" s="391">
        <f t="shared" si="5"/>
        <v>1203.7766399999998</v>
      </c>
      <c r="Y12" s="363">
        <f>'Tariffs 2022'!BF6</f>
        <v>0</v>
      </c>
      <c r="Z12" s="363" t="str">
        <f>'Tariffs 2022'!BG6</f>
        <v>n</v>
      </c>
      <c r="AA12" s="503" t="s">
        <v>400</v>
      </c>
      <c r="AB12" s="498"/>
      <c r="AC12" s="498"/>
      <c r="AD12" s="498"/>
      <c r="AE12" s="498"/>
      <c r="AF12" s="498"/>
      <c r="AG12" s="498"/>
      <c r="AH12" s="498"/>
      <c r="AI12" s="498"/>
      <c r="AJ12" s="498"/>
      <c r="AK12" s="498"/>
      <c r="AL12" s="498"/>
      <c r="AM12" s="498"/>
      <c r="AN12" s="498"/>
    </row>
    <row r="13" spans="1:40" ht="25" customHeight="1" x14ac:dyDescent="0.3">
      <c r="A13" s="309" t="str">
        <f>'Tariffs 2022'!F7</f>
        <v>GloBird Energy</v>
      </c>
      <c r="B13" s="360" t="str">
        <f>'Tariffs 2022'!D7</f>
        <v>Jemena Coastal Network</v>
      </c>
      <c r="C13" s="360" t="str">
        <f>'Tariffs 2022'!G7</f>
        <v>GloSave</v>
      </c>
      <c r="D13" s="361">
        <f>60*'Tariffs 2022'!H7/100</f>
        <v>26.399999999999995</v>
      </c>
      <c r="E13" s="361">
        <f>IF('Tariffs 2022'!K7="",$C$5*'Tariffs 2022'!W7/100,IF($C$5&gt;='Tariffs 2022'!L7,('Tariffs 2022'!L7*'Tariffs 2022'!W7/100),($C$5*'Tariffs 2022'!W7/100)))</f>
        <v>63.75</v>
      </c>
      <c r="F13" s="361">
        <f>IF(AND('Tariffs 2022'!L7&gt;0,'Tariffs 2022'!M7&gt;0),IF($C$5&lt;'Tariffs 2022'!L7,0,IF(($C$5-'Tariffs 2022'!L7)&lt;=('Tariffs 2022'!M7+'Tariffs 2022'!L7),(($C$5-'Tariffs 2022'!L7)*'Tariffs 2022'!X7/100),(('Tariffs 2022'!M7)*'Tariffs 2022'!X7/100))),0)</f>
        <v>0</v>
      </c>
      <c r="G13" s="361">
        <f>IF(AND('Tariffs 2022'!M7&gt;0,'Tariffs 2022'!N7&gt;0),IF($C$5&lt;('Tariffs 2022'!L7+'Tariffs 2022'!M7),0,IF(($C$5-'Tariffs 2022'!L7+'Tariffs 2022'!M7)&lt;=('Tariffs 2022'!L7+'Tariffs 2022'!M7+'Tariffs 2022'!N7),(($C$5-('Tariffs 2022'!L7+'Tariffs 2022'!M7))*'Tariffs 2022'!Y7/100),('Tariffs 2022'!N7*'Tariffs 2022'!Y7/100))),0)</f>
        <v>0</v>
      </c>
      <c r="H13" s="361">
        <f>IF(AND('Tariffs 2022'!N7&gt;0,'Tariffs 2022'!O7&gt;0),IF($C$5&lt;('Tariffs 2022'!L7+'Tariffs 2022'!M7+'Tariffs 2022'!N7),0,IF(($C$5-'Tariffs 2022'!L7+'Tariffs 2022'!M7+'Tariffs 2022'!N7)&lt;=('Tariffs 2022'!L7+'Tariffs 2022'!M7+'Tariffs 2022'!N7+'Tariffs 2022'!O7),(($C$5-('Tariffs 2022'!L7+'Tariffs 2022'!M7+'Tariffs 2022'!N7))*'Tariffs 2022'!Z7/100),('Tariffs 2022'!O7*'Tariffs 2022'!Z7/100))),0)</f>
        <v>0</v>
      </c>
      <c r="I13" s="361">
        <f>IF(AND('Tariffs 2022'!O7&gt;0,'Tariffs 2022'!P7&gt;0),IF($C$5&lt;('Tariffs 2022'!L7+'Tariffs 2022'!M7+'Tariffs 2022'!N7+'Tariffs 2022'!O7),0,IF(($C$5-'Tariffs 2022'!L7+'Tariffs 2022'!M7+'Tariffs 2022'!N7+'Tariffs 2022'!O7)&lt;=('Tariffs 2022'!L7+'Tariffs 2022'!M7+'Tariffs 2022'!N7+'Tariffs 2022'!O7+'Tariffs 2022'!P7),(($C$5-('Tariffs 2022'!L7+'Tariffs 2022'!M7+'Tariffs 2022'!N7+'Tariffs 2022'!O7))*'Tariffs 2022'!AA7/100),('Tariffs 2022'!P7*'Tariffs 2022'!AA7/100))),0)</f>
        <v>0</v>
      </c>
      <c r="J13" s="361">
        <f>IF(AND('Tariffs 2022'!P7&gt;0,'Tariffs 2022'!O7&gt;0),IF(($C$5&lt;SUM('Tariffs 2022'!L7:P7)),(0),($C$5-SUM('Tariffs 2022'!L7:P7))*'Tariffs 2022'!AB7/100),IF(AND('Tariffs 2022'!O7&gt;0,'Tariffs 2022'!P7=""),IF(($C$5&lt; SUM('Tariffs 2022'!L7:O7)),(0),($C$5-SUM('Tariffs 2022'!L7:O7))*'Tariffs 2022'!AA7/100),IF(AND('Tariffs 2022'!N7&gt;0,'Tariffs 2022'!O7=""),IF(($C$5&lt; SUM('Tariffs 2022'!L7:N7)),(0),($C$5-SUM('Tariffs 2022'!L7:N7))*'Tariffs 2022'!Z7/100),IF(AND('Tariffs 2022'!M7&gt;0,'Tariffs 2022'!N7=""),IF(($C$5&lt;'Tariffs 2022'!M7+'Tariffs 2022'!L7),(0),(($C$5-('Tariffs 2022'!M7+'Tariffs 2022'!L7))*'Tariffs 2022'!Y7/100)),IF(AND('Tariffs 2022'!L7&gt;0,'Tariffs 2022'!M7=""&gt;0),IF(($C$5&lt;'Tariffs 2022'!L7),(0),($C$5-'Tariffs 2022'!L7)*'Tariffs 2022'!X7/100),0)))))</f>
        <v>110</v>
      </c>
      <c r="K13" s="361">
        <f t="shared" si="0"/>
        <v>200.14999999999998</v>
      </c>
      <c r="L13" s="378">
        <f t="shared" si="6"/>
        <v>1042.5</v>
      </c>
      <c r="M13" s="379">
        <f t="shared" si="7"/>
        <v>1200.8999999999999</v>
      </c>
      <c r="N13" s="488">
        <f t="shared" si="8"/>
        <v>1320.99</v>
      </c>
      <c r="O13" s="360">
        <f>'Tariffs 2022'!AT7</f>
        <v>0</v>
      </c>
      <c r="P13" s="360">
        <f>'Tariffs 2022'!AU7</f>
        <v>0</v>
      </c>
      <c r="Q13" s="360">
        <f>'Tariffs 2022'!AV7</f>
        <v>0</v>
      </c>
      <c r="R13" s="360">
        <f>'Tariffs 2022'!AW7</f>
        <v>0</v>
      </c>
      <c r="S13" s="489" t="str">
        <f t="shared" si="9"/>
        <v>No discount</v>
      </c>
      <c r="T13" s="489" t="str">
        <f t="shared" si="2"/>
        <v>Exclusive</v>
      </c>
      <c r="U13" s="386">
        <f t="shared" si="3"/>
        <v>1200.8999999999999</v>
      </c>
      <c r="V13" s="386">
        <f t="shared" si="4"/>
        <v>1200.8999999999999</v>
      </c>
      <c r="W13" s="391">
        <f t="shared" si="5"/>
        <v>1320.99</v>
      </c>
      <c r="X13" s="391">
        <f t="shared" si="5"/>
        <v>1320.99</v>
      </c>
      <c r="Y13" s="363">
        <f>'Tariffs 2022'!BF7</f>
        <v>0</v>
      </c>
      <c r="Z13" s="363" t="str">
        <f>'Tariffs 2022'!BG7</f>
        <v>n</v>
      </c>
      <c r="AA13" s="503" t="s">
        <v>400</v>
      </c>
      <c r="AB13" s="498"/>
      <c r="AC13" s="498"/>
      <c r="AD13" s="498"/>
      <c r="AE13" s="498"/>
      <c r="AF13" s="498"/>
      <c r="AG13" s="498"/>
      <c r="AH13" s="498"/>
      <c r="AI13" s="498"/>
      <c r="AJ13" s="498"/>
      <c r="AK13" s="498"/>
      <c r="AL13" s="498"/>
      <c r="AM13" s="498"/>
      <c r="AN13" s="498"/>
    </row>
    <row r="14" spans="1:40" ht="25" customHeight="1" x14ac:dyDescent="0.3">
      <c r="A14" s="360" t="str">
        <f>'Tariffs 2022'!F8</f>
        <v>Sumo Power</v>
      </c>
      <c r="B14" s="360" t="str">
        <f>'Tariffs 2022'!D8</f>
        <v>Jemena Coastal Network</v>
      </c>
      <c r="C14" s="360" t="str">
        <f>'Tariffs 2022'!G8</f>
        <v>Assure</v>
      </c>
      <c r="D14" s="361">
        <f>60*'Tariffs 2022'!H8/100</f>
        <v>39</v>
      </c>
      <c r="E14" s="361">
        <f>IF('Tariffs 2022'!K8="",$C$5*'Tariffs 2022'!W8/100,IF($C$5&gt;='Tariffs 2022'!L8,('Tariffs 2022'!L8*'Tariffs 2022'!W8/100),($C$5*'Tariffs 2022'!W8/100)))</f>
        <v>34.002054545454541</v>
      </c>
      <c r="F14" s="361">
        <f>IF(AND('Tariffs 2022'!L8&gt;0,'Tariffs 2022'!M8&gt;0),IF($C$5&lt;'Tariffs 2022'!L8,0,IF(($C$5-'Tariffs 2022'!L8)&lt;=('Tariffs 2022'!M8+'Tariffs 2022'!L8),(($C$5-'Tariffs 2022'!L8)*'Tariffs 2022'!X8/100),(('Tariffs 2022'!M8)*'Tariffs 2022'!X8/100))),0)</f>
        <v>57.153381818181799</v>
      </c>
      <c r="G14" s="361">
        <f>IF(AND('Tariffs 2022'!M8&gt;0,'Tariffs 2022'!N8&gt;0),IF($C$5&lt;('Tariffs 2022'!L8+'Tariffs 2022'!M8),0,IF(($C$5-'Tariffs 2022'!L8+'Tariffs 2022'!M8)&lt;=('Tariffs 2022'!L8+'Tariffs 2022'!M8+'Tariffs 2022'!N8),(($C$5-('Tariffs 2022'!L8+'Tariffs 2022'!M8))*'Tariffs 2022'!Y8/100),('Tariffs 2022'!N8*'Tariffs 2022'!Y8/100))),0)</f>
        <v>5.7485272727272649</v>
      </c>
      <c r="H14" s="361">
        <f>IF(AND('Tariffs 2022'!N8&gt;0,'Tariffs 2022'!O8&gt;0),IF($C$5&lt;('Tariffs 2022'!L8+'Tariffs 2022'!M8+'Tariffs 2022'!N8),0,IF(($C$5-'Tariffs 2022'!L8+'Tariffs 2022'!M8+'Tariffs 2022'!N8)&lt;=('Tariffs 2022'!L8+'Tariffs 2022'!M8+'Tariffs 2022'!N8+'Tariffs 2022'!O8),(($C$5-('Tariffs 2022'!L8+'Tariffs 2022'!M8+'Tariffs 2022'!N8))*'Tariffs 2022'!Z8/100),('Tariffs 2022'!O8*'Tariffs 2022'!Z8/100))),0)</f>
        <v>0</v>
      </c>
      <c r="I14" s="361">
        <f>IF(AND('Tariffs 2022'!O8&gt;0,'Tariffs 2022'!P8&gt;0),IF($C$5&lt;('Tariffs 2022'!L8+'Tariffs 2022'!M8+'Tariffs 2022'!N8+'Tariffs 2022'!O8),0,IF(($C$5-'Tariffs 2022'!L8+'Tariffs 2022'!M8+'Tariffs 2022'!N8+'Tariffs 2022'!O8)&lt;=('Tariffs 2022'!L8+'Tariffs 2022'!M8+'Tariffs 2022'!N8+'Tariffs 2022'!O8+'Tariffs 2022'!P8),(($C$5-('Tariffs 2022'!L8+'Tariffs 2022'!M8+'Tariffs 2022'!N8+'Tariffs 2022'!O8))*'Tariffs 2022'!AA8/100),('Tariffs 2022'!P8*'Tariffs 2022'!AA8/100))),0)</f>
        <v>0</v>
      </c>
      <c r="J14" s="361">
        <f>IF(AND('Tariffs 2022'!P8&gt;0,'Tariffs 2022'!O8&gt;0),IF(($C$5&lt;SUM('Tariffs 2022'!L8:P8)),(0),($C$5-SUM('Tariffs 2022'!L8:P8))*'Tariffs 2022'!AB8/100),IF(AND('Tariffs 2022'!O8&gt;0,'Tariffs 2022'!P8=""),IF(($C$5&lt; SUM('Tariffs 2022'!L8:O8)),(0),($C$5-SUM('Tariffs 2022'!L8:O8))*'Tariffs 2022'!AA8/100),IF(AND('Tariffs 2022'!N8&gt;0,'Tariffs 2022'!O8=""),IF(($C$5&lt; SUM('Tariffs 2022'!L8:N8)),(0),($C$5-SUM('Tariffs 2022'!L8:N8))*'Tariffs 2022'!Z8/100),IF(AND('Tariffs 2022'!M8&gt;0,'Tariffs 2022'!N8=""),IF(($C$5&lt;'Tariffs 2022'!M8+'Tariffs 2022'!L8),(0),(($C$5-('Tariffs 2022'!M8+'Tariffs 2022'!L8))*'Tariffs 2022'!Y8/100)),IF(AND('Tariffs 2022'!L8&gt;0,'Tariffs 2022'!M8=""&gt;0),IF(($C$5&lt;'Tariffs 2022'!L8),(0),($C$5-'Tariffs 2022'!L8)*'Tariffs 2022'!X8/100),0)))))</f>
        <v>0</v>
      </c>
      <c r="K14" s="361">
        <f t="shared" ref="K14" si="10">SUM(D14:J14)</f>
        <v>135.90396363636361</v>
      </c>
      <c r="L14" s="378">
        <f t="shared" si="6"/>
        <v>581.42378181818162</v>
      </c>
      <c r="M14" s="379">
        <f t="shared" si="7"/>
        <v>815.42378181818162</v>
      </c>
      <c r="N14" s="488">
        <f t="shared" si="8"/>
        <v>896.96615999999983</v>
      </c>
      <c r="O14" s="360">
        <f>'Tariffs 2022'!AT8</f>
        <v>0</v>
      </c>
      <c r="P14" s="360">
        <f>'Tariffs 2022'!AU8</f>
        <v>0</v>
      </c>
      <c r="Q14" s="360">
        <f>'Tariffs 2022'!AV8</f>
        <v>0</v>
      </c>
      <c r="R14" s="360">
        <f>'Tariffs 2022'!AW8</f>
        <v>0</v>
      </c>
      <c r="S14" s="489" t="str">
        <f t="shared" si="9"/>
        <v>No discount</v>
      </c>
      <c r="T14" s="489" t="str">
        <f t="shared" si="2"/>
        <v>Exclusive</v>
      </c>
      <c r="U14" s="386">
        <f t="shared" si="3"/>
        <v>815.42378181818162</v>
      </c>
      <c r="V14" s="386">
        <f t="shared" si="4"/>
        <v>815.42378181818162</v>
      </c>
      <c r="W14" s="391">
        <f t="shared" si="5"/>
        <v>896.96615999999983</v>
      </c>
      <c r="X14" s="391">
        <f t="shared" si="5"/>
        <v>896.96615999999983</v>
      </c>
      <c r="Y14" s="363">
        <f>'Tariffs 2022'!BF8</f>
        <v>0</v>
      </c>
      <c r="Z14" s="363" t="str">
        <f>'Tariffs 2022'!BG8</f>
        <v>n</v>
      </c>
      <c r="AA14" s="508" t="s">
        <v>400</v>
      </c>
      <c r="AB14" s="498"/>
      <c r="AC14" s="498"/>
      <c r="AD14" s="498"/>
      <c r="AE14" s="498"/>
      <c r="AF14" s="498"/>
      <c r="AG14" s="498"/>
      <c r="AH14" s="498"/>
      <c r="AI14" s="498"/>
      <c r="AJ14" s="498"/>
      <c r="AK14" s="498"/>
      <c r="AL14" s="498"/>
      <c r="AM14" s="498"/>
      <c r="AN14" s="498"/>
    </row>
    <row r="15" spans="1:40" ht="25" customHeight="1" x14ac:dyDescent="0.3">
      <c r="A15" s="360" t="str">
        <f>'Tariffs 2022'!F9</f>
        <v>Kogan Energy</v>
      </c>
      <c r="B15" s="360" t="str">
        <f>'Tariffs 2022'!D9</f>
        <v>Jemena Coastal Network</v>
      </c>
      <c r="C15" s="360" t="str">
        <f>'Tariffs 2022'!G9</f>
        <v>Kogan First</v>
      </c>
      <c r="D15" s="361">
        <f>60*'Tariffs 2022'!H9/100</f>
        <v>31.355999999999998</v>
      </c>
      <c r="E15" s="361">
        <f>IF('Tariffs 2022'!K9="",$C$5*'Tariffs 2022'!W9/100,IF($C$5&gt;='Tariffs 2022'!L9,('Tariffs 2022'!L9*'Tariffs 2022'!W9/100),($C$5*'Tariffs 2022'!W9/100)))</f>
        <v>104</v>
      </c>
      <c r="F15" s="361">
        <f>IF(AND('Tariffs 2022'!L9&gt;0,'Tariffs 2022'!M9&gt;0),IF($C$5&lt;'Tariffs 2022'!L9,0,IF(($C$5-'Tariffs 2022'!L9)&lt;=('Tariffs 2022'!M9+'Tariffs 2022'!L9),(($C$5-'Tariffs 2022'!L9)*'Tariffs 2022'!X9/100),(('Tariffs 2022'!M9)*'Tariffs 2022'!X9/100))),0)</f>
        <v>0</v>
      </c>
      <c r="G15" s="361">
        <f>IF(AND('Tariffs 2022'!M9&gt;0,'Tariffs 2022'!N9&gt;0),IF($C$5&lt;('Tariffs 2022'!L9+'Tariffs 2022'!M9),0,IF(($C$5-'Tariffs 2022'!L9+'Tariffs 2022'!M9)&lt;=('Tariffs 2022'!L9+'Tariffs 2022'!M9+'Tariffs 2022'!N9),(($C$5-('Tariffs 2022'!L9+'Tariffs 2022'!M9))*'Tariffs 2022'!Y9/100),('Tariffs 2022'!N9*'Tariffs 2022'!Y9/100))),0)</f>
        <v>0</v>
      </c>
      <c r="H15" s="361">
        <f>IF(AND('Tariffs 2022'!N9&gt;0,'Tariffs 2022'!O9&gt;0),IF($C$5&lt;('Tariffs 2022'!L9+'Tariffs 2022'!M9+'Tariffs 2022'!N9),0,IF(($C$5-'Tariffs 2022'!L9+'Tariffs 2022'!M9+'Tariffs 2022'!N9)&lt;=('Tariffs 2022'!L9+'Tariffs 2022'!M9+'Tariffs 2022'!N9+'Tariffs 2022'!O9),(($C$5-('Tariffs 2022'!L9+'Tariffs 2022'!M9+'Tariffs 2022'!N9))*'Tariffs 2022'!Z9/100),('Tariffs 2022'!O9*'Tariffs 2022'!Z9/100))),0)</f>
        <v>0</v>
      </c>
      <c r="I15" s="361">
        <f>IF(AND('Tariffs 2022'!O9&gt;0,'Tariffs 2022'!P9&gt;0),IF($C$5&lt;('Tariffs 2022'!L9+'Tariffs 2022'!M9+'Tariffs 2022'!N9+'Tariffs 2022'!O9),0,IF(($C$5-'Tariffs 2022'!L9+'Tariffs 2022'!M9+'Tariffs 2022'!N9+'Tariffs 2022'!O9)&lt;=('Tariffs 2022'!L9+'Tariffs 2022'!M9+'Tariffs 2022'!N9+'Tariffs 2022'!O9+'Tariffs 2022'!P9),(($C$5-('Tariffs 2022'!L9+'Tariffs 2022'!M9+'Tariffs 2022'!N9+'Tariffs 2022'!O9))*'Tariffs 2022'!AA9/100),('Tariffs 2022'!P9*'Tariffs 2022'!AA9/100))),0)</f>
        <v>0</v>
      </c>
      <c r="J15" s="361">
        <f>IF(AND('Tariffs 2022'!P9&gt;0,'Tariffs 2022'!O9&gt;0),IF(($C$5&lt;SUM('Tariffs 2022'!L9:P9)),(0),($C$5-SUM('Tariffs 2022'!L9:P9))*'Tariffs 2022'!AB9/100),IF(AND('Tariffs 2022'!O9&gt;0,'Tariffs 2022'!P9=""),IF(($C$5&lt; SUM('Tariffs 2022'!L9:O9)),(0),($C$5-SUM('Tariffs 2022'!L9:O9))*'Tariffs 2022'!AA9/100),IF(AND('Tariffs 2022'!N9&gt;0,'Tariffs 2022'!O9=""),IF(($C$5&lt; SUM('Tariffs 2022'!L9:N9)),(0),($C$5-SUM('Tariffs 2022'!L9:N9))*'Tariffs 2022'!Z9/100),IF(AND('Tariffs 2022'!M9&gt;0,'Tariffs 2022'!N9=""),IF(($C$5&lt;'Tariffs 2022'!M9+'Tariffs 2022'!L9),(0),(($C$5-('Tariffs 2022'!M9+'Tariffs 2022'!L9))*'Tariffs 2022'!Y9/100)),IF(AND('Tariffs 2022'!L9&gt;0,'Tariffs 2022'!M9=""&gt;0),IF(($C$5&lt;'Tariffs 2022'!L9),(0),($C$5-'Tariffs 2022'!L9)*'Tariffs 2022'!X9/100),0)))))</f>
        <v>0</v>
      </c>
      <c r="K15" s="361">
        <f t="shared" ref="K15:K16" si="11">SUM(D15:J15)</f>
        <v>135.35599999999999</v>
      </c>
      <c r="L15" s="378">
        <f t="shared" ref="L15:L16" si="12">(K15*6)-(D15*6)</f>
        <v>624</v>
      </c>
      <c r="M15" s="379">
        <f t="shared" ref="M15:M16" si="13">K15*6</f>
        <v>812.13599999999997</v>
      </c>
      <c r="N15" s="488">
        <f t="shared" ref="N15:N16" si="14">M15*1.1</f>
        <v>893.34960000000001</v>
      </c>
      <c r="O15" s="360">
        <f>'Tariffs 2022'!AT9</f>
        <v>0</v>
      </c>
      <c r="P15" s="360">
        <f>'Tariffs 2022'!AU9</f>
        <v>0</v>
      </c>
      <c r="Q15" s="360">
        <f>'Tariffs 2022'!AV9</f>
        <v>0</v>
      </c>
      <c r="R15" s="360">
        <f>'Tariffs 2022'!AW9</f>
        <v>0</v>
      </c>
      <c r="S15" s="489" t="str">
        <f t="shared" ref="S15:S16" si="15">IF(SUM(O15:R15)=0,"No discount",IF(O15&gt;0,"Guaranteed off bill",IF(P15&gt;0,"Guaranteed off usage",IF(Q15&gt;0,"Pay-on-time off bill","Pay-on-time off usage"))))</f>
        <v>No discount</v>
      </c>
      <c r="T15" s="489" t="str">
        <f t="shared" ref="T15:T16" si="16">IF(OR(A15="Origin Energy",A15="Red Energy",A15="Powershop"),"Inclusive","Exclusive")</f>
        <v>Exclusive</v>
      </c>
      <c r="U15" s="386">
        <f t="shared" ref="U15:U16" si="17">IF(AND(S15="Guaranteed off bill",T15="Inclusive"),((M15*1.1)-((M15*1.1)*O15/100))/1.1,IF(AND(S15="Guaranteed off usage",T15="Inclusive"),((M15*1.1)-((L15*1.1)*P15/100))/1.1,IF(AND(S15="Guaranteed off bill",T15="Exclusive"),M15-(M15*O15/100),IF(AND(S15="Guaranteed off usage",T15="Exclusive"),M15-(L15*P15/100),IF(T15="Inclusive",((M15*1.1))/1.1,M15)))))</f>
        <v>812.13599999999997</v>
      </c>
      <c r="V15" s="386">
        <f t="shared" ref="V15:V16" si="18">IF(AND(S15="Pay-on-time off bill",T15="Inclusive"),((U15*1.1)-((U15*1.1)*Q15/100))/1.1,IF(AND(S15="Pay-on-time off usage",T15="Inclusive"),((U15*1.1)-((L15*1.1)*R15/100))/1.1,IF(AND(S15="Pay-on-time off bill",T15="Exclusive"),U15-(U15*Q15/100),IF(AND(S15="Pay-on-time off usage",T15="Exclusive"),U15-(L15*R15/100),IF(T15="Inclusive",((U15*1.1))/1.1,U15)))))</f>
        <v>812.13599999999997</v>
      </c>
      <c r="W15" s="391">
        <f t="shared" ref="W15:W16" si="19">U15*1.1</f>
        <v>893.34960000000001</v>
      </c>
      <c r="X15" s="391">
        <f t="shared" ref="X15:X16" si="20">V15*1.1</f>
        <v>893.34960000000001</v>
      </c>
      <c r="Y15" s="363">
        <f>'Tariffs 2022'!BF9</f>
        <v>0</v>
      </c>
      <c r="Z15" s="363" t="str">
        <f>'Tariffs 2022'!BG9</f>
        <v>n</v>
      </c>
      <c r="AA15" s="508" t="s">
        <v>400</v>
      </c>
      <c r="AB15" s="498"/>
      <c r="AC15" s="498"/>
      <c r="AD15" s="498"/>
      <c r="AE15" s="498"/>
      <c r="AF15" s="498"/>
      <c r="AG15" s="498"/>
      <c r="AH15" s="498"/>
      <c r="AI15" s="498"/>
      <c r="AJ15" s="498"/>
      <c r="AK15" s="498"/>
      <c r="AL15" s="498"/>
      <c r="AM15" s="498"/>
      <c r="AN15" s="498"/>
    </row>
    <row r="16" spans="1:40" ht="25" customHeight="1" thickBot="1" x14ac:dyDescent="0.35">
      <c r="A16" s="346" t="str">
        <f>'Tariffs 2022'!F10</f>
        <v>Powershop</v>
      </c>
      <c r="B16" s="346" t="str">
        <f>'Tariffs 2022'!D10</f>
        <v>Jemena Coastal Network</v>
      </c>
      <c r="C16" s="346" t="str">
        <f>'Tariffs 2022'!G10</f>
        <v>Carbon Neutral</v>
      </c>
      <c r="D16" s="347">
        <f>60*'Tariffs 2022'!H10/100</f>
        <v>30.6</v>
      </c>
      <c r="E16" s="347">
        <f>IF('Tariffs 2022'!K10="",$C$5*'Tariffs 2022'!W10/100,IF($C$5&gt;='Tariffs 2022'!L10,('Tariffs 2022'!L10*'Tariffs 2022'!W10/100),($C$5*'Tariffs 2022'!W10/100)))</f>
        <v>110.18181818181816</v>
      </c>
      <c r="F16" s="347">
        <f>IF(AND('Tariffs 2022'!L10&gt;0,'Tariffs 2022'!M10&gt;0),IF($C$5&lt;'Tariffs 2022'!L10,0,IF(($C$5-'Tariffs 2022'!L10)&lt;=('Tariffs 2022'!M10+'Tariffs 2022'!L10),(($C$5-'Tariffs 2022'!L10)*'Tariffs 2022'!X10/100),(('Tariffs 2022'!M10)*'Tariffs 2022'!X10/100))),0)</f>
        <v>0</v>
      </c>
      <c r="G16" s="347">
        <f>IF(AND('Tariffs 2022'!M10&gt;0,'Tariffs 2022'!N10&gt;0),IF($C$5&lt;('Tariffs 2022'!L10+'Tariffs 2022'!M10),0,IF(($C$5-'Tariffs 2022'!L10+'Tariffs 2022'!M10)&lt;=('Tariffs 2022'!L10+'Tariffs 2022'!M10+'Tariffs 2022'!N10),(($C$5-('Tariffs 2022'!L10+'Tariffs 2022'!M10))*'Tariffs 2022'!Y10/100),('Tariffs 2022'!N10*'Tariffs 2022'!Y10/100))),0)</f>
        <v>0</v>
      </c>
      <c r="H16" s="347">
        <f>IF(AND('Tariffs 2022'!N10&gt;0,'Tariffs 2022'!O10&gt;0),IF($C$5&lt;('Tariffs 2022'!L10+'Tariffs 2022'!M10+'Tariffs 2022'!N10),0,IF(($C$5-'Tariffs 2022'!L10+'Tariffs 2022'!M10+'Tariffs 2022'!N10)&lt;=('Tariffs 2022'!L10+'Tariffs 2022'!M10+'Tariffs 2022'!N10+'Tariffs 2022'!O10),(($C$5-('Tariffs 2022'!L10+'Tariffs 2022'!M10+'Tariffs 2022'!N10))*'Tariffs 2022'!Z10/100),('Tariffs 2022'!O10*'Tariffs 2022'!Z10/100))),0)</f>
        <v>0</v>
      </c>
      <c r="I16" s="347">
        <f>IF(AND('Tariffs 2022'!O10&gt;0,'Tariffs 2022'!P10&gt;0),IF($C$5&lt;('Tariffs 2022'!L10+'Tariffs 2022'!M10+'Tariffs 2022'!N10+'Tariffs 2022'!O10),0,IF(($C$5-'Tariffs 2022'!L10+'Tariffs 2022'!M10+'Tariffs 2022'!N10+'Tariffs 2022'!O10)&lt;=('Tariffs 2022'!L10+'Tariffs 2022'!M10+'Tariffs 2022'!N10+'Tariffs 2022'!O10+'Tariffs 2022'!P10),(($C$5-('Tariffs 2022'!L10+'Tariffs 2022'!M10+'Tariffs 2022'!N10+'Tariffs 2022'!O10))*'Tariffs 2022'!AA10/100),('Tariffs 2022'!P10*'Tariffs 2022'!AA10/100))),0)</f>
        <v>0</v>
      </c>
      <c r="J16" s="347">
        <f>IF(AND('Tariffs 2022'!P10&gt;0,'Tariffs 2022'!O10&gt;0),IF(($C$5&lt;SUM('Tariffs 2022'!L10:P10)),(0),($C$5-SUM('Tariffs 2022'!L10:P10))*'Tariffs 2022'!AB10/100),IF(AND('Tariffs 2022'!O10&gt;0,'Tariffs 2022'!P10=""),IF(($C$5&lt; SUM('Tariffs 2022'!L10:O10)),(0),($C$5-SUM('Tariffs 2022'!L10:O10))*'Tariffs 2022'!AA10/100),IF(AND('Tariffs 2022'!N10&gt;0,'Tariffs 2022'!O10=""),IF(($C$5&lt; SUM('Tariffs 2022'!L10:N10)),(0),($C$5-SUM('Tariffs 2022'!L10:N10))*'Tariffs 2022'!Z10/100),IF(AND('Tariffs 2022'!M10&gt;0,'Tariffs 2022'!N10=""),IF(($C$5&lt;'Tariffs 2022'!M10+'Tariffs 2022'!L10),(0),(($C$5-('Tariffs 2022'!M10+'Tariffs 2022'!L10))*'Tariffs 2022'!Y10/100)),IF(AND('Tariffs 2022'!L10&gt;0,'Tariffs 2022'!M10=""&gt;0),IF(($C$5&lt;'Tariffs 2022'!L10),(0),($C$5-'Tariffs 2022'!L10)*'Tariffs 2022'!X10/100),0)))))</f>
        <v>0</v>
      </c>
      <c r="K16" s="347">
        <f t="shared" si="11"/>
        <v>140.78181818181815</v>
      </c>
      <c r="L16" s="374">
        <f t="shared" si="12"/>
        <v>661.09090909090889</v>
      </c>
      <c r="M16" s="375">
        <f t="shared" si="13"/>
        <v>844.69090909090892</v>
      </c>
      <c r="N16" s="348">
        <f t="shared" si="14"/>
        <v>929.15999999999985</v>
      </c>
      <c r="O16" s="346">
        <f>'Tariffs 2022'!AT10</f>
        <v>0</v>
      </c>
      <c r="P16" s="346">
        <f>'Tariffs 2022'!AU10</f>
        <v>0</v>
      </c>
      <c r="Q16" s="346">
        <f>'Tariffs 2022'!AV10</f>
        <v>0</v>
      </c>
      <c r="R16" s="346">
        <f>'Tariffs 2022'!AW10</f>
        <v>0</v>
      </c>
      <c r="S16" s="490" t="str">
        <f t="shared" si="15"/>
        <v>No discount</v>
      </c>
      <c r="T16" s="490" t="str">
        <f t="shared" si="16"/>
        <v>Inclusive</v>
      </c>
      <c r="U16" s="384">
        <f t="shared" si="17"/>
        <v>844.69090909090892</v>
      </c>
      <c r="V16" s="384">
        <f t="shared" si="18"/>
        <v>844.69090909090892</v>
      </c>
      <c r="W16" s="393">
        <f t="shared" si="19"/>
        <v>929.15999999999985</v>
      </c>
      <c r="X16" s="393">
        <f t="shared" si="20"/>
        <v>929.15999999999985</v>
      </c>
      <c r="Y16" s="350">
        <f>'Tariffs 2022'!BF10</f>
        <v>0</v>
      </c>
      <c r="Z16" s="350" t="str">
        <f>'Tariffs 2022'!BG10</f>
        <v>n</v>
      </c>
      <c r="AA16" s="510" t="s">
        <v>400</v>
      </c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</row>
    <row r="17" spans="1:40" ht="25" customHeight="1" thickTop="1" x14ac:dyDescent="0.3">
      <c r="A17" s="309" t="str">
        <f>'Tariffs 2022'!F11</f>
        <v>EnergyAustralia</v>
      </c>
      <c r="B17" s="360" t="str">
        <f>'Tariffs 2022'!D11</f>
        <v>Jemena Capital Region</v>
      </c>
      <c r="C17" s="360" t="str">
        <f>'Tariffs 2022'!G11</f>
        <v>Flexi Plan</v>
      </c>
      <c r="D17" s="361">
        <f>60*'Tariffs 2022'!H11/100</f>
        <v>40.063636363636363</v>
      </c>
      <c r="E17" s="361">
        <f>IF('Tariffs 2022'!K11="",$C$5*'Tariffs 2022'!W11/100,IF($C$5&gt;='Tariffs 2022'!L11,('Tariffs 2022'!L11*'Tariffs 2022'!W11/100),($C$5*'Tariffs 2022'!W11/100)))</f>
        <v>49.934749090909079</v>
      </c>
      <c r="F17" s="361">
        <f>IF(AND('Tariffs 2022'!L11&gt;0,'Tariffs 2022'!M11&gt;0),IF($C$5&lt;'Tariffs 2022'!L11,0,IF(($C$5-'Tariffs 2022'!L11)&lt;=('Tariffs 2022'!M11+'Tariffs 2022'!L11),(($C$5-'Tariffs 2022'!L11)*'Tariffs 2022'!X11/100),(('Tariffs 2022'!M11)*'Tariffs 2022'!X11/100))),0)</f>
        <v>34.689861818181818</v>
      </c>
      <c r="G17" s="361">
        <f>IF(AND('Tariffs 2022'!M11&gt;0,'Tariffs 2022'!N11&gt;0),IF($C$5&lt;('Tariffs 2022'!L11+'Tariffs 2022'!M11),0,IF(($C$5-'Tariffs 2022'!L11+'Tariffs 2022'!M11)&lt;=('Tariffs 2022'!L11+'Tariffs 2022'!M11+'Tariffs 2022'!N11),(($C$5-('Tariffs 2022'!L11+'Tariffs 2022'!M11))*'Tariffs 2022'!Y11/100),('Tariffs 2022'!N11*'Tariffs 2022'!Y11/100))),0)</f>
        <v>41.56395636363635</v>
      </c>
      <c r="H17" s="361">
        <f>IF(AND('Tariffs 2022'!N11&gt;0,'Tariffs 2022'!O11&gt;0),IF($C$5&lt;('Tariffs 2022'!L11+'Tariffs 2022'!M11+'Tariffs 2022'!N11),0,IF(($C$5-'Tariffs 2022'!L11+'Tariffs 2022'!M11+'Tariffs 2022'!N11)&lt;=('Tariffs 2022'!L11+'Tariffs 2022'!M11+'Tariffs 2022'!N11+'Tariffs 2022'!O11),(($C$5-('Tariffs 2022'!L11+'Tariffs 2022'!M11+'Tariffs 2022'!N11))*'Tariffs 2022'!Z11/100),('Tariffs 2022'!O11*'Tariffs 2022'!Z11/100))),0)</f>
        <v>0</v>
      </c>
      <c r="I17" s="361">
        <f>IF(AND('Tariffs 2022'!O11&gt;0,'Tariffs 2022'!P11&gt;0),IF($C$5&lt;('Tariffs 2022'!L11+'Tariffs 2022'!M11+'Tariffs 2022'!N11+'Tariffs 2022'!O11),0,IF(($C$5-'Tariffs 2022'!L11+'Tariffs 2022'!M11+'Tariffs 2022'!N11+'Tariffs 2022'!O11)&lt;=('Tariffs 2022'!L11+'Tariffs 2022'!M11+'Tariffs 2022'!N11+'Tariffs 2022'!O11+'Tariffs 2022'!P11),(($C$5-('Tariffs 2022'!L11+'Tariffs 2022'!M11+'Tariffs 2022'!N11+'Tariffs 2022'!O11))*'Tariffs 2022'!AA11/100),('Tariffs 2022'!P11*'Tariffs 2022'!AA11/100))),0)</f>
        <v>0</v>
      </c>
      <c r="J17" s="361">
        <f>IF(AND('Tariffs 2022'!P11&gt;0,'Tariffs 2022'!O11&gt;0),IF(($C$5&lt;SUM('Tariffs 2022'!L11:P11)),(0),($C$5-SUM('Tariffs 2022'!L11:P11))*'Tariffs 2022'!AB11/100),IF(AND('Tariffs 2022'!O11&gt;0,'Tariffs 2022'!P11=""),IF(($C$5&lt; SUM('Tariffs 2022'!L11:O11)),(0),($C$5-SUM('Tariffs 2022'!L11:O11))*'Tariffs 2022'!AA11/100),IF(AND('Tariffs 2022'!N11&gt;0,'Tariffs 2022'!O11=""),IF(($C$5&lt; SUM('Tariffs 2022'!L11:N11)),(0),($C$5-SUM('Tariffs 2022'!L11:N11))*'Tariffs 2022'!Z11/100),IF(AND('Tariffs 2022'!M11&gt;0,'Tariffs 2022'!N11=""),IF(($C$5&lt;'Tariffs 2022'!M11+'Tariffs 2022'!L11),(0),(($C$5-('Tariffs 2022'!M11+'Tariffs 2022'!L11))*'Tariffs 2022'!Y11/100)),IF(AND('Tariffs 2022'!L11&gt;0,'Tariffs 2022'!M11=""&gt;0),IF(($C$5&lt;'Tariffs 2022'!L11),(0),($C$5-'Tariffs 2022'!L11)*'Tariffs 2022'!X11/100),0)))))</f>
        <v>0</v>
      </c>
      <c r="K17" s="361">
        <f t="shared" si="0"/>
        <v>166.25220363636362</v>
      </c>
      <c r="L17" s="378">
        <f t="shared" si="6"/>
        <v>757.13140363636353</v>
      </c>
      <c r="M17" s="379">
        <f t="shared" si="7"/>
        <v>997.51322181818171</v>
      </c>
      <c r="N17" s="488">
        <f t="shared" si="8"/>
        <v>1097.2645439999999</v>
      </c>
      <c r="O17" s="360">
        <f>'Tariffs 2022'!AT11</f>
        <v>8</v>
      </c>
      <c r="P17" s="360">
        <f>'Tariffs 2022'!AU11</f>
        <v>0</v>
      </c>
      <c r="Q17" s="360">
        <f>'Tariffs 2022'!AV11</f>
        <v>0</v>
      </c>
      <c r="R17" s="360">
        <f>'Tariffs 2022'!AW11</f>
        <v>0</v>
      </c>
      <c r="S17" s="312" t="str">
        <f t="shared" ref="S17:S36" si="21">IF(SUM(O17:R17)=0,"No discount",IF(O17&gt;0,"Guaranteed off bill",IF(P17&gt;0,"Guaranteed off usage",IF(Q17&gt;0,"Pay-on-time off bill","Pay-on-time off usage"))))</f>
        <v>Guaranteed off bill</v>
      </c>
      <c r="T17" s="312" t="str">
        <f t="shared" si="2"/>
        <v>Exclusive</v>
      </c>
      <c r="U17" s="386">
        <f t="shared" si="3"/>
        <v>917.71216407272721</v>
      </c>
      <c r="V17" s="386">
        <f t="shared" si="4"/>
        <v>917.71216407272721</v>
      </c>
      <c r="W17" s="391">
        <f t="shared" si="5"/>
        <v>1009.4833804800001</v>
      </c>
      <c r="X17" s="391">
        <f t="shared" si="5"/>
        <v>1009.4833804800001</v>
      </c>
      <c r="Y17" s="363">
        <f>'Tariffs 2022'!BF11</f>
        <v>0</v>
      </c>
      <c r="Z17" s="363" t="str">
        <f>'Tariffs 2022'!BG11</f>
        <v>n</v>
      </c>
      <c r="AA17" s="503" t="s">
        <v>288</v>
      </c>
      <c r="AB17" s="498"/>
      <c r="AC17" s="498"/>
      <c r="AD17" s="498"/>
      <c r="AE17" s="498"/>
      <c r="AF17" s="498"/>
      <c r="AG17" s="498"/>
      <c r="AH17" s="498"/>
      <c r="AI17" s="498"/>
      <c r="AJ17" s="498"/>
      <c r="AK17" s="498"/>
      <c r="AL17" s="498"/>
      <c r="AM17" s="498"/>
      <c r="AN17" s="498"/>
    </row>
    <row r="18" spans="1:40" ht="25" customHeight="1" thickBot="1" x14ac:dyDescent="0.35">
      <c r="A18" s="309" t="str">
        <f>'Tariffs 2022'!F12</f>
        <v>ActewAGL</v>
      </c>
      <c r="B18" s="360" t="str">
        <f>'Tariffs 2022'!D12</f>
        <v>Jemena Capital Region</v>
      </c>
      <c r="C18" s="360" t="str">
        <f>'Tariffs 2022'!G12</f>
        <v>Reward</v>
      </c>
      <c r="D18" s="361">
        <f>60*'Tariffs 2022'!H12/100</f>
        <v>35.249999999999993</v>
      </c>
      <c r="E18" s="361">
        <f>IF('Tariffs 2022'!K12="",$C$5*'Tariffs 2022'!W12/100,IF($C$5&gt;='Tariffs 2022'!L12,('Tariffs 2022'!L12*'Tariffs 2022'!W12/100),($C$5*'Tariffs 2022'!W12/100)))</f>
        <v>48.342508200000005</v>
      </c>
      <c r="F18" s="361">
        <f>IF(AND('Tariffs 2022'!L12&gt;0,'Tariffs 2022'!M12&gt;0),IF($C$5&lt;'Tariffs 2022'!L12,0,IF(($C$5-'Tariffs 2022'!L12)&lt;=('Tariffs 2022'!M12+'Tariffs 2022'!L12),(($C$5-'Tariffs 2022'!L12)*'Tariffs 2022'!X12/100),(('Tariffs 2022'!M12)*'Tariffs 2022'!X12/100))),0)</f>
        <v>33.243798545454545</v>
      </c>
      <c r="G18" s="361">
        <f>IF(AND('Tariffs 2022'!M12&gt;0,'Tariffs 2022'!N12&gt;0),IF($C$5&lt;('Tariffs 2022'!L12+'Tariffs 2022'!M12),0,IF(($C$5-'Tariffs 2022'!L12+'Tariffs 2022'!M12)&lt;=('Tariffs 2022'!L12+'Tariffs 2022'!M12+'Tariffs 2022'!N12),(($C$5-('Tariffs 2022'!L12+'Tariffs 2022'!M12))*'Tariffs 2022'!Y12/100),('Tariffs 2022'!N12*'Tariffs 2022'!Y12/100))),0)</f>
        <v>41.145688181818187</v>
      </c>
      <c r="H18" s="361">
        <f>IF(AND('Tariffs 2022'!N12&gt;0,'Tariffs 2022'!O12&gt;0),IF($C$5&lt;('Tariffs 2022'!L12+'Tariffs 2022'!M12+'Tariffs 2022'!N12),0,IF(($C$5-'Tariffs 2022'!L12+'Tariffs 2022'!M12+'Tariffs 2022'!N12)&lt;=('Tariffs 2022'!L12+'Tariffs 2022'!M12+'Tariffs 2022'!N12+'Tariffs 2022'!O12),(($C$5-('Tariffs 2022'!L12+'Tariffs 2022'!M12+'Tariffs 2022'!N12))*'Tariffs 2022'!Z12/100),('Tariffs 2022'!O12*'Tariffs 2022'!Z12/100))),0)</f>
        <v>0</v>
      </c>
      <c r="I18" s="361">
        <f>IF(AND('Tariffs 2022'!O12&gt;0,'Tariffs 2022'!P12&gt;0),IF($C$5&lt;('Tariffs 2022'!L12+'Tariffs 2022'!M12+'Tariffs 2022'!N12+'Tariffs 2022'!O12),0,IF(($C$5-'Tariffs 2022'!L12+'Tariffs 2022'!M12+'Tariffs 2022'!N12+'Tariffs 2022'!O12)&lt;=('Tariffs 2022'!L12+'Tariffs 2022'!M12+'Tariffs 2022'!N12+'Tariffs 2022'!O12+'Tariffs 2022'!P12),(($C$5-('Tariffs 2022'!L12+'Tariffs 2022'!M12+'Tariffs 2022'!N12+'Tariffs 2022'!O12))*'Tariffs 2022'!AA12/100),('Tariffs 2022'!P12*'Tariffs 2022'!AA12/100))),0)</f>
        <v>0</v>
      </c>
      <c r="J18" s="361">
        <f>IF(AND('Tariffs 2022'!P12&gt;0,'Tariffs 2022'!O12&gt;0),IF(($C$5&lt;SUM('Tariffs 2022'!L12:P12)),(0),($C$5-SUM('Tariffs 2022'!L12:P12))*'Tariffs 2022'!AB12/100),IF(AND('Tariffs 2022'!O12&gt;0,'Tariffs 2022'!P12=""),IF(($C$5&lt; SUM('Tariffs 2022'!L12:O12)),(0),($C$5-SUM('Tariffs 2022'!L12:O12))*'Tariffs 2022'!AA12/100),IF(AND('Tariffs 2022'!N12&gt;0,'Tariffs 2022'!O12=""),IF(($C$5&lt; SUM('Tariffs 2022'!L12:N12)),(0),($C$5-SUM('Tariffs 2022'!L12:N12))*'Tariffs 2022'!Z12/100),IF(AND('Tariffs 2022'!M12&gt;0,'Tariffs 2022'!N12=""),IF(($C$5&lt;'Tariffs 2022'!M12+'Tariffs 2022'!L12),(0),(($C$5-('Tariffs 2022'!M12+'Tariffs 2022'!L12))*'Tariffs 2022'!Y12/100)),IF(AND('Tariffs 2022'!L12&gt;0,'Tariffs 2022'!M12=""&gt;0),IF(($C$5&lt;'Tariffs 2022'!L12),(0),($C$5-'Tariffs 2022'!L12)*'Tariffs 2022'!X12/100),0)))))</f>
        <v>0</v>
      </c>
      <c r="K18" s="361">
        <f t="shared" si="0"/>
        <v>157.98199492727275</v>
      </c>
      <c r="L18" s="378">
        <f t="shared" si="6"/>
        <v>736.39196956363662</v>
      </c>
      <c r="M18" s="379">
        <f t="shared" si="7"/>
        <v>947.89196956363651</v>
      </c>
      <c r="N18" s="488">
        <f t="shared" si="8"/>
        <v>1042.6811665200003</v>
      </c>
      <c r="O18" s="360">
        <f>'Tariffs 2022'!AT12</f>
        <v>11</v>
      </c>
      <c r="P18" s="360">
        <f>'Tariffs 2022'!AU12</f>
        <v>0</v>
      </c>
      <c r="Q18" s="360">
        <f>'Tariffs 2022'!AV12</f>
        <v>0</v>
      </c>
      <c r="R18" s="360">
        <f>'Tariffs 2022'!AW12</f>
        <v>0</v>
      </c>
      <c r="S18" s="312" t="str">
        <f t="shared" si="21"/>
        <v>Guaranteed off bill</v>
      </c>
      <c r="T18" s="312" t="str">
        <f t="shared" si="2"/>
        <v>Exclusive</v>
      </c>
      <c r="U18" s="386">
        <f t="shared" si="3"/>
        <v>843.6238529116365</v>
      </c>
      <c r="V18" s="386">
        <f t="shared" si="4"/>
        <v>843.6238529116365</v>
      </c>
      <c r="W18" s="391">
        <f t="shared" si="5"/>
        <v>927.98623820280022</v>
      </c>
      <c r="X18" s="391">
        <f t="shared" si="5"/>
        <v>927.98623820280022</v>
      </c>
      <c r="Y18" s="363">
        <f>'Tariffs 2022'!BF12</f>
        <v>12</v>
      </c>
      <c r="Z18" s="363" t="str">
        <f>'Tariffs 2022'!BG12</f>
        <v>n</v>
      </c>
      <c r="AA18" s="503" t="s">
        <v>288</v>
      </c>
      <c r="AB18" s="498"/>
      <c r="AC18" s="498"/>
      <c r="AD18" s="498"/>
      <c r="AE18" s="498"/>
      <c r="AF18" s="498"/>
      <c r="AG18" s="498"/>
      <c r="AH18" s="498"/>
      <c r="AI18" s="498"/>
      <c r="AJ18" s="498"/>
      <c r="AK18" s="498"/>
      <c r="AL18" s="498"/>
      <c r="AM18" s="498"/>
      <c r="AN18" s="498"/>
    </row>
    <row r="19" spans="1:40" ht="25" customHeight="1" thickTop="1" x14ac:dyDescent="0.3">
      <c r="A19" s="338" t="str">
        <f>'Tariffs 2022'!F13</f>
        <v>EnergyAustralia</v>
      </c>
      <c r="B19" s="339" t="str">
        <f>'Tariffs 2022'!D13</f>
        <v xml:space="preserve">Evoenergy Queanbeyan </v>
      </c>
      <c r="C19" s="339" t="str">
        <f>'Tariffs 2022'!G13</f>
        <v>Flexi Plan</v>
      </c>
      <c r="D19" s="340">
        <f>60*'Tariffs 2022'!H13/100</f>
        <v>48.703636363636363</v>
      </c>
      <c r="E19" s="340">
        <f>IF('Tariffs 2022'!K13="",$C$5*'Tariffs 2022'!W13/100,IF($C$5&gt;='Tariffs 2022'!L13,('Tariffs 2022'!L13*'Tariffs 2022'!W13/100),($C$5*'Tariffs 2022'!W13/100)))</f>
        <v>82.715039999999973</v>
      </c>
      <c r="F19" s="340">
        <f>IF(AND('Tariffs 2022'!L13&gt;0,'Tariffs 2022'!M13&gt;0),IF($C$5&lt;'Tariffs 2022'!L13,0,IF(($C$5-'Tariffs 2022'!L13)&lt;=('Tariffs 2022'!M13+'Tariffs 2022'!L13),(($C$5-'Tariffs 2022'!L13)*'Tariffs 2022'!X13/100),(('Tariffs 2022'!M13)*'Tariffs 2022'!X13/100))),0)</f>
        <v>46.445629090909094</v>
      </c>
      <c r="G19" s="340">
        <f>IF(AND('Tariffs 2022'!M13&gt;0,'Tariffs 2022'!N13&gt;0),IF($C$5&lt;('Tariffs 2022'!L13+'Tariffs 2022'!M13),0,IF(($C$5-'Tariffs 2022'!L13+'Tariffs 2022'!M13)&lt;=('Tariffs 2022'!L13+'Tariffs 2022'!M13+'Tariffs 2022'!N13),(($C$5-('Tariffs 2022'!L13+'Tariffs 2022'!M13))*'Tariffs 2022'!Y13/100),('Tariffs 2022'!N13*'Tariffs 2022'!Y13/100))),0)</f>
        <v>0</v>
      </c>
      <c r="H19" s="340">
        <f>IF(AND('Tariffs 2022'!N13&gt;0,'Tariffs 2022'!O13&gt;0),IF($C$5&lt;('Tariffs 2022'!L13+'Tariffs 2022'!M13+'Tariffs 2022'!N13),0,IF(($C$5-'Tariffs 2022'!L13+'Tariffs 2022'!M13+'Tariffs 2022'!N13)&lt;=('Tariffs 2022'!L13+'Tariffs 2022'!M13+'Tariffs 2022'!N13+'Tariffs 2022'!O13),(($C$5-('Tariffs 2022'!L13+'Tariffs 2022'!M13+'Tariffs 2022'!N13))*'Tariffs 2022'!Z13/100),('Tariffs 2022'!O13*'Tariffs 2022'!Z13/100))),0)</f>
        <v>0</v>
      </c>
      <c r="I19" s="340">
        <f>IF(AND('Tariffs 2022'!O13&gt;0,'Tariffs 2022'!P13&gt;0),IF($C$5&lt;('Tariffs 2022'!L13+'Tariffs 2022'!M13+'Tariffs 2022'!N13+'Tariffs 2022'!O13),0,IF(($C$5-'Tariffs 2022'!L13+'Tariffs 2022'!M13+'Tariffs 2022'!N13+'Tariffs 2022'!O13)&lt;=('Tariffs 2022'!L13+'Tariffs 2022'!M13+'Tariffs 2022'!N13+'Tariffs 2022'!O13+'Tariffs 2022'!P13),(($C$5-('Tariffs 2022'!L13+'Tariffs 2022'!M13+'Tariffs 2022'!N13+'Tariffs 2022'!O13))*'Tariffs 2022'!AA13/100),('Tariffs 2022'!P13*'Tariffs 2022'!AA13/100))),0)</f>
        <v>0</v>
      </c>
      <c r="J19" s="340">
        <f>IF(AND('Tariffs 2022'!P13&gt;0,'Tariffs 2022'!O13&gt;0),IF(($C$5&lt;SUM('Tariffs 2022'!L13:P13)),(0),($C$5-SUM('Tariffs 2022'!L13:P13))*'Tariffs 2022'!AB13/100),IF(AND('Tariffs 2022'!O13&gt;0,'Tariffs 2022'!P13=""),IF(($C$5&lt; SUM('Tariffs 2022'!L13:O13)),(0),($C$5-SUM('Tariffs 2022'!L13:O13))*'Tariffs 2022'!AA13/100),IF(AND('Tariffs 2022'!N13&gt;0,'Tariffs 2022'!O13=""),IF(($C$5&lt; SUM('Tariffs 2022'!L13:N13)),(0),($C$5-SUM('Tariffs 2022'!L13:N13))*'Tariffs 2022'!Z13/100),IF(AND('Tariffs 2022'!M13&gt;0,'Tariffs 2022'!N13=""),IF(($C$5&lt;'Tariffs 2022'!M13+'Tariffs 2022'!L13),(0),(($C$5-('Tariffs 2022'!M13+'Tariffs 2022'!L13))*'Tariffs 2022'!Y13/100)),IF(AND('Tariffs 2022'!L13&gt;0,'Tariffs 2022'!M13=""&gt;0),IF(($C$5&lt;'Tariffs 2022'!L13),(0),($C$5-'Tariffs 2022'!L13)*'Tariffs 2022'!X13/100),0)))))</f>
        <v>0</v>
      </c>
      <c r="K19" s="340">
        <f t="shared" ref="K19:K21" si="22">SUM(D19:J19)</f>
        <v>177.86430545454544</v>
      </c>
      <c r="L19" s="372">
        <f t="shared" si="6"/>
        <v>774.96401454545435</v>
      </c>
      <c r="M19" s="373">
        <f t="shared" si="7"/>
        <v>1067.1858327272726</v>
      </c>
      <c r="N19" s="341">
        <f t="shared" si="8"/>
        <v>1173.9044159999999</v>
      </c>
      <c r="O19" s="339">
        <f>'Tariffs 2022'!AT13</f>
        <v>8</v>
      </c>
      <c r="P19" s="339">
        <f>'Tariffs 2022'!AU13</f>
        <v>0</v>
      </c>
      <c r="Q19" s="339">
        <f>'Tariffs 2022'!AV13</f>
        <v>0</v>
      </c>
      <c r="R19" s="339">
        <f>'Tariffs 2022'!AW13</f>
        <v>0</v>
      </c>
      <c r="S19" s="342" t="str">
        <f t="shared" si="21"/>
        <v>Guaranteed off bill</v>
      </c>
      <c r="T19" s="342" t="str">
        <f t="shared" si="2"/>
        <v>Exclusive</v>
      </c>
      <c r="U19" s="383">
        <f t="shared" si="3"/>
        <v>981.81096610909071</v>
      </c>
      <c r="V19" s="383">
        <f t="shared" si="4"/>
        <v>981.81096610909071</v>
      </c>
      <c r="W19" s="392">
        <f t="shared" si="5"/>
        <v>1079.9920627199999</v>
      </c>
      <c r="X19" s="392">
        <f t="shared" si="5"/>
        <v>1079.9920627199999</v>
      </c>
      <c r="Y19" s="343">
        <f>'Tariffs 2022'!BF13</f>
        <v>0</v>
      </c>
      <c r="Z19" s="343" t="str">
        <f>'Tariffs 2022'!BG13</f>
        <v>n</v>
      </c>
      <c r="AA19" s="505" t="s">
        <v>288</v>
      </c>
      <c r="AB19" s="498"/>
      <c r="AC19" s="498"/>
      <c r="AD19" s="498"/>
      <c r="AE19" s="498"/>
      <c r="AF19" s="498"/>
      <c r="AG19" s="498"/>
      <c r="AH19" s="498"/>
      <c r="AI19" s="498"/>
      <c r="AJ19" s="498"/>
      <c r="AK19" s="498"/>
      <c r="AL19" s="498"/>
      <c r="AM19" s="498"/>
      <c r="AN19" s="498"/>
    </row>
    <row r="20" spans="1:40" ht="25" customHeight="1" thickBot="1" x14ac:dyDescent="0.35">
      <c r="A20" s="345" t="str">
        <f>'Tariffs 2022'!F14</f>
        <v>ActewAGL</v>
      </c>
      <c r="B20" s="346" t="str">
        <f>'Tariffs 2022'!D14</f>
        <v xml:space="preserve">Evoenergy Queanbeyan </v>
      </c>
      <c r="C20" s="346" t="str">
        <f>'Tariffs 2022'!G14</f>
        <v>Reward</v>
      </c>
      <c r="D20" s="347">
        <f>60*'Tariffs 2022'!H14/100</f>
        <v>45.599999999999994</v>
      </c>
      <c r="E20" s="347">
        <f>IF('Tariffs 2022'!K14="",$C$5*'Tariffs 2022'!W14/100,IF($C$5&gt;='Tariffs 2022'!L14,('Tariffs 2022'!L14*'Tariffs 2022'!W14/100),($C$5*'Tariffs 2022'!W14/100)))</f>
        <v>85.18059272727271</v>
      </c>
      <c r="F20" s="347">
        <f>IF(AND('Tariffs 2022'!L14&gt;0,'Tariffs 2022'!M14&gt;0),IF($C$5&lt;'Tariffs 2022'!L14,0,IF(($C$5-'Tariffs 2022'!L14)&lt;=('Tariffs 2022'!M14+'Tariffs 2022'!L14),(($C$5-'Tariffs 2022'!L14)*'Tariffs 2022'!X14/100),(('Tariffs 2022'!M14)*'Tariffs 2022'!X14/100))),0)</f>
        <v>42.958887999999995</v>
      </c>
      <c r="G20" s="347">
        <f>IF(AND('Tariffs 2022'!M14&gt;0,'Tariffs 2022'!N14&gt;0),IF($C$5&lt;('Tariffs 2022'!L14+'Tariffs 2022'!M14),0,IF(($C$5-'Tariffs 2022'!L14+'Tariffs 2022'!M14)&lt;=('Tariffs 2022'!L14+'Tariffs 2022'!M14+'Tariffs 2022'!N14),(($C$5-('Tariffs 2022'!L14+'Tariffs 2022'!M14))*'Tariffs 2022'!Y14/100),('Tariffs 2022'!N14*'Tariffs 2022'!Y14/100))),0)</f>
        <v>0</v>
      </c>
      <c r="H20" s="347">
        <f>IF(AND('Tariffs 2022'!N14&gt;0,'Tariffs 2022'!O14&gt;0),IF($C$5&lt;('Tariffs 2022'!L14+'Tariffs 2022'!M14+'Tariffs 2022'!N14),0,IF(($C$5-'Tariffs 2022'!L14+'Tariffs 2022'!M14+'Tariffs 2022'!N14)&lt;=('Tariffs 2022'!L14+'Tariffs 2022'!M14+'Tariffs 2022'!N14+'Tariffs 2022'!O14),(($C$5-('Tariffs 2022'!L14+'Tariffs 2022'!M14+'Tariffs 2022'!N14))*'Tariffs 2022'!Z14/100),('Tariffs 2022'!O14*'Tariffs 2022'!Z14/100))),0)</f>
        <v>0</v>
      </c>
      <c r="I20" s="347">
        <f>IF(AND('Tariffs 2022'!O14&gt;0,'Tariffs 2022'!P14&gt;0),IF($C$5&lt;('Tariffs 2022'!L14+'Tariffs 2022'!M14+'Tariffs 2022'!N14+'Tariffs 2022'!O14),0,IF(($C$5-'Tariffs 2022'!L14+'Tariffs 2022'!M14+'Tariffs 2022'!N14+'Tariffs 2022'!O14)&lt;=('Tariffs 2022'!L14+'Tariffs 2022'!M14+'Tariffs 2022'!N14+'Tariffs 2022'!O14+'Tariffs 2022'!P14),(($C$5-('Tariffs 2022'!L14+'Tariffs 2022'!M14+'Tariffs 2022'!N14+'Tariffs 2022'!O14))*'Tariffs 2022'!AA14/100),('Tariffs 2022'!P14*'Tariffs 2022'!AA14/100))),0)</f>
        <v>0</v>
      </c>
      <c r="J20" s="347">
        <f>IF(AND('Tariffs 2022'!P14&gt;0,'Tariffs 2022'!O14&gt;0),IF(($C$5&lt;SUM('Tariffs 2022'!L14:P14)),(0),($C$5-SUM('Tariffs 2022'!L14:P14))*'Tariffs 2022'!AB14/100),IF(AND('Tariffs 2022'!O14&gt;0,'Tariffs 2022'!P14=""),IF(($C$5&lt; SUM('Tariffs 2022'!L14:O14)),(0),($C$5-SUM('Tariffs 2022'!L14:O14))*'Tariffs 2022'!AA14/100),IF(AND('Tariffs 2022'!N14&gt;0,'Tariffs 2022'!O14=""),IF(($C$5&lt; SUM('Tariffs 2022'!L14:N14)),(0),($C$5-SUM('Tariffs 2022'!L14:N14))*'Tariffs 2022'!Z14/100),IF(AND('Tariffs 2022'!M14&gt;0,'Tariffs 2022'!N14=""),IF(($C$5&lt;'Tariffs 2022'!M14+'Tariffs 2022'!L14),(0),(($C$5-('Tariffs 2022'!M14+'Tariffs 2022'!L14))*'Tariffs 2022'!Y14/100)),IF(AND('Tariffs 2022'!L14&gt;0,'Tariffs 2022'!M14=""&gt;0),IF(($C$5&lt;'Tariffs 2022'!L14),(0),($C$5-'Tariffs 2022'!L14)*'Tariffs 2022'!X14/100),0)))))</f>
        <v>0</v>
      </c>
      <c r="K20" s="347">
        <f t="shared" si="22"/>
        <v>173.73948072727271</v>
      </c>
      <c r="L20" s="374">
        <f t="shared" si="6"/>
        <v>768.83688436363627</v>
      </c>
      <c r="M20" s="375">
        <f t="shared" si="7"/>
        <v>1042.4368843636362</v>
      </c>
      <c r="N20" s="348">
        <f t="shared" si="8"/>
        <v>1146.6805727999999</v>
      </c>
      <c r="O20" s="346">
        <f>'Tariffs 2022'!AT14</f>
        <v>11</v>
      </c>
      <c r="P20" s="346">
        <f>'Tariffs 2022'!AU14</f>
        <v>0</v>
      </c>
      <c r="Q20" s="346">
        <f>'Tariffs 2022'!AV14</f>
        <v>0</v>
      </c>
      <c r="R20" s="346">
        <f>'Tariffs 2022'!AW14</f>
        <v>0</v>
      </c>
      <c r="S20" s="349" t="str">
        <f t="shared" si="21"/>
        <v>Guaranteed off bill</v>
      </c>
      <c r="T20" s="349" t="str">
        <f t="shared" si="2"/>
        <v>Exclusive</v>
      </c>
      <c r="U20" s="384">
        <f t="shared" si="3"/>
        <v>927.76882708363621</v>
      </c>
      <c r="V20" s="384">
        <f t="shared" si="4"/>
        <v>927.76882708363621</v>
      </c>
      <c r="W20" s="393">
        <f t="shared" si="5"/>
        <v>1020.5457097919999</v>
      </c>
      <c r="X20" s="393">
        <f t="shared" si="5"/>
        <v>1020.5457097919999</v>
      </c>
      <c r="Y20" s="350">
        <f>'Tariffs 2022'!BF14</f>
        <v>0</v>
      </c>
      <c r="Z20" s="350" t="str">
        <f>'Tariffs 2022'!BG14</f>
        <v>n</v>
      </c>
      <c r="AA20" s="504" t="s">
        <v>288</v>
      </c>
      <c r="AB20" s="498"/>
      <c r="AC20" s="498"/>
      <c r="AD20" s="498"/>
      <c r="AE20" s="498"/>
      <c r="AF20" s="498"/>
      <c r="AG20" s="498"/>
      <c r="AH20" s="498"/>
      <c r="AI20" s="498"/>
      <c r="AJ20" s="498"/>
      <c r="AK20" s="498"/>
      <c r="AL20" s="498"/>
      <c r="AM20" s="498"/>
      <c r="AN20" s="498"/>
    </row>
    <row r="21" spans="1:40" ht="25" customHeight="1" thickTop="1" thickBot="1" x14ac:dyDescent="0.35">
      <c r="A21" s="352" t="str">
        <f>'Tariffs 2022'!F15</f>
        <v>ActewAGL</v>
      </c>
      <c r="B21" s="353" t="str">
        <f>'Tariffs 2022'!D15</f>
        <v>Evoenergy Shoalhaven</v>
      </c>
      <c r="C21" s="353" t="str">
        <f>'Tariffs 2022'!G15</f>
        <v>Reward</v>
      </c>
      <c r="D21" s="354">
        <f>60*'Tariffs 2022'!H15/100</f>
        <v>53.58</v>
      </c>
      <c r="E21" s="354">
        <f>IF('Tariffs 2022'!K15="",$C$5*'Tariffs 2022'!W15/100,IF($C$5&gt;='Tariffs 2022'!L15,('Tariffs 2022'!L15*'Tariffs 2022'!W15/100),($C$5*'Tariffs 2022'!W15/100)))</f>
        <v>127.99999999999999</v>
      </c>
      <c r="F21" s="354">
        <f>IF(AND('Tariffs 2022'!L15&gt;0,'Tariffs 2022'!M15&gt;0),IF($C$5&lt;'Tariffs 2022'!L15,0,IF(($C$5-'Tariffs 2022'!L15)&lt;=('Tariffs 2022'!M15+'Tariffs 2022'!L15),(($C$5-'Tariffs 2022'!L15)*'Tariffs 2022'!X15/100),(('Tariffs 2022'!M15)*'Tariffs 2022'!X15/100))),0)</f>
        <v>0</v>
      </c>
      <c r="G21" s="354">
        <f>IF(AND('Tariffs 2022'!M15&gt;0,'Tariffs 2022'!N15&gt;0),IF($C$5&lt;('Tariffs 2022'!L15+'Tariffs 2022'!M15),0,IF(($C$5-'Tariffs 2022'!L15+'Tariffs 2022'!M15)&lt;=('Tariffs 2022'!L15+'Tariffs 2022'!M15+'Tariffs 2022'!N15),(($C$5-('Tariffs 2022'!L15+'Tariffs 2022'!M15))*'Tariffs 2022'!Y15/100),('Tariffs 2022'!N15*'Tariffs 2022'!Y15/100))),0)</f>
        <v>0</v>
      </c>
      <c r="H21" s="354">
        <f>IF(AND('Tariffs 2022'!N15&gt;0,'Tariffs 2022'!O15&gt;0),IF($C$5&lt;('Tariffs 2022'!L15+'Tariffs 2022'!M15+'Tariffs 2022'!N15),0,IF(($C$5-'Tariffs 2022'!L15+'Tariffs 2022'!M15+'Tariffs 2022'!N15)&lt;=('Tariffs 2022'!L15+'Tariffs 2022'!M15+'Tariffs 2022'!N15+'Tariffs 2022'!O15),(($C$5-('Tariffs 2022'!L15+'Tariffs 2022'!M15+'Tariffs 2022'!N15))*'Tariffs 2022'!Z15/100),('Tariffs 2022'!O15*'Tariffs 2022'!Z15/100))),0)</f>
        <v>0</v>
      </c>
      <c r="I21" s="354">
        <f>IF(AND('Tariffs 2022'!O15&gt;0,'Tariffs 2022'!P15&gt;0),IF($C$5&lt;('Tariffs 2022'!L15+'Tariffs 2022'!M15+'Tariffs 2022'!N15+'Tariffs 2022'!O15),0,IF(($C$5-'Tariffs 2022'!L15+'Tariffs 2022'!M15+'Tariffs 2022'!N15+'Tariffs 2022'!O15)&lt;=('Tariffs 2022'!L15+'Tariffs 2022'!M15+'Tariffs 2022'!N15+'Tariffs 2022'!O15+'Tariffs 2022'!P15),(($C$5-('Tariffs 2022'!L15+'Tariffs 2022'!M15+'Tariffs 2022'!N15+'Tariffs 2022'!O15))*'Tariffs 2022'!AA15/100),('Tariffs 2022'!P15*'Tariffs 2022'!AA15/100))),0)</f>
        <v>0</v>
      </c>
      <c r="J21" s="354">
        <f>IF(AND('Tariffs 2022'!P15&gt;0,'Tariffs 2022'!O15&gt;0),IF(($C$5&lt;SUM('Tariffs 2022'!L15:P15)),(0),($C$5-SUM('Tariffs 2022'!L15:P15))*'Tariffs 2022'!AB15/100),IF(AND('Tariffs 2022'!O15&gt;0,'Tariffs 2022'!P15=""),IF(($C$5&lt; SUM('Tariffs 2022'!L15:O15)),(0),($C$5-SUM('Tariffs 2022'!L15:O15))*'Tariffs 2022'!AA15/100),IF(AND('Tariffs 2022'!N15&gt;0,'Tariffs 2022'!O15=""),IF(($C$5&lt; SUM('Tariffs 2022'!L15:N15)),(0),($C$5-SUM('Tariffs 2022'!L15:N15))*'Tariffs 2022'!Z15/100),IF(AND('Tariffs 2022'!M15&gt;0,'Tariffs 2022'!N15=""),IF(($C$5&lt;'Tariffs 2022'!M15+'Tariffs 2022'!L15),(0),(($C$5-('Tariffs 2022'!M15+'Tariffs 2022'!L15))*'Tariffs 2022'!Y15/100)),IF(AND('Tariffs 2022'!L15&gt;0,'Tariffs 2022'!M15=""&gt;0),IF(($C$5&lt;'Tariffs 2022'!L15),(0),($C$5-'Tariffs 2022'!L15)*'Tariffs 2022'!X15/100),0)))))</f>
        <v>0</v>
      </c>
      <c r="K21" s="354">
        <f t="shared" si="22"/>
        <v>181.57999999999998</v>
      </c>
      <c r="L21" s="376">
        <f t="shared" si="6"/>
        <v>768</v>
      </c>
      <c r="M21" s="377">
        <f t="shared" si="7"/>
        <v>1089.48</v>
      </c>
      <c r="N21" s="355">
        <f t="shared" si="8"/>
        <v>1198.4280000000001</v>
      </c>
      <c r="O21" s="353">
        <f>'Tariffs 2022'!AT15</f>
        <v>6</v>
      </c>
      <c r="P21" s="353">
        <f>'Tariffs 2022'!AU15</f>
        <v>0</v>
      </c>
      <c r="Q21" s="353">
        <f>'Tariffs 2022'!AV15</f>
        <v>0</v>
      </c>
      <c r="R21" s="353">
        <f>'Tariffs 2022'!AW15</f>
        <v>0</v>
      </c>
      <c r="S21" s="356" t="str">
        <f t="shared" si="21"/>
        <v>Guaranteed off bill</v>
      </c>
      <c r="T21" s="356" t="str">
        <f t="shared" si="2"/>
        <v>Exclusive</v>
      </c>
      <c r="U21" s="385">
        <f t="shared" si="3"/>
        <v>1024.1112000000001</v>
      </c>
      <c r="V21" s="385">
        <f t="shared" si="4"/>
        <v>1024.1112000000001</v>
      </c>
      <c r="W21" s="394">
        <f t="shared" si="5"/>
        <v>1126.5223200000003</v>
      </c>
      <c r="X21" s="394">
        <f t="shared" si="5"/>
        <v>1126.5223200000003</v>
      </c>
      <c r="Y21" s="357">
        <f>'Tariffs 2022'!BF15</f>
        <v>0</v>
      </c>
      <c r="Z21" s="357" t="str">
        <f>'Tariffs 2022'!BG15</f>
        <v>n</v>
      </c>
      <c r="AA21" s="506" t="s">
        <v>288</v>
      </c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8"/>
      <c r="AM21" s="498"/>
      <c r="AN21" s="498"/>
    </row>
    <row r="22" spans="1:40" ht="25" customHeight="1" thickTop="1" x14ac:dyDescent="0.3">
      <c r="A22" s="338" t="str">
        <f>'Tariffs 2022'!F16</f>
        <v>AGL</v>
      </c>
      <c r="B22" s="339" t="str">
        <f>'Tariffs 2022'!D16</f>
        <v>AGN Albury</v>
      </c>
      <c r="C22" s="339" t="str">
        <f>'Tariffs 2022'!G16</f>
        <v>Value Saver</v>
      </c>
      <c r="D22" s="340">
        <f>60*'Tariffs 2022'!H16/100</f>
        <v>38.574545454545451</v>
      </c>
      <c r="E22" s="340">
        <f>IF('Tariffs 2022'!K16="",$C$5*'Tariffs 2022'!W16/100,IF($C$5&gt;='Tariffs 2022'!L16,('Tariffs 2022'!L16*'Tariffs 2022'!W16/100),($C$5*'Tariffs 2022'!W16/100)))</f>
        <v>34.075636363636356</v>
      </c>
      <c r="F22" s="340">
        <f>IF(AND('Tariffs 2022'!L16&gt;0,'Tariffs 2022'!M16&gt;0),IF($C$5&lt;'Tariffs 2022'!L16,0,IF(($C$5-'Tariffs 2022'!L16)&lt;=('Tariffs 2022'!M16+'Tariffs 2022'!L16),(($C$5-'Tariffs 2022'!L16)*'Tariffs 2022'!X16/100),(('Tariffs 2022'!M16)*'Tariffs 2022'!X16/100))),0)</f>
        <v>44.121454545454547</v>
      </c>
      <c r="G22" s="340">
        <f>IF(AND('Tariffs 2022'!M16&gt;0,'Tariffs 2022'!N16&gt;0),IF($C$5&lt;('Tariffs 2022'!L16+'Tariffs 2022'!M16),0,IF(($C$5-'Tariffs 2022'!L16+'Tariffs 2022'!M16)&lt;=('Tariffs 2022'!L16+'Tariffs 2022'!M16+'Tariffs 2022'!N16),(($C$5-('Tariffs 2022'!L16+'Tariffs 2022'!M16))*'Tariffs 2022'!Y16/100),('Tariffs 2022'!N16*'Tariffs 2022'!Y16/100))),0)</f>
        <v>0</v>
      </c>
      <c r="H22" s="340">
        <f>IF(AND('Tariffs 2022'!N16&gt;0,'Tariffs 2022'!O16&gt;0),IF($C$5&lt;('Tariffs 2022'!L16+'Tariffs 2022'!M16+'Tariffs 2022'!N16),0,IF(($C$5-'Tariffs 2022'!L16+'Tariffs 2022'!M16+'Tariffs 2022'!N16)&lt;=('Tariffs 2022'!L16+'Tariffs 2022'!M16+'Tariffs 2022'!N16+'Tariffs 2022'!O16),(($C$5-('Tariffs 2022'!L16+'Tariffs 2022'!M16+'Tariffs 2022'!N16))*'Tariffs 2022'!Z16/100),('Tariffs 2022'!O16*'Tariffs 2022'!Z16/100))),0)</f>
        <v>0</v>
      </c>
      <c r="I22" s="340">
        <f>IF(AND('Tariffs 2022'!O16&gt;0,'Tariffs 2022'!P16&gt;0),IF($C$5&lt;('Tariffs 2022'!L16+'Tariffs 2022'!M16+'Tariffs 2022'!N16+'Tariffs 2022'!O16),0,IF(($C$5-'Tariffs 2022'!L16+'Tariffs 2022'!M16+'Tariffs 2022'!N16+'Tariffs 2022'!O16)&lt;=('Tariffs 2022'!L16+'Tariffs 2022'!M16+'Tariffs 2022'!N16+'Tariffs 2022'!O16+'Tariffs 2022'!P16),(($C$5-('Tariffs 2022'!L16+'Tariffs 2022'!M16+'Tariffs 2022'!N16+'Tariffs 2022'!O16))*'Tariffs 2022'!AA16/100),('Tariffs 2022'!P16*'Tariffs 2022'!AA16/100))),0)</f>
        <v>0</v>
      </c>
      <c r="J22" s="340">
        <f>IF(AND('Tariffs 2022'!P16&gt;0,'Tariffs 2022'!O16&gt;0),IF(($C$5&lt;SUM('Tariffs 2022'!L16:P16)),(0),($C$5-SUM('Tariffs 2022'!L16:P16))*'Tariffs 2022'!AB16/100),IF(AND('Tariffs 2022'!O16&gt;0,'Tariffs 2022'!P16=""),IF(($C$5&lt; SUM('Tariffs 2022'!L16:O16)),(0),($C$5-SUM('Tariffs 2022'!L16:O16))*'Tariffs 2022'!AA16/100),IF(AND('Tariffs 2022'!N16&gt;0,'Tariffs 2022'!O16=""),IF(($C$5&lt; SUM('Tariffs 2022'!L16:N16)),(0),($C$5-SUM('Tariffs 2022'!L16:N16))*'Tariffs 2022'!Z16/100),IF(AND('Tariffs 2022'!M16&gt;0,'Tariffs 2022'!N16=""),IF(($C$5&lt;'Tariffs 2022'!M16+'Tariffs 2022'!L16),(0),(($C$5-('Tariffs 2022'!M16+'Tariffs 2022'!L16))*'Tariffs 2022'!Y16/100)),IF(AND('Tariffs 2022'!L16&gt;0,'Tariffs 2022'!M16=""&gt;0),IF(($C$5&lt;'Tariffs 2022'!L16),(0),($C$5-'Tariffs 2022'!L16)*'Tariffs 2022'!X16/100),0)))))</f>
        <v>18.471818181818179</v>
      </c>
      <c r="K22" s="340">
        <f t="shared" si="0"/>
        <v>135.24345454545454</v>
      </c>
      <c r="L22" s="372">
        <f t="shared" si="6"/>
        <v>580.01345454545458</v>
      </c>
      <c r="M22" s="373">
        <f t="shared" si="7"/>
        <v>811.46072727272724</v>
      </c>
      <c r="N22" s="359">
        <f t="shared" si="8"/>
        <v>892.60680000000002</v>
      </c>
      <c r="O22" s="339">
        <f>'Tariffs 2022'!AT16</f>
        <v>0</v>
      </c>
      <c r="P22" s="339">
        <f>'Tariffs 2022'!AU16</f>
        <v>0</v>
      </c>
      <c r="Q22" s="339">
        <f>'Tariffs 2022'!AV16</f>
        <v>0</v>
      </c>
      <c r="R22" s="339">
        <f>'Tariffs 2022'!AW16</f>
        <v>0</v>
      </c>
      <c r="S22" s="342" t="str">
        <f t="shared" si="21"/>
        <v>No discount</v>
      </c>
      <c r="T22" s="342" t="str">
        <f t="shared" si="2"/>
        <v>Exclusive</v>
      </c>
      <c r="U22" s="383">
        <f t="shared" si="3"/>
        <v>811.46072727272724</v>
      </c>
      <c r="V22" s="383">
        <f t="shared" si="4"/>
        <v>811.46072727272724</v>
      </c>
      <c r="W22" s="392">
        <f t="shared" si="5"/>
        <v>892.60680000000002</v>
      </c>
      <c r="X22" s="392">
        <f t="shared" si="5"/>
        <v>892.60680000000002</v>
      </c>
      <c r="Y22" s="343">
        <f>'Tariffs 2022'!BF16</f>
        <v>0</v>
      </c>
      <c r="Z22" s="343" t="str">
        <f>'Tariffs 2022'!BG16</f>
        <v>n</v>
      </c>
      <c r="AA22" s="505" t="s">
        <v>288</v>
      </c>
      <c r="AB22" s="498"/>
      <c r="AC22" s="498"/>
      <c r="AD22" s="498"/>
      <c r="AE22" s="498"/>
      <c r="AF22" s="498"/>
      <c r="AG22" s="498"/>
      <c r="AH22" s="498"/>
      <c r="AI22" s="498"/>
      <c r="AJ22" s="498"/>
      <c r="AK22" s="498"/>
      <c r="AL22" s="498"/>
      <c r="AM22" s="498"/>
      <c r="AN22" s="498"/>
    </row>
    <row r="23" spans="1:40" ht="25" customHeight="1" x14ac:dyDescent="0.3">
      <c r="A23" s="309" t="str">
        <f>'Tariffs 2022'!F17</f>
        <v>EnergyAustralia</v>
      </c>
      <c r="B23" s="360" t="str">
        <f>'Tariffs 2022'!D17</f>
        <v>AGN Albury</v>
      </c>
      <c r="C23" s="360" t="str">
        <f>'Tariffs 2022'!G17</f>
        <v>Flexi Plan</v>
      </c>
      <c r="D23" s="361">
        <f>60*'Tariffs 2022'!H17/100</f>
        <v>49.472727272727269</v>
      </c>
      <c r="E23" s="361">
        <f>IF('Tariffs 2022'!K17="",$C$5*'Tariffs 2022'!W17/100,IF($C$5&gt;='Tariffs 2022'!L17,('Tariffs 2022'!L17*'Tariffs 2022'!W17/100),($C$5*'Tariffs 2022'!W17/100)))</f>
        <v>107.63636363636363</v>
      </c>
      <c r="F23" s="361">
        <f>IF(AND('Tariffs 2022'!L17&gt;0,'Tariffs 2022'!M17&gt;0),IF($C$5&lt;'Tariffs 2022'!L17,0,IF(($C$5-'Tariffs 2022'!L17)&lt;=('Tariffs 2022'!M17+'Tariffs 2022'!L17),(($C$5-'Tariffs 2022'!L17)*'Tariffs 2022'!X17/100),(('Tariffs 2022'!M17)*'Tariffs 2022'!X17/100))),0)</f>
        <v>0</v>
      </c>
      <c r="G23" s="361">
        <f>IF(AND('Tariffs 2022'!M17&gt;0,'Tariffs 2022'!N17&gt;0),IF($C$5&lt;('Tariffs 2022'!L17+'Tariffs 2022'!M17),0,IF(($C$5-'Tariffs 2022'!L17+'Tariffs 2022'!M17)&lt;=('Tariffs 2022'!L17+'Tariffs 2022'!M17+'Tariffs 2022'!N17),(($C$5-('Tariffs 2022'!L17+'Tariffs 2022'!M17))*'Tariffs 2022'!Y17/100),('Tariffs 2022'!N17*'Tariffs 2022'!Y17/100))),0)</f>
        <v>0</v>
      </c>
      <c r="H23" s="361">
        <f>IF(AND('Tariffs 2022'!N17&gt;0,'Tariffs 2022'!O17&gt;0),IF($C$5&lt;('Tariffs 2022'!L17+'Tariffs 2022'!M17+'Tariffs 2022'!N17),0,IF(($C$5-'Tariffs 2022'!L17+'Tariffs 2022'!M17+'Tariffs 2022'!N17)&lt;=('Tariffs 2022'!L17+'Tariffs 2022'!M17+'Tariffs 2022'!N17+'Tariffs 2022'!O17),(($C$5-('Tariffs 2022'!L17+'Tariffs 2022'!M17+'Tariffs 2022'!N17))*'Tariffs 2022'!Z17/100),('Tariffs 2022'!O17*'Tariffs 2022'!Z17/100))),0)</f>
        <v>0</v>
      </c>
      <c r="I23" s="361">
        <f>IF(AND('Tariffs 2022'!O17&gt;0,'Tariffs 2022'!P17&gt;0),IF($C$5&lt;('Tariffs 2022'!L17+'Tariffs 2022'!M17+'Tariffs 2022'!N17+'Tariffs 2022'!O17),0,IF(($C$5-'Tariffs 2022'!L17+'Tariffs 2022'!M17+'Tariffs 2022'!N17+'Tariffs 2022'!O17)&lt;=('Tariffs 2022'!L17+'Tariffs 2022'!M17+'Tariffs 2022'!N17+'Tariffs 2022'!O17+'Tariffs 2022'!P17),(($C$5-('Tariffs 2022'!L17+'Tariffs 2022'!M17+'Tariffs 2022'!N17+'Tariffs 2022'!O17))*'Tariffs 2022'!AA17/100),('Tariffs 2022'!P17*'Tariffs 2022'!AA17/100))),0)</f>
        <v>0</v>
      </c>
      <c r="J23" s="361">
        <f>IF(AND('Tariffs 2022'!P17&gt;0,'Tariffs 2022'!O17&gt;0),IF(($C$5&lt;SUM('Tariffs 2022'!L17:P17)),(0),($C$5-SUM('Tariffs 2022'!L17:P17))*'Tariffs 2022'!AB17/100),IF(AND('Tariffs 2022'!O17&gt;0,'Tariffs 2022'!P17=""),IF(($C$5&lt; SUM('Tariffs 2022'!L17:O17)),(0),($C$5-SUM('Tariffs 2022'!L17:O17))*'Tariffs 2022'!AA17/100),IF(AND('Tariffs 2022'!N17&gt;0,'Tariffs 2022'!O17=""),IF(($C$5&lt; SUM('Tariffs 2022'!L17:N17)),(0),($C$5-SUM('Tariffs 2022'!L17:N17))*'Tariffs 2022'!Z17/100),IF(AND('Tariffs 2022'!M17&gt;0,'Tariffs 2022'!N17=""),IF(($C$5&lt;'Tariffs 2022'!M17+'Tariffs 2022'!L17),(0),(($C$5-('Tariffs 2022'!M17+'Tariffs 2022'!L17))*'Tariffs 2022'!Y17/100)),IF(AND('Tariffs 2022'!L17&gt;0,'Tariffs 2022'!M17=""&gt;0),IF(($C$5&lt;'Tariffs 2022'!L17),(0),($C$5-'Tariffs 2022'!L17)*'Tariffs 2022'!X17/100),0)))))</f>
        <v>0</v>
      </c>
      <c r="K23" s="361">
        <f t="shared" si="0"/>
        <v>157.1090909090909</v>
      </c>
      <c r="L23" s="378">
        <f t="shared" si="6"/>
        <v>645.81818181818176</v>
      </c>
      <c r="M23" s="379">
        <f t="shared" si="7"/>
        <v>942.65454545454531</v>
      </c>
      <c r="N23" s="362">
        <f t="shared" si="8"/>
        <v>1036.9199999999998</v>
      </c>
      <c r="O23" s="360">
        <f>'Tariffs 2022'!AT17</f>
        <v>8</v>
      </c>
      <c r="P23" s="360">
        <f>'Tariffs 2022'!AU17</f>
        <v>0</v>
      </c>
      <c r="Q23" s="360">
        <f>'Tariffs 2022'!AV17</f>
        <v>0</v>
      </c>
      <c r="R23" s="360">
        <f>'Tariffs 2022'!AW17</f>
        <v>0</v>
      </c>
      <c r="S23" s="312" t="str">
        <f t="shared" si="21"/>
        <v>Guaranteed off bill</v>
      </c>
      <c r="T23" s="312" t="str">
        <f t="shared" si="2"/>
        <v>Exclusive</v>
      </c>
      <c r="U23" s="386">
        <f t="shared" si="3"/>
        <v>867.24218181818173</v>
      </c>
      <c r="V23" s="386">
        <f t="shared" si="4"/>
        <v>867.24218181818173</v>
      </c>
      <c r="W23" s="391">
        <f t="shared" si="5"/>
        <v>953.96640000000002</v>
      </c>
      <c r="X23" s="391">
        <f t="shared" si="5"/>
        <v>953.96640000000002</v>
      </c>
      <c r="Y23" s="363">
        <f>'Tariffs 2022'!BF17</f>
        <v>0</v>
      </c>
      <c r="Z23" s="364" t="str">
        <f>'Tariffs 2022'!BG17</f>
        <v>n</v>
      </c>
      <c r="AA23" s="503" t="s">
        <v>288</v>
      </c>
      <c r="AB23" s="498"/>
      <c r="AC23" s="498"/>
      <c r="AD23" s="498"/>
      <c r="AE23" s="498"/>
      <c r="AF23" s="498"/>
      <c r="AG23" s="498"/>
      <c r="AH23" s="498"/>
      <c r="AI23" s="498"/>
      <c r="AJ23" s="498"/>
      <c r="AK23" s="498"/>
      <c r="AL23" s="498"/>
      <c r="AM23" s="498"/>
      <c r="AN23" s="498"/>
    </row>
    <row r="24" spans="1:40" ht="25" customHeight="1" thickBot="1" x14ac:dyDescent="0.35">
      <c r="A24" s="345" t="str">
        <f>'Tariffs 2022'!F18</f>
        <v>Origin Energy</v>
      </c>
      <c r="B24" s="346" t="str">
        <f>'Tariffs 2022'!D18</f>
        <v>AGN Albury</v>
      </c>
      <c r="C24" s="346" t="str">
        <f>'Tariffs 2022'!G18</f>
        <v>Go Variable</v>
      </c>
      <c r="D24" s="347">
        <f>60*'Tariffs 2022'!H18/100</f>
        <v>35.410909090909087</v>
      </c>
      <c r="E24" s="347">
        <f>IF('Tariffs 2022'!K18="",$C$5*'Tariffs 2022'!W18/100,IF($C$5&gt;='Tariffs 2022'!L18,('Tariffs 2022'!L18*'Tariffs 2022'!W18/100),($C$5*'Tariffs 2022'!W18/100)))</f>
        <v>40.05381818181818</v>
      </c>
      <c r="F24" s="347">
        <f>IF(AND('Tariffs 2022'!L18&gt;0,'Tariffs 2022'!M18&gt;0),IF($C$5&lt;'Tariffs 2022'!L18,0,IF(($C$5-'Tariffs 2022'!L18)&lt;=('Tariffs 2022'!M18+'Tariffs 2022'!L18),(($C$5-'Tariffs 2022'!L18)*'Tariffs 2022'!X18/100),(('Tariffs 2022'!M18)*'Tariffs 2022'!X18/100))),0)</f>
        <v>0</v>
      </c>
      <c r="G24" s="347">
        <f>IF(AND('Tariffs 2022'!M18&gt;0,'Tariffs 2022'!N18&gt;0),IF($C$5&lt;('Tariffs 2022'!L18+'Tariffs 2022'!M18),0,IF(($C$5-'Tariffs 2022'!L18+'Tariffs 2022'!M18)&lt;=('Tariffs 2022'!L18+'Tariffs 2022'!M18+'Tariffs 2022'!N18),(($C$5-('Tariffs 2022'!L18+'Tariffs 2022'!M18))*'Tariffs 2022'!Y18/100),('Tariffs 2022'!N18*'Tariffs 2022'!Y18/100))),0)</f>
        <v>0</v>
      </c>
      <c r="H24" s="347">
        <f>IF(AND('Tariffs 2022'!N18&gt;0,'Tariffs 2022'!O18&gt;0),IF($C$5&lt;('Tariffs 2022'!L18+'Tariffs 2022'!M18+'Tariffs 2022'!N18),0,IF(($C$5-'Tariffs 2022'!L18+'Tariffs 2022'!M18+'Tariffs 2022'!N18)&lt;=('Tariffs 2022'!L18+'Tariffs 2022'!M18+'Tariffs 2022'!N18+'Tariffs 2022'!O18),(($C$5-('Tariffs 2022'!L18+'Tariffs 2022'!M18+'Tariffs 2022'!N18))*'Tariffs 2022'!Z18/100),('Tariffs 2022'!O18*'Tariffs 2022'!Z18/100))),0)</f>
        <v>0</v>
      </c>
      <c r="I24" s="347">
        <f>IF(AND('Tariffs 2022'!O18&gt;0,'Tariffs 2022'!P18&gt;0),IF($C$5&lt;('Tariffs 2022'!L18+'Tariffs 2022'!M18+'Tariffs 2022'!N18+'Tariffs 2022'!O18),0,IF(($C$5-'Tariffs 2022'!L18+'Tariffs 2022'!M18+'Tariffs 2022'!N18+'Tariffs 2022'!O18)&lt;=('Tariffs 2022'!L18+'Tariffs 2022'!M18+'Tariffs 2022'!N18+'Tariffs 2022'!O18+'Tariffs 2022'!P18),(($C$5-('Tariffs 2022'!L18+'Tariffs 2022'!M18+'Tariffs 2022'!N18+'Tariffs 2022'!O18))*'Tariffs 2022'!AA18/100),('Tariffs 2022'!P18*'Tariffs 2022'!AA18/100))),0)</f>
        <v>0</v>
      </c>
      <c r="J24" s="347">
        <f>IF(AND('Tariffs 2022'!P18&gt;0,'Tariffs 2022'!O18&gt;0),IF(($C$5&lt;SUM('Tariffs 2022'!L18:P18)),(0),($C$5-SUM('Tariffs 2022'!L18:P18))*'Tariffs 2022'!AB18/100),IF(AND('Tariffs 2022'!O18&gt;0,'Tariffs 2022'!P18=""),IF(($C$5&lt; SUM('Tariffs 2022'!L18:O18)),(0),($C$5-SUM('Tariffs 2022'!L18:O18))*'Tariffs 2022'!AA18/100),IF(AND('Tariffs 2022'!N18&gt;0,'Tariffs 2022'!O18=""),IF(($C$5&lt; SUM('Tariffs 2022'!L18:N18)),(0),($C$5-SUM('Tariffs 2022'!L18:N18))*'Tariffs 2022'!Z18/100),IF(AND('Tariffs 2022'!M18&gt;0,'Tariffs 2022'!N18=""),IF(($C$5&lt;'Tariffs 2022'!M18+'Tariffs 2022'!L18),(0),(($C$5-('Tariffs 2022'!M18+'Tariffs 2022'!L18))*'Tariffs 2022'!Y18/100)),IF(AND('Tariffs 2022'!L18&gt;0,'Tariffs 2022'!M18=""&gt;0),IF(($C$5&lt;'Tariffs 2022'!L18),(0),($C$5-'Tariffs 2022'!L18)*'Tariffs 2022'!X18/100),0)))))</f>
        <v>49.904363636363634</v>
      </c>
      <c r="K24" s="347">
        <f t="shared" si="0"/>
        <v>125.36909090909089</v>
      </c>
      <c r="L24" s="374">
        <f t="shared" si="6"/>
        <v>539.74909090909068</v>
      </c>
      <c r="M24" s="375">
        <f t="shared" si="7"/>
        <v>752.21454545454526</v>
      </c>
      <c r="N24" s="366">
        <f t="shared" si="8"/>
        <v>827.43599999999981</v>
      </c>
      <c r="O24" s="346">
        <f>'Tariffs 2022'!AT18</f>
        <v>0</v>
      </c>
      <c r="P24" s="346">
        <f>'Tariffs 2022'!AU18</f>
        <v>0</v>
      </c>
      <c r="Q24" s="346">
        <f>'Tariffs 2022'!AV18</f>
        <v>0</v>
      </c>
      <c r="R24" s="346">
        <f>'Tariffs 2022'!AW18</f>
        <v>0</v>
      </c>
      <c r="S24" s="349" t="str">
        <f t="shared" si="21"/>
        <v>No discount</v>
      </c>
      <c r="T24" s="349" t="str">
        <f t="shared" si="2"/>
        <v>Inclusive</v>
      </c>
      <c r="U24" s="384">
        <f t="shared" si="3"/>
        <v>752.21454545454526</v>
      </c>
      <c r="V24" s="384">
        <f t="shared" si="4"/>
        <v>752.21454545454526</v>
      </c>
      <c r="W24" s="393">
        <f t="shared" ref="W24:X36" si="23">U24*1.1</f>
        <v>827.43599999999981</v>
      </c>
      <c r="X24" s="393">
        <f t="shared" si="23"/>
        <v>827.43599999999981</v>
      </c>
      <c r="Y24" s="350">
        <f>'Tariffs 2022'!BF18</f>
        <v>0</v>
      </c>
      <c r="Z24" s="350" t="str">
        <f>'Tariffs 2022'!BG18</f>
        <v>n</v>
      </c>
      <c r="AA24" s="504" t="s">
        <v>288</v>
      </c>
      <c r="AB24" s="498"/>
      <c r="AC24" s="498"/>
      <c r="AD24" s="498"/>
      <c r="AE24" s="498"/>
      <c r="AF24" s="498"/>
      <c r="AG24" s="498"/>
      <c r="AH24" s="498"/>
      <c r="AI24" s="498"/>
      <c r="AJ24" s="498"/>
      <c r="AK24" s="498"/>
      <c r="AL24" s="498"/>
      <c r="AM24" s="498"/>
      <c r="AN24" s="498"/>
    </row>
    <row r="25" spans="1:40" ht="25" customHeight="1" thickTop="1" x14ac:dyDescent="0.3">
      <c r="A25" s="338" t="str">
        <f>'Tariffs 2022'!F19</f>
        <v>AGL</v>
      </c>
      <c r="B25" s="339" t="str">
        <f>'Tariffs 2022'!D19</f>
        <v>AGN Murray Valley</v>
      </c>
      <c r="C25" s="339" t="str">
        <f>'Tariffs 2022'!G19</f>
        <v>Value Saver</v>
      </c>
      <c r="D25" s="340">
        <f>60*'Tariffs 2022'!H19/100</f>
        <v>44.176363636363632</v>
      </c>
      <c r="E25" s="340">
        <f>IF('Tariffs 2022'!K19="",$C$5*'Tariffs 2022'!W19/100,IF($C$5&gt;='Tariffs 2022'!L19,('Tariffs 2022'!L19*'Tariffs 2022'!W19/100),($C$5*'Tariffs 2022'!W19/100)))</f>
        <v>53.504727272727266</v>
      </c>
      <c r="F25" s="340">
        <f>IF(AND('Tariffs 2022'!L19&gt;0,'Tariffs 2022'!M19&gt;0),IF($C$5&lt;'Tariffs 2022'!L19,0,IF(($C$5-'Tariffs 2022'!L19)&lt;=('Tariffs 2022'!M19+'Tariffs 2022'!L19),(($C$5-'Tariffs 2022'!L19)*'Tariffs 2022'!X19/100),(('Tariffs 2022'!M19)*'Tariffs 2022'!X19/100))),0)</f>
        <v>69.823272727272723</v>
      </c>
      <c r="G25" s="340">
        <f>IF(AND('Tariffs 2022'!M19&gt;0,'Tariffs 2022'!N19&gt;0),IF($C$5&lt;('Tariffs 2022'!L19+'Tariffs 2022'!M19),0,IF(($C$5-'Tariffs 2022'!L19+'Tariffs 2022'!M19)&lt;=('Tariffs 2022'!L19+'Tariffs 2022'!M19+'Tariffs 2022'!N19),(($C$5-('Tariffs 2022'!L19+'Tariffs 2022'!M19))*'Tariffs 2022'!Y19/100),('Tariffs 2022'!N19*'Tariffs 2022'!Y19/100))),0)</f>
        <v>0</v>
      </c>
      <c r="H25" s="340">
        <f>IF(AND('Tariffs 2022'!N19&gt;0,'Tariffs 2022'!O19&gt;0),IF($C$5&lt;('Tariffs 2022'!L19+'Tariffs 2022'!M19+'Tariffs 2022'!N19),0,IF(($C$5-'Tariffs 2022'!L19+'Tariffs 2022'!M19+'Tariffs 2022'!N19)&lt;=('Tariffs 2022'!L19+'Tariffs 2022'!M19+'Tariffs 2022'!N19+'Tariffs 2022'!O19),(($C$5-('Tariffs 2022'!L19+'Tariffs 2022'!M19+'Tariffs 2022'!N19))*'Tariffs 2022'!Z19/100),('Tariffs 2022'!O19*'Tariffs 2022'!Z19/100))),0)</f>
        <v>0</v>
      </c>
      <c r="I25" s="340">
        <f>IF(AND('Tariffs 2022'!O19&gt;0,'Tariffs 2022'!P19&gt;0),IF($C$5&lt;('Tariffs 2022'!L19+'Tariffs 2022'!M19+'Tariffs 2022'!N19+'Tariffs 2022'!O19),0,IF(($C$5-'Tariffs 2022'!L19+'Tariffs 2022'!M19+'Tariffs 2022'!N19+'Tariffs 2022'!O19)&lt;=('Tariffs 2022'!L19+'Tariffs 2022'!M19+'Tariffs 2022'!N19+'Tariffs 2022'!O19+'Tariffs 2022'!P19),(($C$5-('Tariffs 2022'!L19+'Tariffs 2022'!M19+'Tariffs 2022'!N19+'Tariffs 2022'!O19))*'Tariffs 2022'!AA19/100),('Tariffs 2022'!P19*'Tariffs 2022'!AA19/100))),0)</f>
        <v>0</v>
      </c>
      <c r="J25" s="340">
        <f>IF(AND('Tariffs 2022'!P19&gt;0,'Tariffs 2022'!O19&gt;0),IF(($C$5&lt;SUM('Tariffs 2022'!L19:P19)),(0),($C$5-SUM('Tariffs 2022'!L19:P19))*'Tariffs 2022'!AB19/100),IF(AND('Tariffs 2022'!O19&gt;0,'Tariffs 2022'!P19=""),IF(($C$5&lt; SUM('Tariffs 2022'!L19:O19)),(0),($C$5-SUM('Tariffs 2022'!L19:O19))*'Tariffs 2022'!AA19/100),IF(AND('Tariffs 2022'!N19&gt;0,'Tariffs 2022'!O19=""),IF(($C$5&lt; SUM('Tariffs 2022'!L19:N19)),(0),($C$5-SUM('Tariffs 2022'!L19:N19))*'Tariffs 2022'!Z19/100),IF(AND('Tariffs 2022'!M19&gt;0,'Tariffs 2022'!N19=""),IF(($C$5&lt;'Tariffs 2022'!M19+'Tariffs 2022'!L19),(0),(($C$5-('Tariffs 2022'!M19+'Tariffs 2022'!L19))*'Tariffs 2022'!Y19/100)),IF(AND('Tariffs 2022'!L19&gt;0,'Tariffs 2022'!M19=""&gt;0),IF(($C$5&lt;'Tariffs 2022'!L19),(0),($C$5-'Tariffs 2022'!L19)*'Tariffs 2022'!X19/100),0)))))</f>
        <v>24.629090909090905</v>
      </c>
      <c r="K25" s="340">
        <f t="shared" si="0"/>
        <v>192.13345454545453</v>
      </c>
      <c r="L25" s="372">
        <f t="shared" si="6"/>
        <v>887.74254545454551</v>
      </c>
      <c r="M25" s="373">
        <f t="shared" si="7"/>
        <v>1152.8007272727273</v>
      </c>
      <c r="N25" s="359">
        <f t="shared" si="8"/>
        <v>1268.0808000000002</v>
      </c>
      <c r="O25" s="339">
        <f>'Tariffs 2022'!AT19</f>
        <v>0</v>
      </c>
      <c r="P25" s="339">
        <f>'Tariffs 2022'!AU19</f>
        <v>0</v>
      </c>
      <c r="Q25" s="339">
        <f>'Tariffs 2022'!AV19</f>
        <v>0</v>
      </c>
      <c r="R25" s="339">
        <f>'Tariffs 2022'!AW19</f>
        <v>0</v>
      </c>
      <c r="S25" s="342" t="str">
        <f t="shared" si="21"/>
        <v>No discount</v>
      </c>
      <c r="T25" s="342" t="str">
        <f t="shared" si="2"/>
        <v>Exclusive</v>
      </c>
      <c r="U25" s="383">
        <f t="shared" si="3"/>
        <v>1152.8007272727273</v>
      </c>
      <c r="V25" s="383">
        <f t="shared" si="4"/>
        <v>1152.8007272727273</v>
      </c>
      <c r="W25" s="392">
        <f t="shared" si="23"/>
        <v>1268.0808000000002</v>
      </c>
      <c r="X25" s="392">
        <f t="shared" si="23"/>
        <v>1268.0808000000002</v>
      </c>
      <c r="Y25" s="343">
        <f>'Tariffs 2022'!BF19</f>
        <v>0</v>
      </c>
      <c r="Z25" s="343" t="str">
        <f>'Tariffs 2022'!BG19</f>
        <v>n</v>
      </c>
      <c r="AA25" s="505" t="s">
        <v>288</v>
      </c>
      <c r="AB25" s="498"/>
      <c r="AC25" s="498"/>
      <c r="AD25" s="498"/>
      <c r="AE25" s="498"/>
      <c r="AF25" s="498"/>
      <c r="AG25" s="498"/>
      <c r="AH25" s="498"/>
      <c r="AI25" s="498"/>
      <c r="AJ25" s="498"/>
      <c r="AK25" s="498"/>
      <c r="AL25" s="498"/>
      <c r="AM25" s="498"/>
      <c r="AN25" s="498"/>
    </row>
    <row r="26" spans="1:40" ht="25" customHeight="1" x14ac:dyDescent="0.3">
      <c r="A26" s="309" t="str">
        <f>'Tariffs 2022'!F20</f>
        <v>EnergyAustralia</v>
      </c>
      <c r="B26" s="360" t="str">
        <f>'Tariffs 2022'!D20</f>
        <v>AGN Murray Valley</v>
      </c>
      <c r="C26" s="360" t="str">
        <f>'Tariffs 2022'!G20</f>
        <v>Flexi Plan</v>
      </c>
      <c r="D26" s="361">
        <f>60*'Tariffs 2022'!H20/100</f>
        <v>48.490909090909092</v>
      </c>
      <c r="E26" s="361">
        <f>IF('Tariffs 2022'!K20="",$C$5*'Tariffs 2022'!W20/100,IF($C$5&gt;='Tariffs 2022'!L20,('Tariffs 2022'!L20*'Tariffs 2022'!W20/100),($C$5*'Tariffs 2022'!W20/100)))</f>
        <v>153.81818181818181</v>
      </c>
      <c r="F26" s="361">
        <f>IF(AND('Tariffs 2022'!L20&gt;0,'Tariffs 2022'!M20&gt;0),IF($C$5&lt;'Tariffs 2022'!L20,0,IF(($C$5-'Tariffs 2022'!L20)&lt;=('Tariffs 2022'!M20+'Tariffs 2022'!L20),(($C$5-'Tariffs 2022'!L20)*'Tariffs 2022'!X20/100),(('Tariffs 2022'!M20)*'Tariffs 2022'!X20/100))),0)</f>
        <v>0</v>
      </c>
      <c r="G26" s="361">
        <f>IF(AND('Tariffs 2022'!M20&gt;0,'Tariffs 2022'!N20&gt;0),IF($C$5&lt;('Tariffs 2022'!L20+'Tariffs 2022'!M20),0,IF(($C$5-'Tariffs 2022'!L20+'Tariffs 2022'!M20)&lt;=('Tariffs 2022'!L20+'Tariffs 2022'!M20+'Tariffs 2022'!N20),(($C$5-('Tariffs 2022'!L20+'Tariffs 2022'!M20))*'Tariffs 2022'!Y20/100),('Tariffs 2022'!N20*'Tariffs 2022'!Y20/100))),0)</f>
        <v>0</v>
      </c>
      <c r="H26" s="361">
        <f>IF(AND('Tariffs 2022'!N20&gt;0,'Tariffs 2022'!O20&gt;0),IF($C$5&lt;('Tariffs 2022'!L20+'Tariffs 2022'!M20+'Tariffs 2022'!N20),0,IF(($C$5-'Tariffs 2022'!L20+'Tariffs 2022'!M20+'Tariffs 2022'!N20)&lt;=('Tariffs 2022'!L20+'Tariffs 2022'!M20+'Tariffs 2022'!N20+'Tariffs 2022'!O20),(($C$5-('Tariffs 2022'!L20+'Tariffs 2022'!M20+'Tariffs 2022'!N20))*'Tariffs 2022'!Z20/100),('Tariffs 2022'!O20*'Tariffs 2022'!Z20/100))),0)</f>
        <v>0</v>
      </c>
      <c r="I26" s="361">
        <f>IF(AND('Tariffs 2022'!O20&gt;0,'Tariffs 2022'!P20&gt;0),IF($C$5&lt;('Tariffs 2022'!L20+'Tariffs 2022'!M20+'Tariffs 2022'!N20+'Tariffs 2022'!O20),0,IF(($C$5-'Tariffs 2022'!L20+'Tariffs 2022'!M20+'Tariffs 2022'!N20+'Tariffs 2022'!O20)&lt;=('Tariffs 2022'!L20+'Tariffs 2022'!M20+'Tariffs 2022'!N20+'Tariffs 2022'!O20+'Tariffs 2022'!P20),(($C$5-('Tariffs 2022'!L20+'Tariffs 2022'!M20+'Tariffs 2022'!N20+'Tariffs 2022'!O20))*'Tariffs 2022'!AA20/100),('Tariffs 2022'!P20*'Tariffs 2022'!AA20/100))),0)</f>
        <v>0</v>
      </c>
      <c r="J26" s="361">
        <f>IF(AND('Tariffs 2022'!P20&gt;0,'Tariffs 2022'!O20&gt;0),IF(($C$5&lt;SUM('Tariffs 2022'!L20:P20)),(0),($C$5-SUM('Tariffs 2022'!L20:P20))*'Tariffs 2022'!AB20/100),IF(AND('Tariffs 2022'!O20&gt;0,'Tariffs 2022'!P20=""),IF(($C$5&lt; SUM('Tariffs 2022'!L20:O20)),(0),($C$5-SUM('Tariffs 2022'!L20:O20))*'Tariffs 2022'!AA20/100),IF(AND('Tariffs 2022'!N20&gt;0,'Tariffs 2022'!O20=""),IF(($C$5&lt; SUM('Tariffs 2022'!L20:N20)),(0),($C$5-SUM('Tariffs 2022'!L20:N20))*'Tariffs 2022'!Z20/100),IF(AND('Tariffs 2022'!M20&gt;0,'Tariffs 2022'!N20=""),IF(($C$5&lt;'Tariffs 2022'!M20+'Tariffs 2022'!L20),(0),(($C$5-('Tariffs 2022'!M20+'Tariffs 2022'!L20))*'Tariffs 2022'!Y20/100)),IF(AND('Tariffs 2022'!L20&gt;0,'Tariffs 2022'!M20=""&gt;0),IF(($C$5&lt;'Tariffs 2022'!L20),(0),($C$5-'Tariffs 2022'!L20)*'Tariffs 2022'!X20/100),0)))))</f>
        <v>0</v>
      </c>
      <c r="K26" s="361">
        <f t="shared" si="0"/>
        <v>202.30909090909091</v>
      </c>
      <c r="L26" s="378">
        <f t="shared" si="6"/>
        <v>922.90909090909099</v>
      </c>
      <c r="M26" s="379">
        <f t="shared" si="7"/>
        <v>1213.8545454545456</v>
      </c>
      <c r="N26" s="362">
        <f t="shared" si="8"/>
        <v>1335.2400000000002</v>
      </c>
      <c r="O26" s="360">
        <f>'Tariffs 2022'!AT20</f>
        <v>8</v>
      </c>
      <c r="P26" s="360">
        <f>'Tariffs 2022'!AU20</f>
        <v>0</v>
      </c>
      <c r="Q26" s="360">
        <f>'Tariffs 2022'!AV20</f>
        <v>0</v>
      </c>
      <c r="R26" s="360">
        <f>'Tariffs 2022'!AW20</f>
        <v>0</v>
      </c>
      <c r="S26" s="312" t="str">
        <f t="shared" si="21"/>
        <v>Guaranteed off bill</v>
      </c>
      <c r="T26" s="312" t="str">
        <f t="shared" si="2"/>
        <v>Exclusive</v>
      </c>
      <c r="U26" s="386">
        <f t="shared" si="3"/>
        <v>1116.7461818181819</v>
      </c>
      <c r="V26" s="386">
        <f t="shared" si="4"/>
        <v>1116.7461818181819</v>
      </c>
      <c r="W26" s="391">
        <f t="shared" si="23"/>
        <v>1228.4208000000001</v>
      </c>
      <c r="X26" s="391">
        <f t="shared" si="23"/>
        <v>1228.4208000000001</v>
      </c>
      <c r="Y26" s="363">
        <f>'Tariffs 2022'!BF20</f>
        <v>0</v>
      </c>
      <c r="Z26" s="364" t="str">
        <f>'Tariffs 2022'!BG20</f>
        <v>n</v>
      </c>
      <c r="AA26" s="503" t="s">
        <v>288</v>
      </c>
      <c r="AB26" s="498"/>
      <c r="AC26" s="498"/>
      <c r="AD26" s="498"/>
      <c r="AE26" s="498"/>
      <c r="AF26" s="498"/>
      <c r="AG26" s="498"/>
      <c r="AH26" s="498"/>
      <c r="AI26" s="498"/>
      <c r="AJ26" s="498"/>
      <c r="AK26" s="498"/>
      <c r="AL26" s="498"/>
      <c r="AM26" s="498"/>
      <c r="AN26" s="498"/>
    </row>
    <row r="27" spans="1:40" ht="25" customHeight="1" thickBot="1" x14ac:dyDescent="0.35">
      <c r="A27" s="345" t="str">
        <f>'Tariffs 2022'!F21</f>
        <v>Origin Energy</v>
      </c>
      <c r="B27" s="346" t="str">
        <f>'Tariffs 2022'!D21</f>
        <v>AGN Murray Valley</v>
      </c>
      <c r="C27" s="346" t="str">
        <f>'Tariffs 2022'!G21</f>
        <v>Go Variable</v>
      </c>
      <c r="D27" s="347">
        <f>60*'Tariffs 2022'!H21/100</f>
        <v>36.769090909090906</v>
      </c>
      <c r="E27" s="347">
        <f>IF('Tariffs 2022'!K21="",$C$5*'Tariffs 2022'!W21/100,IF($C$5&gt;='Tariffs 2022'!L21,('Tariffs 2022'!L21*'Tariffs 2022'!W21/100),($C$5*'Tariffs 2022'!W21/100)))</f>
        <v>58.885090909090906</v>
      </c>
      <c r="F27" s="347">
        <f>IF(AND('Tariffs 2022'!L21&gt;0,'Tariffs 2022'!M21&gt;0),IF($C$5&lt;'Tariffs 2022'!L21,0,IF(($C$5-'Tariffs 2022'!L21)&lt;=('Tariffs 2022'!M21+'Tariffs 2022'!L21),(($C$5-'Tariffs 2022'!L21)*'Tariffs 2022'!X21/100),(('Tariffs 2022'!M21)*'Tariffs 2022'!X21/100))),0)</f>
        <v>0</v>
      </c>
      <c r="G27" s="347">
        <f>IF(AND('Tariffs 2022'!M21&gt;0,'Tariffs 2022'!N21&gt;0),IF($C$5&lt;('Tariffs 2022'!L21+'Tariffs 2022'!M21),0,IF(($C$5-'Tariffs 2022'!L21+'Tariffs 2022'!M21)&lt;=('Tariffs 2022'!L21+'Tariffs 2022'!M21+'Tariffs 2022'!N21),(($C$5-('Tariffs 2022'!L21+'Tariffs 2022'!M21))*'Tariffs 2022'!Y21/100),('Tariffs 2022'!N21*'Tariffs 2022'!Y21/100))),0)</f>
        <v>0</v>
      </c>
      <c r="H27" s="347">
        <f>IF(AND('Tariffs 2022'!N21&gt;0,'Tariffs 2022'!O21&gt;0),IF($C$5&lt;('Tariffs 2022'!L21+'Tariffs 2022'!M21+'Tariffs 2022'!N21),0,IF(($C$5-'Tariffs 2022'!L21+'Tariffs 2022'!M21+'Tariffs 2022'!N21)&lt;=('Tariffs 2022'!L21+'Tariffs 2022'!M21+'Tariffs 2022'!N21+'Tariffs 2022'!O21),(($C$5-('Tariffs 2022'!L21+'Tariffs 2022'!M21+'Tariffs 2022'!N21))*'Tariffs 2022'!Z21/100),('Tariffs 2022'!O21*'Tariffs 2022'!Z21/100))),0)</f>
        <v>0</v>
      </c>
      <c r="I27" s="347">
        <f>IF(AND('Tariffs 2022'!O21&gt;0,'Tariffs 2022'!P21&gt;0),IF($C$5&lt;('Tariffs 2022'!L21+'Tariffs 2022'!M21+'Tariffs 2022'!N21+'Tariffs 2022'!O21),0,IF(($C$5-'Tariffs 2022'!L21+'Tariffs 2022'!M21+'Tariffs 2022'!N21+'Tariffs 2022'!O21)&lt;=('Tariffs 2022'!L21+'Tariffs 2022'!M21+'Tariffs 2022'!N21+'Tariffs 2022'!O21+'Tariffs 2022'!P21),(($C$5-('Tariffs 2022'!L21+'Tariffs 2022'!M21+'Tariffs 2022'!N21+'Tariffs 2022'!O21))*'Tariffs 2022'!AA21/100),('Tariffs 2022'!P21*'Tariffs 2022'!AA21/100))),0)</f>
        <v>0</v>
      </c>
      <c r="J27" s="347">
        <f>IF(AND('Tariffs 2022'!P21&gt;0,'Tariffs 2022'!O21&gt;0),IF(($C$5&lt;SUM('Tariffs 2022'!L21:P21)),(0),($C$5-SUM('Tariffs 2022'!L21:P21))*'Tariffs 2022'!AB21/100),IF(AND('Tariffs 2022'!O21&gt;0,'Tariffs 2022'!P21=""),IF(($C$5&lt; SUM('Tariffs 2022'!L21:O21)),(0),($C$5-SUM('Tariffs 2022'!L21:O21))*'Tariffs 2022'!AA21/100),IF(AND('Tariffs 2022'!N21&gt;0,'Tariffs 2022'!O21=""),IF(($C$5&lt; SUM('Tariffs 2022'!L21:N21)),(0),($C$5-SUM('Tariffs 2022'!L21:N21))*'Tariffs 2022'!Z21/100),IF(AND('Tariffs 2022'!M21&gt;0,'Tariffs 2022'!N21=""),IF(($C$5&lt;'Tariffs 2022'!M21+'Tariffs 2022'!L21),(0),(($C$5-('Tariffs 2022'!M21+'Tariffs 2022'!L21))*'Tariffs 2022'!Y21/100)),IF(AND('Tariffs 2022'!L21&gt;0,'Tariffs 2022'!M21=""&gt;0),IF(($C$5&lt;'Tariffs 2022'!L21),(0),($C$5-'Tariffs 2022'!L21)*'Tariffs 2022'!X21/100),0)))))</f>
        <v>65.11127272727272</v>
      </c>
      <c r="K27" s="347">
        <f t="shared" si="0"/>
        <v>160.76545454545453</v>
      </c>
      <c r="L27" s="374">
        <f t="shared" si="6"/>
        <v>743.97818181818172</v>
      </c>
      <c r="M27" s="375">
        <f t="shared" si="7"/>
        <v>964.59272727272719</v>
      </c>
      <c r="N27" s="366">
        <f t="shared" si="8"/>
        <v>1061.0519999999999</v>
      </c>
      <c r="O27" s="346">
        <f>'Tariffs 2022'!AT21</f>
        <v>0</v>
      </c>
      <c r="P27" s="346">
        <f>'Tariffs 2022'!AU21</f>
        <v>0</v>
      </c>
      <c r="Q27" s="346">
        <f>'Tariffs 2022'!AV21</f>
        <v>0</v>
      </c>
      <c r="R27" s="346">
        <f>'Tariffs 2022'!AW21</f>
        <v>0</v>
      </c>
      <c r="S27" s="349" t="str">
        <f t="shared" si="21"/>
        <v>No discount</v>
      </c>
      <c r="T27" s="349" t="str">
        <f t="shared" si="2"/>
        <v>Inclusive</v>
      </c>
      <c r="U27" s="384">
        <f t="shared" si="3"/>
        <v>964.59272727272707</v>
      </c>
      <c r="V27" s="384">
        <f t="shared" si="4"/>
        <v>964.59272727272707</v>
      </c>
      <c r="W27" s="393">
        <f t="shared" si="23"/>
        <v>1061.0519999999999</v>
      </c>
      <c r="X27" s="393">
        <f t="shared" si="23"/>
        <v>1061.0519999999999</v>
      </c>
      <c r="Y27" s="350">
        <f>'Tariffs 2022'!BF21</f>
        <v>0</v>
      </c>
      <c r="Z27" s="350" t="str">
        <f>'Tariffs 2022'!BG21</f>
        <v>n</v>
      </c>
      <c r="AA27" s="504" t="s">
        <v>288</v>
      </c>
      <c r="AB27" s="498"/>
      <c r="AC27" s="498"/>
      <c r="AD27" s="498"/>
      <c r="AE27" s="498"/>
      <c r="AF27" s="498"/>
      <c r="AG27" s="498"/>
      <c r="AH27" s="498"/>
      <c r="AI27" s="498"/>
      <c r="AJ27" s="498"/>
      <c r="AK27" s="498"/>
      <c r="AL27" s="498"/>
      <c r="AM27" s="498"/>
      <c r="AN27" s="498"/>
    </row>
    <row r="28" spans="1:40" ht="25" customHeight="1" thickTop="1" x14ac:dyDescent="0.3">
      <c r="A28" s="338" t="str">
        <f>'Tariffs 2022'!F22</f>
        <v>Origin Energy</v>
      </c>
      <c r="B28" s="339" t="str">
        <f>'Tariffs 2022'!D22</f>
        <v>AGN Cooma</v>
      </c>
      <c r="C28" s="339" t="str">
        <f>'Tariffs 2022'!G22</f>
        <v>Go Variable</v>
      </c>
      <c r="D28" s="340">
        <f>60*'Tariffs 2022'!H22/100</f>
        <v>41.689090909090908</v>
      </c>
      <c r="E28" s="340">
        <f>IF('Tariffs 2022'!K22="",$C$5*'Tariffs 2022'!W22/100,IF($C$5&gt;='Tariffs 2022'!L22,('Tariffs 2022'!L22*'Tariffs 2022'!W22/100),($C$5*'Tariffs 2022'!W22/100)))</f>
        <v>121.09090909090908</v>
      </c>
      <c r="F28" s="340">
        <f>IF(AND('Tariffs 2022'!L22&gt;0,'Tariffs 2022'!M22&gt;0),IF($C$5&lt;'Tariffs 2022'!L22,0,IF(($C$5-'Tariffs 2022'!L22)&lt;=('Tariffs 2022'!M22+'Tariffs 2022'!L22),(($C$5-'Tariffs 2022'!L22)*'Tariffs 2022'!X22/100),(('Tariffs 2022'!M22)*'Tariffs 2022'!X22/100))),0)</f>
        <v>0</v>
      </c>
      <c r="G28" s="340">
        <f>IF(AND('Tariffs 2022'!M22&gt;0,'Tariffs 2022'!N22&gt;0),IF($C$5&lt;('Tariffs 2022'!L22+'Tariffs 2022'!M22),0,IF(($C$5-'Tariffs 2022'!L22+'Tariffs 2022'!M22)&lt;=('Tariffs 2022'!L22+'Tariffs 2022'!M22+'Tariffs 2022'!N22),(($C$5-('Tariffs 2022'!L22+'Tariffs 2022'!M22))*'Tariffs 2022'!Y22/100),('Tariffs 2022'!N22*'Tariffs 2022'!Y22/100))),0)</f>
        <v>0</v>
      </c>
      <c r="H28" s="340">
        <f>IF(AND('Tariffs 2022'!N22&gt;0,'Tariffs 2022'!O22&gt;0),IF($C$5&lt;('Tariffs 2022'!L22+'Tariffs 2022'!M22+'Tariffs 2022'!N22),0,IF(($C$5-'Tariffs 2022'!L22+'Tariffs 2022'!M22+'Tariffs 2022'!N22)&lt;=('Tariffs 2022'!L22+'Tariffs 2022'!M22+'Tariffs 2022'!N22+'Tariffs 2022'!O22),(($C$5-('Tariffs 2022'!L22+'Tariffs 2022'!M22+'Tariffs 2022'!N22))*'Tariffs 2022'!Z22/100),('Tariffs 2022'!O22*'Tariffs 2022'!Z22/100))),0)</f>
        <v>0</v>
      </c>
      <c r="I28" s="340">
        <f>IF(AND('Tariffs 2022'!O22&gt;0,'Tariffs 2022'!P22&gt;0),IF($C$5&lt;('Tariffs 2022'!L22+'Tariffs 2022'!M22+'Tariffs 2022'!N22+'Tariffs 2022'!O22),0,IF(($C$5-'Tariffs 2022'!L22+'Tariffs 2022'!M22+'Tariffs 2022'!N22+'Tariffs 2022'!O22)&lt;=('Tariffs 2022'!L22+'Tariffs 2022'!M22+'Tariffs 2022'!N22+'Tariffs 2022'!O22+'Tariffs 2022'!P22),(($C$5-('Tariffs 2022'!L22+'Tariffs 2022'!M22+'Tariffs 2022'!N22+'Tariffs 2022'!O22))*'Tariffs 2022'!AA22/100),('Tariffs 2022'!P22*'Tariffs 2022'!AA22/100))),0)</f>
        <v>0</v>
      </c>
      <c r="J28" s="340">
        <f>IF(AND('Tariffs 2022'!P22&gt;0,'Tariffs 2022'!O22&gt;0),IF(($C$5&lt;SUM('Tariffs 2022'!L22:P22)),(0),($C$5-SUM('Tariffs 2022'!L22:P22))*'Tariffs 2022'!AB22/100),IF(AND('Tariffs 2022'!O22&gt;0,'Tariffs 2022'!P22=""),IF(($C$5&lt; SUM('Tariffs 2022'!L22:O22)),(0),($C$5-SUM('Tariffs 2022'!L22:O22))*'Tariffs 2022'!AA22/100),IF(AND('Tariffs 2022'!N22&gt;0,'Tariffs 2022'!O22=""),IF(($C$5&lt; SUM('Tariffs 2022'!L22:N22)),(0),($C$5-SUM('Tariffs 2022'!L22:N22))*'Tariffs 2022'!Z22/100),IF(AND('Tariffs 2022'!M22&gt;0,'Tariffs 2022'!N22=""),IF(($C$5&lt;'Tariffs 2022'!M22+'Tariffs 2022'!L22),(0),(($C$5-('Tariffs 2022'!M22+'Tariffs 2022'!L22))*'Tariffs 2022'!Y22/100)),IF(AND('Tariffs 2022'!L22&gt;0,'Tariffs 2022'!M22=""&gt;0),IF(($C$5&lt;'Tariffs 2022'!L22),(0),($C$5-'Tariffs 2022'!L22)*'Tariffs 2022'!X22/100),0)))))</f>
        <v>0</v>
      </c>
      <c r="K28" s="340">
        <f t="shared" si="0"/>
        <v>162.77999999999997</v>
      </c>
      <c r="L28" s="372">
        <f t="shared" si="6"/>
        <v>726.54545454545439</v>
      </c>
      <c r="M28" s="373">
        <f t="shared" si="7"/>
        <v>976.67999999999984</v>
      </c>
      <c r="N28" s="341">
        <f t="shared" si="8"/>
        <v>1074.348</v>
      </c>
      <c r="O28" s="339">
        <f>'Tariffs 2022'!AT22</f>
        <v>0</v>
      </c>
      <c r="P28" s="339">
        <f>'Tariffs 2022'!AU22</f>
        <v>0</v>
      </c>
      <c r="Q28" s="339">
        <f>'Tariffs 2022'!AV22</f>
        <v>0</v>
      </c>
      <c r="R28" s="339">
        <f>'Tariffs 2022'!AW22</f>
        <v>0</v>
      </c>
      <c r="S28" s="342" t="str">
        <f t="shared" si="21"/>
        <v>No discount</v>
      </c>
      <c r="T28" s="342" t="str">
        <f t="shared" si="2"/>
        <v>Inclusive</v>
      </c>
      <c r="U28" s="383">
        <f t="shared" si="3"/>
        <v>976.67999999999984</v>
      </c>
      <c r="V28" s="383">
        <f t="shared" si="4"/>
        <v>976.67999999999984</v>
      </c>
      <c r="W28" s="392">
        <f t="shared" si="23"/>
        <v>1074.348</v>
      </c>
      <c r="X28" s="392">
        <f t="shared" si="23"/>
        <v>1074.348</v>
      </c>
      <c r="Y28" s="343">
        <f>'Tariffs 2022'!BF22</f>
        <v>0</v>
      </c>
      <c r="Z28" s="367" t="str">
        <f>'Tariffs 2022'!BG22</f>
        <v>n</v>
      </c>
      <c r="AA28" s="505" t="s">
        <v>288</v>
      </c>
      <c r="AB28" s="498"/>
      <c r="AC28" s="498"/>
      <c r="AD28" s="498"/>
      <c r="AE28" s="498"/>
      <c r="AF28" s="498"/>
      <c r="AG28" s="498"/>
      <c r="AH28" s="498"/>
      <c r="AI28" s="498"/>
      <c r="AJ28" s="498"/>
      <c r="AK28" s="498"/>
      <c r="AL28" s="498"/>
      <c r="AM28" s="498"/>
      <c r="AN28" s="498"/>
    </row>
    <row r="29" spans="1:40" ht="25" customHeight="1" thickBot="1" x14ac:dyDescent="0.35">
      <c r="A29" s="345" t="str">
        <f>'Tariffs 2022'!F23</f>
        <v>Red Energy</v>
      </c>
      <c r="B29" s="346" t="str">
        <f>'Tariffs 2022'!D23</f>
        <v>AGN Cooma</v>
      </c>
      <c r="C29" s="346" t="str">
        <f>'Tariffs 2022'!G23</f>
        <v>Living Energy Saver</v>
      </c>
      <c r="D29" s="347">
        <f>60*'Tariffs 2022'!H23/100</f>
        <v>41.394545454545451</v>
      </c>
      <c r="E29" s="347">
        <f>IF('Tariffs 2022'!K23="",$C$5*'Tariffs 2022'!W23/100,IF($C$5&gt;='Tariffs 2022'!L23,('Tariffs 2022'!L23*'Tariffs 2022'!W23/100),($C$5*'Tariffs 2022'!W23/100)))</f>
        <v>107.63636363636363</v>
      </c>
      <c r="F29" s="347">
        <f>IF(AND('Tariffs 2022'!L23&gt;0,'Tariffs 2022'!M23&gt;0),IF($C$5&lt;'Tariffs 2022'!L23,0,IF(($C$5-'Tariffs 2022'!L23)&lt;=('Tariffs 2022'!M23+'Tariffs 2022'!L23),(($C$5-'Tariffs 2022'!L23)*'Tariffs 2022'!X23/100),(('Tariffs 2022'!M23)*'Tariffs 2022'!X23/100))),0)</f>
        <v>0</v>
      </c>
      <c r="G29" s="347">
        <f>IF(AND('Tariffs 2022'!M23&gt;0,'Tariffs 2022'!N23&gt;0),IF($C$5&lt;('Tariffs 2022'!L23+'Tariffs 2022'!M23),0,IF(($C$5-'Tariffs 2022'!L23+'Tariffs 2022'!M23)&lt;=('Tariffs 2022'!L23+'Tariffs 2022'!M23+'Tariffs 2022'!N23),(($C$5-('Tariffs 2022'!L23+'Tariffs 2022'!M23))*'Tariffs 2022'!Y23/100),('Tariffs 2022'!N23*'Tariffs 2022'!Y23/100))),0)</f>
        <v>0</v>
      </c>
      <c r="H29" s="347">
        <f>IF(AND('Tariffs 2022'!N23&gt;0,'Tariffs 2022'!O23&gt;0),IF($C$5&lt;('Tariffs 2022'!L23+'Tariffs 2022'!M23+'Tariffs 2022'!N23),0,IF(($C$5-'Tariffs 2022'!L23+'Tariffs 2022'!M23+'Tariffs 2022'!N23)&lt;=('Tariffs 2022'!L23+'Tariffs 2022'!M23+'Tariffs 2022'!N23+'Tariffs 2022'!O23),(($C$5-('Tariffs 2022'!L23+'Tariffs 2022'!M23+'Tariffs 2022'!N23))*'Tariffs 2022'!Z23/100),('Tariffs 2022'!O23*'Tariffs 2022'!Z23/100))),0)</f>
        <v>0</v>
      </c>
      <c r="I29" s="347">
        <f>IF(AND('Tariffs 2022'!O23&gt;0,'Tariffs 2022'!P23&gt;0),IF($C$5&lt;('Tariffs 2022'!L23+'Tariffs 2022'!M23+'Tariffs 2022'!N23+'Tariffs 2022'!O23),0,IF(($C$5-'Tariffs 2022'!L23+'Tariffs 2022'!M23+'Tariffs 2022'!N23+'Tariffs 2022'!O23)&lt;=('Tariffs 2022'!L23+'Tariffs 2022'!M23+'Tariffs 2022'!N23+'Tariffs 2022'!O23+'Tariffs 2022'!P23),(($C$5-('Tariffs 2022'!L23+'Tariffs 2022'!M23+'Tariffs 2022'!N23+'Tariffs 2022'!O23))*'Tariffs 2022'!AA23/100),('Tariffs 2022'!P23*'Tariffs 2022'!AA23/100))),0)</f>
        <v>0</v>
      </c>
      <c r="J29" s="347">
        <f>IF(AND('Tariffs 2022'!P23&gt;0,'Tariffs 2022'!O23&gt;0),IF(($C$5&lt;SUM('Tariffs 2022'!L23:P23)),(0),($C$5-SUM('Tariffs 2022'!L23:P23))*'Tariffs 2022'!AB23/100),IF(AND('Tariffs 2022'!O23&gt;0,'Tariffs 2022'!P23=""),IF(($C$5&lt; SUM('Tariffs 2022'!L23:O23)),(0),($C$5-SUM('Tariffs 2022'!L23:O23))*'Tariffs 2022'!AA23/100),IF(AND('Tariffs 2022'!N23&gt;0,'Tariffs 2022'!O23=""),IF(($C$5&lt; SUM('Tariffs 2022'!L23:N23)),(0),($C$5-SUM('Tariffs 2022'!L23:N23))*'Tariffs 2022'!Z23/100),IF(AND('Tariffs 2022'!M23&gt;0,'Tariffs 2022'!N23=""),IF(($C$5&lt;'Tariffs 2022'!M23+'Tariffs 2022'!L23),(0),(($C$5-('Tariffs 2022'!M23+'Tariffs 2022'!L23))*'Tariffs 2022'!Y23/100)),IF(AND('Tariffs 2022'!L23&gt;0,'Tariffs 2022'!M23=""&gt;0),IF(($C$5&lt;'Tariffs 2022'!L23),(0),($C$5-'Tariffs 2022'!L23)*'Tariffs 2022'!X23/100),0)))))</f>
        <v>0</v>
      </c>
      <c r="K29" s="347">
        <f t="shared" si="0"/>
        <v>149.03090909090906</v>
      </c>
      <c r="L29" s="374">
        <f t="shared" si="6"/>
        <v>645.81818181818164</v>
      </c>
      <c r="M29" s="375">
        <f t="shared" si="7"/>
        <v>894.18545454545438</v>
      </c>
      <c r="N29" s="348">
        <f t="shared" si="8"/>
        <v>983.60399999999993</v>
      </c>
      <c r="O29" s="346">
        <f>'Tariffs 2022'!AT23</f>
        <v>0</v>
      </c>
      <c r="P29" s="346">
        <f>'Tariffs 2022'!AU23</f>
        <v>0</v>
      </c>
      <c r="Q29" s="346">
        <f>'Tariffs 2022'!AV23</f>
        <v>0</v>
      </c>
      <c r="R29" s="346">
        <f>'Tariffs 2022'!AW23</f>
        <v>0</v>
      </c>
      <c r="S29" s="349" t="str">
        <f t="shared" si="21"/>
        <v>No discount</v>
      </c>
      <c r="T29" s="349" t="str">
        <f t="shared" si="2"/>
        <v>Inclusive</v>
      </c>
      <c r="U29" s="384">
        <f t="shared" si="3"/>
        <v>894.18545454545438</v>
      </c>
      <c r="V29" s="384">
        <f t="shared" si="4"/>
        <v>894.18545454545438</v>
      </c>
      <c r="W29" s="393">
        <f t="shared" si="23"/>
        <v>983.60399999999993</v>
      </c>
      <c r="X29" s="393">
        <f t="shared" si="23"/>
        <v>983.60399999999993</v>
      </c>
      <c r="Y29" s="350">
        <f>'Tariffs 2022'!BF23</f>
        <v>0</v>
      </c>
      <c r="Z29" s="350" t="str">
        <f>'Tariffs 2022'!BG23</f>
        <v>n</v>
      </c>
      <c r="AA29" s="504" t="s">
        <v>400</v>
      </c>
      <c r="AB29" s="498"/>
      <c r="AC29" s="498"/>
      <c r="AD29" s="498"/>
      <c r="AE29" s="498"/>
      <c r="AF29" s="498"/>
      <c r="AG29" s="498"/>
      <c r="AH29" s="498"/>
      <c r="AI29" s="498"/>
      <c r="AJ29" s="498"/>
      <c r="AK29" s="498"/>
      <c r="AL29" s="498"/>
      <c r="AM29" s="498"/>
      <c r="AN29" s="498"/>
    </row>
    <row r="30" spans="1:40" ht="25" customHeight="1" thickTop="1" x14ac:dyDescent="0.3">
      <c r="A30" s="338" t="str">
        <f>'Tariffs 2022'!F24</f>
        <v>AGL</v>
      </c>
      <c r="B30" s="339" t="str">
        <f>'Tariffs 2022'!D24</f>
        <v>AGN Temora</v>
      </c>
      <c r="C30" s="339" t="str">
        <f>'Tariffs 2022'!G24</f>
        <v>Value Saver</v>
      </c>
      <c r="D30" s="340">
        <f>60*'Tariffs 2022'!H24/100</f>
        <v>52.887272727272723</v>
      </c>
      <c r="E30" s="340">
        <f>IF('Tariffs 2022'!K24="",$C$5*'Tariffs 2022'!W24/100,IF($C$5&gt;='Tariffs 2022'!L24,('Tariffs 2022'!L24*'Tariffs 2022'!W24/100),($C$5*'Tariffs 2022'!W24/100)))</f>
        <v>110.54545454545452</v>
      </c>
      <c r="F30" s="340">
        <f>IF(AND('Tariffs 2022'!L24&gt;0,'Tariffs 2022'!M24&gt;0),IF($C$5&lt;'Tariffs 2022'!L24,0,IF(($C$5-'Tariffs 2022'!L24)&lt;=('Tariffs 2022'!M24+'Tariffs 2022'!L24),(($C$5-'Tariffs 2022'!L24)*'Tariffs 2022'!X24/100),(('Tariffs 2022'!M24)*'Tariffs 2022'!X24/100))),0)</f>
        <v>0</v>
      </c>
      <c r="G30" s="340">
        <f>IF(AND('Tariffs 2022'!M24&gt;0,'Tariffs 2022'!N24&gt;0),IF($C$5&lt;('Tariffs 2022'!L24+'Tariffs 2022'!M24),0,IF(($C$5-'Tariffs 2022'!L24+'Tariffs 2022'!M24)&lt;=('Tariffs 2022'!L24+'Tariffs 2022'!M24+'Tariffs 2022'!N24),(($C$5-('Tariffs 2022'!L24+'Tariffs 2022'!M24))*'Tariffs 2022'!Y24/100),('Tariffs 2022'!N24*'Tariffs 2022'!Y24/100))),0)</f>
        <v>0</v>
      </c>
      <c r="H30" s="340">
        <f>IF(AND('Tariffs 2022'!N24&gt;0,'Tariffs 2022'!O24&gt;0),IF($C$5&lt;('Tariffs 2022'!L24+'Tariffs 2022'!M24+'Tariffs 2022'!N24),0,IF(($C$5-'Tariffs 2022'!L24+'Tariffs 2022'!M24+'Tariffs 2022'!N24)&lt;=('Tariffs 2022'!L24+'Tariffs 2022'!M24+'Tariffs 2022'!N24+'Tariffs 2022'!O24),(($C$5-('Tariffs 2022'!L24+'Tariffs 2022'!M24+'Tariffs 2022'!N24))*'Tariffs 2022'!Z24/100),('Tariffs 2022'!O24*'Tariffs 2022'!Z24/100))),0)</f>
        <v>0</v>
      </c>
      <c r="I30" s="340">
        <f>IF(AND('Tariffs 2022'!O24&gt;0,'Tariffs 2022'!P24&gt;0),IF($C$5&lt;('Tariffs 2022'!L24+'Tariffs 2022'!M24+'Tariffs 2022'!N24+'Tariffs 2022'!O24),0,IF(($C$5-'Tariffs 2022'!L24+'Tariffs 2022'!M24+'Tariffs 2022'!N24+'Tariffs 2022'!O24)&lt;=('Tariffs 2022'!L24+'Tariffs 2022'!M24+'Tariffs 2022'!N24+'Tariffs 2022'!O24+'Tariffs 2022'!P24),(($C$5-('Tariffs 2022'!L24+'Tariffs 2022'!M24+'Tariffs 2022'!N24+'Tariffs 2022'!O24))*'Tariffs 2022'!AA24/100),('Tariffs 2022'!P24*'Tariffs 2022'!AA24/100))),0)</f>
        <v>0</v>
      </c>
      <c r="J30" s="340">
        <f>IF(AND('Tariffs 2022'!P24&gt;0,'Tariffs 2022'!O24&gt;0),IF(($C$5&lt;SUM('Tariffs 2022'!L24:P24)),(0),($C$5-SUM('Tariffs 2022'!L24:P24))*'Tariffs 2022'!AB24/100),IF(AND('Tariffs 2022'!O24&gt;0,'Tariffs 2022'!P24=""),IF(($C$5&lt; SUM('Tariffs 2022'!L24:O24)),(0),($C$5-SUM('Tariffs 2022'!L24:O24))*'Tariffs 2022'!AA24/100),IF(AND('Tariffs 2022'!N24&gt;0,'Tariffs 2022'!O24=""),IF(($C$5&lt; SUM('Tariffs 2022'!L24:N24)),(0),($C$5-SUM('Tariffs 2022'!L24:N24))*'Tariffs 2022'!Z24/100),IF(AND('Tariffs 2022'!M24&gt;0,'Tariffs 2022'!N24=""),IF(($C$5&lt;'Tariffs 2022'!M24+'Tariffs 2022'!L24),(0),(($C$5-('Tariffs 2022'!M24+'Tariffs 2022'!L24))*'Tariffs 2022'!Y24/100)),IF(AND('Tariffs 2022'!L24&gt;0,'Tariffs 2022'!M24=""&gt;0),IF(($C$5&lt;'Tariffs 2022'!L24),(0),($C$5-'Tariffs 2022'!L24)*'Tariffs 2022'!X24/100),0)))))</f>
        <v>0</v>
      </c>
      <c r="K30" s="340">
        <f t="shared" si="0"/>
        <v>163.43272727272725</v>
      </c>
      <c r="L30" s="372">
        <f t="shared" si="6"/>
        <v>663.27272727272725</v>
      </c>
      <c r="M30" s="373">
        <f t="shared" si="7"/>
        <v>980.59636363636355</v>
      </c>
      <c r="N30" s="341">
        <f t="shared" si="8"/>
        <v>1078.6559999999999</v>
      </c>
      <c r="O30" s="339">
        <f>'Tariffs 2022'!AT24</f>
        <v>0</v>
      </c>
      <c r="P30" s="339">
        <f>'Tariffs 2022'!AU24</f>
        <v>0</v>
      </c>
      <c r="Q30" s="339">
        <f>'Tariffs 2022'!AV24</f>
        <v>0</v>
      </c>
      <c r="R30" s="339">
        <f>'Tariffs 2022'!AW24</f>
        <v>0</v>
      </c>
      <c r="S30" s="342" t="str">
        <f t="shared" si="21"/>
        <v>No discount</v>
      </c>
      <c r="T30" s="342" t="str">
        <f t="shared" si="2"/>
        <v>Exclusive</v>
      </c>
      <c r="U30" s="383">
        <f t="shared" si="3"/>
        <v>980.59636363636355</v>
      </c>
      <c r="V30" s="383">
        <f t="shared" si="4"/>
        <v>980.59636363636355</v>
      </c>
      <c r="W30" s="392">
        <f t="shared" si="23"/>
        <v>1078.6559999999999</v>
      </c>
      <c r="X30" s="392">
        <f t="shared" si="23"/>
        <v>1078.6559999999999</v>
      </c>
      <c r="Y30" s="343">
        <f>'Tariffs 2022'!BF24</f>
        <v>0</v>
      </c>
      <c r="Z30" s="367" t="str">
        <f>'Tariffs 2022'!BG24</f>
        <v>n</v>
      </c>
      <c r="AA30" s="505" t="s">
        <v>288</v>
      </c>
      <c r="AB30" s="498"/>
      <c r="AC30" s="498"/>
      <c r="AD30" s="498"/>
      <c r="AE30" s="498"/>
      <c r="AF30" s="498"/>
      <c r="AG30" s="498"/>
      <c r="AH30" s="498"/>
      <c r="AI30" s="498"/>
      <c r="AJ30" s="498"/>
      <c r="AK30" s="498"/>
      <c r="AL30" s="498"/>
      <c r="AM30" s="498"/>
      <c r="AN30" s="498"/>
    </row>
    <row r="31" spans="1:40" ht="25" customHeight="1" thickBot="1" x14ac:dyDescent="0.35">
      <c r="A31" s="345" t="str">
        <f>'Tariffs 2022'!F25</f>
        <v>Origin Energy</v>
      </c>
      <c r="B31" s="346" t="str">
        <f>'Tariffs 2022'!D25</f>
        <v>AGN Temora</v>
      </c>
      <c r="C31" s="346" t="str">
        <f>'Tariffs 2022'!G25</f>
        <v>Go Variable</v>
      </c>
      <c r="D31" s="347">
        <f>60*'Tariffs 2022'!H25/100</f>
        <v>44.04545454545454</v>
      </c>
      <c r="E31" s="347">
        <f>IF('Tariffs 2022'!K25="",$C$5*'Tariffs 2022'!W25/100,IF($C$5&gt;='Tariffs 2022'!L25,('Tariffs 2022'!L25*'Tariffs 2022'!W25/100),($C$5*'Tariffs 2022'!W25/100)))</f>
        <v>123.63636363636363</v>
      </c>
      <c r="F31" s="347">
        <f>IF(AND('Tariffs 2022'!L25&gt;0,'Tariffs 2022'!M25&gt;0),IF($C$5&lt;'Tariffs 2022'!L25,0,IF(($C$5-'Tariffs 2022'!L25)&lt;=('Tariffs 2022'!M25+'Tariffs 2022'!L25),(($C$5-'Tariffs 2022'!L25)*'Tariffs 2022'!X25/100),(('Tariffs 2022'!M25)*'Tariffs 2022'!X25/100))),0)</f>
        <v>0</v>
      </c>
      <c r="G31" s="347">
        <f>IF(AND('Tariffs 2022'!M25&gt;0,'Tariffs 2022'!N25&gt;0),IF($C$5&lt;('Tariffs 2022'!L25+'Tariffs 2022'!M25),0,IF(($C$5-'Tariffs 2022'!L25+'Tariffs 2022'!M25)&lt;=('Tariffs 2022'!L25+'Tariffs 2022'!M25+'Tariffs 2022'!N25),(($C$5-('Tariffs 2022'!L25+'Tariffs 2022'!M25))*'Tariffs 2022'!Y25/100),('Tariffs 2022'!N25*'Tariffs 2022'!Y25/100))),0)</f>
        <v>0</v>
      </c>
      <c r="H31" s="347">
        <f>IF(AND('Tariffs 2022'!N25&gt;0,'Tariffs 2022'!O25&gt;0),IF($C$5&lt;('Tariffs 2022'!L25+'Tariffs 2022'!M25+'Tariffs 2022'!N25),0,IF(($C$5-'Tariffs 2022'!L25+'Tariffs 2022'!M25+'Tariffs 2022'!N25)&lt;=('Tariffs 2022'!L25+'Tariffs 2022'!M25+'Tariffs 2022'!N25+'Tariffs 2022'!O25),(($C$5-('Tariffs 2022'!L25+'Tariffs 2022'!M25+'Tariffs 2022'!N25))*'Tariffs 2022'!Z25/100),('Tariffs 2022'!O25*'Tariffs 2022'!Z25/100))),0)</f>
        <v>0</v>
      </c>
      <c r="I31" s="347">
        <f>IF(AND('Tariffs 2022'!O25&gt;0,'Tariffs 2022'!P25&gt;0),IF($C$5&lt;('Tariffs 2022'!L25+'Tariffs 2022'!M25+'Tariffs 2022'!N25+'Tariffs 2022'!O25),0,IF(($C$5-'Tariffs 2022'!L25+'Tariffs 2022'!M25+'Tariffs 2022'!N25+'Tariffs 2022'!O25)&lt;=('Tariffs 2022'!L25+'Tariffs 2022'!M25+'Tariffs 2022'!N25+'Tariffs 2022'!O25+'Tariffs 2022'!P25),(($C$5-('Tariffs 2022'!L25+'Tariffs 2022'!M25+'Tariffs 2022'!N25+'Tariffs 2022'!O25))*'Tariffs 2022'!AA25/100),('Tariffs 2022'!P25*'Tariffs 2022'!AA25/100))),0)</f>
        <v>0</v>
      </c>
      <c r="J31" s="347">
        <f>IF(AND('Tariffs 2022'!P25&gt;0,'Tariffs 2022'!O25&gt;0),IF(($C$5&lt;SUM('Tariffs 2022'!L25:P25)),(0),($C$5-SUM('Tariffs 2022'!L25:P25))*'Tariffs 2022'!AB25/100),IF(AND('Tariffs 2022'!O25&gt;0,'Tariffs 2022'!P25=""),IF(($C$5&lt; SUM('Tariffs 2022'!L25:O25)),(0),($C$5-SUM('Tariffs 2022'!L25:O25))*'Tariffs 2022'!AA25/100),IF(AND('Tariffs 2022'!N25&gt;0,'Tariffs 2022'!O25=""),IF(($C$5&lt; SUM('Tariffs 2022'!L25:N25)),(0),($C$5-SUM('Tariffs 2022'!L25:N25))*'Tariffs 2022'!Z25/100),IF(AND('Tariffs 2022'!M25&gt;0,'Tariffs 2022'!N25=""),IF(($C$5&lt;'Tariffs 2022'!M25+'Tariffs 2022'!L25),(0),(($C$5-('Tariffs 2022'!M25+'Tariffs 2022'!L25))*'Tariffs 2022'!Y25/100)),IF(AND('Tariffs 2022'!L25&gt;0,'Tariffs 2022'!M25=""&gt;0),IF(($C$5&lt;'Tariffs 2022'!L25),(0),($C$5-'Tariffs 2022'!L25)*'Tariffs 2022'!X25/100),0)))))</f>
        <v>0</v>
      </c>
      <c r="K31" s="347">
        <f t="shared" ref="K31" si="24">SUM(D31:J31)</f>
        <v>167.68181818181816</v>
      </c>
      <c r="L31" s="374">
        <f t="shared" si="6"/>
        <v>741.81818181818176</v>
      </c>
      <c r="M31" s="375">
        <f t="shared" si="7"/>
        <v>1006.090909090909</v>
      </c>
      <c r="N31" s="348">
        <f t="shared" si="8"/>
        <v>1106.7</v>
      </c>
      <c r="O31" s="346">
        <f>'Tariffs 2022'!AT25</f>
        <v>0</v>
      </c>
      <c r="P31" s="346">
        <f>'Tariffs 2022'!AU25</f>
        <v>0</v>
      </c>
      <c r="Q31" s="346">
        <f>'Tariffs 2022'!AV25</f>
        <v>0</v>
      </c>
      <c r="R31" s="346">
        <f>'Tariffs 2022'!AW25</f>
        <v>0</v>
      </c>
      <c r="S31" s="349" t="str">
        <f t="shared" si="21"/>
        <v>No discount</v>
      </c>
      <c r="T31" s="349" t="str">
        <f t="shared" si="2"/>
        <v>Inclusive</v>
      </c>
      <c r="U31" s="384">
        <f t="shared" si="3"/>
        <v>1006.090909090909</v>
      </c>
      <c r="V31" s="384">
        <f t="shared" si="4"/>
        <v>1006.090909090909</v>
      </c>
      <c r="W31" s="393">
        <f t="shared" si="23"/>
        <v>1106.7</v>
      </c>
      <c r="X31" s="393">
        <f t="shared" si="23"/>
        <v>1106.7</v>
      </c>
      <c r="Y31" s="350">
        <f>'Tariffs 2022'!BF25</f>
        <v>0</v>
      </c>
      <c r="Z31" s="350" t="str">
        <f>'Tariffs 2022'!BG25</f>
        <v>n</v>
      </c>
      <c r="AA31" s="504" t="s">
        <v>288</v>
      </c>
      <c r="AB31" s="498"/>
      <c r="AC31" s="498"/>
      <c r="AD31" s="498"/>
      <c r="AE31" s="498"/>
      <c r="AF31" s="498"/>
      <c r="AG31" s="498"/>
      <c r="AH31" s="498"/>
      <c r="AI31" s="498"/>
      <c r="AJ31" s="498"/>
      <c r="AK31" s="498"/>
      <c r="AL31" s="498"/>
      <c r="AM31" s="498"/>
      <c r="AN31" s="498"/>
    </row>
    <row r="32" spans="1:40" ht="25" customHeight="1" thickTop="1" x14ac:dyDescent="0.3">
      <c r="A32" s="338" t="str">
        <f>'Tariffs 2022'!F26</f>
        <v>Origin Energy</v>
      </c>
      <c r="B32" s="339" t="str">
        <f>'Tariffs 2022'!D26</f>
        <v>AGN Tumut</v>
      </c>
      <c r="C32" s="339" t="str">
        <f>'Tariffs 2022'!G26</f>
        <v>Go Variable</v>
      </c>
      <c r="D32" s="340">
        <f>60*'Tariffs 2022'!H26/100</f>
        <v>45.539999999999992</v>
      </c>
      <c r="E32" s="340">
        <f>IF('Tariffs 2022'!K26="",$C$5*'Tariffs 2022'!W26/100,IF($C$5&gt;='Tariffs 2022'!L26,('Tariffs 2022'!L26*'Tariffs 2022'!W26/100),($C$5*'Tariffs 2022'!W26/100)))</f>
        <v>119.27272727272727</v>
      </c>
      <c r="F32" s="340">
        <f>IF(AND('Tariffs 2022'!L26&gt;0,'Tariffs 2022'!M26&gt;0),IF($C$5&lt;'Tariffs 2022'!L26,0,IF(($C$5-'Tariffs 2022'!L26)&lt;=('Tariffs 2022'!M26+'Tariffs 2022'!L26),(($C$5-'Tariffs 2022'!L26)*'Tariffs 2022'!X26/100),(('Tariffs 2022'!M26)*'Tariffs 2022'!X26/100))),0)</f>
        <v>0</v>
      </c>
      <c r="G32" s="340">
        <f>IF(AND('Tariffs 2022'!M26&gt;0,'Tariffs 2022'!N26&gt;0),IF($C$5&lt;('Tariffs 2022'!L26+'Tariffs 2022'!M26),0,IF(($C$5-'Tariffs 2022'!L26+'Tariffs 2022'!M26)&lt;=('Tariffs 2022'!L26+'Tariffs 2022'!M26+'Tariffs 2022'!N26),(($C$5-('Tariffs 2022'!L26+'Tariffs 2022'!M26))*'Tariffs 2022'!Y26/100),('Tariffs 2022'!N26*'Tariffs 2022'!Y26/100))),0)</f>
        <v>0</v>
      </c>
      <c r="H32" s="340">
        <f>IF(AND('Tariffs 2022'!N26&gt;0,'Tariffs 2022'!O26&gt;0),IF($C$5&lt;('Tariffs 2022'!L26+'Tariffs 2022'!M26+'Tariffs 2022'!N26),0,IF(($C$5-'Tariffs 2022'!L26+'Tariffs 2022'!M26+'Tariffs 2022'!N26)&lt;=('Tariffs 2022'!L26+'Tariffs 2022'!M26+'Tariffs 2022'!N26+'Tariffs 2022'!O26),(($C$5-('Tariffs 2022'!L26+'Tariffs 2022'!M26+'Tariffs 2022'!N26))*'Tariffs 2022'!Z26/100),('Tariffs 2022'!O26*'Tariffs 2022'!Z26/100))),0)</f>
        <v>0</v>
      </c>
      <c r="I32" s="340">
        <f>IF(AND('Tariffs 2022'!O26&gt;0,'Tariffs 2022'!P26&gt;0),IF($C$5&lt;('Tariffs 2022'!L26+'Tariffs 2022'!M26+'Tariffs 2022'!N26+'Tariffs 2022'!O26),0,IF(($C$5-'Tariffs 2022'!L26+'Tariffs 2022'!M26+'Tariffs 2022'!N26+'Tariffs 2022'!O26)&lt;=('Tariffs 2022'!L26+'Tariffs 2022'!M26+'Tariffs 2022'!N26+'Tariffs 2022'!O26+'Tariffs 2022'!P26),(($C$5-('Tariffs 2022'!L26+'Tariffs 2022'!M26+'Tariffs 2022'!N26+'Tariffs 2022'!O26))*'Tariffs 2022'!AA26/100),('Tariffs 2022'!P26*'Tariffs 2022'!AA26/100))),0)</f>
        <v>0</v>
      </c>
      <c r="J32" s="340">
        <f>IF(AND('Tariffs 2022'!P26&gt;0,'Tariffs 2022'!O26&gt;0),IF(($C$5&lt;SUM('Tariffs 2022'!L26:P26)),(0),($C$5-SUM('Tariffs 2022'!L26:P26))*'Tariffs 2022'!AB26/100),IF(AND('Tariffs 2022'!O26&gt;0,'Tariffs 2022'!P26=""),IF(($C$5&lt; SUM('Tariffs 2022'!L26:O26)),(0),($C$5-SUM('Tariffs 2022'!L26:O26))*'Tariffs 2022'!AA26/100),IF(AND('Tariffs 2022'!N26&gt;0,'Tariffs 2022'!O26=""),IF(($C$5&lt; SUM('Tariffs 2022'!L26:N26)),(0),($C$5-SUM('Tariffs 2022'!L26:N26))*'Tariffs 2022'!Z26/100),IF(AND('Tariffs 2022'!M26&gt;0,'Tariffs 2022'!N26=""),IF(($C$5&lt;'Tariffs 2022'!M26+'Tariffs 2022'!L26),(0),(($C$5-('Tariffs 2022'!M26+'Tariffs 2022'!L26))*'Tariffs 2022'!Y26/100)),IF(AND('Tariffs 2022'!L26&gt;0,'Tariffs 2022'!M26=""&gt;0),IF(($C$5&lt;'Tariffs 2022'!L26),(0),($C$5-'Tariffs 2022'!L26)*'Tariffs 2022'!X26/100),0)))))</f>
        <v>0</v>
      </c>
      <c r="K32" s="340">
        <f t="shared" si="0"/>
        <v>164.81272727272727</v>
      </c>
      <c r="L32" s="372">
        <f t="shared" si="6"/>
        <v>715.63636363636374</v>
      </c>
      <c r="M32" s="373">
        <f t="shared" si="7"/>
        <v>988.87636363636364</v>
      </c>
      <c r="N32" s="341">
        <f t="shared" si="8"/>
        <v>1087.7640000000001</v>
      </c>
      <c r="O32" s="339">
        <f>'Tariffs 2022'!AT26</f>
        <v>0</v>
      </c>
      <c r="P32" s="339">
        <f>'Tariffs 2022'!AU26</f>
        <v>0</v>
      </c>
      <c r="Q32" s="339">
        <f>'Tariffs 2022'!AV26</f>
        <v>0</v>
      </c>
      <c r="R32" s="339">
        <f>'Tariffs 2022'!AW26</f>
        <v>0</v>
      </c>
      <c r="S32" s="342" t="str">
        <f t="shared" si="21"/>
        <v>No discount</v>
      </c>
      <c r="T32" s="342" t="str">
        <f t="shared" si="2"/>
        <v>Inclusive</v>
      </c>
      <c r="U32" s="383">
        <f t="shared" si="3"/>
        <v>988.87636363636364</v>
      </c>
      <c r="V32" s="383">
        <f t="shared" si="4"/>
        <v>988.87636363636364</v>
      </c>
      <c r="W32" s="392">
        <f t="shared" si="23"/>
        <v>1087.7640000000001</v>
      </c>
      <c r="X32" s="392">
        <f t="shared" si="23"/>
        <v>1087.7640000000001</v>
      </c>
      <c r="Y32" s="343">
        <f>'Tariffs 2022'!BF26</f>
        <v>0</v>
      </c>
      <c r="Z32" s="367" t="str">
        <f>'Tariffs 2022'!BG26</f>
        <v>n</v>
      </c>
      <c r="AA32" s="505" t="s">
        <v>288</v>
      </c>
      <c r="AB32" s="498"/>
      <c r="AC32" s="498"/>
      <c r="AD32" s="498"/>
      <c r="AE32" s="498"/>
      <c r="AF32" s="498"/>
      <c r="AG32" s="498"/>
      <c r="AH32" s="498"/>
      <c r="AI32" s="498"/>
      <c r="AJ32" s="498"/>
      <c r="AK32" s="498"/>
      <c r="AL32" s="498"/>
      <c r="AM32" s="498"/>
      <c r="AN32" s="498"/>
    </row>
    <row r="33" spans="1:40" ht="25" customHeight="1" thickBot="1" x14ac:dyDescent="0.35">
      <c r="A33" s="345" t="str">
        <f>'Tariffs 2022'!F27</f>
        <v>Red Energy</v>
      </c>
      <c r="B33" s="346" t="str">
        <f>'Tariffs 2022'!D27</f>
        <v>AGN Tumut</v>
      </c>
      <c r="C33" s="346" t="str">
        <f>'Tariffs 2022'!G27</f>
        <v>Living Energy Saver</v>
      </c>
      <c r="D33" s="347">
        <f>60*'Tariffs 2022'!H27/100</f>
        <v>44.4</v>
      </c>
      <c r="E33" s="347">
        <f>IF('Tariffs 2022'!K27="",$C$5*'Tariffs 2022'!W27/100,IF($C$5&gt;='Tariffs 2022'!L27,('Tariffs 2022'!L27*'Tariffs 2022'!W27/100),($C$5*'Tariffs 2022'!W27/100)))</f>
        <v>108</v>
      </c>
      <c r="F33" s="347">
        <f>IF(AND('Tariffs 2022'!L27&gt;0,'Tariffs 2022'!M27&gt;0),IF($C$5&lt;'Tariffs 2022'!L27,0,IF(($C$5-'Tariffs 2022'!L27)&lt;=('Tariffs 2022'!M27+'Tariffs 2022'!L27),(($C$5-'Tariffs 2022'!L27)*'Tariffs 2022'!X27/100),(('Tariffs 2022'!M27)*'Tariffs 2022'!X27/100))),0)</f>
        <v>0</v>
      </c>
      <c r="G33" s="347">
        <f>IF(AND('Tariffs 2022'!M27&gt;0,'Tariffs 2022'!N27&gt;0),IF($C$5&lt;('Tariffs 2022'!L27+'Tariffs 2022'!M27),0,IF(($C$5-'Tariffs 2022'!L27+'Tariffs 2022'!M27)&lt;=('Tariffs 2022'!L27+'Tariffs 2022'!M27+'Tariffs 2022'!N27),(($C$5-('Tariffs 2022'!L27+'Tariffs 2022'!M27))*'Tariffs 2022'!Y27/100),('Tariffs 2022'!N27*'Tariffs 2022'!Y27/100))),0)</f>
        <v>0</v>
      </c>
      <c r="H33" s="347">
        <f>IF(AND('Tariffs 2022'!N27&gt;0,'Tariffs 2022'!O27&gt;0),IF($C$5&lt;('Tariffs 2022'!L27+'Tariffs 2022'!M27+'Tariffs 2022'!N27),0,IF(($C$5-'Tariffs 2022'!L27+'Tariffs 2022'!M27+'Tariffs 2022'!N27)&lt;=('Tariffs 2022'!L27+'Tariffs 2022'!M27+'Tariffs 2022'!N27+'Tariffs 2022'!O27),(($C$5-('Tariffs 2022'!L27+'Tariffs 2022'!M27+'Tariffs 2022'!N27))*'Tariffs 2022'!Z27/100),('Tariffs 2022'!O27*'Tariffs 2022'!Z27/100))),0)</f>
        <v>0</v>
      </c>
      <c r="I33" s="347">
        <f>IF(AND('Tariffs 2022'!O27&gt;0,'Tariffs 2022'!P27&gt;0),IF($C$5&lt;('Tariffs 2022'!L27+'Tariffs 2022'!M27+'Tariffs 2022'!N27+'Tariffs 2022'!O27),0,IF(($C$5-'Tariffs 2022'!L27+'Tariffs 2022'!M27+'Tariffs 2022'!N27+'Tariffs 2022'!O27)&lt;=('Tariffs 2022'!L27+'Tariffs 2022'!M27+'Tariffs 2022'!N27+'Tariffs 2022'!O27+'Tariffs 2022'!P27),(($C$5-('Tariffs 2022'!L27+'Tariffs 2022'!M27+'Tariffs 2022'!N27+'Tariffs 2022'!O27))*'Tariffs 2022'!AA27/100),('Tariffs 2022'!P27*'Tariffs 2022'!AA27/100))),0)</f>
        <v>0</v>
      </c>
      <c r="J33" s="347">
        <f>IF(AND('Tariffs 2022'!P27&gt;0,'Tariffs 2022'!O27&gt;0),IF(($C$5&lt;SUM('Tariffs 2022'!L27:P27)),(0),($C$5-SUM('Tariffs 2022'!L27:P27))*'Tariffs 2022'!AB27/100),IF(AND('Tariffs 2022'!O27&gt;0,'Tariffs 2022'!P27=""),IF(($C$5&lt; SUM('Tariffs 2022'!L27:O27)),(0),($C$5-SUM('Tariffs 2022'!L27:O27))*'Tariffs 2022'!AA27/100),IF(AND('Tariffs 2022'!N27&gt;0,'Tariffs 2022'!O27=""),IF(($C$5&lt; SUM('Tariffs 2022'!L27:N27)),(0),($C$5-SUM('Tariffs 2022'!L27:N27))*'Tariffs 2022'!Z27/100),IF(AND('Tariffs 2022'!M27&gt;0,'Tariffs 2022'!N27=""),IF(($C$5&lt;'Tariffs 2022'!M27+'Tariffs 2022'!L27),(0),(($C$5-('Tariffs 2022'!M27+'Tariffs 2022'!L27))*'Tariffs 2022'!Y27/100)),IF(AND('Tariffs 2022'!L27&gt;0,'Tariffs 2022'!M27=""&gt;0),IF(($C$5&lt;'Tariffs 2022'!L27),(0),($C$5-'Tariffs 2022'!L27)*'Tariffs 2022'!X27/100),0)))))</f>
        <v>0</v>
      </c>
      <c r="K33" s="347">
        <f t="shared" si="0"/>
        <v>152.4</v>
      </c>
      <c r="L33" s="374">
        <f t="shared" si="6"/>
        <v>648.00000000000011</v>
      </c>
      <c r="M33" s="375">
        <f t="shared" si="7"/>
        <v>914.40000000000009</v>
      </c>
      <c r="N33" s="348">
        <f t="shared" si="8"/>
        <v>1005.8400000000001</v>
      </c>
      <c r="O33" s="346">
        <f>'Tariffs 2022'!AT27</f>
        <v>0</v>
      </c>
      <c r="P33" s="346">
        <f>'Tariffs 2022'!AU27</f>
        <v>0</v>
      </c>
      <c r="Q33" s="346">
        <f>'Tariffs 2022'!AV27</f>
        <v>0</v>
      </c>
      <c r="R33" s="346">
        <f>'Tariffs 2022'!AW27</f>
        <v>0</v>
      </c>
      <c r="S33" s="349" t="str">
        <f t="shared" si="21"/>
        <v>No discount</v>
      </c>
      <c r="T33" s="349" t="str">
        <f t="shared" si="2"/>
        <v>Inclusive</v>
      </c>
      <c r="U33" s="384">
        <f t="shared" si="3"/>
        <v>914.40000000000009</v>
      </c>
      <c r="V33" s="384">
        <f t="shared" si="4"/>
        <v>914.40000000000009</v>
      </c>
      <c r="W33" s="393">
        <f t="shared" si="23"/>
        <v>1005.8400000000001</v>
      </c>
      <c r="X33" s="393">
        <f t="shared" si="23"/>
        <v>1005.8400000000001</v>
      </c>
      <c r="Y33" s="350">
        <f>'Tariffs 2022'!BF27</f>
        <v>0</v>
      </c>
      <c r="Z33" s="350" t="str">
        <f>'Tariffs 2022'!BG27</f>
        <v>n</v>
      </c>
      <c r="AA33" s="504" t="s">
        <v>400</v>
      </c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</row>
    <row r="34" spans="1:40" ht="25" customHeight="1" thickTop="1" x14ac:dyDescent="0.3">
      <c r="A34" s="338" t="str">
        <f>'Tariffs 2022'!F28</f>
        <v>AGL</v>
      </c>
      <c r="B34" s="339" t="str">
        <f>'Tariffs 2022'!D28</f>
        <v>AGN Wagga Wagga</v>
      </c>
      <c r="C34" s="339" t="str">
        <f>'Tariffs 2022'!G28</f>
        <v>Value Saver</v>
      </c>
      <c r="D34" s="340">
        <f>60*'Tariffs 2022'!H28/100</f>
        <v>59.72727272727272</v>
      </c>
      <c r="E34" s="340">
        <f>IF('Tariffs 2022'!K28="",$C$5*'Tariffs 2022'!W28/100,IF($C$5&gt;='Tariffs 2022'!L28,('Tariffs 2022'!L28*'Tariffs 2022'!W28/100),($C$5*'Tariffs 2022'!W28/100)))</f>
        <v>90.545454545454547</v>
      </c>
      <c r="F34" s="340">
        <f>IF(AND('Tariffs 2022'!L28&gt;0,'Tariffs 2022'!M28&gt;0),IF($C$5&lt;'Tariffs 2022'!L28,0,IF(($C$5-'Tariffs 2022'!L28)&lt;=('Tariffs 2022'!M28+'Tariffs 2022'!L28),(($C$5-'Tariffs 2022'!L28)*'Tariffs 2022'!X28/100),(('Tariffs 2022'!M28)*'Tariffs 2022'!X28/100))),0)</f>
        <v>0</v>
      </c>
      <c r="G34" s="340">
        <f>IF(AND('Tariffs 2022'!M28&gt;0,'Tariffs 2022'!N28&gt;0),IF($C$5&lt;('Tariffs 2022'!L28+'Tariffs 2022'!M28),0,IF(($C$5-'Tariffs 2022'!L28+'Tariffs 2022'!M28)&lt;=('Tariffs 2022'!L28+'Tariffs 2022'!M28+'Tariffs 2022'!N28),(($C$5-('Tariffs 2022'!L28+'Tariffs 2022'!M28))*'Tariffs 2022'!Y28/100),('Tariffs 2022'!N28*'Tariffs 2022'!Y28/100))),0)</f>
        <v>0</v>
      </c>
      <c r="H34" s="340">
        <f>IF(AND('Tariffs 2022'!N28&gt;0,'Tariffs 2022'!O28&gt;0),IF($C$5&lt;('Tariffs 2022'!L28+'Tariffs 2022'!M28+'Tariffs 2022'!N28),0,IF(($C$5-'Tariffs 2022'!L28+'Tariffs 2022'!M28+'Tariffs 2022'!N28)&lt;=('Tariffs 2022'!L28+'Tariffs 2022'!M28+'Tariffs 2022'!N28+'Tariffs 2022'!O28),(($C$5-('Tariffs 2022'!L28+'Tariffs 2022'!M28+'Tariffs 2022'!N28))*'Tariffs 2022'!Z28/100),('Tariffs 2022'!O28*'Tariffs 2022'!Z28/100))),0)</f>
        <v>0</v>
      </c>
      <c r="I34" s="340">
        <f>IF(AND('Tariffs 2022'!O28&gt;0,'Tariffs 2022'!P28&gt;0),IF($C$5&lt;('Tariffs 2022'!L28+'Tariffs 2022'!M28+'Tariffs 2022'!N28+'Tariffs 2022'!O28),0,IF(($C$5-'Tariffs 2022'!L28+'Tariffs 2022'!M28+'Tariffs 2022'!N28+'Tariffs 2022'!O28)&lt;=('Tariffs 2022'!L28+'Tariffs 2022'!M28+'Tariffs 2022'!N28+'Tariffs 2022'!O28+'Tariffs 2022'!P28),(($C$5-('Tariffs 2022'!L28+'Tariffs 2022'!M28+'Tariffs 2022'!N28+'Tariffs 2022'!O28))*'Tariffs 2022'!AA28/100),('Tariffs 2022'!P28*'Tariffs 2022'!AA28/100))),0)</f>
        <v>0</v>
      </c>
      <c r="J34" s="340">
        <f>IF(AND('Tariffs 2022'!P28&gt;0,'Tariffs 2022'!O28&gt;0),IF(($C$5&lt;SUM('Tariffs 2022'!L28:P28)),(0),($C$5-SUM('Tariffs 2022'!L28:P28))*'Tariffs 2022'!AB28/100),IF(AND('Tariffs 2022'!O28&gt;0,'Tariffs 2022'!P28=""),IF(($C$5&lt; SUM('Tariffs 2022'!L28:O28)),(0),($C$5-SUM('Tariffs 2022'!L28:O28))*'Tariffs 2022'!AA28/100),IF(AND('Tariffs 2022'!N28&gt;0,'Tariffs 2022'!O28=""),IF(($C$5&lt; SUM('Tariffs 2022'!L28:N28)),(0),($C$5-SUM('Tariffs 2022'!L28:N28))*'Tariffs 2022'!Z28/100),IF(AND('Tariffs 2022'!M28&gt;0,'Tariffs 2022'!N28=""),IF(($C$5&lt;'Tariffs 2022'!M28+'Tariffs 2022'!L28),(0),(($C$5-('Tariffs 2022'!M28+'Tariffs 2022'!L28))*'Tariffs 2022'!Y28/100)),IF(AND('Tariffs 2022'!L28&gt;0,'Tariffs 2022'!M28=""&gt;0),IF(($C$5&lt;'Tariffs 2022'!L28),(0),($C$5-'Tariffs 2022'!L28)*'Tariffs 2022'!X28/100),0)))))</f>
        <v>0</v>
      </c>
      <c r="K34" s="340">
        <f t="shared" si="0"/>
        <v>150.27272727272725</v>
      </c>
      <c r="L34" s="372">
        <f t="shared" si="6"/>
        <v>543.27272727272725</v>
      </c>
      <c r="M34" s="373">
        <f t="shared" si="7"/>
        <v>901.63636363636351</v>
      </c>
      <c r="N34" s="341">
        <f t="shared" si="8"/>
        <v>991.8</v>
      </c>
      <c r="O34" s="339">
        <f>'Tariffs 2022'!AT28</f>
        <v>0</v>
      </c>
      <c r="P34" s="339">
        <f>'Tariffs 2022'!AU28</f>
        <v>0</v>
      </c>
      <c r="Q34" s="339">
        <f>'Tariffs 2022'!AV28</f>
        <v>0</v>
      </c>
      <c r="R34" s="339">
        <f>'Tariffs 2022'!AW28</f>
        <v>0</v>
      </c>
      <c r="S34" s="342" t="str">
        <f t="shared" si="21"/>
        <v>No discount</v>
      </c>
      <c r="T34" s="342" t="str">
        <f t="shared" si="2"/>
        <v>Exclusive</v>
      </c>
      <c r="U34" s="383">
        <f t="shared" si="3"/>
        <v>901.63636363636351</v>
      </c>
      <c r="V34" s="383">
        <f t="shared" si="4"/>
        <v>901.63636363636351</v>
      </c>
      <c r="W34" s="392">
        <f t="shared" si="23"/>
        <v>991.8</v>
      </c>
      <c r="X34" s="392">
        <f t="shared" si="23"/>
        <v>991.8</v>
      </c>
      <c r="Y34" s="343">
        <f>'Tariffs 2022'!BF28</f>
        <v>0</v>
      </c>
      <c r="Z34" s="367" t="str">
        <f>'Tariffs 2022'!BG28</f>
        <v>n</v>
      </c>
      <c r="AA34" s="505" t="s">
        <v>288</v>
      </c>
      <c r="AB34" s="498"/>
      <c r="AC34" s="498"/>
      <c r="AD34" s="498"/>
      <c r="AE34" s="498"/>
      <c r="AF34" s="498"/>
      <c r="AG34" s="498"/>
      <c r="AH34" s="498"/>
      <c r="AI34" s="498"/>
      <c r="AJ34" s="498"/>
      <c r="AK34" s="498"/>
      <c r="AL34" s="498"/>
      <c r="AM34" s="498"/>
      <c r="AN34" s="498"/>
    </row>
    <row r="35" spans="1:40" ht="25" customHeight="1" thickBot="1" x14ac:dyDescent="0.35">
      <c r="A35" s="345" t="str">
        <f>'Tariffs 2022'!F29</f>
        <v>Origin Energy</v>
      </c>
      <c r="B35" s="346" t="str">
        <f>'Tariffs 2022'!D29</f>
        <v>AGN Wagga Wagga</v>
      </c>
      <c r="C35" s="346" t="str">
        <f>'Tariffs 2022'!G29</f>
        <v>Go Variable</v>
      </c>
      <c r="D35" s="347">
        <f>60*'Tariffs 2022'!H29/100</f>
        <v>53.04545454545454</v>
      </c>
      <c r="E35" s="347">
        <f>IF('Tariffs 2022'!K29="",$C$5*'Tariffs 2022'!W29/100,IF($C$5&gt;='Tariffs 2022'!L29,('Tariffs 2022'!L29*'Tariffs 2022'!W29/100),($C$5*'Tariffs 2022'!W29/100)))</f>
        <v>106.18181818181819</v>
      </c>
      <c r="F35" s="347">
        <f>IF(AND('Tariffs 2022'!L29&gt;0,'Tariffs 2022'!M29&gt;0),IF($C$5&lt;'Tariffs 2022'!L29,0,IF(($C$5-'Tariffs 2022'!L29)&lt;=('Tariffs 2022'!M29+'Tariffs 2022'!L29),(($C$5-'Tariffs 2022'!L29)*'Tariffs 2022'!X29/100),(('Tariffs 2022'!M29)*'Tariffs 2022'!X29/100))),0)</f>
        <v>0</v>
      </c>
      <c r="G35" s="347">
        <f>IF(AND('Tariffs 2022'!M29&gt;0,'Tariffs 2022'!N29&gt;0),IF($C$5&lt;('Tariffs 2022'!L29+'Tariffs 2022'!M29),0,IF(($C$5-'Tariffs 2022'!L29+'Tariffs 2022'!M29)&lt;=('Tariffs 2022'!L29+'Tariffs 2022'!M29+'Tariffs 2022'!N29),(($C$5-('Tariffs 2022'!L29+'Tariffs 2022'!M29))*'Tariffs 2022'!Y29/100),('Tariffs 2022'!N29*'Tariffs 2022'!Y29/100))),0)</f>
        <v>0</v>
      </c>
      <c r="H35" s="347">
        <f>IF(AND('Tariffs 2022'!N29&gt;0,'Tariffs 2022'!O29&gt;0),IF($C$5&lt;('Tariffs 2022'!L29+'Tariffs 2022'!M29+'Tariffs 2022'!N29),0,IF(($C$5-'Tariffs 2022'!L29+'Tariffs 2022'!M29+'Tariffs 2022'!N29)&lt;=('Tariffs 2022'!L29+'Tariffs 2022'!M29+'Tariffs 2022'!N29+'Tariffs 2022'!O29),(($C$5-('Tariffs 2022'!L29+'Tariffs 2022'!M29+'Tariffs 2022'!N29))*'Tariffs 2022'!Z29/100),('Tariffs 2022'!O29*'Tariffs 2022'!Z29/100))),0)</f>
        <v>0</v>
      </c>
      <c r="I35" s="347">
        <f>IF(AND('Tariffs 2022'!O29&gt;0,'Tariffs 2022'!P29&gt;0),IF($C$5&lt;('Tariffs 2022'!L29+'Tariffs 2022'!M29+'Tariffs 2022'!N29+'Tariffs 2022'!O29),0,IF(($C$5-'Tariffs 2022'!L29+'Tariffs 2022'!M29+'Tariffs 2022'!N29+'Tariffs 2022'!O29)&lt;=('Tariffs 2022'!L29+'Tariffs 2022'!M29+'Tariffs 2022'!N29+'Tariffs 2022'!O29+'Tariffs 2022'!P29),(($C$5-('Tariffs 2022'!L29+'Tariffs 2022'!M29+'Tariffs 2022'!N29+'Tariffs 2022'!O29))*'Tariffs 2022'!AA29/100),('Tariffs 2022'!P29*'Tariffs 2022'!AA29/100))),0)</f>
        <v>0</v>
      </c>
      <c r="J35" s="347">
        <f>IF(AND('Tariffs 2022'!P29&gt;0,'Tariffs 2022'!O29&gt;0),IF(($C$5&lt;SUM('Tariffs 2022'!L29:P29)),(0),($C$5-SUM('Tariffs 2022'!L29:P29))*'Tariffs 2022'!AB29/100),IF(AND('Tariffs 2022'!O29&gt;0,'Tariffs 2022'!P29=""),IF(($C$5&lt; SUM('Tariffs 2022'!L29:O29)),(0),($C$5-SUM('Tariffs 2022'!L29:O29))*'Tariffs 2022'!AA29/100),IF(AND('Tariffs 2022'!N29&gt;0,'Tariffs 2022'!O29=""),IF(($C$5&lt; SUM('Tariffs 2022'!L29:N29)),(0),($C$5-SUM('Tariffs 2022'!L29:N29))*'Tariffs 2022'!Z29/100),IF(AND('Tariffs 2022'!M29&gt;0,'Tariffs 2022'!N29=""),IF(($C$5&lt;'Tariffs 2022'!M29+'Tariffs 2022'!L29),(0),(($C$5-('Tariffs 2022'!M29+'Tariffs 2022'!L29))*'Tariffs 2022'!Y29/100)),IF(AND('Tariffs 2022'!L29&gt;0,'Tariffs 2022'!M29=""&gt;0),IF(($C$5&lt;'Tariffs 2022'!L29),(0),($C$5-'Tariffs 2022'!L29)*'Tariffs 2022'!X29/100),0)))))</f>
        <v>0</v>
      </c>
      <c r="K35" s="347">
        <f t="shared" ref="K35" si="25">SUM(D35:J35)</f>
        <v>159.22727272727272</v>
      </c>
      <c r="L35" s="374">
        <f t="shared" si="6"/>
        <v>637.09090909090901</v>
      </c>
      <c r="M35" s="375">
        <f t="shared" si="7"/>
        <v>955.36363636363626</v>
      </c>
      <c r="N35" s="348">
        <f t="shared" si="8"/>
        <v>1050.8999999999999</v>
      </c>
      <c r="O35" s="346">
        <f>'Tariffs 2022'!AT29</f>
        <v>0</v>
      </c>
      <c r="P35" s="346">
        <f>'Tariffs 2022'!AU29</f>
        <v>0</v>
      </c>
      <c r="Q35" s="346">
        <f>'Tariffs 2022'!AV29</f>
        <v>0</v>
      </c>
      <c r="R35" s="346">
        <f>'Tariffs 2022'!AW29</f>
        <v>0</v>
      </c>
      <c r="S35" s="349" t="str">
        <f t="shared" si="21"/>
        <v>No discount</v>
      </c>
      <c r="T35" s="349" t="str">
        <f t="shared" si="2"/>
        <v>Inclusive</v>
      </c>
      <c r="U35" s="384">
        <f t="shared" si="3"/>
        <v>955.36363636363615</v>
      </c>
      <c r="V35" s="384">
        <f t="shared" si="4"/>
        <v>955.36363636363615</v>
      </c>
      <c r="W35" s="393">
        <f t="shared" si="23"/>
        <v>1050.8999999999999</v>
      </c>
      <c r="X35" s="393">
        <f t="shared" si="23"/>
        <v>1050.8999999999999</v>
      </c>
      <c r="Y35" s="350">
        <f>'Tariffs 2022'!BF29</f>
        <v>0</v>
      </c>
      <c r="Z35" s="350" t="str">
        <f>'Tariffs 2022'!BG29</f>
        <v>n</v>
      </c>
      <c r="AA35" s="504" t="s">
        <v>288</v>
      </c>
      <c r="AB35" s="498"/>
      <c r="AC35" s="498"/>
      <c r="AD35" s="498"/>
      <c r="AE35" s="498"/>
      <c r="AF35" s="498"/>
      <c r="AG35" s="498"/>
      <c r="AH35" s="498"/>
      <c r="AI35" s="498"/>
      <c r="AJ35" s="498"/>
      <c r="AK35" s="498"/>
      <c r="AL35" s="498"/>
      <c r="AM35" s="498"/>
      <c r="AN35" s="498"/>
    </row>
    <row r="36" spans="1:40" ht="25" customHeight="1" thickTop="1" thickBot="1" x14ac:dyDescent="0.35">
      <c r="A36" s="315" t="str">
        <f>'Tariffs 2022'!F30</f>
        <v>Origin Energy</v>
      </c>
      <c r="B36" s="316" t="str">
        <f>'Tariffs 2022'!D30</f>
        <v>Central Ranges Pipeline Tamworth</v>
      </c>
      <c r="C36" s="316" t="str">
        <f>'Tariffs 2022'!G30</f>
        <v>Go Variable</v>
      </c>
      <c r="D36" s="317">
        <f>60*'Tariffs 2022'!H30/100</f>
        <v>35.4</v>
      </c>
      <c r="E36" s="317">
        <f>IF('Tariffs 2022'!K30="",$C$5*'Tariffs 2022'!W30/100,IF($C$5&gt;='Tariffs 2022'!L30,('Tariffs 2022'!L30*'Tariffs 2022'!W30/100),($C$5*'Tariffs 2022'!W30/100)))</f>
        <v>164.36363636363632</v>
      </c>
      <c r="F36" s="317">
        <f>IF(AND('Tariffs 2022'!L30&gt;0,'Tariffs 2022'!M30&gt;0),IF($C$5&lt;'Tariffs 2022'!L30,0,IF(($C$5-'Tariffs 2022'!L30)&lt;=('Tariffs 2022'!M30+'Tariffs 2022'!L30),(($C$5-'Tariffs 2022'!L30)*'Tariffs 2022'!X30/100),(('Tariffs 2022'!M30)*'Tariffs 2022'!X30/100))),0)</f>
        <v>0</v>
      </c>
      <c r="G36" s="317">
        <f>IF(AND('Tariffs 2022'!M30&gt;0,'Tariffs 2022'!N30&gt;0),IF($C$5&lt;('Tariffs 2022'!L30+'Tariffs 2022'!M30),0,IF(($C$5-'Tariffs 2022'!L30+'Tariffs 2022'!M30)&lt;=('Tariffs 2022'!L30+'Tariffs 2022'!M30+'Tariffs 2022'!N30),(($C$5-('Tariffs 2022'!L30+'Tariffs 2022'!M30))*'Tariffs 2022'!Y30/100),('Tariffs 2022'!N30*'Tariffs 2022'!Y30/100))),0)</f>
        <v>0</v>
      </c>
      <c r="H36" s="317">
        <f>IF(AND('Tariffs 2022'!N30&gt;0,'Tariffs 2022'!O30&gt;0),IF($C$5&lt;('Tariffs 2022'!L30+'Tariffs 2022'!M30+'Tariffs 2022'!N30),0,IF(($C$5-'Tariffs 2022'!L30+'Tariffs 2022'!M30+'Tariffs 2022'!N30)&lt;=('Tariffs 2022'!L30+'Tariffs 2022'!M30+'Tariffs 2022'!N30+'Tariffs 2022'!O30),(($C$5-('Tariffs 2022'!L30+'Tariffs 2022'!M30+'Tariffs 2022'!N30))*'Tariffs 2022'!Z30/100),('Tariffs 2022'!O30*'Tariffs 2022'!Z30/100))),0)</f>
        <v>0</v>
      </c>
      <c r="I36" s="317">
        <f>IF(AND('Tariffs 2022'!O30&gt;0,'Tariffs 2022'!P30&gt;0),IF($C$5&lt;('Tariffs 2022'!L30+'Tariffs 2022'!M30+'Tariffs 2022'!N30+'Tariffs 2022'!O30),0,IF(($C$5-'Tariffs 2022'!L30+'Tariffs 2022'!M30+'Tariffs 2022'!N30+'Tariffs 2022'!O30)&lt;=('Tariffs 2022'!L30+'Tariffs 2022'!M30+'Tariffs 2022'!N30+'Tariffs 2022'!O30+'Tariffs 2022'!P30),(($C$5-('Tariffs 2022'!L30+'Tariffs 2022'!M30+'Tariffs 2022'!N30+'Tariffs 2022'!O30))*'Tariffs 2022'!AA30/100),('Tariffs 2022'!P30*'Tariffs 2022'!AA30/100))),0)</f>
        <v>0</v>
      </c>
      <c r="J36" s="317">
        <f>IF(AND('Tariffs 2022'!P30&gt;0,'Tariffs 2022'!O30&gt;0),IF(($C$5&lt;SUM('Tariffs 2022'!L30:P30)),(0),($C$5-SUM('Tariffs 2022'!L30:P30))*'Tariffs 2022'!AB30/100),IF(AND('Tariffs 2022'!O30&gt;0,'Tariffs 2022'!P30=""),IF(($C$5&lt; SUM('Tariffs 2022'!L30:O30)),(0),($C$5-SUM('Tariffs 2022'!L30:O30))*'Tariffs 2022'!AA30/100),IF(AND('Tariffs 2022'!N30&gt;0,'Tariffs 2022'!O30=""),IF(($C$5&lt; SUM('Tariffs 2022'!L30:N30)),(0),($C$5-SUM('Tariffs 2022'!L30:N30))*'Tariffs 2022'!Z30/100),IF(AND('Tariffs 2022'!M30&gt;0,'Tariffs 2022'!N30=""),IF(($C$5&lt;'Tariffs 2022'!M30+'Tariffs 2022'!L30),(0),(($C$5-('Tariffs 2022'!M30+'Tariffs 2022'!L30))*'Tariffs 2022'!Y30/100)),IF(AND('Tariffs 2022'!L30&gt;0,'Tariffs 2022'!M30=""&gt;0),IF(($C$5&lt;'Tariffs 2022'!L30),(0),($C$5-'Tariffs 2022'!L30)*'Tariffs 2022'!X30/100),0)))))</f>
        <v>0</v>
      </c>
      <c r="K36" s="317">
        <f t="shared" si="0"/>
        <v>199.76363636363632</v>
      </c>
      <c r="L36" s="380">
        <f t="shared" si="6"/>
        <v>986.1818181818179</v>
      </c>
      <c r="M36" s="381">
        <f t="shared" si="7"/>
        <v>1198.5818181818179</v>
      </c>
      <c r="N36" s="318">
        <f t="shared" si="8"/>
        <v>1318.4399999999998</v>
      </c>
      <c r="O36" s="316">
        <f>'Tariffs 2022'!AT30</f>
        <v>0</v>
      </c>
      <c r="P36" s="316">
        <f>'Tariffs 2022'!AU30</f>
        <v>0</v>
      </c>
      <c r="Q36" s="316">
        <f>'Tariffs 2022'!AV30</f>
        <v>0</v>
      </c>
      <c r="R36" s="316">
        <f>'Tariffs 2022'!AW30</f>
        <v>0</v>
      </c>
      <c r="S36" s="319" t="str">
        <f t="shared" si="21"/>
        <v>No discount</v>
      </c>
      <c r="T36" s="319" t="str">
        <f t="shared" si="2"/>
        <v>Inclusive</v>
      </c>
      <c r="U36" s="387">
        <f t="shared" si="3"/>
        <v>1198.5818181818179</v>
      </c>
      <c r="V36" s="388">
        <f t="shared" si="4"/>
        <v>1198.5818181818179</v>
      </c>
      <c r="W36" s="395">
        <f t="shared" si="23"/>
        <v>1318.4399999999998</v>
      </c>
      <c r="X36" s="395">
        <f t="shared" si="23"/>
        <v>1318.4399999999998</v>
      </c>
      <c r="Y36" s="320">
        <f>'Tariffs 2022'!BF30</f>
        <v>0</v>
      </c>
      <c r="Z36" s="323" t="str">
        <f>'Tariffs 2022'!BG30</f>
        <v>n</v>
      </c>
      <c r="AA36" s="507" t="s">
        <v>288</v>
      </c>
      <c r="AB36" s="498"/>
      <c r="AC36" s="498"/>
      <c r="AD36" s="498"/>
      <c r="AE36" s="498"/>
      <c r="AF36" s="498"/>
      <c r="AG36" s="498"/>
      <c r="AH36" s="498"/>
      <c r="AI36" s="498"/>
      <c r="AJ36" s="498"/>
      <c r="AK36" s="498"/>
      <c r="AL36" s="498"/>
      <c r="AM36" s="498"/>
      <c r="AN36" s="498"/>
    </row>
    <row r="37" spans="1:40" customFormat="1" x14ac:dyDescent="0.3">
      <c r="A37" s="498"/>
      <c r="B37" s="498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  <c r="Y37" s="498"/>
      <c r="Z37" s="498"/>
      <c r="AA37" s="498"/>
      <c r="AB37" s="498"/>
      <c r="AC37" s="498"/>
      <c r="AD37" s="498"/>
      <c r="AE37" s="498"/>
      <c r="AF37" s="498"/>
      <c r="AG37" s="498"/>
      <c r="AH37" s="498"/>
      <c r="AI37" s="498"/>
      <c r="AJ37" s="498"/>
      <c r="AK37" s="498"/>
      <c r="AL37" s="498"/>
      <c r="AM37" s="498"/>
      <c r="AN37" s="498"/>
    </row>
    <row r="38" spans="1:40" customFormat="1" x14ac:dyDescent="0.3">
      <c r="A38" s="499"/>
      <c r="B38" s="498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  <c r="Z38" s="498"/>
      <c r="AA38" s="498"/>
      <c r="AB38" s="498"/>
      <c r="AC38" s="498"/>
      <c r="AD38" s="498"/>
      <c r="AE38" s="498"/>
      <c r="AF38" s="498"/>
      <c r="AG38" s="498"/>
      <c r="AH38" s="498"/>
      <c r="AI38" s="498"/>
      <c r="AJ38" s="498"/>
      <c r="AK38" s="498"/>
      <c r="AL38" s="498"/>
      <c r="AM38" s="498"/>
      <c r="AN38" s="498"/>
    </row>
    <row r="39" spans="1:40" customFormat="1" x14ac:dyDescent="0.3">
      <c r="A39" s="498"/>
      <c r="B39" s="498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498"/>
      <c r="AI39" s="498"/>
      <c r="AJ39" s="498"/>
      <c r="AK39" s="498"/>
      <c r="AL39" s="498"/>
      <c r="AM39" s="498"/>
      <c r="AN39" s="498"/>
    </row>
    <row r="40" spans="1:40" customFormat="1" x14ac:dyDescent="0.3">
      <c r="A40" s="498"/>
      <c r="B40" s="498"/>
      <c r="C40" s="498"/>
      <c r="D40" s="498"/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  <c r="Z40" s="498"/>
      <c r="AA40" s="498"/>
      <c r="AB40" s="498"/>
      <c r="AC40" s="498"/>
      <c r="AD40" s="498"/>
      <c r="AE40" s="498"/>
      <c r="AF40" s="498"/>
      <c r="AG40" s="498"/>
      <c r="AH40" s="498"/>
      <c r="AI40" s="498"/>
      <c r="AJ40" s="498"/>
      <c r="AK40" s="498"/>
      <c r="AL40" s="498"/>
      <c r="AM40" s="498"/>
      <c r="AN40" s="498"/>
    </row>
    <row r="41" spans="1:40" customFormat="1" x14ac:dyDescent="0.3">
      <c r="A41" s="498"/>
      <c r="B41" s="498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8"/>
      <c r="AA41" s="498"/>
      <c r="AB41" s="498"/>
      <c r="AC41" s="498"/>
      <c r="AD41" s="498"/>
      <c r="AE41" s="498"/>
      <c r="AF41" s="498"/>
      <c r="AG41" s="498"/>
      <c r="AH41" s="498"/>
      <c r="AI41" s="498"/>
      <c r="AJ41" s="498"/>
      <c r="AK41" s="498"/>
      <c r="AL41" s="498"/>
      <c r="AM41" s="498"/>
      <c r="AN41" s="498"/>
    </row>
    <row r="42" spans="1:40" customFormat="1" x14ac:dyDescent="0.3">
      <c r="A42" s="498"/>
      <c r="B42" s="498"/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  <c r="Z42" s="498"/>
      <c r="AA42" s="498"/>
      <c r="AB42" s="498"/>
      <c r="AC42" s="498"/>
      <c r="AD42" s="498"/>
      <c r="AE42" s="498"/>
      <c r="AF42" s="498"/>
      <c r="AG42" s="498"/>
      <c r="AH42" s="498"/>
      <c r="AI42" s="498"/>
      <c r="AJ42" s="498"/>
      <c r="AK42" s="498"/>
      <c r="AL42" s="498"/>
      <c r="AM42" s="498"/>
      <c r="AN42" s="498"/>
    </row>
    <row r="43" spans="1:40" customFormat="1" x14ac:dyDescent="0.3">
      <c r="A43" s="498"/>
      <c r="B43" s="498"/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  <c r="Z43" s="498"/>
      <c r="AA43" s="498"/>
      <c r="AB43" s="498"/>
      <c r="AC43" s="498"/>
      <c r="AD43" s="498"/>
      <c r="AE43" s="498"/>
      <c r="AF43" s="498"/>
      <c r="AG43" s="498"/>
      <c r="AH43" s="498"/>
      <c r="AI43" s="498"/>
      <c r="AJ43" s="498"/>
      <c r="AK43" s="498"/>
      <c r="AL43" s="498"/>
      <c r="AM43" s="498"/>
      <c r="AN43" s="498"/>
    </row>
    <row r="44" spans="1:40" customFormat="1" x14ac:dyDescent="0.3">
      <c r="A44" s="498"/>
      <c r="B44" s="498"/>
      <c r="C44" s="498"/>
      <c r="D44" s="498"/>
      <c r="E44" s="49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</row>
    <row r="45" spans="1:40" customFormat="1" x14ac:dyDescent="0.3">
      <c r="A45" s="498"/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8"/>
      <c r="Z45" s="498"/>
      <c r="AA45" s="498"/>
      <c r="AB45" s="498"/>
      <c r="AC45" s="498"/>
      <c r="AD45" s="498"/>
      <c r="AE45" s="498"/>
      <c r="AF45" s="498"/>
      <c r="AG45" s="498"/>
      <c r="AH45" s="498"/>
      <c r="AI45" s="498"/>
      <c r="AJ45" s="498"/>
      <c r="AK45" s="498"/>
      <c r="AL45" s="498"/>
      <c r="AM45" s="498"/>
      <c r="AN45" s="498"/>
    </row>
    <row r="46" spans="1:40" customFormat="1" x14ac:dyDescent="0.3">
      <c r="A46" s="498"/>
      <c r="B46" s="498"/>
      <c r="C46" s="498"/>
      <c r="D46" s="498"/>
      <c r="E46" s="49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  <c r="Z46" s="498"/>
      <c r="AA46" s="498"/>
      <c r="AB46" s="498"/>
      <c r="AC46" s="498"/>
      <c r="AD46" s="498"/>
      <c r="AE46" s="498"/>
      <c r="AF46" s="498"/>
      <c r="AG46" s="498"/>
      <c r="AH46" s="498"/>
      <c r="AI46" s="498"/>
      <c r="AJ46" s="498"/>
      <c r="AK46" s="498"/>
      <c r="AL46" s="498"/>
      <c r="AM46" s="498"/>
      <c r="AN46" s="498"/>
    </row>
    <row r="47" spans="1:40" customFormat="1" x14ac:dyDescent="0.3">
      <c r="A47" s="498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</row>
    <row r="48" spans="1:40" customFormat="1" x14ac:dyDescent="0.3">
      <c r="A48" s="498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498"/>
      <c r="AK48" s="498"/>
      <c r="AL48" s="498"/>
      <c r="AM48" s="498"/>
      <c r="AN48" s="498"/>
    </row>
    <row r="49" spans="1:40" customFormat="1" x14ac:dyDescent="0.3">
      <c r="A49" s="498"/>
      <c r="B49" s="498"/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498"/>
      <c r="AK49" s="498"/>
      <c r="AL49" s="498"/>
      <c r="AM49" s="498"/>
      <c r="AN49" s="498"/>
    </row>
    <row r="50" spans="1:40" customFormat="1" x14ac:dyDescent="0.3">
      <c r="A50" s="498"/>
      <c r="B50" s="498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498"/>
      <c r="AK50" s="498"/>
      <c r="AL50" s="498"/>
      <c r="AM50" s="498"/>
      <c r="AN50" s="498"/>
    </row>
    <row r="51" spans="1:40" customFormat="1" x14ac:dyDescent="0.3">
      <c r="A51" s="498"/>
      <c r="B51" s="498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</row>
    <row r="52" spans="1:40" customFormat="1" x14ac:dyDescent="0.3">
      <c r="A52" s="498"/>
      <c r="B52" s="498"/>
      <c r="C52" s="498"/>
      <c r="D52" s="498"/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498"/>
      <c r="AK52" s="498"/>
      <c r="AL52" s="498"/>
      <c r="AM52" s="498"/>
      <c r="AN52" s="498"/>
    </row>
    <row r="53" spans="1:40" customFormat="1" x14ac:dyDescent="0.3">
      <c r="A53" s="498"/>
      <c r="B53" s="498"/>
      <c r="C53" s="498"/>
      <c r="D53" s="498"/>
      <c r="E53" s="498"/>
      <c r="F53" s="498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498"/>
      <c r="AK53" s="498"/>
      <c r="AL53" s="498"/>
      <c r="AM53" s="498"/>
      <c r="AN53" s="498"/>
    </row>
    <row r="54" spans="1:40" customFormat="1" x14ac:dyDescent="0.3">
      <c r="A54" s="498"/>
      <c r="B54" s="498"/>
      <c r="C54" s="498"/>
      <c r="D54" s="498"/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  <c r="AF54" s="498"/>
      <c r="AG54" s="498"/>
      <c r="AH54" s="498"/>
      <c r="AI54" s="498"/>
      <c r="AJ54" s="498"/>
      <c r="AK54" s="498"/>
      <c r="AL54" s="498"/>
      <c r="AM54" s="498"/>
      <c r="AN54" s="498"/>
    </row>
    <row r="55" spans="1:40" customFormat="1" x14ac:dyDescent="0.3">
      <c r="A55" s="498"/>
      <c r="B55" s="498"/>
      <c r="C55" s="498"/>
      <c r="D55" s="498"/>
      <c r="E55" s="498"/>
      <c r="F55" s="498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  <c r="AF55" s="498"/>
      <c r="AG55" s="498"/>
      <c r="AH55" s="498"/>
      <c r="AI55" s="498"/>
      <c r="AJ55" s="498"/>
      <c r="AK55" s="498"/>
      <c r="AL55" s="498"/>
      <c r="AM55" s="498"/>
      <c r="AN55" s="498"/>
    </row>
    <row r="56" spans="1:40" customFormat="1" x14ac:dyDescent="0.3">
      <c r="A56" s="498"/>
      <c r="B56" s="498"/>
      <c r="C56" s="498"/>
      <c r="D56" s="498"/>
      <c r="E56" s="49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498"/>
      <c r="AK56" s="498"/>
      <c r="AL56" s="498"/>
      <c r="AM56" s="498"/>
      <c r="AN56" s="498"/>
    </row>
    <row r="57" spans="1:40" customFormat="1" x14ac:dyDescent="0.3">
      <c r="A57" s="498"/>
      <c r="B57" s="498"/>
      <c r="C57" s="498"/>
      <c r="D57" s="498"/>
      <c r="E57" s="49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  <c r="AF57" s="498"/>
      <c r="AG57" s="498"/>
      <c r="AH57" s="498"/>
      <c r="AI57" s="498"/>
      <c r="AJ57" s="498"/>
      <c r="AK57" s="498"/>
      <c r="AL57" s="498"/>
      <c r="AM57" s="498"/>
      <c r="AN57" s="498"/>
    </row>
    <row r="58" spans="1:40" customFormat="1" x14ac:dyDescent="0.3">
      <c r="A58" s="498"/>
      <c r="B58" s="498"/>
      <c r="C58" s="498"/>
      <c r="D58" s="498"/>
      <c r="E58" s="49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  <c r="AF58" s="498"/>
      <c r="AG58" s="498"/>
      <c r="AH58" s="498"/>
      <c r="AI58" s="498"/>
      <c r="AJ58" s="498"/>
      <c r="AK58" s="498"/>
      <c r="AL58" s="498"/>
      <c r="AM58" s="498"/>
      <c r="AN58" s="498"/>
    </row>
    <row r="59" spans="1:40" customFormat="1" x14ac:dyDescent="0.3">
      <c r="A59" s="498"/>
      <c r="B59" s="498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498"/>
      <c r="AK59" s="498"/>
      <c r="AL59" s="498"/>
      <c r="AM59" s="498"/>
      <c r="AN59" s="498"/>
    </row>
    <row r="60" spans="1:40" customFormat="1" x14ac:dyDescent="0.3">
      <c r="A60" s="498"/>
      <c r="B60" s="498"/>
      <c r="C60" s="498"/>
      <c r="D60" s="498"/>
      <c r="E60" s="498"/>
      <c r="F60" s="498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98"/>
      <c r="R60" s="498"/>
      <c r="S60" s="498"/>
      <c r="T60" s="498"/>
      <c r="U60" s="498"/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  <c r="AF60" s="498"/>
      <c r="AG60" s="498"/>
      <c r="AH60" s="498"/>
      <c r="AI60" s="498"/>
      <c r="AJ60" s="498"/>
      <c r="AK60" s="498"/>
      <c r="AL60" s="498"/>
      <c r="AM60" s="498"/>
      <c r="AN60" s="498"/>
    </row>
    <row r="61" spans="1:40" customFormat="1" x14ac:dyDescent="0.3">
      <c r="A61" s="498"/>
      <c r="B61" s="498"/>
      <c r="C61" s="498"/>
      <c r="D61" s="498"/>
      <c r="E61" s="498"/>
      <c r="F61" s="498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498"/>
      <c r="AK61" s="498"/>
      <c r="AL61" s="498"/>
      <c r="AM61" s="498"/>
      <c r="AN61" s="498"/>
    </row>
    <row r="62" spans="1:40" customFormat="1" x14ac:dyDescent="0.3">
      <c r="A62" s="498"/>
      <c r="B62" s="498"/>
      <c r="C62" s="498"/>
      <c r="D62" s="498"/>
      <c r="E62" s="498"/>
      <c r="F62" s="498"/>
      <c r="G62" s="498"/>
      <c r="H62" s="498"/>
      <c r="I62" s="498"/>
      <c r="J62" s="498"/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  <c r="AF62" s="498"/>
      <c r="AG62" s="498"/>
      <c r="AH62" s="498"/>
      <c r="AI62" s="498"/>
      <c r="AJ62" s="498"/>
      <c r="AK62" s="498"/>
      <c r="AL62" s="498"/>
      <c r="AM62" s="498"/>
      <c r="AN62" s="498"/>
    </row>
    <row r="63" spans="1:40" customFormat="1" x14ac:dyDescent="0.3">
      <c r="A63" s="498"/>
      <c r="B63" s="498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498"/>
      <c r="AK63" s="498"/>
      <c r="AL63" s="498"/>
      <c r="AM63" s="498"/>
      <c r="AN63" s="498"/>
    </row>
    <row r="64" spans="1:40" customFormat="1" x14ac:dyDescent="0.3">
      <c r="A64" s="498"/>
      <c r="B64" s="498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498"/>
      <c r="AK64" s="498"/>
      <c r="AL64" s="498"/>
      <c r="AM64" s="498"/>
      <c r="AN64" s="498"/>
    </row>
    <row r="65" spans="1:40" customFormat="1" x14ac:dyDescent="0.3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498"/>
      <c r="AK65" s="498"/>
      <c r="AL65" s="498"/>
      <c r="AM65" s="498"/>
      <c r="AN65" s="498"/>
    </row>
    <row r="66" spans="1:40" customFormat="1" x14ac:dyDescent="0.3">
      <c r="A66" s="498"/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498"/>
      <c r="AK66" s="498"/>
      <c r="AL66" s="498"/>
      <c r="AM66" s="498"/>
      <c r="AN66" s="498"/>
    </row>
    <row r="67" spans="1:40" customFormat="1" x14ac:dyDescent="0.3">
      <c r="A67" s="498"/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8"/>
      <c r="M67" s="498"/>
      <c r="N67" s="498"/>
      <c r="O67" s="498"/>
      <c r="P67" s="498"/>
      <c r="Q67" s="498"/>
      <c r="R67" s="498"/>
      <c r="S67" s="498"/>
      <c r="T67" s="498"/>
      <c r="U67" s="498"/>
      <c r="V67" s="498"/>
      <c r="W67" s="498"/>
      <c r="X67" s="498"/>
      <c r="Y67" s="498"/>
      <c r="Z67" s="498"/>
      <c r="AA67" s="498"/>
      <c r="AB67" s="498"/>
      <c r="AC67" s="498"/>
      <c r="AD67" s="498"/>
      <c r="AE67" s="498"/>
      <c r="AF67" s="498"/>
      <c r="AG67" s="498"/>
      <c r="AH67" s="498"/>
      <c r="AI67" s="498"/>
      <c r="AJ67" s="498"/>
      <c r="AK67" s="498"/>
      <c r="AL67" s="498"/>
      <c r="AM67" s="498"/>
      <c r="AN67" s="498"/>
    </row>
    <row r="68" spans="1:40" customFormat="1" x14ac:dyDescent="0.3">
      <c r="A68" s="498"/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8"/>
      <c r="M68" s="498"/>
      <c r="N68" s="498"/>
      <c r="O68" s="498"/>
      <c r="P68" s="498"/>
      <c r="Q68" s="498"/>
      <c r="R68" s="498"/>
      <c r="S68" s="498"/>
      <c r="T68" s="498"/>
      <c r="U68" s="498"/>
      <c r="V68" s="498"/>
      <c r="W68" s="498"/>
      <c r="X68" s="498"/>
      <c r="Y68" s="498"/>
      <c r="Z68" s="498"/>
      <c r="AA68" s="498"/>
      <c r="AB68" s="498"/>
      <c r="AC68" s="498"/>
      <c r="AD68" s="498"/>
      <c r="AE68" s="498"/>
      <c r="AF68" s="498"/>
      <c r="AG68" s="498"/>
      <c r="AH68" s="498"/>
      <c r="AI68" s="498"/>
      <c r="AJ68" s="498"/>
      <c r="AK68" s="498"/>
      <c r="AL68" s="498"/>
      <c r="AM68" s="498"/>
      <c r="AN68" s="498"/>
    </row>
    <row r="69" spans="1:40" customFormat="1" x14ac:dyDescent="0.3">
      <c r="A69" s="498"/>
      <c r="B69" s="498"/>
      <c r="C69" s="498"/>
      <c r="D69" s="498"/>
      <c r="E69" s="498"/>
      <c r="F69" s="498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498"/>
      <c r="S69" s="498"/>
      <c r="T69" s="498"/>
      <c r="U69" s="498"/>
      <c r="V69" s="498"/>
      <c r="W69" s="498"/>
      <c r="X69" s="498"/>
      <c r="Y69" s="498"/>
      <c r="Z69" s="498"/>
      <c r="AA69" s="498"/>
      <c r="AB69" s="498"/>
      <c r="AC69" s="498"/>
      <c r="AD69" s="498"/>
      <c r="AE69" s="498"/>
      <c r="AF69" s="498"/>
      <c r="AG69" s="498"/>
      <c r="AH69" s="498"/>
      <c r="AI69" s="498"/>
      <c r="AJ69" s="498"/>
      <c r="AK69" s="498"/>
      <c r="AL69" s="498"/>
      <c r="AM69" s="498"/>
      <c r="AN69" s="498"/>
    </row>
    <row r="70" spans="1:40" customFormat="1" x14ac:dyDescent="0.3">
      <c r="A70" s="498"/>
      <c r="B70" s="498"/>
      <c r="C70" s="498"/>
      <c r="D70" s="498"/>
      <c r="E70" s="498"/>
      <c r="F70" s="498"/>
      <c r="G70" s="498"/>
      <c r="H70" s="498"/>
      <c r="I70" s="498"/>
      <c r="J70" s="498"/>
      <c r="K70" s="498"/>
      <c r="L70" s="498"/>
      <c r="M70" s="498"/>
      <c r="N70" s="498"/>
      <c r="O70" s="498"/>
      <c r="P70" s="498"/>
      <c r="Q70" s="498"/>
      <c r="R70" s="498"/>
      <c r="S70" s="498"/>
      <c r="T70" s="498"/>
      <c r="U70" s="498"/>
      <c r="V70" s="498"/>
      <c r="W70" s="498"/>
      <c r="X70" s="498"/>
      <c r="Y70" s="498"/>
      <c r="Z70" s="498"/>
      <c r="AA70" s="498"/>
      <c r="AB70" s="498"/>
      <c r="AC70" s="498"/>
      <c r="AD70" s="498"/>
      <c r="AE70" s="498"/>
      <c r="AF70" s="498"/>
      <c r="AG70" s="498"/>
      <c r="AH70" s="498"/>
      <c r="AI70" s="498"/>
      <c r="AJ70" s="498"/>
      <c r="AK70" s="498"/>
      <c r="AL70" s="498"/>
      <c r="AM70" s="498"/>
      <c r="AN70" s="498"/>
    </row>
    <row r="71" spans="1:40" customFormat="1" x14ac:dyDescent="0.3">
      <c r="A71" s="498"/>
      <c r="B71" s="498"/>
      <c r="C71" s="498"/>
      <c r="D71" s="498"/>
      <c r="E71" s="498"/>
      <c r="F71" s="498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Q71" s="498"/>
      <c r="R71" s="498"/>
      <c r="S71" s="498"/>
      <c r="T71" s="498"/>
      <c r="U71" s="498"/>
      <c r="V71" s="498"/>
      <c r="W71" s="498"/>
      <c r="X71" s="498"/>
      <c r="Y71" s="498"/>
      <c r="Z71" s="498"/>
      <c r="AA71" s="498"/>
      <c r="AB71" s="498"/>
      <c r="AC71" s="498"/>
      <c r="AD71" s="498"/>
      <c r="AE71" s="498"/>
      <c r="AF71" s="498"/>
      <c r="AG71" s="498"/>
      <c r="AH71" s="498"/>
      <c r="AI71" s="498"/>
      <c r="AJ71" s="498"/>
      <c r="AK71" s="498"/>
      <c r="AL71" s="498"/>
      <c r="AM71" s="498"/>
      <c r="AN71" s="498"/>
    </row>
    <row r="72" spans="1:40" customFormat="1" x14ac:dyDescent="0.3">
      <c r="A72" s="498"/>
      <c r="B72" s="498"/>
      <c r="C72" s="498"/>
      <c r="D72" s="498"/>
      <c r="E72" s="498"/>
      <c r="F72" s="498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498"/>
      <c r="T72" s="498"/>
      <c r="U72" s="498"/>
      <c r="V72" s="498"/>
      <c r="W72" s="498"/>
      <c r="X72" s="498"/>
      <c r="Y72" s="498"/>
      <c r="Z72" s="498"/>
      <c r="AA72" s="498"/>
      <c r="AB72" s="498"/>
      <c r="AC72" s="498"/>
      <c r="AD72" s="498"/>
      <c r="AE72" s="498"/>
      <c r="AF72" s="498"/>
      <c r="AG72" s="498"/>
      <c r="AH72" s="498"/>
      <c r="AI72" s="498"/>
      <c r="AJ72" s="498"/>
      <c r="AK72" s="498"/>
      <c r="AL72" s="498"/>
      <c r="AM72" s="498"/>
      <c r="AN72" s="498"/>
    </row>
    <row r="73" spans="1:40" customFormat="1" x14ac:dyDescent="0.3">
      <c r="A73" s="498"/>
      <c r="B73" s="498"/>
      <c r="C73" s="498"/>
      <c r="D73" s="498"/>
      <c r="E73" s="498"/>
      <c r="F73" s="498"/>
      <c r="G73" s="498"/>
      <c r="H73" s="498"/>
      <c r="I73" s="498"/>
      <c r="J73" s="498"/>
      <c r="K73" s="498"/>
      <c r="L73" s="498"/>
      <c r="M73" s="498"/>
      <c r="N73" s="498"/>
      <c r="O73" s="498"/>
      <c r="P73" s="498"/>
      <c r="Q73" s="498"/>
      <c r="R73" s="498"/>
      <c r="S73" s="498"/>
      <c r="T73" s="498"/>
      <c r="U73" s="498"/>
      <c r="V73" s="498"/>
      <c r="W73" s="498"/>
      <c r="X73" s="498"/>
      <c r="Y73" s="498"/>
      <c r="Z73" s="498"/>
      <c r="AA73" s="498"/>
      <c r="AB73" s="498"/>
      <c r="AC73" s="498"/>
      <c r="AD73" s="498"/>
      <c r="AE73" s="498"/>
      <c r="AF73" s="498"/>
      <c r="AG73" s="498"/>
      <c r="AH73" s="498"/>
      <c r="AI73" s="498"/>
      <c r="AJ73" s="498"/>
      <c r="AK73" s="498"/>
      <c r="AL73" s="498"/>
      <c r="AM73" s="498"/>
      <c r="AN73" s="498"/>
    </row>
    <row r="74" spans="1:40" customFormat="1" x14ac:dyDescent="0.3">
      <c r="A74" s="498"/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  <c r="W74" s="498"/>
      <c r="X74" s="498"/>
      <c r="Y74" s="498"/>
      <c r="Z74" s="498"/>
      <c r="AA74" s="498"/>
      <c r="AB74" s="498"/>
      <c r="AC74" s="498"/>
      <c r="AD74" s="498"/>
      <c r="AE74" s="498"/>
      <c r="AF74" s="498"/>
      <c r="AG74" s="498"/>
      <c r="AH74" s="498"/>
      <c r="AI74" s="498"/>
      <c r="AJ74" s="498"/>
      <c r="AK74" s="498"/>
      <c r="AL74" s="498"/>
      <c r="AM74" s="498"/>
      <c r="AN74" s="498"/>
    </row>
    <row r="75" spans="1:40" customFormat="1" x14ac:dyDescent="0.3">
      <c r="A75" s="498"/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498"/>
      <c r="AI75" s="498"/>
      <c r="AJ75" s="498"/>
      <c r="AK75" s="498"/>
      <c r="AL75" s="498"/>
      <c r="AM75" s="498"/>
      <c r="AN75" s="498"/>
    </row>
    <row r="76" spans="1:40" customFormat="1" x14ac:dyDescent="0.3">
      <c r="A76" s="498"/>
      <c r="B76" s="498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P76" s="498"/>
      <c r="Q76" s="498"/>
      <c r="R76" s="498"/>
      <c r="S76" s="498"/>
      <c r="T76" s="498"/>
      <c r="U76" s="498"/>
      <c r="V76" s="498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498"/>
      <c r="AI76" s="498"/>
      <c r="AJ76" s="498"/>
      <c r="AK76" s="498"/>
      <c r="AL76" s="498"/>
      <c r="AM76" s="498"/>
      <c r="AN76" s="498"/>
    </row>
    <row r="77" spans="1:40" customFormat="1" x14ac:dyDescent="0.3">
      <c r="A77" s="498"/>
      <c r="B77" s="498"/>
      <c r="C77" s="498"/>
      <c r="D77" s="498"/>
      <c r="E77" s="498"/>
      <c r="F77" s="498"/>
      <c r="G77" s="498"/>
      <c r="H77" s="498"/>
      <c r="I77" s="498"/>
      <c r="J77" s="498"/>
      <c r="K77" s="498"/>
      <c r="L77" s="498"/>
      <c r="M77" s="498"/>
      <c r="N77" s="498"/>
      <c r="O77" s="498"/>
      <c r="P77" s="498"/>
      <c r="Q77" s="498"/>
      <c r="R77" s="498"/>
      <c r="S77" s="498"/>
      <c r="T77" s="498"/>
      <c r="U77" s="498"/>
      <c r="V77" s="498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498"/>
      <c r="AI77" s="498"/>
      <c r="AJ77" s="498"/>
      <c r="AK77" s="498"/>
      <c r="AL77" s="498"/>
      <c r="AM77" s="498"/>
      <c r="AN77" s="498"/>
    </row>
    <row r="78" spans="1:40" customFormat="1" x14ac:dyDescent="0.3">
      <c r="A78" s="498"/>
      <c r="B78" s="498"/>
      <c r="C78" s="498"/>
      <c r="D78" s="498"/>
      <c r="E78" s="498"/>
      <c r="F78" s="498"/>
      <c r="G78" s="498"/>
      <c r="H78" s="498"/>
      <c r="I78" s="498"/>
      <c r="J78" s="498"/>
      <c r="K78" s="498"/>
      <c r="L78" s="498"/>
      <c r="M78" s="498"/>
      <c r="N78" s="498"/>
      <c r="O78" s="498"/>
      <c r="P78" s="498"/>
      <c r="Q78" s="498"/>
      <c r="R78" s="498"/>
      <c r="S78" s="498"/>
      <c r="T78" s="498"/>
      <c r="U78" s="498"/>
      <c r="V78" s="498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498"/>
      <c r="AI78" s="498"/>
      <c r="AJ78" s="498"/>
      <c r="AK78" s="498"/>
      <c r="AL78" s="498"/>
      <c r="AM78" s="498"/>
      <c r="AN78" s="498"/>
    </row>
    <row r="79" spans="1:40" customFormat="1" x14ac:dyDescent="0.3">
      <c r="A79" s="498"/>
      <c r="B79" s="498"/>
      <c r="C79" s="498"/>
      <c r="D79" s="498"/>
      <c r="E79" s="498"/>
      <c r="F79" s="498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  <c r="W79" s="498"/>
      <c r="X79" s="498"/>
      <c r="Y79" s="498"/>
      <c r="Z79" s="498"/>
      <c r="AA79" s="498"/>
      <c r="AB79" s="498"/>
      <c r="AC79" s="498"/>
      <c r="AD79" s="498"/>
      <c r="AE79" s="498"/>
      <c r="AF79" s="498"/>
      <c r="AG79" s="498"/>
      <c r="AH79" s="498"/>
      <c r="AI79" s="498"/>
      <c r="AJ79" s="498"/>
      <c r="AK79" s="498"/>
      <c r="AL79" s="498"/>
      <c r="AM79" s="498"/>
      <c r="AN79" s="498"/>
    </row>
    <row r="80" spans="1:40" customFormat="1" x14ac:dyDescent="0.3">
      <c r="A80" s="498"/>
      <c r="B80" s="498"/>
      <c r="C80" s="498"/>
      <c r="D80" s="498"/>
      <c r="E80" s="498"/>
      <c r="F80" s="498"/>
      <c r="G80" s="498"/>
      <c r="H80" s="498"/>
      <c r="I80" s="498"/>
      <c r="J80" s="498"/>
      <c r="K80" s="498"/>
      <c r="L80" s="498"/>
      <c r="M80" s="498"/>
      <c r="N80" s="498"/>
      <c r="O80" s="498"/>
      <c r="P80" s="498"/>
      <c r="Q80" s="498"/>
      <c r="R80" s="498"/>
      <c r="S80" s="498"/>
      <c r="T80" s="498"/>
      <c r="U80" s="498"/>
      <c r="V80" s="498"/>
      <c r="W80" s="498"/>
      <c r="X80" s="498"/>
      <c r="Y80" s="498"/>
      <c r="Z80" s="498"/>
      <c r="AA80" s="498"/>
      <c r="AB80" s="498"/>
      <c r="AC80" s="498"/>
      <c r="AD80" s="498"/>
      <c r="AE80" s="498"/>
      <c r="AF80" s="498"/>
      <c r="AG80" s="498"/>
      <c r="AH80" s="498"/>
      <c r="AI80" s="498"/>
      <c r="AJ80" s="498"/>
      <c r="AK80" s="498"/>
      <c r="AL80" s="498"/>
      <c r="AM80" s="498"/>
      <c r="AN80" s="498"/>
    </row>
    <row r="81" spans="1:40" customFormat="1" x14ac:dyDescent="0.3">
      <c r="A81" s="498"/>
      <c r="B81" s="498"/>
      <c r="C81" s="498"/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8"/>
      <c r="Z81" s="498"/>
      <c r="AA81" s="498"/>
      <c r="AB81" s="498"/>
      <c r="AC81" s="498"/>
      <c r="AD81" s="498"/>
      <c r="AE81" s="498"/>
      <c r="AF81" s="498"/>
      <c r="AG81" s="498"/>
      <c r="AH81" s="498"/>
      <c r="AI81" s="498"/>
      <c r="AJ81" s="498"/>
      <c r="AK81" s="498"/>
      <c r="AL81" s="498"/>
      <c r="AM81" s="498"/>
      <c r="AN81" s="498"/>
    </row>
    <row r="82" spans="1:40" customFormat="1" x14ac:dyDescent="0.3">
      <c r="A82" s="498"/>
      <c r="B82" s="498"/>
      <c r="C82" s="498"/>
      <c r="D82" s="498"/>
      <c r="E82" s="498"/>
      <c r="F82" s="498"/>
      <c r="G82" s="498"/>
      <c r="H82" s="498"/>
      <c r="I82" s="498"/>
      <c r="J82" s="498"/>
      <c r="K82" s="498"/>
      <c r="L82" s="498"/>
      <c r="M82" s="498"/>
      <c r="N82" s="498"/>
      <c r="O82" s="498"/>
      <c r="P82" s="498"/>
      <c r="Q82" s="498"/>
      <c r="R82" s="498"/>
      <c r="S82" s="498"/>
      <c r="T82" s="498"/>
      <c r="U82" s="498"/>
      <c r="V82" s="498"/>
      <c r="W82" s="498"/>
      <c r="X82" s="498"/>
      <c r="Y82" s="498"/>
      <c r="Z82" s="498"/>
      <c r="AA82" s="498"/>
      <c r="AB82" s="498"/>
      <c r="AC82" s="498"/>
      <c r="AD82" s="498"/>
      <c r="AE82" s="498"/>
      <c r="AF82" s="498"/>
      <c r="AG82" s="498"/>
      <c r="AH82" s="498"/>
      <c r="AI82" s="498"/>
      <c r="AJ82" s="498"/>
      <c r="AK82" s="498"/>
      <c r="AL82" s="498"/>
      <c r="AM82" s="498"/>
      <c r="AN82" s="498"/>
    </row>
    <row r="83" spans="1:40" customFormat="1" x14ac:dyDescent="0.3">
      <c r="A83" s="498"/>
      <c r="B83" s="498"/>
      <c r="C83" s="498"/>
      <c r="D83" s="498"/>
      <c r="E83" s="498"/>
      <c r="F83" s="498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  <c r="Y83" s="498"/>
      <c r="Z83" s="498"/>
      <c r="AA83" s="498"/>
      <c r="AB83" s="498"/>
      <c r="AC83" s="498"/>
      <c r="AD83" s="498"/>
      <c r="AE83" s="498"/>
      <c r="AF83" s="498"/>
      <c r="AG83" s="498"/>
      <c r="AH83" s="498"/>
      <c r="AI83" s="498"/>
      <c r="AJ83" s="498"/>
      <c r="AK83" s="498"/>
      <c r="AL83" s="498"/>
      <c r="AM83" s="498"/>
      <c r="AN83" s="498"/>
    </row>
    <row r="84" spans="1:40" customFormat="1" x14ac:dyDescent="0.3">
      <c r="A84" s="498"/>
      <c r="B84" s="498"/>
      <c r="C84" s="498"/>
      <c r="D84" s="498"/>
      <c r="E84" s="498"/>
      <c r="F84" s="498"/>
      <c r="G84" s="498"/>
      <c r="H84" s="498"/>
      <c r="I84" s="498"/>
      <c r="J84" s="498"/>
      <c r="K84" s="498"/>
      <c r="L84" s="498"/>
      <c r="M84" s="498"/>
      <c r="N84" s="498"/>
      <c r="O84" s="498"/>
      <c r="P84" s="498"/>
      <c r="Q84" s="498"/>
      <c r="R84" s="498"/>
      <c r="S84" s="498"/>
      <c r="T84" s="498"/>
      <c r="U84" s="498"/>
      <c r="V84" s="498"/>
      <c r="W84" s="498"/>
      <c r="X84" s="498"/>
      <c r="Y84" s="498"/>
      <c r="Z84" s="498"/>
      <c r="AA84" s="498"/>
      <c r="AB84" s="498"/>
      <c r="AC84" s="498"/>
      <c r="AD84" s="498"/>
      <c r="AE84" s="498"/>
      <c r="AF84" s="498"/>
      <c r="AG84" s="498"/>
      <c r="AH84" s="498"/>
      <c r="AI84" s="498"/>
      <c r="AJ84" s="498"/>
      <c r="AK84" s="498"/>
      <c r="AL84" s="498"/>
      <c r="AM84" s="498"/>
      <c r="AN84" s="498"/>
    </row>
    <row r="85" spans="1:40" customFormat="1" x14ac:dyDescent="0.3">
      <c r="A85" s="498"/>
      <c r="B85" s="498"/>
      <c r="C85" s="498"/>
      <c r="D85" s="498"/>
      <c r="E85" s="498"/>
      <c r="F85" s="498"/>
      <c r="G85" s="498"/>
      <c r="H85" s="498"/>
      <c r="I85" s="498"/>
      <c r="J85" s="498"/>
      <c r="K85" s="498"/>
      <c r="L85" s="498"/>
      <c r="M85" s="498"/>
      <c r="N85" s="498"/>
      <c r="O85" s="498"/>
      <c r="P85" s="498"/>
      <c r="Q85" s="498"/>
      <c r="R85" s="498"/>
      <c r="S85" s="498"/>
      <c r="T85" s="498"/>
      <c r="U85" s="498"/>
      <c r="V85" s="498"/>
      <c r="W85" s="498"/>
      <c r="X85" s="498"/>
      <c r="Y85" s="498"/>
      <c r="Z85" s="498"/>
      <c r="AA85" s="498"/>
      <c r="AB85" s="498"/>
      <c r="AC85" s="498"/>
      <c r="AD85" s="498"/>
      <c r="AE85" s="498"/>
      <c r="AF85" s="498"/>
      <c r="AG85" s="498"/>
      <c r="AH85" s="498"/>
      <c r="AI85" s="498"/>
      <c r="AJ85" s="498"/>
      <c r="AK85" s="498"/>
      <c r="AL85" s="498"/>
      <c r="AM85" s="498"/>
      <c r="AN85" s="498"/>
    </row>
    <row r="86" spans="1:40" customFormat="1" x14ac:dyDescent="0.3">
      <c r="A86" s="498"/>
      <c r="B86" s="498"/>
      <c r="C86" s="498"/>
      <c r="D86" s="498"/>
      <c r="E86" s="498"/>
      <c r="F86" s="498"/>
      <c r="G86" s="498"/>
      <c r="H86" s="498"/>
      <c r="I86" s="498"/>
      <c r="J86" s="498"/>
      <c r="K86" s="498"/>
      <c r="L86" s="498"/>
      <c r="M86" s="498"/>
      <c r="N86" s="498"/>
      <c r="O86" s="498"/>
      <c r="P86" s="498"/>
      <c r="Q86" s="498"/>
      <c r="R86" s="498"/>
      <c r="S86" s="498"/>
      <c r="T86" s="498"/>
      <c r="U86" s="498"/>
      <c r="V86" s="498"/>
      <c r="W86" s="498"/>
      <c r="X86" s="498"/>
      <c r="Y86" s="498"/>
      <c r="Z86" s="498"/>
      <c r="AA86" s="498"/>
      <c r="AB86" s="498"/>
      <c r="AC86" s="498"/>
      <c r="AD86" s="498"/>
      <c r="AE86" s="498"/>
      <c r="AF86" s="498"/>
      <c r="AG86" s="498"/>
      <c r="AH86" s="498"/>
      <c r="AI86" s="498"/>
      <c r="AJ86" s="498"/>
      <c r="AK86" s="498"/>
      <c r="AL86" s="498"/>
      <c r="AM86" s="498"/>
      <c r="AN86" s="498"/>
    </row>
    <row r="87" spans="1:40" customFormat="1" x14ac:dyDescent="0.3">
      <c r="A87" s="498"/>
      <c r="B87" s="498"/>
      <c r="C87" s="498"/>
      <c r="D87" s="498"/>
      <c r="E87" s="498"/>
      <c r="F87" s="498"/>
      <c r="G87" s="498"/>
      <c r="H87" s="498"/>
      <c r="I87" s="498"/>
      <c r="J87" s="498"/>
      <c r="K87" s="498"/>
      <c r="L87" s="498"/>
      <c r="M87" s="498"/>
      <c r="N87" s="498"/>
      <c r="O87" s="498"/>
      <c r="P87" s="498"/>
      <c r="Q87" s="498"/>
      <c r="R87" s="498"/>
      <c r="S87" s="498"/>
      <c r="T87" s="498"/>
      <c r="U87" s="498"/>
      <c r="V87" s="498"/>
      <c r="W87" s="498"/>
      <c r="X87" s="498"/>
      <c r="Y87" s="498"/>
      <c r="Z87" s="498"/>
      <c r="AA87" s="498"/>
      <c r="AB87" s="498"/>
      <c r="AC87" s="498"/>
      <c r="AD87" s="498"/>
      <c r="AE87" s="498"/>
      <c r="AF87" s="498"/>
      <c r="AG87" s="498"/>
      <c r="AH87" s="498"/>
      <c r="AI87" s="498"/>
      <c r="AJ87" s="498"/>
      <c r="AK87" s="498"/>
      <c r="AL87" s="498"/>
      <c r="AM87" s="498"/>
      <c r="AN87" s="498"/>
    </row>
    <row r="88" spans="1:40" customFormat="1" x14ac:dyDescent="0.3">
      <c r="A88" s="498"/>
      <c r="B88" s="498"/>
      <c r="C88" s="498"/>
      <c r="D88" s="498"/>
      <c r="E88" s="498"/>
      <c r="F88" s="498"/>
      <c r="G88" s="498"/>
      <c r="H88" s="498"/>
      <c r="I88" s="498"/>
      <c r="J88" s="498"/>
      <c r="K88" s="498"/>
      <c r="L88" s="498"/>
      <c r="M88" s="498"/>
      <c r="N88" s="498"/>
      <c r="O88" s="498"/>
      <c r="P88" s="498"/>
      <c r="Q88" s="498"/>
      <c r="R88" s="498"/>
      <c r="S88" s="498"/>
      <c r="T88" s="498"/>
      <c r="U88" s="498"/>
      <c r="V88" s="498"/>
      <c r="W88" s="498"/>
      <c r="X88" s="498"/>
      <c r="Y88" s="498"/>
      <c r="Z88" s="498"/>
      <c r="AA88" s="498"/>
      <c r="AB88" s="498"/>
      <c r="AC88" s="498"/>
      <c r="AD88" s="498"/>
      <c r="AE88" s="498"/>
      <c r="AF88" s="498"/>
      <c r="AG88" s="498"/>
      <c r="AH88" s="498"/>
      <c r="AI88" s="498"/>
      <c r="AJ88" s="498"/>
      <c r="AK88" s="498"/>
      <c r="AL88" s="498"/>
      <c r="AM88" s="498"/>
      <c r="AN88" s="498"/>
    </row>
    <row r="89" spans="1:40" customFormat="1" x14ac:dyDescent="0.3">
      <c r="A89" s="498"/>
      <c r="B89" s="498"/>
      <c r="C89" s="498"/>
      <c r="D89" s="498"/>
      <c r="E89" s="498"/>
      <c r="F89" s="498"/>
      <c r="G89" s="498"/>
      <c r="H89" s="498"/>
      <c r="I89" s="498"/>
      <c r="J89" s="498"/>
      <c r="K89" s="498"/>
      <c r="L89" s="498"/>
      <c r="M89" s="498"/>
      <c r="N89" s="498"/>
      <c r="O89" s="498"/>
      <c r="P89" s="498"/>
      <c r="Q89" s="498"/>
      <c r="R89" s="498"/>
      <c r="S89" s="498"/>
      <c r="T89" s="498"/>
      <c r="U89" s="498"/>
      <c r="V89" s="498"/>
      <c r="W89" s="498"/>
      <c r="X89" s="498"/>
      <c r="Y89" s="498"/>
      <c r="Z89" s="498"/>
      <c r="AA89" s="498"/>
      <c r="AB89" s="498"/>
      <c r="AC89" s="498"/>
      <c r="AD89" s="498"/>
      <c r="AE89" s="498"/>
      <c r="AF89" s="498"/>
      <c r="AG89" s="498"/>
      <c r="AH89" s="498"/>
      <c r="AI89" s="498"/>
      <c r="AJ89" s="498"/>
      <c r="AK89" s="498"/>
      <c r="AL89" s="498"/>
      <c r="AM89" s="498"/>
      <c r="AN89" s="498"/>
    </row>
    <row r="90" spans="1:40" customFormat="1" x14ac:dyDescent="0.3">
      <c r="A90" s="498"/>
      <c r="B90" s="498"/>
      <c r="C90" s="498"/>
      <c r="D90" s="498"/>
      <c r="E90" s="498"/>
      <c r="F90" s="498"/>
      <c r="G90" s="498"/>
      <c r="H90" s="498"/>
      <c r="I90" s="498"/>
      <c r="J90" s="498"/>
      <c r="K90" s="498"/>
      <c r="L90" s="498"/>
      <c r="M90" s="498"/>
      <c r="N90" s="498"/>
      <c r="O90" s="498"/>
      <c r="P90" s="498"/>
      <c r="Q90" s="498"/>
      <c r="R90" s="498"/>
      <c r="S90" s="498"/>
      <c r="T90" s="498"/>
      <c r="U90" s="498"/>
      <c r="V90" s="498"/>
      <c r="W90" s="498"/>
      <c r="X90" s="498"/>
      <c r="Y90" s="498"/>
      <c r="Z90" s="498"/>
      <c r="AA90" s="498"/>
      <c r="AB90" s="498"/>
      <c r="AC90" s="498"/>
      <c r="AD90" s="498"/>
      <c r="AE90" s="498"/>
      <c r="AF90" s="498"/>
      <c r="AG90" s="498"/>
      <c r="AH90" s="498"/>
      <c r="AI90" s="498"/>
      <c r="AJ90" s="498"/>
      <c r="AK90" s="498"/>
      <c r="AL90" s="498"/>
      <c r="AM90" s="498"/>
      <c r="AN90" s="498"/>
    </row>
    <row r="91" spans="1:40" customFormat="1" x14ac:dyDescent="0.3">
      <c r="A91" s="498"/>
      <c r="B91" s="498"/>
      <c r="C91" s="498"/>
      <c r="D91" s="498"/>
      <c r="E91" s="498"/>
      <c r="F91" s="498"/>
      <c r="G91" s="498"/>
      <c r="H91" s="498"/>
      <c r="I91" s="498"/>
      <c r="J91" s="498"/>
      <c r="K91" s="498"/>
      <c r="L91" s="498"/>
      <c r="M91" s="498"/>
      <c r="N91" s="498"/>
      <c r="O91" s="498"/>
      <c r="P91" s="498"/>
      <c r="Q91" s="498"/>
      <c r="R91" s="498"/>
      <c r="S91" s="498"/>
      <c r="T91" s="498"/>
      <c r="U91" s="498"/>
      <c r="V91" s="498"/>
      <c r="W91" s="498"/>
      <c r="X91" s="498"/>
      <c r="Y91" s="498"/>
      <c r="Z91" s="498"/>
      <c r="AA91" s="498"/>
      <c r="AB91" s="498"/>
      <c r="AC91" s="498"/>
      <c r="AD91" s="498"/>
      <c r="AE91" s="498"/>
      <c r="AF91" s="498"/>
      <c r="AG91" s="498"/>
      <c r="AH91" s="498"/>
      <c r="AI91" s="498"/>
      <c r="AJ91" s="498"/>
      <c r="AK91" s="498"/>
      <c r="AL91" s="498"/>
      <c r="AM91" s="498"/>
      <c r="AN91" s="498"/>
    </row>
    <row r="92" spans="1:40" customFormat="1" x14ac:dyDescent="0.3">
      <c r="A92" s="498"/>
      <c r="B92" s="498"/>
      <c r="C92" s="498"/>
      <c r="D92" s="498"/>
      <c r="E92" s="498"/>
      <c r="F92" s="498"/>
      <c r="G92" s="498"/>
      <c r="H92" s="498"/>
      <c r="I92" s="498"/>
      <c r="J92" s="498"/>
      <c r="K92" s="498"/>
      <c r="L92" s="498"/>
      <c r="M92" s="498"/>
      <c r="N92" s="498"/>
      <c r="O92" s="498"/>
      <c r="P92" s="498"/>
      <c r="Q92" s="498"/>
      <c r="R92" s="498"/>
      <c r="S92" s="498"/>
      <c r="T92" s="498"/>
      <c r="U92" s="498"/>
      <c r="V92" s="498"/>
      <c r="W92" s="498"/>
      <c r="X92" s="498"/>
      <c r="Y92" s="498"/>
      <c r="Z92" s="498"/>
      <c r="AA92" s="498"/>
      <c r="AB92" s="498"/>
      <c r="AC92" s="498"/>
      <c r="AD92" s="498"/>
      <c r="AE92" s="498"/>
      <c r="AF92" s="498"/>
      <c r="AG92" s="498"/>
      <c r="AH92" s="498"/>
      <c r="AI92" s="498"/>
      <c r="AJ92" s="498"/>
      <c r="AK92" s="498"/>
      <c r="AL92" s="498"/>
      <c r="AM92" s="498"/>
      <c r="AN92" s="498"/>
    </row>
    <row r="93" spans="1:40" customFormat="1" x14ac:dyDescent="0.3">
      <c r="A93" s="498"/>
      <c r="B93" s="498"/>
      <c r="C93" s="498"/>
      <c r="D93" s="498"/>
      <c r="E93" s="498"/>
      <c r="F93" s="498"/>
      <c r="G93" s="498"/>
      <c r="H93" s="498"/>
      <c r="I93" s="498"/>
      <c r="J93" s="498"/>
      <c r="K93" s="498"/>
      <c r="L93" s="498"/>
      <c r="M93" s="498"/>
      <c r="N93" s="498"/>
      <c r="O93" s="498"/>
      <c r="P93" s="498"/>
      <c r="Q93" s="498"/>
      <c r="R93" s="498"/>
      <c r="S93" s="498"/>
      <c r="T93" s="498"/>
      <c r="U93" s="498"/>
      <c r="V93" s="498"/>
      <c r="W93" s="498"/>
      <c r="X93" s="498"/>
      <c r="Y93" s="498"/>
      <c r="Z93" s="498"/>
      <c r="AA93" s="498"/>
      <c r="AB93" s="498"/>
      <c r="AC93" s="498"/>
      <c r="AD93" s="498"/>
      <c r="AE93" s="498"/>
      <c r="AF93" s="498"/>
      <c r="AG93" s="498"/>
      <c r="AH93" s="498"/>
      <c r="AI93" s="498"/>
      <c r="AJ93" s="498"/>
      <c r="AK93" s="498"/>
      <c r="AL93" s="498"/>
      <c r="AM93" s="498"/>
      <c r="AN93" s="498"/>
    </row>
    <row r="94" spans="1:40" customFormat="1" x14ac:dyDescent="0.3">
      <c r="A94" s="498"/>
      <c r="B94" s="498"/>
      <c r="C94" s="498"/>
      <c r="D94" s="498"/>
      <c r="E94" s="498"/>
      <c r="F94" s="498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  <c r="W94" s="498"/>
      <c r="X94" s="498"/>
      <c r="Y94" s="498"/>
      <c r="Z94" s="498"/>
      <c r="AA94" s="498"/>
      <c r="AB94" s="498"/>
      <c r="AC94" s="498"/>
      <c r="AD94" s="498"/>
      <c r="AE94" s="498"/>
      <c r="AF94" s="498"/>
      <c r="AG94" s="498"/>
      <c r="AH94" s="498"/>
      <c r="AI94" s="498"/>
      <c r="AJ94" s="498"/>
      <c r="AK94" s="498"/>
      <c r="AL94" s="498"/>
      <c r="AM94" s="498"/>
      <c r="AN94" s="498"/>
    </row>
    <row r="95" spans="1:40" customFormat="1" x14ac:dyDescent="0.3">
      <c r="A95" s="498"/>
      <c r="B95" s="498"/>
      <c r="C95" s="498"/>
      <c r="D95" s="498"/>
      <c r="E95" s="498"/>
      <c r="F95" s="498"/>
      <c r="G95" s="498"/>
      <c r="H95" s="498"/>
      <c r="I95" s="498"/>
      <c r="J95" s="498"/>
      <c r="K95" s="498"/>
      <c r="L95" s="498"/>
      <c r="M95" s="498"/>
      <c r="N95" s="498"/>
      <c r="O95" s="498"/>
      <c r="P95" s="498"/>
      <c r="Q95" s="498"/>
      <c r="R95" s="498"/>
      <c r="S95" s="498"/>
      <c r="T95" s="498"/>
      <c r="U95" s="498"/>
      <c r="V95" s="498"/>
      <c r="W95" s="498"/>
      <c r="X95" s="498"/>
      <c r="Y95" s="498"/>
      <c r="Z95" s="498"/>
      <c r="AA95" s="498"/>
      <c r="AB95" s="498"/>
      <c r="AC95" s="498"/>
      <c r="AD95" s="498"/>
      <c r="AE95" s="498"/>
      <c r="AF95" s="498"/>
      <c r="AG95" s="498"/>
      <c r="AH95" s="498"/>
      <c r="AI95" s="498"/>
      <c r="AJ95" s="498"/>
      <c r="AK95" s="498"/>
      <c r="AL95" s="498"/>
      <c r="AM95" s="498"/>
      <c r="AN95" s="498"/>
    </row>
    <row r="96" spans="1:40" customFormat="1" x14ac:dyDescent="0.3">
      <c r="A96" s="498"/>
      <c r="B96" s="498"/>
      <c r="C96" s="498"/>
      <c r="D96" s="498"/>
      <c r="E96" s="498"/>
      <c r="F96" s="498"/>
      <c r="G96" s="498"/>
      <c r="H96" s="498"/>
      <c r="I96" s="498"/>
      <c r="J96" s="498"/>
      <c r="K96" s="498"/>
      <c r="L96" s="498"/>
      <c r="M96" s="498"/>
      <c r="N96" s="498"/>
      <c r="O96" s="498"/>
      <c r="P96" s="498"/>
      <c r="Q96" s="498"/>
      <c r="R96" s="498"/>
      <c r="S96" s="498"/>
      <c r="T96" s="498"/>
      <c r="U96" s="498"/>
      <c r="V96" s="498"/>
      <c r="W96" s="498"/>
      <c r="X96" s="498"/>
      <c r="Y96" s="498"/>
      <c r="Z96" s="498"/>
      <c r="AA96" s="498"/>
      <c r="AB96" s="498"/>
      <c r="AC96" s="498"/>
      <c r="AD96" s="498"/>
      <c r="AE96" s="498"/>
      <c r="AF96" s="498"/>
      <c r="AG96" s="498"/>
      <c r="AH96" s="498"/>
      <c r="AI96" s="498"/>
      <c r="AJ96" s="498"/>
      <c r="AK96" s="498"/>
      <c r="AL96" s="498"/>
      <c r="AM96" s="498"/>
      <c r="AN96" s="498"/>
    </row>
    <row r="97" spans="1:40" customFormat="1" x14ac:dyDescent="0.3">
      <c r="A97" s="498"/>
      <c r="B97" s="498"/>
      <c r="C97" s="498"/>
      <c r="D97" s="498"/>
      <c r="E97" s="498"/>
      <c r="F97" s="498"/>
      <c r="G97" s="498"/>
      <c r="H97" s="498"/>
      <c r="I97" s="498"/>
      <c r="J97" s="498"/>
      <c r="K97" s="498"/>
      <c r="L97" s="498"/>
      <c r="M97" s="498"/>
      <c r="N97" s="498"/>
      <c r="O97" s="498"/>
      <c r="P97" s="498"/>
      <c r="Q97" s="498"/>
      <c r="R97" s="498"/>
      <c r="S97" s="498"/>
      <c r="T97" s="498"/>
      <c r="U97" s="498"/>
      <c r="V97" s="498"/>
      <c r="W97" s="498"/>
      <c r="X97" s="498"/>
      <c r="Y97" s="498"/>
      <c r="Z97" s="498"/>
      <c r="AA97" s="498"/>
      <c r="AB97" s="498"/>
      <c r="AC97" s="498"/>
      <c r="AD97" s="498"/>
      <c r="AE97" s="498"/>
      <c r="AF97" s="498"/>
      <c r="AG97" s="498"/>
      <c r="AH97" s="498"/>
      <c r="AI97" s="498"/>
      <c r="AJ97" s="498"/>
      <c r="AK97" s="498"/>
      <c r="AL97" s="498"/>
      <c r="AM97" s="498"/>
      <c r="AN97" s="498"/>
    </row>
    <row r="98" spans="1:40" customFormat="1" x14ac:dyDescent="0.3">
      <c r="A98" s="498"/>
      <c r="B98" s="498"/>
      <c r="C98" s="498"/>
      <c r="D98" s="498"/>
      <c r="E98" s="498"/>
      <c r="F98" s="498"/>
      <c r="G98" s="498"/>
      <c r="H98" s="498"/>
      <c r="I98" s="498"/>
      <c r="J98" s="498"/>
      <c r="K98" s="498"/>
      <c r="L98" s="498"/>
      <c r="M98" s="498"/>
      <c r="N98" s="498"/>
      <c r="O98" s="498"/>
      <c r="P98" s="498"/>
      <c r="Q98" s="498"/>
      <c r="R98" s="498"/>
      <c r="S98" s="498"/>
      <c r="T98" s="498"/>
      <c r="U98" s="498"/>
      <c r="V98" s="498"/>
      <c r="W98" s="498"/>
      <c r="X98" s="498"/>
      <c r="Y98" s="498"/>
      <c r="Z98" s="498"/>
      <c r="AA98" s="498"/>
      <c r="AB98" s="498"/>
      <c r="AC98" s="498"/>
      <c r="AD98" s="498"/>
      <c r="AE98" s="498"/>
      <c r="AF98" s="498"/>
      <c r="AG98" s="498"/>
      <c r="AH98" s="498"/>
      <c r="AI98" s="498"/>
      <c r="AJ98" s="498"/>
      <c r="AK98" s="498"/>
      <c r="AL98" s="498"/>
      <c r="AM98" s="498"/>
      <c r="AN98" s="498"/>
    </row>
    <row r="99" spans="1:40" customFormat="1" x14ac:dyDescent="0.3">
      <c r="A99" s="498"/>
      <c r="B99" s="498"/>
      <c r="C99" s="498"/>
      <c r="D99" s="498"/>
      <c r="E99" s="498"/>
      <c r="F99" s="498"/>
      <c r="G99" s="498"/>
      <c r="H99" s="498"/>
      <c r="I99" s="498"/>
      <c r="J99" s="498"/>
      <c r="K99" s="498"/>
      <c r="L99" s="498"/>
      <c r="M99" s="498"/>
      <c r="N99" s="498"/>
      <c r="O99" s="498"/>
      <c r="P99" s="498"/>
      <c r="Q99" s="498"/>
      <c r="R99" s="498"/>
      <c r="S99" s="498"/>
      <c r="T99" s="498"/>
      <c r="U99" s="498"/>
      <c r="V99" s="498"/>
      <c r="W99" s="498"/>
      <c r="X99" s="498"/>
      <c r="Y99" s="498"/>
      <c r="Z99" s="498"/>
      <c r="AA99" s="498"/>
      <c r="AB99" s="498"/>
      <c r="AC99" s="498"/>
      <c r="AD99" s="498"/>
      <c r="AE99" s="498"/>
      <c r="AF99" s="498"/>
      <c r="AG99" s="498"/>
      <c r="AH99" s="498"/>
      <c r="AI99" s="498"/>
      <c r="AJ99" s="498"/>
      <c r="AK99" s="498"/>
      <c r="AL99" s="498"/>
      <c r="AM99" s="498"/>
      <c r="AN99" s="498"/>
    </row>
    <row r="100" spans="1:40" customFormat="1" x14ac:dyDescent="0.3">
      <c r="A100" s="498"/>
      <c r="B100" s="498"/>
      <c r="C100" s="498"/>
      <c r="D100" s="498"/>
      <c r="E100" s="498"/>
      <c r="F100" s="498"/>
      <c r="G100" s="498"/>
      <c r="H100" s="498"/>
      <c r="I100" s="498"/>
      <c r="J100" s="498"/>
      <c r="K100" s="498"/>
      <c r="L100" s="498"/>
      <c r="M100" s="498"/>
      <c r="N100" s="498"/>
      <c r="O100" s="498"/>
      <c r="P100" s="498"/>
      <c r="Q100" s="498"/>
      <c r="R100" s="498"/>
      <c r="S100" s="498"/>
      <c r="T100" s="498"/>
      <c r="U100" s="498"/>
      <c r="V100" s="498"/>
      <c r="W100" s="498"/>
      <c r="X100" s="498"/>
      <c r="Y100" s="498"/>
      <c r="Z100" s="498"/>
      <c r="AA100" s="498"/>
      <c r="AB100" s="498"/>
      <c r="AC100" s="498"/>
      <c r="AD100" s="498"/>
      <c r="AE100" s="498"/>
      <c r="AF100" s="498"/>
      <c r="AG100" s="498"/>
      <c r="AH100" s="498"/>
      <c r="AI100" s="498"/>
      <c r="AJ100" s="498"/>
      <c r="AK100" s="498"/>
      <c r="AL100" s="498"/>
      <c r="AM100" s="498"/>
      <c r="AN100" s="498"/>
    </row>
    <row r="101" spans="1:40" customFormat="1" x14ac:dyDescent="0.3">
      <c r="A101" s="498"/>
      <c r="B101" s="498"/>
      <c r="C101" s="498"/>
      <c r="D101" s="498"/>
      <c r="E101" s="498"/>
      <c r="F101" s="498"/>
      <c r="G101" s="498"/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98"/>
      <c r="S101" s="498"/>
      <c r="T101" s="498"/>
      <c r="U101" s="498"/>
      <c r="V101" s="498"/>
      <c r="W101" s="498"/>
      <c r="X101" s="498"/>
      <c r="Y101" s="498"/>
      <c r="Z101" s="498"/>
      <c r="AA101" s="498"/>
      <c r="AB101" s="498"/>
      <c r="AC101" s="498"/>
      <c r="AD101" s="498"/>
      <c r="AE101" s="498"/>
      <c r="AF101" s="498"/>
      <c r="AG101" s="498"/>
      <c r="AH101" s="498"/>
      <c r="AI101" s="498"/>
      <c r="AJ101" s="498"/>
      <c r="AK101" s="498"/>
      <c r="AL101" s="498"/>
      <c r="AM101" s="498"/>
      <c r="AN101" s="498"/>
    </row>
    <row r="102" spans="1:40" customFormat="1" x14ac:dyDescent="0.3">
      <c r="A102" s="498"/>
      <c r="B102" s="498"/>
      <c r="C102" s="498"/>
      <c r="D102" s="498"/>
      <c r="E102" s="498"/>
      <c r="F102" s="498"/>
      <c r="G102" s="498"/>
      <c r="H102" s="498"/>
      <c r="I102" s="498"/>
      <c r="J102" s="498"/>
      <c r="K102" s="498"/>
      <c r="L102" s="498"/>
      <c r="M102" s="498"/>
      <c r="N102" s="498"/>
      <c r="O102" s="498"/>
      <c r="P102" s="498"/>
      <c r="Q102" s="498"/>
      <c r="R102" s="498"/>
      <c r="S102" s="498"/>
      <c r="T102" s="498"/>
      <c r="U102" s="498"/>
      <c r="V102" s="498"/>
      <c r="W102" s="498"/>
      <c r="X102" s="498"/>
      <c r="Y102" s="498"/>
      <c r="Z102" s="498"/>
      <c r="AA102" s="498"/>
      <c r="AB102" s="498"/>
      <c r="AC102" s="498"/>
      <c r="AD102" s="498"/>
      <c r="AE102" s="498"/>
      <c r="AF102" s="498"/>
      <c r="AG102" s="498"/>
      <c r="AH102" s="498"/>
      <c r="AI102" s="498"/>
      <c r="AJ102" s="498"/>
      <c r="AK102" s="498"/>
      <c r="AL102" s="498"/>
      <c r="AM102" s="498"/>
      <c r="AN102" s="498"/>
    </row>
    <row r="103" spans="1:40" customFormat="1" x14ac:dyDescent="0.3">
      <c r="A103" s="498"/>
      <c r="B103" s="498"/>
      <c r="C103" s="498"/>
      <c r="D103" s="498"/>
      <c r="E103" s="498"/>
      <c r="F103" s="498"/>
      <c r="G103" s="498"/>
      <c r="H103" s="498"/>
      <c r="I103" s="498"/>
      <c r="J103" s="498"/>
      <c r="K103" s="498"/>
      <c r="L103" s="498"/>
      <c r="M103" s="498"/>
      <c r="N103" s="498"/>
      <c r="O103" s="498"/>
      <c r="P103" s="498"/>
      <c r="Q103" s="498"/>
      <c r="R103" s="498"/>
      <c r="S103" s="498"/>
      <c r="T103" s="498"/>
      <c r="U103" s="498"/>
      <c r="V103" s="498"/>
      <c r="W103" s="498"/>
      <c r="X103" s="498"/>
      <c r="Y103" s="498"/>
      <c r="Z103" s="498"/>
      <c r="AA103" s="498"/>
      <c r="AB103" s="498"/>
      <c r="AC103" s="498"/>
      <c r="AD103" s="498"/>
      <c r="AE103" s="498"/>
      <c r="AF103" s="498"/>
      <c r="AG103" s="498"/>
      <c r="AH103" s="498"/>
      <c r="AI103" s="498"/>
      <c r="AJ103" s="498"/>
      <c r="AK103" s="498"/>
      <c r="AL103" s="498"/>
      <c r="AM103" s="498"/>
      <c r="AN103" s="498"/>
    </row>
    <row r="104" spans="1:40" customFormat="1" x14ac:dyDescent="0.3">
      <c r="A104" s="498"/>
      <c r="B104" s="498"/>
      <c r="C104" s="498"/>
      <c r="D104" s="498"/>
      <c r="E104" s="498"/>
      <c r="F104" s="498"/>
      <c r="G104" s="498"/>
      <c r="H104" s="498"/>
      <c r="I104" s="498"/>
      <c r="J104" s="498"/>
      <c r="K104" s="498"/>
      <c r="L104" s="498"/>
      <c r="M104" s="498"/>
      <c r="N104" s="498"/>
      <c r="O104" s="498"/>
      <c r="P104" s="498"/>
      <c r="Q104" s="498"/>
      <c r="R104" s="498"/>
      <c r="S104" s="498"/>
      <c r="T104" s="498"/>
      <c r="U104" s="498"/>
      <c r="V104" s="498"/>
      <c r="W104" s="498"/>
      <c r="X104" s="498"/>
      <c r="Y104" s="498"/>
      <c r="Z104" s="498"/>
      <c r="AA104" s="498"/>
      <c r="AB104" s="498"/>
      <c r="AC104" s="498"/>
      <c r="AD104" s="498"/>
      <c r="AE104" s="498"/>
      <c r="AF104" s="498"/>
      <c r="AG104" s="498"/>
      <c r="AH104" s="498"/>
      <c r="AI104" s="498"/>
      <c r="AJ104" s="498"/>
      <c r="AK104" s="498"/>
      <c r="AL104" s="498"/>
      <c r="AM104" s="498"/>
      <c r="AN104" s="498"/>
    </row>
    <row r="105" spans="1:40" customFormat="1" x14ac:dyDescent="0.3">
      <c r="A105" s="498"/>
      <c r="B105" s="498"/>
      <c r="C105" s="498"/>
      <c r="D105" s="498"/>
      <c r="E105" s="498"/>
      <c r="F105" s="498"/>
      <c r="G105" s="498"/>
      <c r="H105" s="498"/>
      <c r="I105" s="498"/>
      <c r="J105" s="498"/>
      <c r="K105" s="498"/>
      <c r="L105" s="498"/>
      <c r="M105" s="498"/>
      <c r="N105" s="498"/>
      <c r="O105" s="498"/>
      <c r="P105" s="498"/>
      <c r="Q105" s="498"/>
      <c r="R105" s="498"/>
      <c r="S105" s="498"/>
      <c r="T105" s="498"/>
      <c r="U105" s="498"/>
      <c r="V105" s="498"/>
      <c r="W105" s="498"/>
      <c r="X105" s="498"/>
      <c r="Y105" s="498"/>
      <c r="Z105" s="498"/>
      <c r="AA105" s="498"/>
      <c r="AB105" s="498"/>
      <c r="AC105" s="498"/>
      <c r="AD105" s="498"/>
      <c r="AE105" s="498"/>
      <c r="AF105" s="498"/>
      <c r="AG105" s="498"/>
      <c r="AH105" s="498"/>
      <c r="AI105" s="498"/>
      <c r="AJ105" s="498"/>
      <c r="AK105" s="498"/>
      <c r="AL105" s="498"/>
      <c r="AM105" s="498"/>
      <c r="AN105" s="498"/>
    </row>
    <row r="106" spans="1:40" customFormat="1" x14ac:dyDescent="0.3">
      <c r="A106" s="498"/>
      <c r="B106" s="498"/>
      <c r="C106" s="498"/>
      <c r="D106" s="498"/>
      <c r="E106" s="498"/>
      <c r="F106" s="498"/>
      <c r="G106" s="498"/>
      <c r="H106" s="498"/>
      <c r="I106" s="498"/>
      <c r="J106" s="498"/>
      <c r="K106" s="498"/>
      <c r="L106" s="498"/>
      <c r="M106" s="498"/>
      <c r="N106" s="498"/>
      <c r="O106" s="498"/>
      <c r="P106" s="498"/>
      <c r="Q106" s="498"/>
      <c r="R106" s="498"/>
      <c r="S106" s="498"/>
      <c r="T106" s="498"/>
      <c r="U106" s="498"/>
      <c r="V106" s="498"/>
      <c r="W106" s="498"/>
      <c r="X106" s="498"/>
      <c r="Y106" s="498"/>
      <c r="Z106" s="498"/>
      <c r="AA106" s="498"/>
      <c r="AB106" s="498"/>
      <c r="AC106" s="498"/>
      <c r="AD106" s="498"/>
      <c r="AE106" s="498"/>
      <c r="AF106" s="498"/>
      <c r="AG106" s="498"/>
      <c r="AH106" s="498"/>
      <c r="AI106" s="498"/>
      <c r="AJ106" s="498"/>
      <c r="AK106" s="498"/>
      <c r="AL106" s="498"/>
      <c r="AM106" s="498"/>
      <c r="AN106" s="498"/>
    </row>
    <row r="107" spans="1:40" customFormat="1" x14ac:dyDescent="0.3">
      <c r="A107" s="498"/>
      <c r="B107" s="498"/>
      <c r="C107" s="498"/>
      <c r="D107" s="498"/>
      <c r="E107" s="498"/>
      <c r="F107" s="498"/>
      <c r="G107" s="498"/>
      <c r="H107" s="498"/>
      <c r="I107" s="498"/>
      <c r="J107" s="498"/>
      <c r="K107" s="498"/>
      <c r="L107" s="498"/>
      <c r="M107" s="498"/>
      <c r="N107" s="498"/>
      <c r="O107" s="498"/>
      <c r="P107" s="498"/>
      <c r="Q107" s="498"/>
      <c r="R107" s="498"/>
      <c r="S107" s="498"/>
      <c r="T107" s="498"/>
      <c r="U107" s="498"/>
      <c r="V107" s="498"/>
      <c r="W107" s="498"/>
      <c r="X107" s="498"/>
      <c r="Y107" s="498"/>
      <c r="Z107" s="498"/>
      <c r="AA107" s="498"/>
      <c r="AB107" s="498"/>
      <c r="AC107" s="498"/>
      <c r="AD107" s="498"/>
      <c r="AE107" s="498"/>
      <c r="AF107" s="498"/>
      <c r="AG107" s="498"/>
      <c r="AH107" s="498"/>
      <c r="AI107" s="498"/>
      <c r="AJ107" s="498"/>
      <c r="AK107" s="498"/>
      <c r="AL107" s="498"/>
      <c r="AM107" s="498"/>
      <c r="AN107" s="498"/>
    </row>
    <row r="108" spans="1:40" customFormat="1" x14ac:dyDescent="0.3">
      <c r="A108" s="498"/>
      <c r="B108" s="498"/>
      <c r="C108" s="498"/>
      <c r="D108" s="498"/>
      <c r="E108" s="498"/>
      <c r="F108" s="498"/>
      <c r="G108" s="498"/>
      <c r="H108" s="498"/>
      <c r="I108" s="498"/>
      <c r="J108" s="498"/>
      <c r="K108" s="498"/>
      <c r="L108" s="498"/>
      <c r="M108" s="498"/>
      <c r="N108" s="498"/>
      <c r="O108" s="498"/>
      <c r="P108" s="498"/>
      <c r="Q108" s="498"/>
      <c r="R108" s="498"/>
      <c r="S108" s="498"/>
      <c r="T108" s="498"/>
      <c r="U108" s="498"/>
      <c r="V108" s="498"/>
      <c r="W108" s="498"/>
      <c r="X108" s="498"/>
      <c r="Y108" s="498"/>
      <c r="Z108" s="498"/>
      <c r="AA108" s="498"/>
      <c r="AB108" s="498"/>
      <c r="AC108" s="498"/>
      <c r="AD108" s="498"/>
      <c r="AE108" s="498"/>
      <c r="AF108" s="498"/>
      <c r="AG108" s="498"/>
      <c r="AH108" s="498"/>
      <c r="AI108" s="498"/>
      <c r="AJ108" s="498"/>
      <c r="AK108" s="498"/>
      <c r="AL108" s="498"/>
      <c r="AM108" s="498"/>
      <c r="AN108" s="498"/>
    </row>
    <row r="109" spans="1:40" customFormat="1" x14ac:dyDescent="0.3"/>
    <row r="110" spans="1:40" customFormat="1" x14ac:dyDescent="0.3"/>
    <row r="111" spans="1:40" customFormat="1" x14ac:dyDescent="0.3"/>
    <row r="112" spans="1:40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  <row r="2709" customFormat="1" x14ac:dyDescent="0.3"/>
    <row r="2710" customFormat="1" x14ac:dyDescent="0.3"/>
    <row r="2711" customFormat="1" x14ac:dyDescent="0.3"/>
    <row r="2712" customFormat="1" x14ac:dyDescent="0.3"/>
    <row r="2713" customFormat="1" x14ac:dyDescent="0.3"/>
    <row r="2714" customFormat="1" x14ac:dyDescent="0.3"/>
    <row r="2715" customFormat="1" x14ac:dyDescent="0.3"/>
    <row r="2716" customFormat="1" x14ac:dyDescent="0.3"/>
    <row r="2717" customFormat="1" x14ac:dyDescent="0.3"/>
    <row r="2718" customFormat="1" x14ac:dyDescent="0.3"/>
    <row r="2719" customFormat="1" x14ac:dyDescent="0.3"/>
    <row r="2720" customFormat="1" x14ac:dyDescent="0.3"/>
    <row r="2721" customFormat="1" x14ac:dyDescent="0.3"/>
    <row r="2722" customFormat="1" x14ac:dyDescent="0.3"/>
    <row r="2723" customFormat="1" x14ac:dyDescent="0.3"/>
    <row r="2724" customFormat="1" x14ac:dyDescent="0.3"/>
    <row r="2725" customFormat="1" x14ac:dyDescent="0.3"/>
    <row r="2726" customFormat="1" x14ac:dyDescent="0.3"/>
    <row r="2727" customFormat="1" x14ac:dyDescent="0.3"/>
    <row r="2728" customFormat="1" x14ac:dyDescent="0.3"/>
    <row r="2729" customFormat="1" x14ac:dyDescent="0.3"/>
    <row r="2730" customFormat="1" x14ac:dyDescent="0.3"/>
    <row r="2731" customFormat="1" x14ac:dyDescent="0.3"/>
    <row r="2732" customFormat="1" x14ac:dyDescent="0.3"/>
    <row r="2733" customFormat="1" x14ac:dyDescent="0.3"/>
    <row r="2734" customFormat="1" x14ac:dyDescent="0.3"/>
    <row r="2735" customFormat="1" x14ac:dyDescent="0.3"/>
    <row r="2736" customFormat="1" x14ac:dyDescent="0.3"/>
    <row r="2737" customFormat="1" x14ac:dyDescent="0.3"/>
    <row r="2738" customFormat="1" x14ac:dyDescent="0.3"/>
    <row r="2739" customFormat="1" x14ac:dyDescent="0.3"/>
    <row r="2740" customFormat="1" x14ac:dyDescent="0.3"/>
    <row r="2741" customFormat="1" x14ac:dyDescent="0.3"/>
    <row r="2742" customFormat="1" x14ac:dyDescent="0.3"/>
    <row r="2743" customFormat="1" x14ac:dyDescent="0.3"/>
    <row r="2744" customFormat="1" x14ac:dyDescent="0.3"/>
    <row r="2745" customFormat="1" x14ac:dyDescent="0.3"/>
    <row r="2746" customFormat="1" x14ac:dyDescent="0.3"/>
    <row r="2747" customFormat="1" x14ac:dyDescent="0.3"/>
    <row r="2748" customFormat="1" x14ac:dyDescent="0.3"/>
    <row r="2749" customFormat="1" x14ac:dyDescent="0.3"/>
    <row r="2750" customFormat="1" x14ac:dyDescent="0.3"/>
    <row r="2751" customFormat="1" x14ac:dyDescent="0.3"/>
    <row r="2752" customFormat="1" x14ac:dyDescent="0.3"/>
    <row r="2753" customFormat="1" x14ac:dyDescent="0.3"/>
    <row r="2754" customFormat="1" x14ac:dyDescent="0.3"/>
    <row r="2755" customFormat="1" x14ac:dyDescent="0.3"/>
    <row r="2756" customFormat="1" x14ac:dyDescent="0.3"/>
    <row r="2757" customFormat="1" x14ac:dyDescent="0.3"/>
    <row r="2758" customFormat="1" x14ac:dyDescent="0.3"/>
    <row r="2759" customFormat="1" x14ac:dyDescent="0.3"/>
    <row r="2760" customFormat="1" x14ac:dyDescent="0.3"/>
    <row r="2761" customFormat="1" x14ac:dyDescent="0.3"/>
    <row r="2762" customFormat="1" x14ac:dyDescent="0.3"/>
    <row r="2763" customFormat="1" x14ac:dyDescent="0.3"/>
    <row r="2764" customFormat="1" x14ac:dyDescent="0.3"/>
    <row r="2765" customFormat="1" x14ac:dyDescent="0.3"/>
    <row r="2766" customFormat="1" x14ac:dyDescent="0.3"/>
    <row r="2767" customFormat="1" x14ac:dyDescent="0.3"/>
    <row r="2768" customFormat="1" x14ac:dyDescent="0.3"/>
    <row r="2769" customFormat="1" x14ac:dyDescent="0.3"/>
    <row r="2770" customFormat="1" x14ac:dyDescent="0.3"/>
    <row r="2771" customFormat="1" x14ac:dyDescent="0.3"/>
    <row r="2772" customFormat="1" x14ac:dyDescent="0.3"/>
    <row r="2773" customFormat="1" x14ac:dyDescent="0.3"/>
    <row r="2774" customFormat="1" x14ac:dyDescent="0.3"/>
    <row r="2775" customFormat="1" x14ac:dyDescent="0.3"/>
    <row r="2776" customFormat="1" x14ac:dyDescent="0.3"/>
    <row r="2777" customFormat="1" x14ac:dyDescent="0.3"/>
    <row r="2778" customFormat="1" x14ac:dyDescent="0.3"/>
    <row r="2779" customFormat="1" x14ac:dyDescent="0.3"/>
    <row r="2780" customFormat="1" x14ac:dyDescent="0.3"/>
    <row r="2781" customFormat="1" x14ac:dyDescent="0.3"/>
    <row r="2782" customFormat="1" x14ac:dyDescent="0.3"/>
    <row r="2783" customFormat="1" x14ac:dyDescent="0.3"/>
    <row r="2784" customFormat="1" x14ac:dyDescent="0.3"/>
    <row r="2785" customFormat="1" x14ac:dyDescent="0.3"/>
    <row r="2786" customFormat="1" x14ac:dyDescent="0.3"/>
    <row r="2787" customFormat="1" x14ac:dyDescent="0.3"/>
    <row r="2788" customFormat="1" x14ac:dyDescent="0.3"/>
    <row r="2789" customFormat="1" x14ac:dyDescent="0.3"/>
    <row r="2790" customFormat="1" x14ac:dyDescent="0.3"/>
    <row r="2791" customFormat="1" x14ac:dyDescent="0.3"/>
    <row r="2792" customFormat="1" x14ac:dyDescent="0.3"/>
    <row r="2793" customFormat="1" x14ac:dyDescent="0.3"/>
    <row r="2794" customFormat="1" x14ac:dyDescent="0.3"/>
    <row r="2795" customFormat="1" x14ac:dyDescent="0.3"/>
    <row r="2796" customFormat="1" x14ac:dyDescent="0.3"/>
    <row r="2797" customFormat="1" x14ac:dyDescent="0.3"/>
    <row r="2798" customFormat="1" x14ac:dyDescent="0.3"/>
    <row r="2799" customFormat="1" x14ac:dyDescent="0.3"/>
    <row r="2800" customFormat="1" x14ac:dyDescent="0.3"/>
    <row r="2801" customFormat="1" x14ac:dyDescent="0.3"/>
    <row r="2802" customFormat="1" x14ac:dyDescent="0.3"/>
    <row r="2803" customFormat="1" x14ac:dyDescent="0.3"/>
    <row r="2804" customFormat="1" x14ac:dyDescent="0.3"/>
    <row r="2805" customFormat="1" x14ac:dyDescent="0.3"/>
    <row r="2806" customFormat="1" x14ac:dyDescent="0.3"/>
    <row r="2807" customFormat="1" x14ac:dyDescent="0.3"/>
    <row r="2808" customFormat="1" x14ac:dyDescent="0.3"/>
    <row r="2809" customFormat="1" x14ac:dyDescent="0.3"/>
    <row r="2810" customFormat="1" x14ac:dyDescent="0.3"/>
    <row r="2811" customFormat="1" x14ac:dyDescent="0.3"/>
    <row r="2812" customFormat="1" x14ac:dyDescent="0.3"/>
    <row r="2813" customFormat="1" x14ac:dyDescent="0.3"/>
    <row r="2814" customFormat="1" x14ac:dyDescent="0.3"/>
    <row r="2815" customFormat="1" x14ac:dyDescent="0.3"/>
    <row r="2816" customFormat="1" x14ac:dyDescent="0.3"/>
    <row r="2817" customFormat="1" x14ac:dyDescent="0.3"/>
    <row r="2818" customFormat="1" x14ac:dyDescent="0.3"/>
    <row r="2819" customFormat="1" x14ac:dyDescent="0.3"/>
    <row r="2820" customFormat="1" x14ac:dyDescent="0.3"/>
    <row r="2821" customFormat="1" x14ac:dyDescent="0.3"/>
    <row r="2822" customFormat="1" x14ac:dyDescent="0.3"/>
    <row r="2823" customFormat="1" x14ac:dyDescent="0.3"/>
    <row r="2824" customFormat="1" x14ac:dyDescent="0.3"/>
    <row r="2825" customFormat="1" x14ac:dyDescent="0.3"/>
    <row r="2826" customFormat="1" x14ac:dyDescent="0.3"/>
    <row r="2827" customFormat="1" x14ac:dyDescent="0.3"/>
    <row r="2828" customFormat="1" x14ac:dyDescent="0.3"/>
    <row r="2829" customFormat="1" x14ac:dyDescent="0.3"/>
    <row r="2830" customFormat="1" x14ac:dyDescent="0.3"/>
    <row r="2831" customFormat="1" x14ac:dyDescent="0.3"/>
    <row r="2832" customFormat="1" x14ac:dyDescent="0.3"/>
    <row r="2833" customFormat="1" x14ac:dyDescent="0.3"/>
    <row r="2834" customFormat="1" x14ac:dyDescent="0.3"/>
    <row r="2835" customFormat="1" x14ac:dyDescent="0.3"/>
    <row r="2836" customFormat="1" x14ac:dyDescent="0.3"/>
    <row r="2837" customFormat="1" x14ac:dyDescent="0.3"/>
    <row r="2838" customFormat="1" x14ac:dyDescent="0.3"/>
    <row r="2839" customFormat="1" x14ac:dyDescent="0.3"/>
    <row r="2840" customFormat="1" x14ac:dyDescent="0.3"/>
    <row r="2841" customFormat="1" x14ac:dyDescent="0.3"/>
    <row r="2842" customFormat="1" x14ac:dyDescent="0.3"/>
    <row r="2843" customFormat="1" x14ac:dyDescent="0.3"/>
    <row r="2844" customFormat="1" x14ac:dyDescent="0.3"/>
    <row r="2845" customFormat="1" x14ac:dyDescent="0.3"/>
    <row r="2846" customFormat="1" x14ac:dyDescent="0.3"/>
    <row r="2847" customFormat="1" x14ac:dyDescent="0.3"/>
    <row r="2848" customFormat="1" x14ac:dyDescent="0.3"/>
    <row r="2849" customFormat="1" x14ac:dyDescent="0.3"/>
    <row r="2850" customFormat="1" x14ac:dyDescent="0.3"/>
    <row r="2851" customFormat="1" x14ac:dyDescent="0.3"/>
    <row r="2852" customFormat="1" x14ac:dyDescent="0.3"/>
    <row r="2853" customFormat="1" x14ac:dyDescent="0.3"/>
    <row r="2854" customFormat="1" x14ac:dyDescent="0.3"/>
    <row r="2855" customFormat="1" x14ac:dyDescent="0.3"/>
    <row r="2856" customFormat="1" x14ac:dyDescent="0.3"/>
    <row r="2857" customFormat="1" x14ac:dyDescent="0.3"/>
    <row r="2858" customFormat="1" x14ac:dyDescent="0.3"/>
    <row r="2859" customFormat="1" x14ac:dyDescent="0.3"/>
    <row r="2860" customFormat="1" x14ac:dyDescent="0.3"/>
    <row r="2861" customFormat="1" x14ac:dyDescent="0.3"/>
    <row r="2862" customFormat="1" x14ac:dyDescent="0.3"/>
    <row r="2863" customFormat="1" x14ac:dyDescent="0.3"/>
    <row r="2864" customFormat="1" x14ac:dyDescent="0.3"/>
    <row r="2865" customFormat="1" x14ac:dyDescent="0.3"/>
    <row r="2866" customFormat="1" x14ac:dyDescent="0.3"/>
    <row r="2867" customFormat="1" x14ac:dyDescent="0.3"/>
    <row r="2868" customFormat="1" x14ac:dyDescent="0.3"/>
    <row r="2869" customFormat="1" x14ac:dyDescent="0.3"/>
    <row r="2870" customFormat="1" x14ac:dyDescent="0.3"/>
    <row r="2871" customFormat="1" x14ac:dyDescent="0.3"/>
    <row r="2872" customFormat="1" x14ac:dyDescent="0.3"/>
    <row r="2873" customFormat="1" x14ac:dyDescent="0.3"/>
    <row r="2874" customFormat="1" x14ac:dyDescent="0.3"/>
    <row r="2875" customFormat="1" x14ac:dyDescent="0.3"/>
    <row r="2876" customFormat="1" x14ac:dyDescent="0.3"/>
    <row r="2877" customFormat="1" x14ac:dyDescent="0.3"/>
    <row r="2878" customFormat="1" x14ac:dyDescent="0.3"/>
    <row r="2879" customFormat="1" x14ac:dyDescent="0.3"/>
    <row r="2880" customFormat="1" x14ac:dyDescent="0.3"/>
    <row r="2881" customFormat="1" x14ac:dyDescent="0.3"/>
    <row r="2882" customFormat="1" x14ac:dyDescent="0.3"/>
    <row r="2883" customFormat="1" x14ac:dyDescent="0.3"/>
    <row r="2884" customFormat="1" x14ac:dyDescent="0.3"/>
    <row r="2885" customFormat="1" x14ac:dyDescent="0.3"/>
    <row r="2886" customFormat="1" x14ac:dyDescent="0.3"/>
    <row r="2887" customFormat="1" x14ac:dyDescent="0.3"/>
    <row r="2888" customFormat="1" x14ac:dyDescent="0.3"/>
    <row r="2889" customFormat="1" x14ac:dyDescent="0.3"/>
    <row r="2890" customFormat="1" x14ac:dyDescent="0.3"/>
    <row r="2891" customFormat="1" x14ac:dyDescent="0.3"/>
    <row r="2892" customFormat="1" x14ac:dyDescent="0.3"/>
    <row r="2893" customFormat="1" x14ac:dyDescent="0.3"/>
    <row r="2894" customFormat="1" x14ac:dyDescent="0.3"/>
    <row r="2895" customFormat="1" x14ac:dyDescent="0.3"/>
    <row r="2896" customFormat="1" x14ac:dyDescent="0.3"/>
    <row r="2897" customFormat="1" x14ac:dyDescent="0.3"/>
    <row r="2898" customFormat="1" x14ac:dyDescent="0.3"/>
    <row r="2899" customFormat="1" x14ac:dyDescent="0.3"/>
    <row r="2900" customFormat="1" x14ac:dyDescent="0.3"/>
    <row r="2901" customFormat="1" x14ac:dyDescent="0.3"/>
    <row r="2902" customFormat="1" x14ac:dyDescent="0.3"/>
    <row r="2903" customFormat="1" x14ac:dyDescent="0.3"/>
    <row r="2904" customFormat="1" x14ac:dyDescent="0.3"/>
    <row r="2905" customFormat="1" x14ac:dyDescent="0.3"/>
    <row r="2906" customFormat="1" x14ac:dyDescent="0.3"/>
    <row r="2907" customFormat="1" x14ac:dyDescent="0.3"/>
    <row r="2908" customFormat="1" x14ac:dyDescent="0.3"/>
    <row r="2909" customFormat="1" x14ac:dyDescent="0.3"/>
    <row r="2910" customFormat="1" x14ac:dyDescent="0.3"/>
    <row r="2911" customFormat="1" x14ac:dyDescent="0.3"/>
    <row r="2912" customFormat="1" x14ac:dyDescent="0.3"/>
    <row r="2913" customFormat="1" x14ac:dyDescent="0.3"/>
    <row r="2914" customFormat="1" x14ac:dyDescent="0.3"/>
    <row r="2915" customFormat="1" x14ac:dyDescent="0.3"/>
    <row r="2916" customFormat="1" x14ac:dyDescent="0.3"/>
    <row r="2917" customFormat="1" x14ac:dyDescent="0.3"/>
    <row r="2918" customFormat="1" x14ac:dyDescent="0.3"/>
    <row r="2919" customFormat="1" x14ac:dyDescent="0.3"/>
    <row r="2920" customFormat="1" x14ac:dyDescent="0.3"/>
    <row r="2921" customFormat="1" x14ac:dyDescent="0.3"/>
    <row r="2922" customFormat="1" x14ac:dyDescent="0.3"/>
    <row r="2923" customFormat="1" x14ac:dyDescent="0.3"/>
    <row r="2924" customFormat="1" x14ac:dyDescent="0.3"/>
    <row r="2925" customFormat="1" x14ac:dyDescent="0.3"/>
    <row r="2926" customFormat="1" x14ac:dyDescent="0.3"/>
    <row r="2927" customFormat="1" x14ac:dyDescent="0.3"/>
    <row r="2928" customFormat="1" x14ac:dyDescent="0.3"/>
    <row r="2929" customFormat="1" x14ac:dyDescent="0.3"/>
    <row r="2930" customFormat="1" x14ac:dyDescent="0.3"/>
    <row r="2931" customFormat="1" x14ac:dyDescent="0.3"/>
    <row r="2932" customFormat="1" x14ac:dyDescent="0.3"/>
    <row r="2933" customFormat="1" x14ac:dyDescent="0.3"/>
    <row r="2934" customFormat="1" x14ac:dyDescent="0.3"/>
    <row r="2935" customFormat="1" x14ac:dyDescent="0.3"/>
    <row r="2936" customFormat="1" x14ac:dyDescent="0.3"/>
    <row r="2937" customFormat="1" x14ac:dyDescent="0.3"/>
    <row r="2938" customFormat="1" x14ac:dyDescent="0.3"/>
    <row r="2939" customFormat="1" x14ac:dyDescent="0.3"/>
    <row r="2940" customFormat="1" x14ac:dyDescent="0.3"/>
    <row r="2941" customFormat="1" x14ac:dyDescent="0.3"/>
    <row r="2942" customFormat="1" x14ac:dyDescent="0.3"/>
    <row r="2943" customFormat="1" x14ac:dyDescent="0.3"/>
    <row r="2944" customFormat="1" x14ac:dyDescent="0.3"/>
    <row r="2945" customFormat="1" x14ac:dyDescent="0.3"/>
    <row r="2946" customFormat="1" x14ac:dyDescent="0.3"/>
    <row r="2947" customFormat="1" x14ac:dyDescent="0.3"/>
    <row r="2948" customFormat="1" x14ac:dyDescent="0.3"/>
    <row r="2949" customFormat="1" x14ac:dyDescent="0.3"/>
    <row r="2950" customFormat="1" x14ac:dyDescent="0.3"/>
    <row r="2951" customFormat="1" x14ac:dyDescent="0.3"/>
    <row r="2952" customFormat="1" x14ac:dyDescent="0.3"/>
    <row r="2953" customFormat="1" x14ac:dyDescent="0.3"/>
    <row r="2954" customFormat="1" x14ac:dyDescent="0.3"/>
    <row r="2955" customFormat="1" x14ac:dyDescent="0.3"/>
    <row r="2956" customFormat="1" x14ac:dyDescent="0.3"/>
    <row r="2957" customFormat="1" x14ac:dyDescent="0.3"/>
    <row r="2958" customFormat="1" x14ac:dyDescent="0.3"/>
    <row r="2959" customFormat="1" x14ac:dyDescent="0.3"/>
    <row r="2960" customFormat="1" x14ac:dyDescent="0.3"/>
    <row r="2961" customFormat="1" x14ac:dyDescent="0.3"/>
    <row r="2962" customFormat="1" x14ac:dyDescent="0.3"/>
    <row r="2963" customFormat="1" x14ac:dyDescent="0.3"/>
    <row r="2964" customFormat="1" x14ac:dyDescent="0.3"/>
    <row r="2965" customFormat="1" x14ac:dyDescent="0.3"/>
    <row r="2966" customFormat="1" x14ac:dyDescent="0.3"/>
    <row r="2967" customFormat="1" x14ac:dyDescent="0.3"/>
    <row r="2968" customFormat="1" x14ac:dyDescent="0.3"/>
    <row r="2969" customFormat="1" x14ac:dyDescent="0.3"/>
    <row r="2970" customFormat="1" x14ac:dyDescent="0.3"/>
    <row r="2971" customFormat="1" x14ac:dyDescent="0.3"/>
    <row r="2972" customFormat="1" x14ac:dyDescent="0.3"/>
    <row r="2973" customFormat="1" x14ac:dyDescent="0.3"/>
    <row r="2974" customFormat="1" x14ac:dyDescent="0.3"/>
    <row r="2975" customFormat="1" x14ac:dyDescent="0.3"/>
    <row r="2976" customFormat="1" x14ac:dyDescent="0.3"/>
    <row r="2977" customFormat="1" x14ac:dyDescent="0.3"/>
    <row r="2978" customFormat="1" x14ac:dyDescent="0.3"/>
    <row r="2979" customFormat="1" x14ac:dyDescent="0.3"/>
    <row r="2980" customFormat="1" x14ac:dyDescent="0.3"/>
    <row r="2981" customFormat="1" x14ac:dyDescent="0.3"/>
    <row r="2982" customFormat="1" x14ac:dyDescent="0.3"/>
    <row r="2983" customFormat="1" x14ac:dyDescent="0.3"/>
    <row r="2984" customFormat="1" x14ac:dyDescent="0.3"/>
    <row r="2985" customFormat="1" x14ac:dyDescent="0.3"/>
    <row r="2986" customFormat="1" x14ac:dyDescent="0.3"/>
    <row r="2987" customFormat="1" x14ac:dyDescent="0.3"/>
    <row r="2988" customFormat="1" x14ac:dyDescent="0.3"/>
    <row r="2989" customFormat="1" x14ac:dyDescent="0.3"/>
    <row r="2990" customFormat="1" x14ac:dyDescent="0.3"/>
    <row r="2991" customFormat="1" x14ac:dyDescent="0.3"/>
    <row r="2992" customFormat="1" x14ac:dyDescent="0.3"/>
    <row r="2993" customFormat="1" x14ac:dyDescent="0.3"/>
    <row r="2994" customFormat="1" x14ac:dyDescent="0.3"/>
    <row r="2995" customFormat="1" x14ac:dyDescent="0.3"/>
    <row r="2996" customFormat="1" x14ac:dyDescent="0.3"/>
    <row r="2997" customFormat="1" x14ac:dyDescent="0.3"/>
    <row r="2998" customFormat="1" x14ac:dyDescent="0.3"/>
    <row r="2999" customFormat="1" x14ac:dyDescent="0.3"/>
    <row r="3000" customFormat="1" x14ac:dyDescent="0.3"/>
    <row r="3001" customFormat="1" x14ac:dyDescent="0.3"/>
    <row r="3002" customFormat="1" x14ac:dyDescent="0.3"/>
    <row r="3003" customFormat="1" x14ac:dyDescent="0.3"/>
    <row r="3004" customFormat="1" x14ac:dyDescent="0.3"/>
    <row r="3005" customFormat="1" x14ac:dyDescent="0.3"/>
    <row r="3006" customFormat="1" x14ac:dyDescent="0.3"/>
    <row r="3007" customFormat="1" x14ac:dyDescent="0.3"/>
    <row r="3008" customFormat="1" x14ac:dyDescent="0.3"/>
    <row r="3009" customFormat="1" x14ac:dyDescent="0.3"/>
    <row r="3010" customFormat="1" x14ac:dyDescent="0.3"/>
    <row r="3011" customFormat="1" x14ac:dyDescent="0.3"/>
    <row r="3012" customFormat="1" x14ac:dyDescent="0.3"/>
    <row r="3013" customFormat="1" x14ac:dyDescent="0.3"/>
    <row r="3014" customFormat="1" x14ac:dyDescent="0.3"/>
    <row r="3015" customFormat="1" x14ac:dyDescent="0.3"/>
    <row r="3016" customFormat="1" x14ac:dyDescent="0.3"/>
    <row r="3017" customFormat="1" x14ac:dyDescent="0.3"/>
    <row r="3018" customFormat="1" x14ac:dyDescent="0.3"/>
    <row r="3019" customFormat="1" x14ac:dyDescent="0.3"/>
    <row r="3020" customFormat="1" x14ac:dyDescent="0.3"/>
    <row r="3021" customFormat="1" x14ac:dyDescent="0.3"/>
    <row r="3022" customFormat="1" x14ac:dyDescent="0.3"/>
    <row r="3023" customFormat="1" x14ac:dyDescent="0.3"/>
    <row r="3024" customFormat="1" x14ac:dyDescent="0.3"/>
    <row r="3025" customFormat="1" x14ac:dyDescent="0.3"/>
    <row r="3026" customFormat="1" x14ac:dyDescent="0.3"/>
    <row r="3027" customFormat="1" x14ac:dyDescent="0.3"/>
    <row r="3028" customFormat="1" x14ac:dyDescent="0.3"/>
    <row r="3029" customFormat="1" x14ac:dyDescent="0.3"/>
    <row r="3030" customFormat="1" x14ac:dyDescent="0.3"/>
    <row r="3031" customFormat="1" x14ac:dyDescent="0.3"/>
    <row r="3032" customFormat="1" x14ac:dyDescent="0.3"/>
    <row r="3033" customFormat="1" x14ac:dyDescent="0.3"/>
    <row r="3034" customFormat="1" x14ac:dyDescent="0.3"/>
    <row r="3035" customFormat="1" x14ac:dyDescent="0.3"/>
    <row r="3036" customFormat="1" x14ac:dyDescent="0.3"/>
    <row r="3037" customFormat="1" x14ac:dyDescent="0.3"/>
    <row r="3038" customFormat="1" x14ac:dyDescent="0.3"/>
    <row r="3039" customFormat="1" x14ac:dyDescent="0.3"/>
    <row r="3040" customFormat="1" x14ac:dyDescent="0.3"/>
    <row r="3041" customFormat="1" x14ac:dyDescent="0.3"/>
    <row r="3042" customFormat="1" x14ac:dyDescent="0.3"/>
    <row r="3043" customFormat="1" x14ac:dyDescent="0.3"/>
    <row r="3044" customFormat="1" x14ac:dyDescent="0.3"/>
    <row r="3045" customFormat="1" x14ac:dyDescent="0.3"/>
    <row r="3046" customFormat="1" x14ac:dyDescent="0.3"/>
    <row r="3047" customFormat="1" x14ac:dyDescent="0.3"/>
    <row r="3048" customFormat="1" x14ac:dyDescent="0.3"/>
    <row r="3049" customFormat="1" x14ac:dyDescent="0.3"/>
    <row r="3050" customFormat="1" x14ac:dyDescent="0.3"/>
    <row r="3051" customFormat="1" x14ac:dyDescent="0.3"/>
    <row r="3052" customFormat="1" x14ac:dyDescent="0.3"/>
    <row r="3053" customFormat="1" x14ac:dyDescent="0.3"/>
    <row r="3054" customFormat="1" x14ac:dyDescent="0.3"/>
    <row r="3055" customFormat="1" x14ac:dyDescent="0.3"/>
    <row r="3056" customFormat="1" x14ac:dyDescent="0.3"/>
    <row r="3057" customFormat="1" x14ac:dyDescent="0.3"/>
    <row r="3058" customFormat="1" x14ac:dyDescent="0.3"/>
    <row r="3059" customFormat="1" x14ac:dyDescent="0.3"/>
    <row r="3060" customFormat="1" x14ac:dyDescent="0.3"/>
    <row r="3061" customFormat="1" x14ac:dyDescent="0.3"/>
    <row r="3062" customFormat="1" x14ac:dyDescent="0.3"/>
    <row r="3063" customFormat="1" x14ac:dyDescent="0.3"/>
    <row r="3064" customFormat="1" x14ac:dyDescent="0.3"/>
    <row r="3065" customFormat="1" x14ac:dyDescent="0.3"/>
    <row r="3066" customFormat="1" x14ac:dyDescent="0.3"/>
    <row r="3067" customFormat="1" x14ac:dyDescent="0.3"/>
    <row r="3068" customFormat="1" x14ac:dyDescent="0.3"/>
    <row r="3069" customFormat="1" x14ac:dyDescent="0.3"/>
    <row r="3070" customFormat="1" x14ac:dyDescent="0.3"/>
    <row r="3071" customFormat="1" x14ac:dyDescent="0.3"/>
    <row r="3072" customFormat="1" x14ac:dyDescent="0.3"/>
    <row r="3073" customFormat="1" x14ac:dyDescent="0.3"/>
    <row r="3074" customFormat="1" x14ac:dyDescent="0.3"/>
    <row r="3075" customFormat="1" x14ac:dyDescent="0.3"/>
    <row r="3076" customFormat="1" x14ac:dyDescent="0.3"/>
    <row r="3077" customFormat="1" x14ac:dyDescent="0.3"/>
    <row r="3078" customFormat="1" x14ac:dyDescent="0.3"/>
    <row r="3079" customFormat="1" x14ac:dyDescent="0.3"/>
    <row r="3080" customFormat="1" x14ac:dyDescent="0.3"/>
    <row r="3081" customFormat="1" x14ac:dyDescent="0.3"/>
    <row r="3082" customFormat="1" x14ac:dyDescent="0.3"/>
    <row r="3083" customFormat="1" x14ac:dyDescent="0.3"/>
    <row r="3084" customFormat="1" x14ac:dyDescent="0.3"/>
    <row r="3085" customFormat="1" x14ac:dyDescent="0.3"/>
    <row r="3086" customFormat="1" x14ac:dyDescent="0.3"/>
    <row r="3087" customFormat="1" x14ac:dyDescent="0.3"/>
    <row r="3088" customFormat="1" x14ac:dyDescent="0.3"/>
    <row r="3089" customFormat="1" x14ac:dyDescent="0.3"/>
    <row r="3090" customFormat="1" x14ac:dyDescent="0.3"/>
    <row r="3091" customFormat="1" x14ac:dyDescent="0.3"/>
    <row r="3092" customFormat="1" x14ac:dyDescent="0.3"/>
    <row r="3093" customFormat="1" x14ac:dyDescent="0.3"/>
    <row r="3094" customFormat="1" x14ac:dyDescent="0.3"/>
    <row r="3095" customFormat="1" x14ac:dyDescent="0.3"/>
    <row r="3096" customFormat="1" x14ac:dyDescent="0.3"/>
    <row r="3097" customFormat="1" x14ac:dyDescent="0.3"/>
    <row r="3098" customFormat="1" x14ac:dyDescent="0.3"/>
    <row r="3099" customFormat="1" x14ac:dyDescent="0.3"/>
    <row r="3100" customFormat="1" x14ac:dyDescent="0.3"/>
    <row r="3101" customFormat="1" x14ac:dyDescent="0.3"/>
    <row r="3102" customFormat="1" x14ac:dyDescent="0.3"/>
    <row r="3103" customFormat="1" x14ac:dyDescent="0.3"/>
    <row r="3104" customFormat="1" x14ac:dyDescent="0.3"/>
    <row r="3105" customFormat="1" x14ac:dyDescent="0.3"/>
    <row r="3106" customFormat="1" x14ac:dyDescent="0.3"/>
    <row r="3107" customFormat="1" x14ac:dyDescent="0.3"/>
    <row r="3108" customFormat="1" x14ac:dyDescent="0.3"/>
    <row r="3109" customFormat="1" x14ac:dyDescent="0.3"/>
    <row r="3110" customFormat="1" x14ac:dyDescent="0.3"/>
    <row r="3111" customFormat="1" x14ac:dyDescent="0.3"/>
    <row r="3112" customFormat="1" x14ac:dyDescent="0.3"/>
    <row r="3113" customFormat="1" x14ac:dyDescent="0.3"/>
    <row r="3114" customFormat="1" x14ac:dyDescent="0.3"/>
    <row r="3115" customFormat="1" x14ac:dyDescent="0.3"/>
    <row r="3116" customFormat="1" x14ac:dyDescent="0.3"/>
    <row r="3117" customFormat="1" x14ac:dyDescent="0.3"/>
    <row r="3118" customFormat="1" x14ac:dyDescent="0.3"/>
    <row r="3119" customFormat="1" x14ac:dyDescent="0.3"/>
    <row r="3120" customFormat="1" x14ac:dyDescent="0.3"/>
    <row r="3121" customFormat="1" x14ac:dyDescent="0.3"/>
    <row r="3122" customFormat="1" x14ac:dyDescent="0.3"/>
    <row r="3123" customFormat="1" x14ac:dyDescent="0.3"/>
    <row r="3124" customFormat="1" x14ac:dyDescent="0.3"/>
    <row r="3125" customFormat="1" x14ac:dyDescent="0.3"/>
    <row r="3126" customFormat="1" x14ac:dyDescent="0.3"/>
    <row r="3127" customFormat="1" x14ac:dyDescent="0.3"/>
    <row r="3128" customFormat="1" x14ac:dyDescent="0.3"/>
    <row r="3129" customFormat="1" x14ac:dyDescent="0.3"/>
    <row r="3130" customFormat="1" x14ac:dyDescent="0.3"/>
    <row r="3131" customFormat="1" x14ac:dyDescent="0.3"/>
    <row r="3132" customFormat="1" x14ac:dyDescent="0.3"/>
    <row r="3133" customFormat="1" x14ac:dyDescent="0.3"/>
    <row r="3134" customFormat="1" x14ac:dyDescent="0.3"/>
    <row r="3135" customFormat="1" x14ac:dyDescent="0.3"/>
    <row r="3136" customFormat="1" x14ac:dyDescent="0.3"/>
    <row r="3137" customFormat="1" x14ac:dyDescent="0.3"/>
    <row r="3138" customFormat="1" x14ac:dyDescent="0.3"/>
    <row r="3139" customFormat="1" x14ac:dyDescent="0.3"/>
    <row r="3140" customFormat="1" x14ac:dyDescent="0.3"/>
    <row r="3141" customFormat="1" x14ac:dyDescent="0.3"/>
    <row r="3142" customFormat="1" x14ac:dyDescent="0.3"/>
    <row r="3143" customFormat="1" x14ac:dyDescent="0.3"/>
    <row r="3144" customFormat="1" x14ac:dyDescent="0.3"/>
    <row r="3145" customFormat="1" x14ac:dyDescent="0.3"/>
    <row r="3146" customFormat="1" x14ac:dyDescent="0.3"/>
    <row r="3147" customFormat="1" x14ac:dyDescent="0.3"/>
    <row r="3148" customFormat="1" x14ac:dyDescent="0.3"/>
    <row r="3149" customFormat="1" x14ac:dyDescent="0.3"/>
    <row r="3150" customFormat="1" x14ac:dyDescent="0.3"/>
    <row r="3151" customFormat="1" x14ac:dyDescent="0.3"/>
    <row r="3152" customFormat="1" x14ac:dyDescent="0.3"/>
    <row r="3153" customFormat="1" x14ac:dyDescent="0.3"/>
    <row r="3154" customFormat="1" x14ac:dyDescent="0.3"/>
    <row r="3155" customFormat="1" x14ac:dyDescent="0.3"/>
    <row r="3156" customFormat="1" x14ac:dyDescent="0.3"/>
    <row r="3157" customFormat="1" x14ac:dyDescent="0.3"/>
    <row r="3158" customFormat="1" x14ac:dyDescent="0.3"/>
    <row r="3159" customFormat="1" x14ac:dyDescent="0.3"/>
    <row r="3160" customFormat="1" x14ac:dyDescent="0.3"/>
    <row r="3161" customFormat="1" x14ac:dyDescent="0.3"/>
    <row r="3162" customFormat="1" x14ac:dyDescent="0.3"/>
    <row r="3163" customFormat="1" x14ac:dyDescent="0.3"/>
    <row r="3164" customFormat="1" x14ac:dyDescent="0.3"/>
    <row r="3165" customFormat="1" x14ac:dyDescent="0.3"/>
    <row r="3166" customFormat="1" x14ac:dyDescent="0.3"/>
    <row r="3167" customFormat="1" x14ac:dyDescent="0.3"/>
    <row r="3168" customFormat="1" x14ac:dyDescent="0.3"/>
    <row r="3169" customFormat="1" x14ac:dyDescent="0.3"/>
    <row r="3170" customFormat="1" x14ac:dyDescent="0.3"/>
    <row r="3171" customFormat="1" x14ac:dyDescent="0.3"/>
    <row r="3172" customFormat="1" x14ac:dyDescent="0.3"/>
    <row r="3173" customFormat="1" x14ac:dyDescent="0.3"/>
    <row r="3174" customFormat="1" x14ac:dyDescent="0.3"/>
    <row r="3175" customFormat="1" x14ac:dyDescent="0.3"/>
    <row r="3176" customFormat="1" x14ac:dyDescent="0.3"/>
    <row r="3177" customFormat="1" x14ac:dyDescent="0.3"/>
    <row r="3178" customFormat="1" x14ac:dyDescent="0.3"/>
    <row r="3179" customFormat="1" x14ac:dyDescent="0.3"/>
    <row r="3180" customFormat="1" x14ac:dyDescent="0.3"/>
    <row r="3181" customFormat="1" x14ac:dyDescent="0.3"/>
    <row r="3182" customFormat="1" x14ac:dyDescent="0.3"/>
    <row r="3183" customFormat="1" x14ac:dyDescent="0.3"/>
    <row r="3184" customFormat="1" x14ac:dyDescent="0.3"/>
    <row r="3185" customFormat="1" x14ac:dyDescent="0.3"/>
    <row r="3186" customFormat="1" x14ac:dyDescent="0.3"/>
    <row r="3187" customFormat="1" x14ac:dyDescent="0.3"/>
    <row r="3188" customFormat="1" x14ac:dyDescent="0.3"/>
    <row r="3189" customFormat="1" x14ac:dyDescent="0.3"/>
    <row r="3190" customFormat="1" x14ac:dyDescent="0.3"/>
    <row r="3191" customFormat="1" x14ac:dyDescent="0.3"/>
    <row r="3192" customFormat="1" x14ac:dyDescent="0.3"/>
    <row r="3193" customFormat="1" x14ac:dyDescent="0.3"/>
    <row r="3194" customFormat="1" x14ac:dyDescent="0.3"/>
    <row r="3195" customFormat="1" x14ac:dyDescent="0.3"/>
    <row r="3196" customFormat="1" x14ac:dyDescent="0.3"/>
    <row r="3197" customFormat="1" x14ac:dyDescent="0.3"/>
    <row r="3198" customFormat="1" x14ac:dyDescent="0.3"/>
    <row r="3199" customFormat="1" x14ac:dyDescent="0.3"/>
    <row r="3200" customFormat="1" x14ac:dyDescent="0.3"/>
    <row r="3201" customFormat="1" x14ac:dyDescent="0.3"/>
    <row r="3202" customFormat="1" x14ac:dyDescent="0.3"/>
    <row r="3203" customFormat="1" x14ac:dyDescent="0.3"/>
    <row r="3204" customFormat="1" x14ac:dyDescent="0.3"/>
    <row r="3205" customFormat="1" x14ac:dyDescent="0.3"/>
    <row r="3206" customFormat="1" x14ac:dyDescent="0.3"/>
    <row r="3207" customFormat="1" x14ac:dyDescent="0.3"/>
    <row r="3208" customFormat="1" x14ac:dyDescent="0.3"/>
    <row r="3209" customFormat="1" x14ac:dyDescent="0.3"/>
    <row r="3210" customFormat="1" x14ac:dyDescent="0.3"/>
    <row r="3211" customFormat="1" x14ac:dyDescent="0.3"/>
    <row r="3212" customFormat="1" x14ac:dyDescent="0.3"/>
    <row r="3213" customFormat="1" x14ac:dyDescent="0.3"/>
    <row r="3214" customFormat="1" x14ac:dyDescent="0.3"/>
    <row r="3215" customFormat="1" x14ac:dyDescent="0.3"/>
    <row r="3216" customFormat="1" x14ac:dyDescent="0.3"/>
    <row r="3217" customFormat="1" x14ac:dyDescent="0.3"/>
    <row r="3218" customFormat="1" x14ac:dyDescent="0.3"/>
    <row r="3219" customFormat="1" x14ac:dyDescent="0.3"/>
    <row r="3220" customFormat="1" x14ac:dyDescent="0.3"/>
    <row r="3221" customFormat="1" x14ac:dyDescent="0.3"/>
    <row r="3222" customFormat="1" x14ac:dyDescent="0.3"/>
    <row r="3223" customFormat="1" x14ac:dyDescent="0.3"/>
    <row r="3224" customFormat="1" x14ac:dyDescent="0.3"/>
    <row r="3225" customFormat="1" x14ac:dyDescent="0.3"/>
    <row r="3226" customFormat="1" x14ac:dyDescent="0.3"/>
    <row r="3227" customFormat="1" x14ac:dyDescent="0.3"/>
    <row r="3228" customFormat="1" x14ac:dyDescent="0.3"/>
    <row r="3229" customFormat="1" x14ac:dyDescent="0.3"/>
    <row r="3230" customFormat="1" x14ac:dyDescent="0.3"/>
    <row r="3231" customFormat="1" x14ac:dyDescent="0.3"/>
    <row r="3232" customFormat="1" x14ac:dyDescent="0.3"/>
    <row r="3233" customFormat="1" x14ac:dyDescent="0.3"/>
    <row r="3234" customFormat="1" x14ac:dyDescent="0.3"/>
    <row r="3235" customFormat="1" x14ac:dyDescent="0.3"/>
    <row r="3236" customFormat="1" x14ac:dyDescent="0.3"/>
    <row r="3237" customFormat="1" x14ac:dyDescent="0.3"/>
    <row r="3238" customFormat="1" x14ac:dyDescent="0.3"/>
    <row r="3239" customFormat="1" x14ac:dyDescent="0.3"/>
    <row r="3240" customFormat="1" x14ac:dyDescent="0.3"/>
    <row r="3241" customFormat="1" x14ac:dyDescent="0.3"/>
    <row r="3242" customFormat="1" x14ac:dyDescent="0.3"/>
    <row r="3243" customFormat="1" x14ac:dyDescent="0.3"/>
    <row r="3244" customFormat="1" x14ac:dyDescent="0.3"/>
    <row r="3245" customFormat="1" x14ac:dyDescent="0.3"/>
    <row r="3246" customFormat="1" x14ac:dyDescent="0.3"/>
    <row r="3247" customFormat="1" x14ac:dyDescent="0.3"/>
    <row r="3248" customFormat="1" x14ac:dyDescent="0.3"/>
    <row r="3249" customFormat="1" x14ac:dyDescent="0.3"/>
    <row r="3250" customFormat="1" x14ac:dyDescent="0.3"/>
    <row r="3251" customFormat="1" x14ac:dyDescent="0.3"/>
    <row r="3252" customFormat="1" x14ac:dyDescent="0.3"/>
    <row r="3253" customFormat="1" x14ac:dyDescent="0.3"/>
    <row r="3254" customFormat="1" x14ac:dyDescent="0.3"/>
    <row r="3255" customFormat="1" x14ac:dyDescent="0.3"/>
    <row r="3256" customFormat="1" x14ac:dyDescent="0.3"/>
    <row r="3257" customFormat="1" x14ac:dyDescent="0.3"/>
    <row r="3258" customFormat="1" x14ac:dyDescent="0.3"/>
    <row r="3259" customFormat="1" x14ac:dyDescent="0.3"/>
    <row r="3260" customFormat="1" x14ac:dyDescent="0.3"/>
    <row r="3261" customFormat="1" x14ac:dyDescent="0.3"/>
    <row r="3262" customFormat="1" x14ac:dyDescent="0.3"/>
    <row r="3263" customFormat="1" x14ac:dyDescent="0.3"/>
    <row r="3264" customFormat="1" x14ac:dyDescent="0.3"/>
    <row r="3265" customFormat="1" x14ac:dyDescent="0.3"/>
    <row r="3266" customFormat="1" x14ac:dyDescent="0.3"/>
    <row r="3267" customFormat="1" x14ac:dyDescent="0.3"/>
    <row r="3268" customFormat="1" x14ac:dyDescent="0.3"/>
    <row r="3269" customFormat="1" x14ac:dyDescent="0.3"/>
    <row r="3270" customFormat="1" x14ac:dyDescent="0.3"/>
    <row r="3271" customFormat="1" x14ac:dyDescent="0.3"/>
    <row r="3272" customFormat="1" x14ac:dyDescent="0.3"/>
    <row r="3273" customFormat="1" x14ac:dyDescent="0.3"/>
    <row r="3274" customFormat="1" x14ac:dyDescent="0.3"/>
    <row r="3275" customFormat="1" x14ac:dyDescent="0.3"/>
    <row r="3276" customFormat="1" x14ac:dyDescent="0.3"/>
    <row r="3277" customFormat="1" x14ac:dyDescent="0.3"/>
    <row r="3278" customFormat="1" x14ac:dyDescent="0.3"/>
    <row r="3279" customFormat="1" x14ac:dyDescent="0.3"/>
    <row r="3280" customFormat="1" x14ac:dyDescent="0.3"/>
    <row r="3281" customFormat="1" x14ac:dyDescent="0.3"/>
    <row r="3282" customFormat="1" x14ac:dyDescent="0.3"/>
    <row r="3283" customFormat="1" x14ac:dyDescent="0.3"/>
    <row r="3284" customFormat="1" x14ac:dyDescent="0.3"/>
    <row r="3285" customFormat="1" x14ac:dyDescent="0.3"/>
    <row r="3286" customFormat="1" x14ac:dyDescent="0.3"/>
    <row r="3287" customFormat="1" x14ac:dyDescent="0.3"/>
    <row r="3288" customFormat="1" x14ac:dyDescent="0.3"/>
    <row r="3289" customFormat="1" x14ac:dyDescent="0.3"/>
    <row r="3290" customFormat="1" x14ac:dyDescent="0.3"/>
    <row r="3291" customFormat="1" x14ac:dyDescent="0.3"/>
    <row r="3292" customFormat="1" x14ac:dyDescent="0.3"/>
    <row r="3293" customFormat="1" x14ac:dyDescent="0.3"/>
    <row r="3294" customFormat="1" x14ac:dyDescent="0.3"/>
    <row r="3295" customFormat="1" x14ac:dyDescent="0.3"/>
    <row r="3296" customFormat="1" x14ac:dyDescent="0.3"/>
    <row r="3297" customFormat="1" x14ac:dyDescent="0.3"/>
    <row r="3298" customFormat="1" x14ac:dyDescent="0.3"/>
    <row r="3299" customFormat="1" x14ac:dyDescent="0.3"/>
    <row r="3300" customFormat="1" x14ac:dyDescent="0.3"/>
    <row r="3301" customFormat="1" x14ac:dyDescent="0.3"/>
    <row r="3302" customFormat="1" x14ac:dyDescent="0.3"/>
    <row r="3303" customFormat="1" x14ac:dyDescent="0.3"/>
    <row r="3304" customFormat="1" x14ac:dyDescent="0.3"/>
    <row r="3305" customFormat="1" x14ac:dyDescent="0.3"/>
    <row r="3306" customFormat="1" x14ac:dyDescent="0.3"/>
    <row r="3307" customFormat="1" x14ac:dyDescent="0.3"/>
    <row r="3308" customFormat="1" x14ac:dyDescent="0.3"/>
    <row r="3309" customFormat="1" x14ac:dyDescent="0.3"/>
    <row r="3310" customFormat="1" x14ac:dyDescent="0.3"/>
    <row r="3311" customFormat="1" x14ac:dyDescent="0.3"/>
    <row r="3312" customFormat="1" x14ac:dyDescent="0.3"/>
    <row r="3313" customFormat="1" x14ac:dyDescent="0.3"/>
    <row r="3314" customFormat="1" x14ac:dyDescent="0.3"/>
    <row r="3315" customFormat="1" x14ac:dyDescent="0.3"/>
    <row r="3316" customFormat="1" x14ac:dyDescent="0.3"/>
    <row r="3317" customFormat="1" x14ac:dyDescent="0.3"/>
    <row r="3318" customFormat="1" x14ac:dyDescent="0.3"/>
    <row r="3319" customFormat="1" x14ac:dyDescent="0.3"/>
    <row r="3320" customFormat="1" x14ac:dyDescent="0.3"/>
    <row r="3321" customFormat="1" x14ac:dyDescent="0.3"/>
    <row r="3322" customFormat="1" x14ac:dyDescent="0.3"/>
    <row r="3323" customFormat="1" x14ac:dyDescent="0.3"/>
    <row r="3324" customFormat="1" x14ac:dyDescent="0.3"/>
    <row r="3325" customFormat="1" x14ac:dyDescent="0.3"/>
    <row r="3326" customFormat="1" x14ac:dyDescent="0.3"/>
    <row r="3327" customFormat="1" x14ac:dyDescent="0.3"/>
    <row r="3328" customFormat="1" x14ac:dyDescent="0.3"/>
    <row r="3329" customFormat="1" x14ac:dyDescent="0.3"/>
    <row r="3330" customFormat="1" x14ac:dyDescent="0.3"/>
    <row r="3331" customFormat="1" x14ac:dyDescent="0.3"/>
    <row r="3332" customFormat="1" x14ac:dyDescent="0.3"/>
    <row r="3333" customFormat="1" x14ac:dyDescent="0.3"/>
    <row r="3334" customFormat="1" x14ac:dyDescent="0.3"/>
    <row r="3335" customFormat="1" x14ac:dyDescent="0.3"/>
    <row r="3336" customFormat="1" x14ac:dyDescent="0.3"/>
    <row r="3337" customFormat="1" x14ac:dyDescent="0.3"/>
    <row r="3338" customFormat="1" x14ac:dyDescent="0.3"/>
    <row r="3339" customFormat="1" x14ac:dyDescent="0.3"/>
    <row r="3340" customFormat="1" x14ac:dyDescent="0.3"/>
    <row r="3341" customFormat="1" x14ac:dyDescent="0.3"/>
    <row r="3342" customFormat="1" x14ac:dyDescent="0.3"/>
    <row r="3343" customFormat="1" x14ac:dyDescent="0.3"/>
    <row r="3344" customFormat="1" x14ac:dyDescent="0.3"/>
    <row r="3345" customFormat="1" x14ac:dyDescent="0.3"/>
    <row r="3346" customFormat="1" x14ac:dyDescent="0.3"/>
    <row r="3347" customFormat="1" x14ac:dyDescent="0.3"/>
    <row r="3348" customFormat="1" x14ac:dyDescent="0.3"/>
    <row r="3349" customFormat="1" x14ac:dyDescent="0.3"/>
    <row r="3350" customFormat="1" x14ac:dyDescent="0.3"/>
    <row r="3351" customFormat="1" x14ac:dyDescent="0.3"/>
    <row r="3352" customFormat="1" x14ac:dyDescent="0.3"/>
    <row r="3353" customFormat="1" x14ac:dyDescent="0.3"/>
    <row r="3354" customFormat="1" x14ac:dyDescent="0.3"/>
    <row r="3355" customFormat="1" x14ac:dyDescent="0.3"/>
    <row r="3356" customFormat="1" x14ac:dyDescent="0.3"/>
    <row r="3357" customFormat="1" x14ac:dyDescent="0.3"/>
    <row r="3358" customFormat="1" x14ac:dyDescent="0.3"/>
    <row r="3359" customFormat="1" x14ac:dyDescent="0.3"/>
    <row r="3360" customFormat="1" x14ac:dyDescent="0.3"/>
    <row r="3361" customFormat="1" x14ac:dyDescent="0.3"/>
    <row r="3362" customFormat="1" x14ac:dyDescent="0.3"/>
    <row r="3363" customFormat="1" x14ac:dyDescent="0.3"/>
    <row r="3364" customFormat="1" x14ac:dyDescent="0.3"/>
    <row r="3365" customFormat="1" x14ac:dyDescent="0.3"/>
    <row r="3366" customFormat="1" x14ac:dyDescent="0.3"/>
    <row r="3367" customFormat="1" x14ac:dyDescent="0.3"/>
    <row r="3368" customFormat="1" x14ac:dyDescent="0.3"/>
    <row r="3369" customFormat="1" x14ac:dyDescent="0.3"/>
    <row r="3370" customFormat="1" x14ac:dyDescent="0.3"/>
    <row r="3371" customFormat="1" x14ac:dyDescent="0.3"/>
    <row r="3372" customFormat="1" x14ac:dyDescent="0.3"/>
    <row r="3373" customFormat="1" x14ac:dyDescent="0.3"/>
    <row r="3374" customFormat="1" x14ac:dyDescent="0.3"/>
    <row r="3375" customFormat="1" x14ac:dyDescent="0.3"/>
    <row r="3376" customFormat="1" x14ac:dyDescent="0.3"/>
    <row r="3377" customFormat="1" x14ac:dyDescent="0.3"/>
    <row r="3378" customFormat="1" x14ac:dyDescent="0.3"/>
    <row r="3379" customFormat="1" x14ac:dyDescent="0.3"/>
    <row r="3380" customFormat="1" x14ac:dyDescent="0.3"/>
    <row r="3381" customFormat="1" x14ac:dyDescent="0.3"/>
    <row r="3382" customFormat="1" x14ac:dyDescent="0.3"/>
    <row r="3383" customFormat="1" x14ac:dyDescent="0.3"/>
    <row r="3384" customFormat="1" x14ac:dyDescent="0.3"/>
    <row r="3385" customFormat="1" x14ac:dyDescent="0.3"/>
    <row r="3386" customFormat="1" x14ac:dyDescent="0.3"/>
    <row r="3387" customFormat="1" x14ac:dyDescent="0.3"/>
    <row r="3388" customFormat="1" x14ac:dyDescent="0.3"/>
    <row r="3389" customFormat="1" x14ac:dyDescent="0.3"/>
    <row r="3390" customFormat="1" x14ac:dyDescent="0.3"/>
    <row r="3391" customFormat="1" x14ac:dyDescent="0.3"/>
    <row r="3392" customFormat="1" x14ac:dyDescent="0.3"/>
    <row r="3393" customFormat="1" x14ac:dyDescent="0.3"/>
    <row r="3394" customFormat="1" x14ac:dyDescent="0.3"/>
    <row r="3395" customFormat="1" x14ac:dyDescent="0.3"/>
    <row r="3396" customFormat="1" x14ac:dyDescent="0.3"/>
    <row r="3397" customFormat="1" x14ac:dyDescent="0.3"/>
    <row r="3398" customFormat="1" x14ac:dyDescent="0.3"/>
    <row r="3399" customFormat="1" x14ac:dyDescent="0.3"/>
    <row r="3400" customFormat="1" x14ac:dyDescent="0.3"/>
    <row r="3401" customFormat="1" x14ac:dyDescent="0.3"/>
    <row r="3402" customFormat="1" x14ac:dyDescent="0.3"/>
    <row r="3403" customFormat="1" x14ac:dyDescent="0.3"/>
    <row r="3404" customFormat="1" x14ac:dyDescent="0.3"/>
    <row r="3405" customFormat="1" x14ac:dyDescent="0.3"/>
    <row r="3406" customFormat="1" x14ac:dyDescent="0.3"/>
    <row r="3407" customFormat="1" x14ac:dyDescent="0.3"/>
    <row r="3408" customFormat="1" x14ac:dyDescent="0.3"/>
    <row r="3409" customFormat="1" x14ac:dyDescent="0.3"/>
    <row r="3410" customFormat="1" x14ac:dyDescent="0.3"/>
    <row r="3411" customFormat="1" x14ac:dyDescent="0.3"/>
    <row r="3412" customFormat="1" x14ac:dyDescent="0.3"/>
    <row r="3413" customFormat="1" x14ac:dyDescent="0.3"/>
    <row r="3414" customFormat="1" x14ac:dyDescent="0.3"/>
    <row r="3415" customFormat="1" x14ac:dyDescent="0.3"/>
    <row r="3416" customFormat="1" x14ac:dyDescent="0.3"/>
    <row r="3417" customFormat="1" x14ac:dyDescent="0.3"/>
    <row r="3418" customFormat="1" x14ac:dyDescent="0.3"/>
    <row r="3419" customFormat="1" x14ac:dyDescent="0.3"/>
    <row r="3420" customFormat="1" x14ac:dyDescent="0.3"/>
    <row r="3421" customFormat="1" x14ac:dyDescent="0.3"/>
    <row r="3422" customFormat="1" x14ac:dyDescent="0.3"/>
    <row r="3423" customFormat="1" x14ac:dyDescent="0.3"/>
    <row r="3424" customFormat="1" x14ac:dyDescent="0.3"/>
    <row r="3425" customFormat="1" x14ac:dyDescent="0.3"/>
    <row r="3426" customFormat="1" x14ac:dyDescent="0.3"/>
    <row r="3427" customFormat="1" x14ac:dyDescent="0.3"/>
    <row r="3428" customFormat="1" x14ac:dyDescent="0.3"/>
    <row r="3429" customFormat="1" x14ac:dyDescent="0.3"/>
    <row r="3430" customFormat="1" x14ac:dyDescent="0.3"/>
    <row r="3431" customFormat="1" x14ac:dyDescent="0.3"/>
    <row r="3432" customFormat="1" x14ac:dyDescent="0.3"/>
    <row r="3433" customFormat="1" x14ac:dyDescent="0.3"/>
    <row r="3434" customFormat="1" x14ac:dyDescent="0.3"/>
    <row r="3435" customFormat="1" x14ac:dyDescent="0.3"/>
    <row r="3436" customFormat="1" x14ac:dyDescent="0.3"/>
    <row r="3437" customFormat="1" x14ac:dyDescent="0.3"/>
    <row r="3438" customFormat="1" x14ac:dyDescent="0.3"/>
    <row r="3439" customFormat="1" x14ac:dyDescent="0.3"/>
    <row r="3440" customFormat="1" x14ac:dyDescent="0.3"/>
    <row r="3441" customFormat="1" x14ac:dyDescent="0.3"/>
    <row r="3442" customFormat="1" x14ac:dyDescent="0.3"/>
    <row r="3443" customFormat="1" x14ac:dyDescent="0.3"/>
    <row r="3444" customFormat="1" x14ac:dyDescent="0.3"/>
    <row r="3445" customFormat="1" x14ac:dyDescent="0.3"/>
    <row r="3446" customFormat="1" x14ac:dyDescent="0.3"/>
    <row r="3447" customFormat="1" x14ac:dyDescent="0.3"/>
    <row r="3448" customFormat="1" x14ac:dyDescent="0.3"/>
    <row r="3449" customFormat="1" x14ac:dyDescent="0.3"/>
    <row r="3450" customFormat="1" x14ac:dyDescent="0.3"/>
    <row r="3451" customFormat="1" x14ac:dyDescent="0.3"/>
    <row r="3452" customFormat="1" x14ac:dyDescent="0.3"/>
    <row r="3453" customFormat="1" x14ac:dyDescent="0.3"/>
    <row r="3454" customFormat="1" x14ac:dyDescent="0.3"/>
    <row r="3455" customFormat="1" x14ac:dyDescent="0.3"/>
    <row r="3456" customFormat="1" x14ac:dyDescent="0.3"/>
    <row r="3457" customFormat="1" x14ac:dyDescent="0.3"/>
    <row r="3458" customFormat="1" x14ac:dyDescent="0.3"/>
    <row r="3459" customFormat="1" x14ac:dyDescent="0.3"/>
    <row r="3460" customFormat="1" x14ac:dyDescent="0.3"/>
    <row r="3461" customFormat="1" x14ac:dyDescent="0.3"/>
    <row r="3462" customFormat="1" x14ac:dyDescent="0.3"/>
    <row r="3463" customFormat="1" x14ac:dyDescent="0.3"/>
    <row r="3464" customFormat="1" x14ac:dyDescent="0.3"/>
    <row r="3465" customFormat="1" x14ac:dyDescent="0.3"/>
    <row r="3466" customFormat="1" x14ac:dyDescent="0.3"/>
    <row r="3467" customFormat="1" x14ac:dyDescent="0.3"/>
    <row r="3468" customFormat="1" x14ac:dyDescent="0.3"/>
    <row r="3469" customFormat="1" x14ac:dyDescent="0.3"/>
    <row r="3470" customFormat="1" x14ac:dyDescent="0.3"/>
    <row r="3471" customFormat="1" x14ac:dyDescent="0.3"/>
    <row r="3472" customFormat="1" x14ac:dyDescent="0.3"/>
    <row r="3473" customFormat="1" x14ac:dyDescent="0.3"/>
    <row r="3474" customFormat="1" x14ac:dyDescent="0.3"/>
    <row r="3475" customFormat="1" x14ac:dyDescent="0.3"/>
    <row r="3476" customFormat="1" x14ac:dyDescent="0.3"/>
    <row r="3477" customFormat="1" x14ac:dyDescent="0.3"/>
    <row r="3478" customFormat="1" x14ac:dyDescent="0.3"/>
    <row r="3479" customFormat="1" x14ac:dyDescent="0.3"/>
    <row r="3480" customFormat="1" x14ac:dyDescent="0.3"/>
    <row r="3481" customFormat="1" x14ac:dyDescent="0.3"/>
    <row r="3482" customFormat="1" x14ac:dyDescent="0.3"/>
    <row r="3483" customFormat="1" x14ac:dyDescent="0.3"/>
    <row r="3484" customFormat="1" x14ac:dyDescent="0.3"/>
    <row r="3485" customFormat="1" x14ac:dyDescent="0.3"/>
    <row r="3486" customFormat="1" x14ac:dyDescent="0.3"/>
    <row r="3487" customFormat="1" x14ac:dyDescent="0.3"/>
    <row r="3488" customFormat="1" x14ac:dyDescent="0.3"/>
    <row r="3489" customFormat="1" x14ac:dyDescent="0.3"/>
    <row r="3490" customFormat="1" x14ac:dyDescent="0.3"/>
    <row r="3491" customFormat="1" x14ac:dyDescent="0.3"/>
    <row r="3492" customFormat="1" x14ac:dyDescent="0.3"/>
    <row r="3493" customFormat="1" x14ac:dyDescent="0.3"/>
    <row r="3494" customFormat="1" x14ac:dyDescent="0.3"/>
    <row r="3495" customFormat="1" x14ac:dyDescent="0.3"/>
    <row r="3496" customFormat="1" x14ac:dyDescent="0.3"/>
    <row r="3497" customFormat="1" x14ac:dyDescent="0.3"/>
    <row r="3498" customFormat="1" x14ac:dyDescent="0.3"/>
    <row r="3499" customFormat="1" x14ac:dyDescent="0.3"/>
    <row r="3500" customFormat="1" x14ac:dyDescent="0.3"/>
    <row r="3501" customFormat="1" x14ac:dyDescent="0.3"/>
    <row r="3502" customFormat="1" x14ac:dyDescent="0.3"/>
    <row r="3503" customFormat="1" x14ac:dyDescent="0.3"/>
    <row r="3504" customFormat="1" x14ac:dyDescent="0.3"/>
    <row r="3505" customFormat="1" x14ac:dyDescent="0.3"/>
    <row r="3506" customFormat="1" x14ac:dyDescent="0.3"/>
    <row r="3507" customFormat="1" x14ac:dyDescent="0.3"/>
    <row r="3508" customFormat="1" x14ac:dyDescent="0.3"/>
    <row r="3509" customFormat="1" x14ac:dyDescent="0.3"/>
    <row r="3510" customFormat="1" x14ac:dyDescent="0.3"/>
    <row r="3511" customFormat="1" x14ac:dyDescent="0.3"/>
    <row r="3512" customFormat="1" x14ac:dyDescent="0.3"/>
    <row r="3513" customFormat="1" x14ac:dyDescent="0.3"/>
    <row r="3514" customFormat="1" x14ac:dyDescent="0.3"/>
    <row r="3515" customFormat="1" x14ac:dyDescent="0.3"/>
    <row r="3516" customFormat="1" x14ac:dyDescent="0.3"/>
    <row r="3517" customFormat="1" x14ac:dyDescent="0.3"/>
    <row r="3518" customFormat="1" x14ac:dyDescent="0.3"/>
    <row r="3519" customFormat="1" x14ac:dyDescent="0.3"/>
    <row r="3520" customFormat="1" x14ac:dyDescent="0.3"/>
    <row r="3521" customFormat="1" x14ac:dyDescent="0.3"/>
    <row r="3522" customFormat="1" x14ac:dyDescent="0.3"/>
    <row r="3523" customFormat="1" x14ac:dyDescent="0.3"/>
    <row r="3524" customFormat="1" x14ac:dyDescent="0.3"/>
    <row r="3525" customFormat="1" x14ac:dyDescent="0.3"/>
    <row r="3526" customFormat="1" x14ac:dyDescent="0.3"/>
    <row r="3527" customFormat="1" x14ac:dyDescent="0.3"/>
    <row r="3528" customFormat="1" x14ac:dyDescent="0.3"/>
    <row r="3529" customFormat="1" x14ac:dyDescent="0.3"/>
    <row r="3530" customFormat="1" x14ac:dyDescent="0.3"/>
    <row r="3531" customFormat="1" x14ac:dyDescent="0.3"/>
    <row r="3532" customFormat="1" x14ac:dyDescent="0.3"/>
    <row r="3533" customFormat="1" x14ac:dyDescent="0.3"/>
    <row r="3534" customFormat="1" x14ac:dyDescent="0.3"/>
    <row r="3535" customFormat="1" x14ac:dyDescent="0.3"/>
    <row r="3536" customFormat="1" x14ac:dyDescent="0.3"/>
    <row r="3537" customFormat="1" x14ac:dyDescent="0.3"/>
    <row r="3538" customFormat="1" x14ac:dyDescent="0.3"/>
    <row r="3539" customFormat="1" x14ac:dyDescent="0.3"/>
    <row r="3540" customFormat="1" x14ac:dyDescent="0.3"/>
    <row r="3541" customFormat="1" x14ac:dyDescent="0.3"/>
    <row r="3542" customFormat="1" x14ac:dyDescent="0.3"/>
    <row r="3543" customFormat="1" x14ac:dyDescent="0.3"/>
    <row r="3544" customFormat="1" x14ac:dyDescent="0.3"/>
    <row r="3545" customFormat="1" x14ac:dyDescent="0.3"/>
    <row r="3546" customFormat="1" x14ac:dyDescent="0.3"/>
    <row r="3547" customFormat="1" x14ac:dyDescent="0.3"/>
    <row r="3548" customFormat="1" x14ac:dyDescent="0.3"/>
    <row r="3549" customFormat="1" x14ac:dyDescent="0.3"/>
    <row r="3550" customFormat="1" x14ac:dyDescent="0.3"/>
    <row r="3551" customFormat="1" x14ac:dyDescent="0.3"/>
    <row r="3552" customFormat="1" x14ac:dyDescent="0.3"/>
    <row r="3553" customFormat="1" x14ac:dyDescent="0.3"/>
    <row r="3554" customFormat="1" x14ac:dyDescent="0.3"/>
    <row r="3555" customFormat="1" x14ac:dyDescent="0.3"/>
    <row r="3556" customFormat="1" x14ac:dyDescent="0.3"/>
    <row r="3557" customFormat="1" x14ac:dyDescent="0.3"/>
    <row r="3558" customFormat="1" x14ac:dyDescent="0.3"/>
    <row r="3559" customFormat="1" x14ac:dyDescent="0.3"/>
    <row r="3560" customFormat="1" x14ac:dyDescent="0.3"/>
    <row r="3561" customFormat="1" x14ac:dyDescent="0.3"/>
    <row r="3562" customFormat="1" x14ac:dyDescent="0.3"/>
    <row r="3563" customFormat="1" x14ac:dyDescent="0.3"/>
    <row r="3564" customFormat="1" x14ac:dyDescent="0.3"/>
    <row r="3565" customFormat="1" x14ac:dyDescent="0.3"/>
    <row r="3566" customFormat="1" x14ac:dyDescent="0.3"/>
    <row r="3567" customFormat="1" x14ac:dyDescent="0.3"/>
    <row r="3568" customFormat="1" x14ac:dyDescent="0.3"/>
    <row r="3569" customFormat="1" x14ac:dyDescent="0.3"/>
    <row r="3570" customFormat="1" x14ac:dyDescent="0.3"/>
    <row r="3571" customFormat="1" x14ac:dyDescent="0.3"/>
    <row r="3572" customFormat="1" x14ac:dyDescent="0.3"/>
    <row r="3573" customFormat="1" x14ac:dyDescent="0.3"/>
    <row r="3574" customFormat="1" x14ac:dyDescent="0.3"/>
    <row r="3575" customFormat="1" x14ac:dyDescent="0.3"/>
    <row r="3576" customFormat="1" x14ac:dyDescent="0.3"/>
    <row r="3577" customFormat="1" x14ac:dyDescent="0.3"/>
    <row r="3578" customFormat="1" x14ac:dyDescent="0.3"/>
    <row r="3579" customFormat="1" x14ac:dyDescent="0.3"/>
    <row r="3580" customFormat="1" x14ac:dyDescent="0.3"/>
    <row r="3581" customFormat="1" x14ac:dyDescent="0.3"/>
    <row r="3582" customFormat="1" x14ac:dyDescent="0.3"/>
    <row r="3583" customFormat="1" x14ac:dyDescent="0.3"/>
    <row r="3584" customFormat="1" x14ac:dyDescent="0.3"/>
    <row r="3585" customFormat="1" x14ac:dyDescent="0.3"/>
    <row r="3586" customFormat="1" x14ac:dyDescent="0.3"/>
    <row r="3587" customFormat="1" x14ac:dyDescent="0.3"/>
    <row r="3588" customFormat="1" x14ac:dyDescent="0.3"/>
    <row r="3589" customFormat="1" x14ac:dyDescent="0.3"/>
    <row r="3590" customFormat="1" x14ac:dyDescent="0.3"/>
    <row r="3591" customFormat="1" x14ac:dyDescent="0.3"/>
    <row r="3592" customFormat="1" x14ac:dyDescent="0.3"/>
    <row r="3593" customFormat="1" x14ac:dyDescent="0.3"/>
    <row r="3594" customFormat="1" x14ac:dyDescent="0.3"/>
    <row r="3595" customFormat="1" x14ac:dyDescent="0.3"/>
    <row r="3596" customFormat="1" x14ac:dyDescent="0.3"/>
    <row r="3597" customFormat="1" x14ac:dyDescent="0.3"/>
    <row r="3598" customFormat="1" x14ac:dyDescent="0.3"/>
    <row r="3599" customFormat="1" x14ac:dyDescent="0.3"/>
    <row r="3600" customFormat="1" x14ac:dyDescent="0.3"/>
    <row r="3601" customFormat="1" x14ac:dyDescent="0.3"/>
    <row r="3602" customFormat="1" x14ac:dyDescent="0.3"/>
    <row r="3603" customFormat="1" x14ac:dyDescent="0.3"/>
    <row r="3604" customFormat="1" x14ac:dyDescent="0.3"/>
    <row r="3605" customFormat="1" x14ac:dyDescent="0.3"/>
    <row r="3606" customFormat="1" x14ac:dyDescent="0.3"/>
    <row r="3607" customFormat="1" x14ac:dyDescent="0.3"/>
    <row r="3608" customFormat="1" x14ac:dyDescent="0.3"/>
    <row r="3609" customFormat="1" x14ac:dyDescent="0.3"/>
    <row r="3610" customFormat="1" x14ac:dyDescent="0.3"/>
    <row r="3611" customFormat="1" x14ac:dyDescent="0.3"/>
    <row r="3612" customFormat="1" x14ac:dyDescent="0.3"/>
    <row r="3613" customFormat="1" x14ac:dyDescent="0.3"/>
    <row r="3614" customFormat="1" x14ac:dyDescent="0.3"/>
    <row r="3615" customFormat="1" x14ac:dyDescent="0.3"/>
    <row r="3616" customFormat="1" x14ac:dyDescent="0.3"/>
    <row r="3617" customFormat="1" x14ac:dyDescent="0.3"/>
    <row r="3618" customFormat="1" x14ac:dyDescent="0.3"/>
    <row r="3619" customFormat="1" x14ac:dyDescent="0.3"/>
    <row r="3620" customFormat="1" x14ac:dyDescent="0.3"/>
    <row r="3621" customFormat="1" x14ac:dyDescent="0.3"/>
    <row r="3622" customFormat="1" x14ac:dyDescent="0.3"/>
    <row r="3623" customFormat="1" x14ac:dyDescent="0.3"/>
    <row r="3624" customFormat="1" x14ac:dyDescent="0.3"/>
    <row r="3625" customFormat="1" x14ac:dyDescent="0.3"/>
    <row r="3626" customFormat="1" x14ac:dyDescent="0.3"/>
    <row r="3627" customFormat="1" x14ac:dyDescent="0.3"/>
    <row r="3628" customFormat="1" x14ac:dyDescent="0.3"/>
    <row r="3629" customFormat="1" x14ac:dyDescent="0.3"/>
    <row r="3630" customFormat="1" x14ac:dyDescent="0.3"/>
    <row r="3631" customFormat="1" x14ac:dyDescent="0.3"/>
    <row r="3632" customFormat="1" x14ac:dyDescent="0.3"/>
    <row r="3633" customFormat="1" x14ac:dyDescent="0.3"/>
    <row r="3634" customFormat="1" x14ac:dyDescent="0.3"/>
    <row r="3635" customFormat="1" x14ac:dyDescent="0.3"/>
    <row r="3636" customFormat="1" x14ac:dyDescent="0.3"/>
    <row r="3637" customFormat="1" x14ac:dyDescent="0.3"/>
    <row r="3638" customFormat="1" x14ac:dyDescent="0.3"/>
    <row r="3639" customFormat="1" x14ac:dyDescent="0.3"/>
    <row r="3640" customFormat="1" x14ac:dyDescent="0.3"/>
    <row r="3641" customFormat="1" x14ac:dyDescent="0.3"/>
    <row r="3642" customFormat="1" x14ac:dyDescent="0.3"/>
    <row r="3643" customFormat="1" x14ac:dyDescent="0.3"/>
    <row r="3644" customFormat="1" x14ac:dyDescent="0.3"/>
    <row r="3645" customFormat="1" x14ac:dyDescent="0.3"/>
    <row r="3646" customFormat="1" x14ac:dyDescent="0.3"/>
    <row r="3647" customFormat="1" x14ac:dyDescent="0.3"/>
    <row r="3648" customFormat="1" x14ac:dyDescent="0.3"/>
    <row r="3649" customFormat="1" x14ac:dyDescent="0.3"/>
    <row r="3650" customFormat="1" x14ac:dyDescent="0.3"/>
    <row r="3651" customFormat="1" x14ac:dyDescent="0.3"/>
    <row r="3652" customFormat="1" x14ac:dyDescent="0.3"/>
    <row r="3653" customFormat="1" x14ac:dyDescent="0.3"/>
    <row r="3654" customFormat="1" x14ac:dyDescent="0.3"/>
    <row r="3655" customFormat="1" x14ac:dyDescent="0.3"/>
    <row r="3656" customFormat="1" x14ac:dyDescent="0.3"/>
    <row r="3657" customFormat="1" x14ac:dyDescent="0.3"/>
    <row r="3658" customFormat="1" x14ac:dyDescent="0.3"/>
    <row r="3659" customFormat="1" x14ac:dyDescent="0.3"/>
    <row r="3660" customFormat="1" x14ac:dyDescent="0.3"/>
    <row r="3661" customFormat="1" x14ac:dyDescent="0.3"/>
    <row r="3662" customFormat="1" x14ac:dyDescent="0.3"/>
    <row r="3663" customFormat="1" x14ac:dyDescent="0.3"/>
    <row r="3664" customFormat="1" x14ac:dyDescent="0.3"/>
    <row r="3665" customFormat="1" x14ac:dyDescent="0.3"/>
    <row r="3666" customFormat="1" x14ac:dyDescent="0.3"/>
    <row r="3667" customFormat="1" x14ac:dyDescent="0.3"/>
    <row r="3668" customFormat="1" x14ac:dyDescent="0.3"/>
    <row r="3669" customFormat="1" x14ac:dyDescent="0.3"/>
    <row r="3670" customFormat="1" x14ac:dyDescent="0.3"/>
    <row r="3671" customFormat="1" x14ac:dyDescent="0.3"/>
    <row r="3672" customFormat="1" x14ac:dyDescent="0.3"/>
    <row r="3673" customFormat="1" x14ac:dyDescent="0.3"/>
    <row r="3674" customFormat="1" x14ac:dyDescent="0.3"/>
    <row r="3675" customFormat="1" x14ac:dyDescent="0.3"/>
    <row r="3676" customFormat="1" x14ac:dyDescent="0.3"/>
    <row r="3677" customFormat="1" x14ac:dyDescent="0.3"/>
    <row r="3678" customFormat="1" x14ac:dyDescent="0.3"/>
    <row r="3679" customFormat="1" x14ac:dyDescent="0.3"/>
    <row r="3680" customFormat="1" x14ac:dyDescent="0.3"/>
    <row r="3681" customFormat="1" x14ac:dyDescent="0.3"/>
    <row r="3682" customFormat="1" x14ac:dyDescent="0.3"/>
    <row r="3683" customFormat="1" x14ac:dyDescent="0.3"/>
    <row r="3684" customFormat="1" x14ac:dyDescent="0.3"/>
    <row r="3685" customFormat="1" x14ac:dyDescent="0.3"/>
    <row r="3686" customFormat="1" x14ac:dyDescent="0.3"/>
    <row r="3687" customFormat="1" x14ac:dyDescent="0.3"/>
    <row r="3688" customFormat="1" x14ac:dyDescent="0.3"/>
    <row r="3689" customFormat="1" x14ac:dyDescent="0.3"/>
    <row r="3690" customFormat="1" x14ac:dyDescent="0.3"/>
    <row r="3691" customFormat="1" x14ac:dyDescent="0.3"/>
    <row r="3692" customFormat="1" x14ac:dyDescent="0.3"/>
    <row r="3693" customFormat="1" x14ac:dyDescent="0.3"/>
    <row r="3694" customFormat="1" x14ac:dyDescent="0.3"/>
    <row r="3695" customFormat="1" x14ac:dyDescent="0.3"/>
    <row r="3696" customFormat="1" x14ac:dyDescent="0.3"/>
    <row r="3697" customFormat="1" x14ac:dyDescent="0.3"/>
    <row r="3698" customFormat="1" x14ac:dyDescent="0.3"/>
    <row r="3699" customFormat="1" x14ac:dyDescent="0.3"/>
    <row r="3700" customFormat="1" x14ac:dyDescent="0.3"/>
    <row r="3701" customFormat="1" x14ac:dyDescent="0.3"/>
    <row r="3702" customFormat="1" x14ac:dyDescent="0.3"/>
    <row r="3703" customFormat="1" x14ac:dyDescent="0.3"/>
    <row r="3704" customFormat="1" x14ac:dyDescent="0.3"/>
    <row r="3705" customFormat="1" x14ac:dyDescent="0.3"/>
    <row r="3706" customFormat="1" x14ac:dyDescent="0.3"/>
    <row r="3707" customFormat="1" x14ac:dyDescent="0.3"/>
    <row r="3708" customFormat="1" x14ac:dyDescent="0.3"/>
    <row r="3709" customFormat="1" x14ac:dyDescent="0.3"/>
    <row r="3710" customFormat="1" x14ac:dyDescent="0.3"/>
    <row r="3711" customFormat="1" x14ac:dyDescent="0.3"/>
    <row r="3712" customFormat="1" x14ac:dyDescent="0.3"/>
    <row r="3713" customFormat="1" x14ac:dyDescent="0.3"/>
    <row r="3714" customFormat="1" x14ac:dyDescent="0.3"/>
    <row r="3715" customFormat="1" x14ac:dyDescent="0.3"/>
    <row r="3716" customFormat="1" x14ac:dyDescent="0.3"/>
    <row r="3717" customFormat="1" x14ac:dyDescent="0.3"/>
    <row r="3718" customFormat="1" x14ac:dyDescent="0.3"/>
    <row r="3719" customFormat="1" x14ac:dyDescent="0.3"/>
    <row r="3720" customFormat="1" x14ac:dyDescent="0.3"/>
    <row r="3721" customFormat="1" x14ac:dyDescent="0.3"/>
    <row r="3722" customFormat="1" x14ac:dyDescent="0.3"/>
    <row r="3723" customFormat="1" x14ac:dyDescent="0.3"/>
    <row r="3724" customFormat="1" x14ac:dyDescent="0.3"/>
    <row r="3725" customFormat="1" x14ac:dyDescent="0.3"/>
    <row r="3726" customFormat="1" x14ac:dyDescent="0.3"/>
    <row r="3727" customFormat="1" x14ac:dyDescent="0.3"/>
    <row r="3728" customFormat="1" x14ac:dyDescent="0.3"/>
    <row r="3729" customFormat="1" x14ac:dyDescent="0.3"/>
    <row r="3730" customFormat="1" x14ac:dyDescent="0.3"/>
    <row r="3731" customFormat="1" x14ac:dyDescent="0.3"/>
    <row r="3732" customFormat="1" x14ac:dyDescent="0.3"/>
    <row r="3733" customFormat="1" x14ac:dyDescent="0.3"/>
    <row r="3734" customFormat="1" x14ac:dyDescent="0.3"/>
    <row r="3735" customFormat="1" x14ac:dyDescent="0.3"/>
    <row r="3736" customFormat="1" x14ac:dyDescent="0.3"/>
    <row r="3737" customFormat="1" x14ac:dyDescent="0.3"/>
    <row r="3738" customFormat="1" x14ac:dyDescent="0.3"/>
    <row r="3739" customFormat="1" x14ac:dyDescent="0.3"/>
    <row r="3740" customFormat="1" x14ac:dyDescent="0.3"/>
    <row r="3741" customFormat="1" x14ac:dyDescent="0.3"/>
    <row r="3742" customFormat="1" x14ac:dyDescent="0.3"/>
    <row r="3743" customFormat="1" x14ac:dyDescent="0.3"/>
    <row r="3744" customFormat="1" x14ac:dyDescent="0.3"/>
    <row r="3745" customFormat="1" x14ac:dyDescent="0.3"/>
    <row r="3746" customFormat="1" x14ac:dyDescent="0.3"/>
    <row r="3747" customFormat="1" x14ac:dyDescent="0.3"/>
    <row r="3748" customFormat="1" x14ac:dyDescent="0.3"/>
    <row r="3749" customFormat="1" x14ac:dyDescent="0.3"/>
    <row r="3750" customFormat="1" x14ac:dyDescent="0.3"/>
    <row r="3751" customFormat="1" x14ac:dyDescent="0.3"/>
    <row r="3752" customFormat="1" x14ac:dyDescent="0.3"/>
    <row r="3753" customFormat="1" x14ac:dyDescent="0.3"/>
    <row r="3754" customFormat="1" x14ac:dyDescent="0.3"/>
    <row r="3755" customFormat="1" x14ac:dyDescent="0.3"/>
    <row r="3756" customFormat="1" x14ac:dyDescent="0.3"/>
    <row r="3757" customFormat="1" x14ac:dyDescent="0.3"/>
    <row r="3758" customFormat="1" x14ac:dyDescent="0.3"/>
    <row r="3759" customFormat="1" x14ac:dyDescent="0.3"/>
    <row r="3760" customFormat="1" x14ac:dyDescent="0.3"/>
    <row r="3761" customFormat="1" x14ac:dyDescent="0.3"/>
    <row r="3762" customFormat="1" x14ac:dyDescent="0.3"/>
    <row r="3763" customFormat="1" x14ac:dyDescent="0.3"/>
    <row r="3764" customFormat="1" x14ac:dyDescent="0.3"/>
    <row r="3765" customFormat="1" x14ac:dyDescent="0.3"/>
    <row r="3766" customFormat="1" x14ac:dyDescent="0.3"/>
    <row r="3767" customFormat="1" x14ac:dyDescent="0.3"/>
    <row r="3768" customFormat="1" x14ac:dyDescent="0.3"/>
    <row r="3769" customFormat="1" x14ac:dyDescent="0.3"/>
    <row r="3770" customFormat="1" x14ac:dyDescent="0.3"/>
    <row r="3771" customFormat="1" x14ac:dyDescent="0.3"/>
    <row r="3772" customFormat="1" x14ac:dyDescent="0.3"/>
    <row r="3773" customFormat="1" x14ac:dyDescent="0.3"/>
    <row r="3774" customFormat="1" x14ac:dyDescent="0.3"/>
    <row r="3775" customFormat="1" x14ac:dyDescent="0.3"/>
    <row r="3776" customFormat="1" x14ac:dyDescent="0.3"/>
    <row r="3777" customFormat="1" x14ac:dyDescent="0.3"/>
    <row r="3778" customFormat="1" x14ac:dyDescent="0.3"/>
    <row r="3779" customFormat="1" x14ac:dyDescent="0.3"/>
    <row r="3780" customFormat="1" x14ac:dyDescent="0.3"/>
    <row r="3781" customFormat="1" x14ac:dyDescent="0.3"/>
    <row r="3782" customFormat="1" x14ac:dyDescent="0.3"/>
    <row r="3783" customFormat="1" x14ac:dyDescent="0.3"/>
    <row r="3784" customFormat="1" x14ac:dyDescent="0.3"/>
    <row r="3785" customFormat="1" x14ac:dyDescent="0.3"/>
    <row r="3786" customFormat="1" x14ac:dyDescent="0.3"/>
    <row r="3787" customFormat="1" x14ac:dyDescent="0.3"/>
    <row r="3788" customFormat="1" x14ac:dyDescent="0.3"/>
    <row r="3789" customFormat="1" x14ac:dyDescent="0.3"/>
    <row r="3790" customFormat="1" x14ac:dyDescent="0.3"/>
    <row r="3791" customFormat="1" x14ac:dyDescent="0.3"/>
    <row r="3792" customFormat="1" x14ac:dyDescent="0.3"/>
    <row r="3793" customFormat="1" x14ac:dyDescent="0.3"/>
    <row r="3794" customFormat="1" x14ac:dyDescent="0.3"/>
    <row r="3795" customFormat="1" x14ac:dyDescent="0.3"/>
    <row r="3796" customFormat="1" x14ac:dyDescent="0.3"/>
    <row r="3797" customFormat="1" x14ac:dyDescent="0.3"/>
    <row r="3798" customFormat="1" x14ac:dyDescent="0.3"/>
    <row r="3799" customFormat="1" x14ac:dyDescent="0.3"/>
    <row r="3800" customFormat="1" x14ac:dyDescent="0.3"/>
    <row r="3801" customFormat="1" x14ac:dyDescent="0.3"/>
    <row r="3802" customFormat="1" x14ac:dyDescent="0.3"/>
    <row r="3803" customFormat="1" x14ac:dyDescent="0.3"/>
    <row r="3804" customFormat="1" x14ac:dyDescent="0.3"/>
    <row r="3805" customFormat="1" x14ac:dyDescent="0.3"/>
    <row r="3806" customFormat="1" x14ac:dyDescent="0.3"/>
    <row r="3807" customFormat="1" x14ac:dyDescent="0.3"/>
    <row r="3808" customFormat="1" x14ac:dyDescent="0.3"/>
    <row r="3809" customFormat="1" x14ac:dyDescent="0.3"/>
    <row r="3810" customFormat="1" x14ac:dyDescent="0.3"/>
    <row r="3811" customFormat="1" x14ac:dyDescent="0.3"/>
    <row r="3812" customFormat="1" x14ac:dyDescent="0.3"/>
    <row r="3813" customFormat="1" x14ac:dyDescent="0.3"/>
    <row r="3814" customFormat="1" x14ac:dyDescent="0.3"/>
    <row r="3815" customFormat="1" x14ac:dyDescent="0.3"/>
    <row r="3816" customFormat="1" x14ac:dyDescent="0.3"/>
    <row r="3817" customFormat="1" x14ac:dyDescent="0.3"/>
    <row r="3818" customFormat="1" x14ac:dyDescent="0.3"/>
    <row r="3819" customFormat="1" x14ac:dyDescent="0.3"/>
    <row r="3820" customFormat="1" x14ac:dyDescent="0.3"/>
    <row r="3821" customFormat="1" x14ac:dyDescent="0.3"/>
    <row r="3822" customFormat="1" x14ac:dyDescent="0.3"/>
    <row r="3823" customFormat="1" x14ac:dyDescent="0.3"/>
    <row r="3824" customFormat="1" x14ac:dyDescent="0.3"/>
    <row r="3825" customFormat="1" x14ac:dyDescent="0.3"/>
    <row r="3826" customFormat="1" x14ac:dyDescent="0.3"/>
    <row r="3827" customFormat="1" x14ac:dyDescent="0.3"/>
    <row r="3828" customFormat="1" x14ac:dyDescent="0.3"/>
    <row r="3829" customFormat="1" x14ac:dyDescent="0.3"/>
    <row r="3830" customFormat="1" x14ac:dyDescent="0.3"/>
    <row r="3831" customFormat="1" x14ac:dyDescent="0.3"/>
    <row r="3832" customFormat="1" x14ac:dyDescent="0.3"/>
    <row r="3833" customFormat="1" x14ac:dyDescent="0.3"/>
    <row r="3834" customFormat="1" x14ac:dyDescent="0.3"/>
    <row r="3835" customFormat="1" x14ac:dyDescent="0.3"/>
    <row r="3836" customFormat="1" x14ac:dyDescent="0.3"/>
    <row r="3837" customFormat="1" x14ac:dyDescent="0.3"/>
    <row r="3838" customFormat="1" x14ac:dyDescent="0.3"/>
    <row r="3839" customFormat="1" x14ac:dyDescent="0.3"/>
    <row r="3840" customFormat="1" x14ac:dyDescent="0.3"/>
    <row r="3841" customFormat="1" x14ac:dyDescent="0.3"/>
    <row r="3842" customFormat="1" x14ac:dyDescent="0.3"/>
    <row r="3843" customFormat="1" x14ac:dyDescent="0.3"/>
    <row r="3844" customFormat="1" x14ac:dyDescent="0.3"/>
    <row r="3845" customFormat="1" x14ac:dyDescent="0.3"/>
    <row r="3846" customFormat="1" x14ac:dyDescent="0.3"/>
    <row r="3847" customFormat="1" x14ac:dyDescent="0.3"/>
    <row r="3848" customFormat="1" x14ac:dyDescent="0.3"/>
    <row r="3849" customFormat="1" x14ac:dyDescent="0.3"/>
    <row r="3850" customFormat="1" x14ac:dyDescent="0.3"/>
    <row r="3851" customFormat="1" x14ac:dyDescent="0.3"/>
    <row r="3852" customFormat="1" x14ac:dyDescent="0.3"/>
    <row r="3853" customFormat="1" x14ac:dyDescent="0.3"/>
    <row r="3854" customFormat="1" x14ac:dyDescent="0.3"/>
    <row r="3855" customFormat="1" x14ac:dyDescent="0.3"/>
    <row r="3856" customFormat="1" x14ac:dyDescent="0.3"/>
    <row r="3857" customFormat="1" x14ac:dyDescent="0.3"/>
    <row r="3858" customFormat="1" x14ac:dyDescent="0.3"/>
    <row r="3859" customFormat="1" x14ac:dyDescent="0.3"/>
    <row r="3860" customFormat="1" x14ac:dyDescent="0.3"/>
    <row r="3861" customFormat="1" x14ac:dyDescent="0.3"/>
    <row r="3862" customFormat="1" x14ac:dyDescent="0.3"/>
    <row r="3863" customFormat="1" x14ac:dyDescent="0.3"/>
    <row r="3864" customFormat="1" x14ac:dyDescent="0.3"/>
    <row r="3865" customFormat="1" x14ac:dyDescent="0.3"/>
    <row r="3866" customFormat="1" x14ac:dyDescent="0.3"/>
    <row r="3867" customFormat="1" x14ac:dyDescent="0.3"/>
    <row r="3868" customFormat="1" x14ac:dyDescent="0.3"/>
    <row r="3869" customFormat="1" x14ac:dyDescent="0.3"/>
    <row r="3870" customFormat="1" x14ac:dyDescent="0.3"/>
    <row r="3871" customFormat="1" x14ac:dyDescent="0.3"/>
    <row r="3872" customFormat="1" x14ac:dyDescent="0.3"/>
    <row r="3873" customFormat="1" x14ac:dyDescent="0.3"/>
    <row r="3874" customFormat="1" x14ac:dyDescent="0.3"/>
    <row r="3875" customFormat="1" x14ac:dyDescent="0.3"/>
    <row r="3876" customFormat="1" x14ac:dyDescent="0.3"/>
    <row r="3877" customFormat="1" x14ac:dyDescent="0.3"/>
    <row r="3878" customFormat="1" x14ac:dyDescent="0.3"/>
    <row r="3879" customFormat="1" x14ac:dyDescent="0.3"/>
    <row r="3880" customFormat="1" x14ac:dyDescent="0.3"/>
    <row r="3881" customFormat="1" x14ac:dyDescent="0.3"/>
    <row r="3882" customFormat="1" x14ac:dyDescent="0.3"/>
    <row r="3883" customFormat="1" x14ac:dyDescent="0.3"/>
    <row r="3884" customFormat="1" x14ac:dyDescent="0.3"/>
    <row r="3885" customFormat="1" x14ac:dyDescent="0.3"/>
    <row r="3886" customFormat="1" x14ac:dyDescent="0.3"/>
    <row r="3887" customFormat="1" x14ac:dyDescent="0.3"/>
    <row r="3888" customFormat="1" x14ac:dyDescent="0.3"/>
    <row r="3889" customFormat="1" x14ac:dyDescent="0.3"/>
    <row r="3890" customFormat="1" x14ac:dyDescent="0.3"/>
    <row r="3891" customFormat="1" x14ac:dyDescent="0.3"/>
    <row r="3892" customFormat="1" x14ac:dyDescent="0.3"/>
    <row r="3893" customFormat="1" x14ac:dyDescent="0.3"/>
    <row r="3894" customFormat="1" x14ac:dyDescent="0.3"/>
    <row r="3895" customFormat="1" x14ac:dyDescent="0.3"/>
    <row r="3896" customFormat="1" x14ac:dyDescent="0.3"/>
    <row r="3897" customFormat="1" x14ac:dyDescent="0.3"/>
    <row r="3898" customFormat="1" x14ac:dyDescent="0.3"/>
    <row r="3899" customFormat="1" x14ac:dyDescent="0.3"/>
    <row r="3900" customFormat="1" x14ac:dyDescent="0.3"/>
    <row r="3901" customFormat="1" x14ac:dyDescent="0.3"/>
    <row r="3902" customFormat="1" x14ac:dyDescent="0.3"/>
    <row r="3903" customFormat="1" x14ac:dyDescent="0.3"/>
    <row r="3904" customFormat="1" x14ac:dyDescent="0.3"/>
    <row r="3905" customFormat="1" x14ac:dyDescent="0.3"/>
    <row r="3906" customFormat="1" x14ac:dyDescent="0.3"/>
    <row r="3907" customFormat="1" x14ac:dyDescent="0.3"/>
    <row r="3908" customFormat="1" x14ac:dyDescent="0.3"/>
    <row r="3909" customFormat="1" x14ac:dyDescent="0.3"/>
    <row r="3910" customFormat="1" x14ac:dyDescent="0.3"/>
    <row r="3911" customFormat="1" x14ac:dyDescent="0.3"/>
    <row r="3912" customFormat="1" x14ac:dyDescent="0.3"/>
    <row r="3913" customFormat="1" x14ac:dyDescent="0.3"/>
    <row r="3914" customFormat="1" x14ac:dyDescent="0.3"/>
    <row r="3915" customFormat="1" x14ac:dyDescent="0.3"/>
    <row r="3916" customFormat="1" x14ac:dyDescent="0.3"/>
    <row r="3917" customFormat="1" x14ac:dyDescent="0.3"/>
    <row r="3918" customFormat="1" x14ac:dyDescent="0.3"/>
    <row r="3919" customFormat="1" x14ac:dyDescent="0.3"/>
    <row r="3920" customFormat="1" x14ac:dyDescent="0.3"/>
    <row r="3921" customFormat="1" x14ac:dyDescent="0.3"/>
    <row r="3922" customFormat="1" x14ac:dyDescent="0.3"/>
    <row r="3923" customFormat="1" x14ac:dyDescent="0.3"/>
    <row r="3924" customFormat="1" x14ac:dyDescent="0.3"/>
    <row r="3925" customFormat="1" x14ac:dyDescent="0.3"/>
    <row r="3926" customFormat="1" x14ac:dyDescent="0.3"/>
    <row r="3927" customFormat="1" x14ac:dyDescent="0.3"/>
    <row r="3928" customFormat="1" x14ac:dyDescent="0.3"/>
    <row r="3929" customFormat="1" x14ac:dyDescent="0.3"/>
    <row r="3930" customFormat="1" x14ac:dyDescent="0.3"/>
    <row r="3931" customFormat="1" x14ac:dyDescent="0.3"/>
    <row r="3932" customFormat="1" x14ac:dyDescent="0.3"/>
    <row r="3933" customFormat="1" x14ac:dyDescent="0.3"/>
    <row r="3934" customFormat="1" x14ac:dyDescent="0.3"/>
    <row r="3935" customFormat="1" x14ac:dyDescent="0.3"/>
    <row r="3936" customFormat="1" x14ac:dyDescent="0.3"/>
    <row r="3937" customFormat="1" x14ac:dyDescent="0.3"/>
    <row r="3938" customFormat="1" x14ac:dyDescent="0.3"/>
    <row r="3939" customFormat="1" x14ac:dyDescent="0.3"/>
    <row r="3940" customFormat="1" x14ac:dyDescent="0.3"/>
    <row r="3941" customFormat="1" x14ac:dyDescent="0.3"/>
    <row r="3942" customFormat="1" x14ac:dyDescent="0.3"/>
    <row r="3943" customFormat="1" x14ac:dyDescent="0.3"/>
    <row r="3944" customFormat="1" x14ac:dyDescent="0.3"/>
    <row r="3945" customFormat="1" x14ac:dyDescent="0.3"/>
    <row r="3946" customFormat="1" x14ac:dyDescent="0.3"/>
    <row r="3947" customFormat="1" x14ac:dyDescent="0.3"/>
    <row r="3948" customFormat="1" x14ac:dyDescent="0.3"/>
    <row r="3949" customFormat="1" x14ac:dyDescent="0.3"/>
    <row r="3950" customFormat="1" x14ac:dyDescent="0.3"/>
    <row r="3951" customFormat="1" x14ac:dyDescent="0.3"/>
    <row r="3952" customFormat="1" x14ac:dyDescent="0.3"/>
    <row r="3953" customFormat="1" x14ac:dyDescent="0.3"/>
    <row r="3954" customFormat="1" x14ac:dyDescent="0.3"/>
    <row r="3955" customFormat="1" x14ac:dyDescent="0.3"/>
    <row r="3956" customFormat="1" x14ac:dyDescent="0.3"/>
    <row r="3957" customFormat="1" x14ac:dyDescent="0.3"/>
    <row r="3958" customFormat="1" x14ac:dyDescent="0.3"/>
    <row r="3959" customFormat="1" x14ac:dyDescent="0.3"/>
    <row r="3960" customFormat="1" x14ac:dyDescent="0.3"/>
    <row r="3961" customFormat="1" x14ac:dyDescent="0.3"/>
    <row r="3962" customFormat="1" x14ac:dyDescent="0.3"/>
    <row r="3963" customFormat="1" x14ac:dyDescent="0.3"/>
    <row r="3964" customFormat="1" x14ac:dyDescent="0.3"/>
    <row r="3965" customFormat="1" x14ac:dyDescent="0.3"/>
    <row r="3966" customFormat="1" x14ac:dyDescent="0.3"/>
    <row r="3967" customFormat="1" x14ac:dyDescent="0.3"/>
    <row r="3968" customFormat="1" x14ac:dyDescent="0.3"/>
    <row r="3969" customFormat="1" x14ac:dyDescent="0.3"/>
    <row r="3970" customFormat="1" x14ac:dyDescent="0.3"/>
    <row r="3971" customFormat="1" x14ac:dyDescent="0.3"/>
    <row r="3972" customFormat="1" x14ac:dyDescent="0.3"/>
    <row r="3973" customFormat="1" x14ac:dyDescent="0.3"/>
    <row r="3974" customFormat="1" x14ac:dyDescent="0.3"/>
    <row r="3975" customFormat="1" x14ac:dyDescent="0.3"/>
    <row r="3976" customFormat="1" x14ac:dyDescent="0.3"/>
    <row r="3977" customFormat="1" x14ac:dyDescent="0.3"/>
    <row r="3978" customFormat="1" x14ac:dyDescent="0.3"/>
    <row r="3979" customFormat="1" x14ac:dyDescent="0.3"/>
    <row r="3980" customFormat="1" x14ac:dyDescent="0.3"/>
    <row r="3981" customFormat="1" x14ac:dyDescent="0.3"/>
    <row r="3982" customFormat="1" x14ac:dyDescent="0.3"/>
    <row r="3983" customFormat="1" x14ac:dyDescent="0.3"/>
    <row r="3984" customFormat="1" x14ac:dyDescent="0.3"/>
    <row r="3985" customFormat="1" x14ac:dyDescent="0.3"/>
    <row r="3986" customFormat="1" x14ac:dyDescent="0.3"/>
    <row r="3987" customFormat="1" x14ac:dyDescent="0.3"/>
    <row r="3988" customFormat="1" x14ac:dyDescent="0.3"/>
    <row r="3989" customFormat="1" x14ac:dyDescent="0.3"/>
    <row r="3990" customFormat="1" x14ac:dyDescent="0.3"/>
    <row r="3991" customFormat="1" x14ac:dyDescent="0.3"/>
    <row r="3992" customFormat="1" x14ac:dyDescent="0.3"/>
    <row r="3993" customFormat="1" x14ac:dyDescent="0.3"/>
    <row r="3994" customFormat="1" x14ac:dyDescent="0.3"/>
    <row r="3995" customFormat="1" x14ac:dyDescent="0.3"/>
    <row r="3996" customFormat="1" x14ac:dyDescent="0.3"/>
    <row r="3997" customFormat="1" x14ac:dyDescent="0.3"/>
    <row r="3998" customFormat="1" x14ac:dyDescent="0.3"/>
    <row r="3999" customFormat="1" x14ac:dyDescent="0.3"/>
    <row r="4000" customFormat="1" x14ac:dyDescent="0.3"/>
    <row r="4001" customFormat="1" x14ac:dyDescent="0.3"/>
    <row r="4002" customFormat="1" x14ac:dyDescent="0.3"/>
    <row r="4003" customFormat="1" x14ac:dyDescent="0.3"/>
    <row r="4004" customFormat="1" x14ac:dyDescent="0.3"/>
    <row r="4005" customFormat="1" x14ac:dyDescent="0.3"/>
    <row r="4006" customFormat="1" x14ac:dyDescent="0.3"/>
    <row r="4007" customFormat="1" x14ac:dyDescent="0.3"/>
    <row r="4008" customFormat="1" x14ac:dyDescent="0.3"/>
    <row r="4009" customFormat="1" x14ac:dyDescent="0.3"/>
    <row r="4010" customFormat="1" x14ac:dyDescent="0.3"/>
    <row r="4011" customFormat="1" x14ac:dyDescent="0.3"/>
    <row r="4012" customFormat="1" x14ac:dyDescent="0.3"/>
    <row r="4013" customFormat="1" x14ac:dyDescent="0.3"/>
    <row r="4014" customFormat="1" x14ac:dyDescent="0.3"/>
    <row r="4015" customFormat="1" x14ac:dyDescent="0.3"/>
    <row r="4016" customFormat="1" x14ac:dyDescent="0.3"/>
    <row r="4017" customFormat="1" x14ac:dyDescent="0.3"/>
    <row r="4018" customFormat="1" x14ac:dyDescent="0.3"/>
    <row r="4019" customFormat="1" x14ac:dyDescent="0.3"/>
    <row r="4020" customFormat="1" x14ac:dyDescent="0.3"/>
    <row r="4021" customFormat="1" x14ac:dyDescent="0.3"/>
    <row r="4022" customFormat="1" x14ac:dyDescent="0.3"/>
    <row r="4023" customFormat="1" x14ac:dyDescent="0.3"/>
    <row r="4024" customFormat="1" x14ac:dyDescent="0.3"/>
    <row r="4025" customFormat="1" x14ac:dyDescent="0.3"/>
    <row r="4026" customFormat="1" x14ac:dyDescent="0.3"/>
    <row r="4027" customFormat="1" x14ac:dyDescent="0.3"/>
    <row r="4028" customFormat="1" x14ac:dyDescent="0.3"/>
    <row r="4029" customFormat="1" x14ac:dyDescent="0.3"/>
    <row r="4030" customFormat="1" x14ac:dyDescent="0.3"/>
    <row r="4031" customFormat="1" x14ac:dyDescent="0.3"/>
    <row r="4032" customFormat="1" x14ac:dyDescent="0.3"/>
    <row r="4033" customFormat="1" x14ac:dyDescent="0.3"/>
    <row r="4034" customFormat="1" x14ac:dyDescent="0.3"/>
    <row r="4035" customFormat="1" x14ac:dyDescent="0.3"/>
    <row r="4036" customFormat="1" x14ac:dyDescent="0.3"/>
    <row r="4037" customFormat="1" x14ac:dyDescent="0.3"/>
    <row r="4038" customFormat="1" x14ac:dyDescent="0.3"/>
    <row r="4039" customFormat="1" x14ac:dyDescent="0.3"/>
    <row r="4040" customFormat="1" x14ac:dyDescent="0.3"/>
    <row r="4041" customFormat="1" x14ac:dyDescent="0.3"/>
    <row r="4042" customFormat="1" x14ac:dyDescent="0.3"/>
    <row r="4043" customFormat="1" x14ac:dyDescent="0.3"/>
    <row r="4044" customFormat="1" x14ac:dyDescent="0.3"/>
    <row r="4045" customFormat="1" x14ac:dyDescent="0.3"/>
    <row r="4046" customFormat="1" x14ac:dyDescent="0.3"/>
    <row r="4047" customFormat="1" x14ac:dyDescent="0.3"/>
    <row r="4048" customFormat="1" x14ac:dyDescent="0.3"/>
    <row r="4049" customFormat="1" x14ac:dyDescent="0.3"/>
    <row r="4050" customFormat="1" x14ac:dyDescent="0.3"/>
    <row r="4051" customFormat="1" x14ac:dyDescent="0.3"/>
    <row r="4052" customFormat="1" x14ac:dyDescent="0.3"/>
    <row r="4053" customFormat="1" x14ac:dyDescent="0.3"/>
    <row r="4054" customFormat="1" x14ac:dyDescent="0.3"/>
    <row r="4055" customFormat="1" x14ac:dyDescent="0.3"/>
    <row r="4056" customFormat="1" x14ac:dyDescent="0.3"/>
    <row r="4057" customFormat="1" x14ac:dyDescent="0.3"/>
    <row r="4058" customFormat="1" x14ac:dyDescent="0.3"/>
    <row r="4059" customFormat="1" x14ac:dyDescent="0.3"/>
    <row r="4060" customFormat="1" x14ac:dyDescent="0.3"/>
    <row r="4061" customFormat="1" x14ac:dyDescent="0.3"/>
    <row r="4062" customFormat="1" x14ac:dyDescent="0.3"/>
    <row r="4063" customFormat="1" x14ac:dyDescent="0.3"/>
    <row r="4064" customFormat="1" x14ac:dyDescent="0.3"/>
    <row r="4065" customFormat="1" x14ac:dyDescent="0.3"/>
    <row r="4066" customFormat="1" x14ac:dyDescent="0.3"/>
    <row r="4067" customFormat="1" x14ac:dyDescent="0.3"/>
    <row r="4068" customFormat="1" x14ac:dyDescent="0.3"/>
    <row r="4069" customFormat="1" x14ac:dyDescent="0.3"/>
    <row r="4070" customFormat="1" x14ac:dyDescent="0.3"/>
    <row r="4071" customFormat="1" x14ac:dyDescent="0.3"/>
    <row r="4072" customFormat="1" x14ac:dyDescent="0.3"/>
    <row r="4073" customFormat="1" x14ac:dyDescent="0.3"/>
    <row r="4074" customFormat="1" x14ac:dyDescent="0.3"/>
    <row r="4075" customFormat="1" x14ac:dyDescent="0.3"/>
    <row r="4076" customFormat="1" x14ac:dyDescent="0.3"/>
    <row r="4077" customFormat="1" x14ac:dyDescent="0.3"/>
    <row r="4078" customFormat="1" x14ac:dyDescent="0.3"/>
    <row r="4079" customFormat="1" x14ac:dyDescent="0.3"/>
    <row r="4080" customFormat="1" x14ac:dyDescent="0.3"/>
    <row r="4081" customFormat="1" x14ac:dyDescent="0.3"/>
    <row r="4082" customFormat="1" x14ac:dyDescent="0.3"/>
    <row r="4083" customFormat="1" x14ac:dyDescent="0.3"/>
    <row r="4084" customFormat="1" x14ac:dyDescent="0.3"/>
    <row r="4085" customFormat="1" x14ac:dyDescent="0.3"/>
    <row r="4086" customFormat="1" x14ac:dyDescent="0.3"/>
    <row r="4087" customFormat="1" x14ac:dyDescent="0.3"/>
    <row r="4088" customFormat="1" x14ac:dyDescent="0.3"/>
    <row r="4089" customFormat="1" x14ac:dyDescent="0.3"/>
    <row r="4090" customFormat="1" x14ac:dyDescent="0.3"/>
    <row r="4091" customFormat="1" x14ac:dyDescent="0.3"/>
    <row r="4092" customFormat="1" x14ac:dyDescent="0.3"/>
    <row r="4093" customFormat="1" x14ac:dyDescent="0.3"/>
    <row r="4094" customFormat="1" x14ac:dyDescent="0.3"/>
    <row r="4095" customFormat="1" x14ac:dyDescent="0.3"/>
    <row r="4096" customFormat="1" x14ac:dyDescent="0.3"/>
    <row r="4097" customFormat="1" x14ac:dyDescent="0.3"/>
    <row r="4098" customFormat="1" x14ac:dyDescent="0.3"/>
    <row r="4099" customFormat="1" x14ac:dyDescent="0.3"/>
    <row r="4100" customFormat="1" x14ac:dyDescent="0.3"/>
    <row r="4101" customFormat="1" x14ac:dyDescent="0.3"/>
    <row r="4102" customFormat="1" x14ac:dyDescent="0.3"/>
    <row r="4103" customFormat="1" x14ac:dyDescent="0.3"/>
    <row r="4104" customFormat="1" x14ac:dyDescent="0.3"/>
    <row r="4105" customFormat="1" x14ac:dyDescent="0.3"/>
    <row r="4106" customFormat="1" x14ac:dyDescent="0.3"/>
    <row r="4107" customFormat="1" x14ac:dyDescent="0.3"/>
    <row r="4108" customFormat="1" x14ac:dyDescent="0.3"/>
    <row r="4109" customFormat="1" x14ac:dyDescent="0.3"/>
    <row r="4110" customFormat="1" x14ac:dyDescent="0.3"/>
    <row r="4111" customFormat="1" x14ac:dyDescent="0.3"/>
    <row r="4112" customFormat="1" x14ac:dyDescent="0.3"/>
    <row r="4113" customFormat="1" x14ac:dyDescent="0.3"/>
    <row r="4114" customFormat="1" x14ac:dyDescent="0.3"/>
    <row r="4115" customFormat="1" x14ac:dyDescent="0.3"/>
    <row r="4116" customFormat="1" x14ac:dyDescent="0.3"/>
    <row r="4117" customFormat="1" x14ac:dyDescent="0.3"/>
    <row r="4118" customFormat="1" x14ac:dyDescent="0.3"/>
    <row r="4119" customFormat="1" x14ac:dyDescent="0.3"/>
    <row r="4120" customFormat="1" x14ac:dyDescent="0.3"/>
    <row r="4121" customFormat="1" x14ac:dyDescent="0.3"/>
    <row r="4122" customFormat="1" x14ac:dyDescent="0.3"/>
    <row r="4123" customFormat="1" x14ac:dyDescent="0.3"/>
    <row r="4124" customFormat="1" x14ac:dyDescent="0.3"/>
    <row r="4125" customFormat="1" x14ac:dyDescent="0.3"/>
    <row r="4126" customFormat="1" x14ac:dyDescent="0.3"/>
    <row r="4127" customFormat="1" x14ac:dyDescent="0.3"/>
    <row r="4128" customFormat="1" x14ac:dyDescent="0.3"/>
    <row r="4129" customFormat="1" x14ac:dyDescent="0.3"/>
    <row r="4130" customFormat="1" x14ac:dyDescent="0.3"/>
    <row r="4131" customFormat="1" x14ac:dyDescent="0.3"/>
    <row r="4132" customFormat="1" x14ac:dyDescent="0.3"/>
    <row r="4133" customFormat="1" x14ac:dyDescent="0.3"/>
    <row r="4134" customFormat="1" x14ac:dyDescent="0.3"/>
    <row r="4135" customFormat="1" x14ac:dyDescent="0.3"/>
    <row r="4136" customFormat="1" x14ac:dyDescent="0.3"/>
    <row r="4137" customFormat="1" x14ac:dyDescent="0.3"/>
    <row r="4138" customFormat="1" x14ac:dyDescent="0.3"/>
    <row r="4139" customFormat="1" x14ac:dyDescent="0.3"/>
    <row r="4140" customFormat="1" x14ac:dyDescent="0.3"/>
    <row r="4141" customFormat="1" x14ac:dyDescent="0.3"/>
    <row r="4142" customFormat="1" x14ac:dyDescent="0.3"/>
    <row r="4143" customFormat="1" x14ac:dyDescent="0.3"/>
    <row r="4144" customFormat="1" x14ac:dyDescent="0.3"/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  <row r="4189" customFormat="1" x14ac:dyDescent="0.3"/>
    <row r="4190" customFormat="1" x14ac:dyDescent="0.3"/>
    <row r="4191" customFormat="1" x14ac:dyDescent="0.3"/>
    <row r="4192" customFormat="1" x14ac:dyDescent="0.3"/>
    <row r="4193" customFormat="1" x14ac:dyDescent="0.3"/>
    <row r="4194" customFormat="1" x14ac:dyDescent="0.3"/>
    <row r="4195" customFormat="1" x14ac:dyDescent="0.3"/>
    <row r="4196" customFormat="1" x14ac:dyDescent="0.3"/>
    <row r="4197" customFormat="1" x14ac:dyDescent="0.3"/>
    <row r="4198" customFormat="1" x14ac:dyDescent="0.3"/>
    <row r="4199" customFormat="1" x14ac:dyDescent="0.3"/>
    <row r="4200" customFormat="1" x14ac:dyDescent="0.3"/>
    <row r="4201" customFormat="1" x14ac:dyDescent="0.3"/>
    <row r="4202" customFormat="1" x14ac:dyDescent="0.3"/>
    <row r="4203" customFormat="1" x14ac:dyDescent="0.3"/>
    <row r="4204" customFormat="1" x14ac:dyDescent="0.3"/>
    <row r="4205" customFormat="1" x14ac:dyDescent="0.3"/>
    <row r="4206" customFormat="1" x14ac:dyDescent="0.3"/>
    <row r="4207" customFormat="1" x14ac:dyDescent="0.3"/>
    <row r="4208" customFormat="1" x14ac:dyDescent="0.3"/>
    <row r="4209" customFormat="1" x14ac:dyDescent="0.3"/>
    <row r="4210" customFormat="1" x14ac:dyDescent="0.3"/>
    <row r="4211" customFormat="1" x14ac:dyDescent="0.3"/>
    <row r="4212" customFormat="1" x14ac:dyDescent="0.3"/>
    <row r="4213" customFormat="1" x14ac:dyDescent="0.3"/>
    <row r="4214" customFormat="1" x14ac:dyDescent="0.3"/>
    <row r="4215" customFormat="1" x14ac:dyDescent="0.3"/>
    <row r="4216" customFormat="1" x14ac:dyDescent="0.3"/>
    <row r="4217" customFormat="1" x14ac:dyDescent="0.3"/>
    <row r="4218" customFormat="1" x14ac:dyDescent="0.3"/>
    <row r="4219" customFormat="1" x14ac:dyDescent="0.3"/>
    <row r="4220" customFormat="1" x14ac:dyDescent="0.3"/>
    <row r="4221" customFormat="1" x14ac:dyDescent="0.3"/>
    <row r="4222" customFormat="1" x14ac:dyDescent="0.3"/>
    <row r="4223" customFormat="1" x14ac:dyDescent="0.3"/>
    <row r="4224" customFormat="1" x14ac:dyDescent="0.3"/>
    <row r="4225" customFormat="1" x14ac:dyDescent="0.3"/>
    <row r="4226" customFormat="1" x14ac:dyDescent="0.3"/>
    <row r="4227" customFormat="1" x14ac:dyDescent="0.3"/>
    <row r="4228" customFormat="1" x14ac:dyDescent="0.3"/>
    <row r="4229" customFormat="1" x14ac:dyDescent="0.3"/>
    <row r="4230" customFormat="1" x14ac:dyDescent="0.3"/>
    <row r="4231" customFormat="1" x14ac:dyDescent="0.3"/>
    <row r="4232" customFormat="1" x14ac:dyDescent="0.3"/>
    <row r="4233" customFormat="1" x14ac:dyDescent="0.3"/>
    <row r="4234" customFormat="1" x14ac:dyDescent="0.3"/>
    <row r="4235" customFormat="1" x14ac:dyDescent="0.3"/>
    <row r="4236" customFormat="1" x14ac:dyDescent="0.3"/>
    <row r="4237" customFormat="1" x14ac:dyDescent="0.3"/>
    <row r="4238" customFormat="1" x14ac:dyDescent="0.3"/>
    <row r="4239" customFormat="1" x14ac:dyDescent="0.3"/>
    <row r="4240" customFormat="1" x14ac:dyDescent="0.3"/>
    <row r="4241" customFormat="1" x14ac:dyDescent="0.3"/>
    <row r="4242" customFormat="1" x14ac:dyDescent="0.3"/>
    <row r="4243" customFormat="1" x14ac:dyDescent="0.3"/>
    <row r="4244" customFormat="1" x14ac:dyDescent="0.3"/>
    <row r="4245" customFormat="1" x14ac:dyDescent="0.3"/>
    <row r="4246" customFormat="1" x14ac:dyDescent="0.3"/>
    <row r="4247" customFormat="1" x14ac:dyDescent="0.3"/>
    <row r="4248" customFormat="1" x14ac:dyDescent="0.3"/>
    <row r="4249" customFormat="1" x14ac:dyDescent="0.3"/>
    <row r="4250" customFormat="1" x14ac:dyDescent="0.3"/>
    <row r="4251" customFormat="1" x14ac:dyDescent="0.3"/>
    <row r="4252" customFormat="1" x14ac:dyDescent="0.3"/>
    <row r="4253" customFormat="1" x14ac:dyDescent="0.3"/>
    <row r="4254" customFormat="1" x14ac:dyDescent="0.3"/>
    <row r="4255" customFormat="1" x14ac:dyDescent="0.3"/>
    <row r="4256" customFormat="1" x14ac:dyDescent="0.3"/>
    <row r="4257" customFormat="1" x14ac:dyDescent="0.3"/>
    <row r="4258" customFormat="1" x14ac:dyDescent="0.3"/>
    <row r="4259" customFormat="1" x14ac:dyDescent="0.3"/>
    <row r="4260" customFormat="1" x14ac:dyDescent="0.3"/>
    <row r="4261" customFormat="1" x14ac:dyDescent="0.3"/>
    <row r="4262" customFormat="1" x14ac:dyDescent="0.3"/>
    <row r="4263" customFormat="1" x14ac:dyDescent="0.3"/>
    <row r="4264" customFormat="1" x14ac:dyDescent="0.3"/>
    <row r="4265" customFormat="1" x14ac:dyDescent="0.3"/>
    <row r="4266" customFormat="1" x14ac:dyDescent="0.3"/>
    <row r="4267" customFormat="1" x14ac:dyDescent="0.3"/>
    <row r="4268" customFormat="1" x14ac:dyDescent="0.3"/>
    <row r="4269" customFormat="1" x14ac:dyDescent="0.3"/>
    <row r="4270" customFormat="1" x14ac:dyDescent="0.3"/>
    <row r="4271" customFormat="1" x14ac:dyDescent="0.3"/>
    <row r="4272" customFormat="1" x14ac:dyDescent="0.3"/>
    <row r="4273" customFormat="1" x14ac:dyDescent="0.3"/>
    <row r="4274" customFormat="1" x14ac:dyDescent="0.3"/>
    <row r="4275" customFormat="1" x14ac:dyDescent="0.3"/>
    <row r="4276" customFormat="1" x14ac:dyDescent="0.3"/>
    <row r="4277" customFormat="1" x14ac:dyDescent="0.3"/>
    <row r="4278" customFormat="1" x14ac:dyDescent="0.3"/>
    <row r="4279" customFormat="1" x14ac:dyDescent="0.3"/>
    <row r="4280" customFormat="1" x14ac:dyDescent="0.3"/>
    <row r="4281" customFormat="1" x14ac:dyDescent="0.3"/>
    <row r="4282" customFormat="1" x14ac:dyDescent="0.3"/>
    <row r="4283" customFormat="1" x14ac:dyDescent="0.3"/>
    <row r="4284" customFormat="1" x14ac:dyDescent="0.3"/>
    <row r="4285" customFormat="1" x14ac:dyDescent="0.3"/>
    <row r="4286" customFormat="1" x14ac:dyDescent="0.3"/>
    <row r="4287" customFormat="1" x14ac:dyDescent="0.3"/>
    <row r="4288" customFormat="1" x14ac:dyDescent="0.3"/>
    <row r="4289" customFormat="1" x14ac:dyDescent="0.3"/>
    <row r="4290" customFormat="1" x14ac:dyDescent="0.3"/>
    <row r="4291" customFormat="1" x14ac:dyDescent="0.3"/>
    <row r="4292" customFormat="1" x14ac:dyDescent="0.3"/>
    <row r="4293" customFormat="1" x14ac:dyDescent="0.3"/>
    <row r="4294" customFormat="1" x14ac:dyDescent="0.3"/>
    <row r="4295" customFormat="1" x14ac:dyDescent="0.3"/>
    <row r="4296" customFormat="1" x14ac:dyDescent="0.3"/>
    <row r="4297" customFormat="1" x14ac:dyDescent="0.3"/>
    <row r="4298" customFormat="1" x14ac:dyDescent="0.3"/>
    <row r="4299" customFormat="1" x14ac:dyDescent="0.3"/>
    <row r="4300" customFormat="1" x14ac:dyDescent="0.3"/>
    <row r="4301" customFormat="1" x14ac:dyDescent="0.3"/>
    <row r="4302" customFormat="1" x14ac:dyDescent="0.3"/>
    <row r="4303" customFormat="1" x14ac:dyDescent="0.3"/>
    <row r="4304" customFormat="1" x14ac:dyDescent="0.3"/>
    <row r="4305" customFormat="1" x14ac:dyDescent="0.3"/>
    <row r="4306" customFormat="1" x14ac:dyDescent="0.3"/>
    <row r="4307" customFormat="1" x14ac:dyDescent="0.3"/>
    <row r="4308" customFormat="1" x14ac:dyDescent="0.3"/>
    <row r="4309" customFormat="1" x14ac:dyDescent="0.3"/>
    <row r="4310" customFormat="1" x14ac:dyDescent="0.3"/>
    <row r="4311" customFormat="1" x14ac:dyDescent="0.3"/>
    <row r="4312" customFormat="1" x14ac:dyDescent="0.3"/>
    <row r="4313" customFormat="1" x14ac:dyDescent="0.3"/>
    <row r="4314" customFormat="1" x14ac:dyDescent="0.3"/>
    <row r="4315" customFormat="1" x14ac:dyDescent="0.3"/>
    <row r="4316" customFormat="1" x14ac:dyDescent="0.3"/>
    <row r="4317" customFormat="1" x14ac:dyDescent="0.3"/>
    <row r="4318" customFormat="1" x14ac:dyDescent="0.3"/>
    <row r="4319" customFormat="1" x14ac:dyDescent="0.3"/>
    <row r="4320" customFormat="1" x14ac:dyDescent="0.3"/>
    <row r="4321" customFormat="1" x14ac:dyDescent="0.3"/>
    <row r="4322" customFormat="1" x14ac:dyDescent="0.3"/>
    <row r="4323" customFormat="1" x14ac:dyDescent="0.3"/>
    <row r="4324" customFormat="1" x14ac:dyDescent="0.3"/>
    <row r="4325" customFormat="1" x14ac:dyDescent="0.3"/>
    <row r="4326" customFormat="1" x14ac:dyDescent="0.3"/>
    <row r="4327" customFormat="1" x14ac:dyDescent="0.3"/>
    <row r="4328" customFormat="1" x14ac:dyDescent="0.3"/>
    <row r="4329" customFormat="1" x14ac:dyDescent="0.3"/>
    <row r="4330" customFormat="1" x14ac:dyDescent="0.3"/>
    <row r="4331" customFormat="1" x14ac:dyDescent="0.3"/>
    <row r="4332" customFormat="1" x14ac:dyDescent="0.3"/>
    <row r="4333" customFormat="1" x14ac:dyDescent="0.3"/>
    <row r="4334" customFormat="1" x14ac:dyDescent="0.3"/>
    <row r="4335" customFormat="1" x14ac:dyDescent="0.3"/>
    <row r="4336" customFormat="1" x14ac:dyDescent="0.3"/>
    <row r="4337" customFormat="1" x14ac:dyDescent="0.3"/>
    <row r="4338" customFormat="1" x14ac:dyDescent="0.3"/>
    <row r="4339" customFormat="1" x14ac:dyDescent="0.3"/>
    <row r="4340" customFormat="1" x14ac:dyDescent="0.3"/>
    <row r="4341" customFormat="1" x14ac:dyDescent="0.3"/>
    <row r="4342" customFormat="1" x14ac:dyDescent="0.3"/>
    <row r="4343" customFormat="1" x14ac:dyDescent="0.3"/>
    <row r="4344" customFormat="1" x14ac:dyDescent="0.3"/>
    <row r="4345" customFormat="1" x14ac:dyDescent="0.3"/>
    <row r="4346" customFormat="1" x14ac:dyDescent="0.3"/>
    <row r="4347" customFormat="1" x14ac:dyDescent="0.3"/>
    <row r="4348" customFormat="1" x14ac:dyDescent="0.3"/>
    <row r="4349" customFormat="1" x14ac:dyDescent="0.3"/>
    <row r="4350" customFormat="1" x14ac:dyDescent="0.3"/>
    <row r="4351" customFormat="1" x14ac:dyDescent="0.3"/>
    <row r="4352" customFormat="1" x14ac:dyDescent="0.3"/>
    <row r="4353" customFormat="1" x14ac:dyDescent="0.3"/>
    <row r="4354" customFormat="1" x14ac:dyDescent="0.3"/>
    <row r="4355" customFormat="1" x14ac:dyDescent="0.3"/>
    <row r="4356" customFormat="1" x14ac:dyDescent="0.3"/>
    <row r="4357" customFormat="1" x14ac:dyDescent="0.3"/>
    <row r="4358" customFormat="1" x14ac:dyDescent="0.3"/>
    <row r="4359" customFormat="1" x14ac:dyDescent="0.3"/>
    <row r="4360" customFormat="1" x14ac:dyDescent="0.3"/>
    <row r="4361" customFormat="1" x14ac:dyDescent="0.3"/>
    <row r="4362" customFormat="1" x14ac:dyDescent="0.3"/>
    <row r="4363" customFormat="1" x14ac:dyDescent="0.3"/>
    <row r="4364" customFormat="1" x14ac:dyDescent="0.3"/>
    <row r="4365" customFormat="1" x14ac:dyDescent="0.3"/>
    <row r="4366" customFormat="1" x14ac:dyDescent="0.3"/>
    <row r="4367" customFormat="1" x14ac:dyDescent="0.3"/>
    <row r="4368" customFormat="1" x14ac:dyDescent="0.3"/>
    <row r="4369" customFormat="1" x14ac:dyDescent="0.3"/>
    <row r="4370" customFormat="1" x14ac:dyDescent="0.3"/>
    <row r="4371" customFormat="1" x14ac:dyDescent="0.3"/>
    <row r="4372" customFormat="1" x14ac:dyDescent="0.3"/>
    <row r="4373" customFormat="1" x14ac:dyDescent="0.3"/>
    <row r="4374" customFormat="1" x14ac:dyDescent="0.3"/>
    <row r="4375" customFormat="1" x14ac:dyDescent="0.3"/>
    <row r="4376" customFormat="1" x14ac:dyDescent="0.3"/>
    <row r="4377" customFormat="1" x14ac:dyDescent="0.3"/>
    <row r="4378" customFormat="1" x14ac:dyDescent="0.3"/>
    <row r="4379" customFormat="1" x14ac:dyDescent="0.3"/>
    <row r="4380" customFormat="1" x14ac:dyDescent="0.3"/>
    <row r="4381" customFormat="1" x14ac:dyDescent="0.3"/>
    <row r="4382" customFormat="1" x14ac:dyDescent="0.3"/>
    <row r="4383" customFormat="1" x14ac:dyDescent="0.3"/>
    <row r="4384" customFormat="1" x14ac:dyDescent="0.3"/>
    <row r="4385" customFormat="1" x14ac:dyDescent="0.3"/>
    <row r="4386" customFormat="1" x14ac:dyDescent="0.3"/>
    <row r="4387" customFormat="1" x14ac:dyDescent="0.3"/>
    <row r="4388" customFormat="1" x14ac:dyDescent="0.3"/>
    <row r="4389" customFormat="1" x14ac:dyDescent="0.3"/>
    <row r="4390" customFormat="1" x14ac:dyDescent="0.3"/>
    <row r="4391" customFormat="1" x14ac:dyDescent="0.3"/>
    <row r="4392" customFormat="1" x14ac:dyDescent="0.3"/>
    <row r="4393" customFormat="1" x14ac:dyDescent="0.3"/>
    <row r="4394" customFormat="1" x14ac:dyDescent="0.3"/>
    <row r="4395" customFormat="1" x14ac:dyDescent="0.3"/>
    <row r="4396" customFormat="1" x14ac:dyDescent="0.3"/>
    <row r="4397" customFormat="1" x14ac:dyDescent="0.3"/>
    <row r="4398" customFormat="1" x14ac:dyDescent="0.3"/>
    <row r="4399" customFormat="1" x14ac:dyDescent="0.3"/>
    <row r="4400" customFormat="1" x14ac:dyDescent="0.3"/>
    <row r="4401" customFormat="1" x14ac:dyDescent="0.3"/>
    <row r="4402" customFormat="1" x14ac:dyDescent="0.3"/>
    <row r="4403" customFormat="1" x14ac:dyDescent="0.3"/>
    <row r="4404" customFormat="1" x14ac:dyDescent="0.3"/>
    <row r="4405" customFormat="1" x14ac:dyDescent="0.3"/>
    <row r="4406" customFormat="1" x14ac:dyDescent="0.3"/>
    <row r="4407" customFormat="1" x14ac:dyDescent="0.3"/>
    <row r="4408" customFormat="1" x14ac:dyDescent="0.3"/>
    <row r="4409" customFormat="1" x14ac:dyDescent="0.3"/>
    <row r="4410" customFormat="1" x14ac:dyDescent="0.3"/>
    <row r="4411" customFormat="1" x14ac:dyDescent="0.3"/>
    <row r="4412" customFormat="1" x14ac:dyDescent="0.3"/>
    <row r="4413" customFormat="1" x14ac:dyDescent="0.3"/>
    <row r="4414" customFormat="1" x14ac:dyDescent="0.3"/>
    <row r="4415" customFormat="1" x14ac:dyDescent="0.3"/>
    <row r="4416" customFormat="1" x14ac:dyDescent="0.3"/>
    <row r="4417" customFormat="1" x14ac:dyDescent="0.3"/>
    <row r="4418" customFormat="1" x14ac:dyDescent="0.3"/>
    <row r="4419" customFormat="1" x14ac:dyDescent="0.3"/>
    <row r="4420" customFormat="1" x14ac:dyDescent="0.3"/>
    <row r="4421" customFormat="1" x14ac:dyDescent="0.3"/>
    <row r="4422" customFormat="1" x14ac:dyDescent="0.3"/>
    <row r="4423" customFormat="1" x14ac:dyDescent="0.3"/>
    <row r="4424" customFormat="1" x14ac:dyDescent="0.3"/>
    <row r="4425" customFormat="1" x14ac:dyDescent="0.3"/>
    <row r="4426" customFormat="1" x14ac:dyDescent="0.3"/>
    <row r="4427" customFormat="1" x14ac:dyDescent="0.3"/>
    <row r="4428" customFormat="1" x14ac:dyDescent="0.3"/>
    <row r="4429" customFormat="1" x14ac:dyDescent="0.3"/>
    <row r="4430" customFormat="1" x14ac:dyDescent="0.3"/>
    <row r="4431" customFormat="1" x14ac:dyDescent="0.3"/>
    <row r="4432" customFormat="1" x14ac:dyDescent="0.3"/>
    <row r="4433" customFormat="1" x14ac:dyDescent="0.3"/>
    <row r="4434" customFormat="1" x14ac:dyDescent="0.3"/>
    <row r="4435" customFormat="1" x14ac:dyDescent="0.3"/>
    <row r="4436" customFormat="1" x14ac:dyDescent="0.3"/>
    <row r="4437" customFormat="1" x14ac:dyDescent="0.3"/>
    <row r="4438" customFormat="1" x14ac:dyDescent="0.3"/>
    <row r="4439" customFormat="1" x14ac:dyDescent="0.3"/>
    <row r="4440" customFormat="1" x14ac:dyDescent="0.3"/>
    <row r="4441" customFormat="1" x14ac:dyDescent="0.3"/>
    <row r="4442" customFormat="1" x14ac:dyDescent="0.3"/>
    <row r="4443" customFormat="1" x14ac:dyDescent="0.3"/>
    <row r="4444" customFormat="1" x14ac:dyDescent="0.3"/>
    <row r="4445" customFormat="1" x14ac:dyDescent="0.3"/>
    <row r="4446" customFormat="1" x14ac:dyDescent="0.3"/>
    <row r="4447" customFormat="1" x14ac:dyDescent="0.3"/>
    <row r="4448" customFormat="1" x14ac:dyDescent="0.3"/>
    <row r="4449" customFormat="1" x14ac:dyDescent="0.3"/>
    <row r="4450" customFormat="1" x14ac:dyDescent="0.3"/>
    <row r="4451" customFormat="1" x14ac:dyDescent="0.3"/>
    <row r="4452" customFormat="1" x14ac:dyDescent="0.3"/>
    <row r="4453" customFormat="1" x14ac:dyDescent="0.3"/>
    <row r="4454" customFormat="1" x14ac:dyDescent="0.3"/>
    <row r="4455" customFormat="1" x14ac:dyDescent="0.3"/>
    <row r="4456" customFormat="1" x14ac:dyDescent="0.3"/>
    <row r="4457" customFormat="1" x14ac:dyDescent="0.3"/>
    <row r="4458" customFormat="1" x14ac:dyDescent="0.3"/>
    <row r="4459" customFormat="1" x14ac:dyDescent="0.3"/>
    <row r="4460" customFormat="1" x14ac:dyDescent="0.3"/>
    <row r="4461" customFormat="1" x14ac:dyDescent="0.3"/>
    <row r="4462" customFormat="1" x14ac:dyDescent="0.3"/>
    <row r="4463" customFormat="1" x14ac:dyDescent="0.3"/>
    <row r="4464" customFormat="1" x14ac:dyDescent="0.3"/>
    <row r="4465" customFormat="1" x14ac:dyDescent="0.3"/>
    <row r="4466" customFormat="1" x14ac:dyDescent="0.3"/>
    <row r="4467" customFormat="1" x14ac:dyDescent="0.3"/>
    <row r="4468" customFormat="1" x14ac:dyDescent="0.3"/>
    <row r="4469" customFormat="1" x14ac:dyDescent="0.3"/>
    <row r="4470" customFormat="1" x14ac:dyDescent="0.3"/>
    <row r="4471" customFormat="1" x14ac:dyDescent="0.3"/>
    <row r="4472" customFormat="1" x14ac:dyDescent="0.3"/>
    <row r="4473" customFormat="1" x14ac:dyDescent="0.3"/>
    <row r="4474" customFormat="1" x14ac:dyDescent="0.3"/>
    <row r="4475" customFormat="1" x14ac:dyDescent="0.3"/>
    <row r="4476" customFormat="1" x14ac:dyDescent="0.3"/>
    <row r="4477" customFormat="1" x14ac:dyDescent="0.3"/>
    <row r="4478" customFormat="1" x14ac:dyDescent="0.3"/>
    <row r="4479" customFormat="1" x14ac:dyDescent="0.3"/>
    <row r="4480" customFormat="1" x14ac:dyDescent="0.3"/>
    <row r="4481" customFormat="1" x14ac:dyDescent="0.3"/>
    <row r="4482" customFormat="1" x14ac:dyDescent="0.3"/>
    <row r="4483" customFormat="1" x14ac:dyDescent="0.3"/>
    <row r="4484" customFormat="1" x14ac:dyDescent="0.3"/>
    <row r="4485" customFormat="1" x14ac:dyDescent="0.3"/>
    <row r="4486" customFormat="1" x14ac:dyDescent="0.3"/>
    <row r="4487" customFormat="1" x14ac:dyDescent="0.3"/>
    <row r="4488" customFormat="1" x14ac:dyDescent="0.3"/>
    <row r="4489" customFormat="1" x14ac:dyDescent="0.3"/>
    <row r="4490" customFormat="1" x14ac:dyDescent="0.3"/>
    <row r="4491" customFormat="1" x14ac:dyDescent="0.3"/>
    <row r="4492" customFormat="1" x14ac:dyDescent="0.3"/>
    <row r="4493" customFormat="1" x14ac:dyDescent="0.3"/>
    <row r="4494" customFormat="1" x14ac:dyDescent="0.3"/>
    <row r="4495" customFormat="1" x14ac:dyDescent="0.3"/>
    <row r="4496" customFormat="1" x14ac:dyDescent="0.3"/>
    <row r="4497" customFormat="1" x14ac:dyDescent="0.3"/>
    <row r="4498" customFormat="1" x14ac:dyDescent="0.3"/>
    <row r="4499" customFormat="1" x14ac:dyDescent="0.3"/>
    <row r="4500" customFormat="1" x14ac:dyDescent="0.3"/>
    <row r="4501" customFormat="1" x14ac:dyDescent="0.3"/>
    <row r="4502" customFormat="1" x14ac:dyDescent="0.3"/>
    <row r="4503" customFormat="1" x14ac:dyDescent="0.3"/>
    <row r="4504" customFormat="1" x14ac:dyDescent="0.3"/>
    <row r="4505" customFormat="1" x14ac:dyDescent="0.3"/>
    <row r="4506" customFormat="1" x14ac:dyDescent="0.3"/>
    <row r="4507" customFormat="1" x14ac:dyDescent="0.3"/>
    <row r="4508" customFormat="1" x14ac:dyDescent="0.3"/>
    <row r="4509" customFormat="1" x14ac:dyDescent="0.3"/>
    <row r="4510" customFormat="1" x14ac:dyDescent="0.3"/>
    <row r="4511" customFormat="1" x14ac:dyDescent="0.3"/>
    <row r="4512" customFormat="1" x14ac:dyDescent="0.3"/>
    <row r="4513" customFormat="1" x14ac:dyDescent="0.3"/>
    <row r="4514" customFormat="1" x14ac:dyDescent="0.3"/>
    <row r="4515" customFormat="1" x14ac:dyDescent="0.3"/>
    <row r="4516" customFormat="1" x14ac:dyDescent="0.3"/>
    <row r="4517" customFormat="1" x14ac:dyDescent="0.3"/>
    <row r="4518" customFormat="1" x14ac:dyDescent="0.3"/>
    <row r="4519" customFormat="1" x14ac:dyDescent="0.3"/>
    <row r="4520" customFormat="1" x14ac:dyDescent="0.3"/>
    <row r="4521" customFormat="1" x14ac:dyDescent="0.3"/>
    <row r="4522" customFormat="1" x14ac:dyDescent="0.3"/>
    <row r="4523" customFormat="1" x14ac:dyDescent="0.3"/>
    <row r="4524" customFormat="1" x14ac:dyDescent="0.3"/>
    <row r="4525" customFormat="1" x14ac:dyDescent="0.3"/>
    <row r="4526" customFormat="1" x14ac:dyDescent="0.3"/>
    <row r="4527" customFormat="1" x14ac:dyDescent="0.3"/>
    <row r="4528" customFormat="1" x14ac:dyDescent="0.3"/>
    <row r="4529" customFormat="1" x14ac:dyDescent="0.3"/>
    <row r="4530" customFormat="1" x14ac:dyDescent="0.3"/>
    <row r="4531" customFormat="1" x14ac:dyDescent="0.3"/>
    <row r="4532" customFormat="1" x14ac:dyDescent="0.3"/>
    <row r="4533" customFormat="1" x14ac:dyDescent="0.3"/>
    <row r="4534" customFormat="1" x14ac:dyDescent="0.3"/>
    <row r="4535" customFormat="1" x14ac:dyDescent="0.3"/>
    <row r="4536" customFormat="1" x14ac:dyDescent="0.3"/>
    <row r="4537" customFormat="1" x14ac:dyDescent="0.3"/>
    <row r="4538" customFormat="1" x14ac:dyDescent="0.3"/>
    <row r="4539" customFormat="1" x14ac:dyDescent="0.3"/>
    <row r="4540" customFormat="1" x14ac:dyDescent="0.3"/>
    <row r="4541" customFormat="1" x14ac:dyDescent="0.3"/>
    <row r="4542" customFormat="1" x14ac:dyDescent="0.3"/>
    <row r="4543" customFormat="1" x14ac:dyDescent="0.3"/>
    <row r="4544" customFormat="1" x14ac:dyDescent="0.3"/>
    <row r="4545" customFormat="1" x14ac:dyDescent="0.3"/>
    <row r="4546" customFormat="1" x14ac:dyDescent="0.3"/>
    <row r="4547" customFormat="1" x14ac:dyDescent="0.3"/>
    <row r="4548" customFormat="1" x14ac:dyDescent="0.3"/>
    <row r="4549" customFormat="1" x14ac:dyDescent="0.3"/>
    <row r="4550" customFormat="1" x14ac:dyDescent="0.3"/>
    <row r="4551" customFormat="1" x14ac:dyDescent="0.3"/>
    <row r="4552" customFormat="1" x14ac:dyDescent="0.3"/>
    <row r="4553" customFormat="1" x14ac:dyDescent="0.3"/>
    <row r="4554" customFormat="1" x14ac:dyDescent="0.3"/>
    <row r="4555" customFormat="1" x14ac:dyDescent="0.3"/>
    <row r="4556" customFormat="1" x14ac:dyDescent="0.3"/>
    <row r="4557" customFormat="1" x14ac:dyDescent="0.3"/>
    <row r="4558" customFormat="1" x14ac:dyDescent="0.3"/>
    <row r="4559" customFormat="1" x14ac:dyDescent="0.3"/>
    <row r="4560" customFormat="1" x14ac:dyDescent="0.3"/>
    <row r="4561" customFormat="1" x14ac:dyDescent="0.3"/>
    <row r="4562" customFormat="1" x14ac:dyDescent="0.3"/>
    <row r="4563" customFormat="1" x14ac:dyDescent="0.3"/>
    <row r="4564" customFormat="1" x14ac:dyDescent="0.3"/>
    <row r="4565" customFormat="1" x14ac:dyDescent="0.3"/>
    <row r="4566" customFormat="1" x14ac:dyDescent="0.3"/>
    <row r="4567" customFormat="1" x14ac:dyDescent="0.3"/>
    <row r="4568" customFormat="1" x14ac:dyDescent="0.3"/>
    <row r="4569" customFormat="1" x14ac:dyDescent="0.3"/>
    <row r="4570" customFormat="1" x14ac:dyDescent="0.3"/>
    <row r="4571" customFormat="1" x14ac:dyDescent="0.3"/>
    <row r="4572" customFormat="1" x14ac:dyDescent="0.3"/>
    <row r="4573" customFormat="1" x14ac:dyDescent="0.3"/>
    <row r="4574" customFormat="1" x14ac:dyDescent="0.3"/>
    <row r="4575" customFormat="1" x14ac:dyDescent="0.3"/>
    <row r="4576" customFormat="1" x14ac:dyDescent="0.3"/>
    <row r="4577" customFormat="1" x14ac:dyDescent="0.3"/>
    <row r="4578" customFormat="1" x14ac:dyDescent="0.3"/>
    <row r="4579" customFormat="1" x14ac:dyDescent="0.3"/>
    <row r="4580" customFormat="1" x14ac:dyDescent="0.3"/>
    <row r="4581" customFormat="1" x14ac:dyDescent="0.3"/>
    <row r="4582" customFormat="1" x14ac:dyDescent="0.3"/>
    <row r="4583" customFormat="1" x14ac:dyDescent="0.3"/>
    <row r="4584" customFormat="1" x14ac:dyDescent="0.3"/>
    <row r="4585" customFormat="1" x14ac:dyDescent="0.3"/>
    <row r="4586" customFormat="1" x14ac:dyDescent="0.3"/>
    <row r="4587" customFormat="1" x14ac:dyDescent="0.3"/>
    <row r="4588" customFormat="1" x14ac:dyDescent="0.3"/>
    <row r="4589" customFormat="1" x14ac:dyDescent="0.3"/>
    <row r="4590" customFormat="1" x14ac:dyDescent="0.3"/>
    <row r="4591" customFormat="1" x14ac:dyDescent="0.3"/>
    <row r="4592" customFormat="1" x14ac:dyDescent="0.3"/>
    <row r="4593" customFormat="1" x14ac:dyDescent="0.3"/>
    <row r="4594" customFormat="1" x14ac:dyDescent="0.3"/>
    <row r="4595" customFormat="1" x14ac:dyDescent="0.3"/>
    <row r="4596" customFormat="1" x14ac:dyDescent="0.3"/>
    <row r="4597" customFormat="1" x14ac:dyDescent="0.3"/>
    <row r="4598" customFormat="1" x14ac:dyDescent="0.3"/>
    <row r="4599" customFormat="1" x14ac:dyDescent="0.3"/>
    <row r="4600" customFormat="1" x14ac:dyDescent="0.3"/>
    <row r="4601" customFormat="1" x14ac:dyDescent="0.3"/>
    <row r="4602" customFormat="1" x14ac:dyDescent="0.3"/>
    <row r="4603" customFormat="1" x14ac:dyDescent="0.3"/>
    <row r="4604" customFormat="1" x14ac:dyDescent="0.3"/>
    <row r="4605" customFormat="1" x14ac:dyDescent="0.3"/>
    <row r="4606" customFormat="1" x14ac:dyDescent="0.3"/>
    <row r="4607" customFormat="1" x14ac:dyDescent="0.3"/>
    <row r="4608" customFormat="1" x14ac:dyDescent="0.3"/>
    <row r="4609" customFormat="1" x14ac:dyDescent="0.3"/>
    <row r="4610" customFormat="1" x14ac:dyDescent="0.3"/>
    <row r="4611" customFormat="1" x14ac:dyDescent="0.3"/>
    <row r="4612" customFormat="1" x14ac:dyDescent="0.3"/>
    <row r="4613" customFormat="1" x14ac:dyDescent="0.3"/>
    <row r="4614" customFormat="1" x14ac:dyDescent="0.3"/>
    <row r="4615" customFormat="1" x14ac:dyDescent="0.3"/>
    <row r="4616" customFormat="1" x14ac:dyDescent="0.3"/>
    <row r="4617" customFormat="1" x14ac:dyDescent="0.3"/>
    <row r="4618" customFormat="1" x14ac:dyDescent="0.3"/>
    <row r="4619" customFormat="1" x14ac:dyDescent="0.3"/>
    <row r="4620" customFormat="1" x14ac:dyDescent="0.3"/>
    <row r="4621" customFormat="1" x14ac:dyDescent="0.3"/>
    <row r="4622" customFormat="1" x14ac:dyDescent="0.3"/>
    <row r="4623" customFormat="1" x14ac:dyDescent="0.3"/>
    <row r="4624" customFormat="1" x14ac:dyDescent="0.3"/>
    <row r="4625" customFormat="1" x14ac:dyDescent="0.3"/>
    <row r="4626" customFormat="1" x14ac:dyDescent="0.3"/>
    <row r="4627" customFormat="1" x14ac:dyDescent="0.3"/>
    <row r="4628" customFormat="1" x14ac:dyDescent="0.3"/>
    <row r="4629" customFormat="1" x14ac:dyDescent="0.3"/>
    <row r="4630" customFormat="1" x14ac:dyDescent="0.3"/>
    <row r="4631" customFormat="1" x14ac:dyDescent="0.3"/>
    <row r="4632" customFormat="1" x14ac:dyDescent="0.3"/>
    <row r="4633" customFormat="1" x14ac:dyDescent="0.3"/>
    <row r="4634" customFormat="1" x14ac:dyDescent="0.3"/>
    <row r="4635" customFormat="1" x14ac:dyDescent="0.3"/>
    <row r="4636" customFormat="1" x14ac:dyDescent="0.3"/>
    <row r="4637" customFormat="1" x14ac:dyDescent="0.3"/>
    <row r="4638" customFormat="1" x14ac:dyDescent="0.3"/>
    <row r="4639" customFormat="1" x14ac:dyDescent="0.3"/>
    <row r="4640" customFormat="1" x14ac:dyDescent="0.3"/>
    <row r="4641" customFormat="1" x14ac:dyDescent="0.3"/>
    <row r="4642" customFormat="1" x14ac:dyDescent="0.3"/>
    <row r="4643" customFormat="1" x14ac:dyDescent="0.3"/>
    <row r="4644" customFormat="1" x14ac:dyDescent="0.3"/>
    <row r="4645" customFormat="1" x14ac:dyDescent="0.3"/>
    <row r="4646" customFormat="1" x14ac:dyDescent="0.3"/>
    <row r="4647" customFormat="1" x14ac:dyDescent="0.3"/>
    <row r="4648" customFormat="1" x14ac:dyDescent="0.3"/>
    <row r="4649" customFormat="1" x14ac:dyDescent="0.3"/>
    <row r="4650" customFormat="1" x14ac:dyDescent="0.3"/>
    <row r="4651" customFormat="1" x14ac:dyDescent="0.3"/>
    <row r="4652" customFormat="1" x14ac:dyDescent="0.3"/>
    <row r="4653" customFormat="1" x14ac:dyDescent="0.3"/>
    <row r="4654" customFormat="1" x14ac:dyDescent="0.3"/>
    <row r="4655" customFormat="1" x14ac:dyDescent="0.3"/>
    <row r="4656" customFormat="1" x14ac:dyDescent="0.3"/>
    <row r="4657" customFormat="1" x14ac:dyDescent="0.3"/>
    <row r="4658" customFormat="1" x14ac:dyDescent="0.3"/>
    <row r="4659" customFormat="1" x14ac:dyDescent="0.3"/>
    <row r="4660" customFormat="1" x14ac:dyDescent="0.3"/>
    <row r="4661" customFormat="1" x14ac:dyDescent="0.3"/>
    <row r="4662" customFormat="1" x14ac:dyDescent="0.3"/>
    <row r="4663" customFormat="1" x14ac:dyDescent="0.3"/>
    <row r="4664" customFormat="1" x14ac:dyDescent="0.3"/>
    <row r="4665" customFormat="1" x14ac:dyDescent="0.3"/>
    <row r="4666" customFormat="1" x14ac:dyDescent="0.3"/>
    <row r="4667" customFormat="1" x14ac:dyDescent="0.3"/>
    <row r="4668" customFormat="1" x14ac:dyDescent="0.3"/>
    <row r="4669" customFormat="1" x14ac:dyDescent="0.3"/>
    <row r="4670" customFormat="1" x14ac:dyDescent="0.3"/>
    <row r="4671" customFormat="1" x14ac:dyDescent="0.3"/>
    <row r="4672" customFormat="1" x14ac:dyDescent="0.3"/>
    <row r="4673" customFormat="1" x14ac:dyDescent="0.3"/>
    <row r="4674" customFormat="1" x14ac:dyDescent="0.3"/>
    <row r="4675" customFormat="1" x14ac:dyDescent="0.3"/>
    <row r="4676" customFormat="1" x14ac:dyDescent="0.3"/>
    <row r="4677" customFormat="1" x14ac:dyDescent="0.3"/>
    <row r="4678" customFormat="1" x14ac:dyDescent="0.3"/>
    <row r="4679" customFormat="1" x14ac:dyDescent="0.3"/>
    <row r="4680" customFormat="1" x14ac:dyDescent="0.3"/>
    <row r="4681" customFormat="1" x14ac:dyDescent="0.3"/>
    <row r="4682" customFormat="1" x14ac:dyDescent="0.3"/>
    <row r="4683" customFormat="1" x14ac:dyDescent="0.3"/>
    <row r="4684" customFormat="1" x14ac:dyDescent="0.3"/>
    <row r="4685" customFormat="1" x14ac:dyDescent="0.3"/>
    <row r="4686" customFormat="1" x14ac:dyDescent="0.3"/>
    <row r="4687" customFormat="1" x14ac:dyDescent="0.3"/>
    <row r="4688" customFormat="1" x14ac:dyDescent="0.3"/>
    <row r="4689" customFormat="1" x14ac:dyDescent="0.3"/>
    <row r="4690" customFormat="1" x14ac:dyDescent="0.3"/>
    <row r="4691" customFormat="1" x14ac:dyDescent="0.3"/>
    <row r="4692" customFormat="1" x14ac:dyDescent="0.3"/>
    <row r="4693" customFormat="1" x14ac:dyDescent="0.3"/>
    <row r="4694" customFormat="1" x14ac:dyDescent="0.3"/>
    <row r="4695" customFormat="1" x14ac:dyDescent="0.3"/>
    <row r="4696" customFormat="1" x14ac:dyDescent="0.3"/>
    <row r="4697" customFormat="1" x14ac:dyDescent="0.3"/>
    <row r="4698" customFormat="1" x14ac:dyDescent="0.3"/>
    <row r="4699" customFormat="1" x14ac:dyDescent="0.3"/>
    <row r="4700" customFormat="1" x14ac:dyDescent="0.3"/>
    <row r="4701" customFormat="1" x14ac:dyDescent="0.3"/>
    <row r="4702" customFormat="1" x14ac:dyDescent="0.3"/>
    <row r="4703" customFormat="1" x14ac:dyDescent="0.3"/>
    <row r="4704" customFormat="1" x14ac:dyDescent="0.3"/>
    <row r="4705" customFormat="1" x14ac:dyDescent="0.3"/>
    <row r="4706" customFormat="1" x14ac:dyDescent="0.3"/>
    <row r="4707" customFormat="1" x14ac:dyDescent="0.3"/>
    <row r="4708" customFormat="1" x14ac:dyDescent="0.3"/>
    <row r="4709" customFormat="1" x14ac:dyDescent="0.3"/>
    <row r="4710" customFormat="1" x14ac:dyDescent="0.3"/>
    <row r="4711" customFormat="1" x14ac:dyDescent="0.3"/>
    <row r="4712" customFormat="1" x14ac:dyDescent="0.3"/>
    <row r="4713" customFormat="1" x14ac:dyDescent="0.3"/>
    <row r="4714" customFormat="1" x14ac:dyDescent="0.3"/>
    <row r="4715" customFormat="1" x14ac:dyDescent="0.3"/>
    <row r="4716" customFormat="1" x14ac:dyDescent="0.3"/>
    <row r="4717" customFormat="1" x14ac:dyDescent="0.3"/>
    <row r="4718" customFormat="1" x14ac:dyDescent="0.3"/>
    <row r="4719" customFormat="1" x14ac:dyDescent="0.3"/>
    <row r="4720" customFormat="1" x14ac:dyDescent="0.3"/>
    <row r="4721" customFormat="1" x14ac:dyDescent="0.3"/>
    <row r="4722" customFormat="1" x14ac:dyDescent="0.3"/>
    <row r="4723" customFormat="1" x14ac:dyDescent="0.3"/>
    <row r="4724" customFormat="1" x14ac:dyDescent="0.3"/>
    <row r="4725" customFormat="1" x14ac:dyDescent="0.3"/>
    <row r="4726" customFormat="1" x14ac:dyDescent="0.3"/>
    <row r="4727" customFormat="1" x14ac:dyDescent="0.3"/>
    <row r="4728" customFormat="1" x14ac:dyDescent="0.3"/>
    <row r="4729" customFormat="1" x14ac:dyDescent="0.3"/>
    <row r="4730" customFormat="1" x14ac:dyDescent="0.3"/>
    <row r="4731" customFormat="1" x14ac:dyDescent="0.3"/>
    <row r="4732" customFormat="1" x14ac:dyDescent="0.3"/>
    <row r="4733" customFormat="1" x14ac:dyDescent="0.3"/>
    <row r="4734" customFormat="1" x14ac:dyDescent="0.3"/>
    <row r="4735" customFormat="1" x14ac:dyDescent="0.3"/>
    <row r="4736" customFormat="1" x14ac:dyDescent="0.3"/>
    <row r="4737" customFormat="1" x14ac:dyDescent="0.3"/>
    <row r="4738" customFormat="1" x14ac:dyDescent="0.3"/>
    <row r="4739" customFormat="1" x14ac:dyDescent="0.3"/>
    <row r="4740" customFormat="1" x14ac:dyDescent="0.3"/>
    <row r="4741" customFormat="1" x14ac:dyDescent="0.3"/>
    <row r="4742" customFormat="1" x14ac:dyDescent="0.3"/>
    <row r="4743" customFormat="1" x14ac:dyDescent="0.3"/>
    <row r="4744" customFormat="1" x14ac:dyDescent="0.3"/>
    <row r="4745" customFormat="1" x14ac:dyDescent="0.3"/>
    <row r="4746" customFormat="1" x14ac:dyDescent="0.3"/>
    <row r="4747" customFormat="1" x14ac:dyDescent="0.3"/>
    <row r="4748" customFormat="1" x14ac:dyDescent="0.3"/>
    <row r="4749" customFormat="1" x14ac:dyDescent="0.3"/>
    <row r="4750" customFormat="1" x14ac:dyDescent="0.3"/>
    <row r="4751" customFormat="1" x14ac:dyDescent="0.3"/>
    <row r="4752" customFormat="1" x14ac:dyDescent="0.3"/>
    <row r="4753" customFormat="1" x14ac:dyDescent="0.3"/>
    <row r="4754" customFormat="1" x14ac:dyDescent="0.3"/>
    <row r="4755" customFormat="1" x14ac:dyDescent="0.3"/>
    <row r="4756" customFormat="1" x14ac:dyDescent="0.3"/>
    <row r="4757" customFormat="1" x14ac:dyDescent="0.3"/>
    <row r="4758" customFormat="1" x14ac:dyDescent="0.3"/>
    <row r="4759" customFormat="1" x14ac:dyDescent="0.3"/>
    <row r="4760" customFormat="1" x14ac:dyDescent="0.3"/>
    <row r="4761" customFormat="1" x14ac:dyDescent="0.3"/>
    <row r="4762" customFormat="1" x14ac:dyDescent="0.3"/>
    <row r="4763" customFormat="1" x14ac:dyDescent="0.3"/>
    <row r="4764" customFormat="1" x14ac:dyDescent="0.3"/>
    <row r="4765" customFormat="1" x14ac:dyDescent="0.3"/>
    <row r="4766" customFormat="1" x14ac:dyDescent="0.3"/>
    <row r="4767" customFormat="1" x14ac:dyDescent="0.3"/>
    <row r="4768" customFormat="1" x14ac:dyDescent="0.3"/>
    <row r="4769" customFormat="1" x14ac:dyDescent="0.3"/>
    <row r="4770" customFormat="1" x14ac:dyDescent="0.3"/>
    <row r="4771" customFormat="1" x14ac:dyDescent="0.3"/>
    <row r="4772" customFormat="1" x14ac:dyDescent="0.3"/>
    <row r="4773" customFormat="1" x14ac:dyDescent="0.3"/>
    <row r="4774" customFormat="1" x14ac:dyDescent="0.3"/>
    <row r="4775" customFormat="1" x14ac:dyDescent="0.3"/>
    <row r="4776" customFormat="1" x14ac:dyDescent="0.3"/>
    <row r="4777" customFormat="1" x14ac:dyDescent="0.3"/>
    <row r="4778" customFormat="1" x14ac:dyDescent="0.3"/>
    <row r="4779" customFormat="1" x14ac:dyDescent="0.3"/>
    <row r="4780" customFormat="1" x14ac:dyDescent="0.3"/>
    <row r="4781" customFormat="1" x14ac:dyDescent="0.3"/>
    <row r="4782" customFormat="1" x14ac:dyDescent="0.3"/>
    <row r="4783" customFormat="1" x14ac:dyDescent="0.3"/>
    <row r="4784" customFormat="1" x14ac:dyDescent="0.3"/>
    <row r="4785" customFormat="1" x14ac:dyDescent="0.3"/>
    <row r="4786" customFormat="1" x14ac:dyDescent="0.3"/>
    <row r="4787" customFormat="1" x14ac:dyDescent="0.3"/>
    <row r="4788" customFormat="1" x14ac:dyDescent="0.3"/>
    <row r="4789" customFormat="1" x14ac:dyDescent="0.3"/>
    <row r="4790" customFormat="1" x14ac:dyDescent="0.3"/>
    <row r="4791" customFormat="1" x14ac:dyDescent="0.3"/>
    <row r="4792" customFormat="1" x14ac:dyDescent="0.3"/>
    <row r="4793" customFormat="1" x14ac:dyDescent="0.3"/>
    <row r="4794" customFormat="1" x14ac:dyDescent="0.3"/>
    <row r="4795" customFormat="1" x14ac:dyDescent="0.3"/>
    <row r="4796" customFormat="1" x14ac:dyDescent="0.3"/>
    <row r="4797" customFormat="1" x14ac:dyDescent="0.3"/>
    <row r="4798" customFormat="1" x14ac:dyDescent="0.3"/>
    <row r="4799" customFormat="1" x14ac:dyDescent="0.3"/>
    <row r="4800" customFormat="1" x14ac:dyDescent="0.3"/>
    <row r="4801" customFormat="1" x14ac:dyDescent="0.3"/>
    <row r="4802" customFormat="1" x14ac:dyDescent="0.3"/>
    <row r="4803" customFormat="1" x14ac:dyDescent="0.3"/>
    <row r="4804" customFormat="1" x14ac:dyDescent="0.3"/>
    <row r="4805" customFormat="1" x14ac:dyDescent="0.3"/>
    <row r="4806" customFormat="1" x14ac:dyDescent="0.3"/>
    <row r="4807" customFormat="1" x14ac:dyDescent="0.3"/>
    <row r="4808" customFormat="1" x14ac:dyDescent="0.3"/>
    <row r="4809" customFormat="1" x14ac:dyDescent="0.3"/>
    <row r="4810" customFormat="1" x14ac:dyDescent="0.3"/>
    <row r="4811" customFormat="1" x14ac:dyDescent="0.3"/>
    <row r="4812" customFormat="1" x14ac:dyDescent="0.3"/>
    <row r="4813" customFormat="1" x14ac:dyDescent="0.3"/>
    <row r="4814" customFormat="1" x14ac:dyDescent="0.3"/>
    <row r="4815" customFormat="1" x14ac:dyDescent="0.3"/>
    <row r="4816" customFormat="1" x14ac:dyDescent="0.3"/>
    <row r="4817" customFormat="1" x14ac:dyDescent="0.3"/>
    <row r="4818" customFormat="1" x14ac:dyDescent="0.3"/>
    <row r="4819" customFormat="1" x14ac:dyDescent="0.3"/>
    <row r="4820" customFormat="1" x14ac:dyDescent="0.3"/>
    <row r="4821" customFormat="1" x14ac:dyDescent="0.3"/>
    <row r="4822" customFormat="1" x14ac:dyDescent="0.3"/>
    <row r="4823" customFormat="1" x14ac:dyDescent="0.3"/>
    <row r="4824" customFormat="1" x14ac:dyDescent="0.3"/>
    <row r="4825" customFormat="1" x14ac:dyDescent="0.3"/>
    <row r="4826" customFormat="1" x14ac:dyDescent="0.3"/>
    <row r="4827" customFormat="1" x14ac:dyDescent="0.3"/>
    <row r="4828" customFormat="1" x14ac:dyDescent="0.3"/>
    <row r="4829" customFormat="1" x14ac:dyDescent="0.3"/>
    <row r="4830" customFormat="1" x14ac:dyDescent="0.3"/>
    <row r="4831" customFormat="1" x14ac:dyDescent="0.3"/>
    <row r="4832" customFormat="1" x14ac:dyDescent="0.3"/>
    <row r="4833" customFormat="1" x14ac:dyDescent="0.3"/>
    <row r="4834" customFormat="1" x14ac:dyDescent="0.3"/>
    <row r="4835" customFormat="1" x14ac:dyDescent="0.3"/>
    <row r="4836" customFormat="1" x14ac:dyDescent="0.3"/>
    <row r="4837" customFormat="1" x14ac:dyDescent="0.3"/>
    <row r="4838" customFormat="1" x14ac:dyDescent="0.3"/>
    <row r="4839" customFormat="1" x14ac:dyDescent="0.3"/>
    <row r="4840" customFormat="1" x14ac:dyDescent="0.3"/>
    <row r="4841" customFormat="1" x14ac:dyDescent="0.3"/>
    <row r="4842" customFormat="1" x14ac:dyDescent="0.3"/>
    <row r="4843" customFormat="1" x14ac:dyDescent="0.3"/>
    <row r="4844" customFormat="1" x14ac:dyDescent="0.3"/>
    <row r="4845" customFormat="1" x14ac:dyDescent="0.3"/>
    <row r="4846" customFormat="1" x14ac:dyDescent="0.3"/>
    <row r="4847" customFormat="1" x14ac:dyDescent="0.3"/>
    <row r="4848" customFormat="1" x14ac:dyDescent="0.3"/>
    <row r="4849" customFormat="1" x14ac:dyDescent="0.3"/>
    <row r="4850" customFormat="1" x14ac:dyDescent="0.3"/>
    <row r="4851" customFormat="1" x14ac:dyDescent="0.3"/>
    <row r="4852" customFormat="1" x14ac:dyDescent="0.3"/>
    <row r="4853" customFormat="1" x14ac:dyDescent="0.3"/>
    <row r="4854" customFormat="1" x14ac:dyDescent="0.3"/>
    <row r="4855" customFormat="1" x14ac:dyDescent="0.3"/>
    <row r="4856" customFormat="1" x14ac:dyDescent="0.3"/>
    <row r="4857" customFormat="1" x14ac:dyDescent="0.3"/>
    <row r="4858" customFormat="1" x14ac:dyDescent="0.3"/>
    <row r="4859" customFormat="1" x14ac:dyDescent="0.3"/>
    <row r="4860" customFormat="1" x14ac:dyDescent="0.3"/>
    <row r="4861" customFormat="1" x14ac:dyDescent="0.3"/>
    <row r="4862" customFormat="1" x14ac:dyDescent="0.3"/>
    <row r="4863" customFormat="1" x14ac:dyDescent="0.3"/>
    <row r="4864" customFormat="1" x14ac:dyDescent="0.3"/>
    <row r="4865" customFormat="1" x14ac:dyDescent="0.3"/>
    <row r="4866" customFormat="1" x14ac:dyDescent="0.3"/>
    <row r="4867" customFormat="1" x14ac:dyDescent="0.3"/>
    <row r="4868" customFormat="1" x14ac:dyDescent="0.3"/>
    <row r="4869" customFormat="1" x14ac:dyDescent="0.3"/>
    <row r="4870" customFormat="1" x14ac:dyDescent="0.3"/>
    <row r="4871" customFormat="1" x14ac:dyDescent="0.3"/>
    <row r="4872" customFormat="1" x14ac:dyDescent="0.3"/>
    <row r="4873" customFormat="1" x14ac:dyDescent="0.3"/>
    <row r="4874" customFormat="1" x14ac:dyDescent="0.3"/>
    <row r="4875" customFormat="1" x14ac:dyDescent="0.3"/>
    <row r="4876" customFormat="1" x14ac:dyDescent="0.3"/>
    <row r="4877" customFormat="1" x14ac:dyDescent="0.3"/>
    <row r="4878" customFormat="1" x14ac:dyDescent="0.3"/>
    <row r="4879" customFormat="1" x14ac:dyDescent="0.3"/>
    <row r="4880" customFormat="1" x14ac:dyDescent="0.3"/>
    <row r="4881" customFormat="1" x14ac:dyDescent="0.3"/>
    <row r="4882" customFormat="1" x14ac:dyDescent="0.3"/>
    <row r="4883" customFormat="1" x14ac:dyDescent="0.3"/>
    <row r="4884" customFormat="1" x14ac:dyDescent="0.3"/>
    <row r="4885" customFormat="1" x14ac:dyDescent="0.3"/>
    <row r="4886" customFormat="1" x14ac:dyDescent="0.3"/>
    <row r="4887" customFormat="1" x14ac:dyDescent="0.3"/>
    <row r="4888" customFormat="1" x14ac:dyDescent="0.3"/>
    <row r="4889" customFormat="1" x14ac:dyDescent="0.3"/>
    <row r="4890" customFormat="1" x14ac:dyDescent="0.3"/>
    <row r="4891" customFormat="1" x14ac:dyDescent="0.3"/>
    <row r="4892" customFormat="1" x14ac:dyDescent="0.3"/>
    <row r="4893" customFormat="1" x14ac:dyDescent="0.3"/>
    <row r="4894" customFormat="1" x14ac:dyDescent="0.3"/>
    <row r="4895" customFormat="1" x14ac:dyDescent="0.3"/>
    <row r="4896" customFormat="1" x14ac:dyDescent="0.3"/>
    <row r="4897" customFormat="1" x14ac:dyDescent="0.3"/>
    <row r="4898" customFormat="1" x14ac:dyDescent="0.3"/>
    <row r="4899" customFormat="1" x14ac:dyDescent="0.3"/>
    <row r="4900" customFormat="1" x14ac:dyDescent="0.3"/>
    <row r="4901" customFormat="1" x14ac:dyDescent="0.3"/>
    <row r="4902" customFormat="1" x14ac:dyDescent="0.3"/>
    <row r="4903" customFormat="1" x14ac:dyDescent="0.3"/>
    <row r="4904" customFormat="1" x14ac:dyDescent="0.3"/>
    <row r="4905" customFormat="1" x14ac:dyDescent="0.3"/>
    <row r="4906" customFormat="1" x14ac:dyDescent="0.3"/>
    <row r="4907" customFormat="1" x14ac:dyDescent="0.3"/>
    <row r="4908" customFormat="1" x14ac:dyDescent="0.3"/>
    <row r="4909" customFormat="1" x14ac:dyDescent="0.3"/>
    <row r="4910" customFormat="1" x14ac:dyDescent="0.3"/>
    <row r="4911" customFormat="1" x14ac:dyDescent="0.3"/>
    <row r="4912" customFormat="1" x14ac:dyDescent="0.3"/>
    <row r="4913" customFormat="1" x14ac:dyDescent="0.3"/>
    <row r="4914" customFormat="1" x14ac:dyDescent="0.3"/>
    <row r="4915" customFormat="1" x14ac:dyDescent="0.3"/>
    <row r="4916" customFormat="1" x14ac:dyDescent="0.3"/>
    <row r="4917" customFormat="1" x14ac:dyDescent="0.3"/>
    <row r="4918" customFormat="1" x14ac:dyDescent="0.3"/>
    <row r="4919" customFormat="1" x14ac:dyDescent="0.3"/>
    <row r="4920" customFormat="1" x14ac:dyDescent="0.3"/>
    <row r="4921" customFormat="1" x14ac:dyDescent="0.3"/>
    <row r="4922" customFormat="1" x14ac:dyDescent="0.3"/>
    <row r="4923" customFormat="1" x14ac:dyDescent="0.3"/>
    <row r="4924" customFormat="1" x14ac:dyDescent="0.3"/>
    <row r="4925" customFormat="1" x14ac:dyDescent="0.3"/>
    <row r="4926" customFormat="1" x14ac:dyDescent="0.3"/>
    <row r="4927" customFormat="1" x14ac:dyDescent="0.3"/>
    <row r="4928" customFormat="1" x14ac:dyDescent="0.3"/>
    <row r="4929" customFormat="1" x14ac:dyDescent="0.3"/>
    <row r="4930" customFormat="1" x14ac:dyDescent="0.3"/>
    <row r="4931" customFormat="1" x14ac:dyDescent="0.3"/>
    <row r="4932" customFormat="1" x14ac:dyDescent="0.3"/>
    <row r="4933" customFormat="1" x14ac:dyDescent="0.3"/>
    <row r="4934" customFormat="1" x14ac:dyDescent="0.3"/>
    <row r="4935" customFormat="1" x14ac:dyDescent="0.3"/>
    <row r="4936" customFormat="1" x14ac:dyDescent="0.3"/>
    <row r="4937" customFormat="1" x14ac:dyDescent="0.3"/>
    <row r="4938" customFormat="1" x14ac:dyDescent="0.3"/>
    <row r="4939" customFormat="1" x14ac:dyDescent="0.3"/>
    <row r="4940" customFormat="1" x14ac:dyDescent="0.3"/>
    <row r="4941" customFormat="1" x14ac:dyDescent="0.3"/>
    <row r="4942" customFormat="1" x14ac:dyDescent="0.3"/>
    <row r="4943" customFormat="1" x14ac:dyDescent="0.3"/>
    <row r="4944" customFormat="1" x14ac:dyDescent="0.3"/>
    <row r="4945" customFormat="1" x14ac:dyDescent="0.3"/>
    <row r="4946" customFormat="1" x14ac:dyDescent="0.3"/>
    <row r="4947" customFormat="1" x14ac:dyDescent="0.3"/>
    <row r="4948" customFormat="1" x14ac:dyDescent="0.3"/>
    <row r="4949" customFormat="1" x14ac:dyDescent="0.3"/>
    <row r="4950" customFormat="1" x14ac:dyDescent="0.3"/>
    <row r="4951" customFormat="1" x14ac:dyDescent="0.3"/>
    <row r="4952" customFormat="1" x14ac:dyDescent="0.3"/>
    <row r="4953" customFormat="1" x14ac:dyDescent="0.3"/>
    <row r="4954" customFormat="1" x14ac:dyDescent="0.3"/>
    <row r="4955" customFormat="1" x14ac:dyDescent="0.3"/>
    <row r="4956" customFormat="1" x14ac:dyDescent="0.3"/>
    <row r="4957" customFormat="1" x14ac:dyDescent="0.3"/>
    <row r="4958" customFormat="1" x14ac:dyDescent="0.3"/>
    <row r="4959" customFormat="1" x14ac:dyDescent="0.3"/>
    <row r="4960" customFormat="1" x14ac:dyDescent="0.3"/>
    <row r="4961" customFormat="1" x14ac:dyDescent="0.3"/>
    <row r="4962" customFormat="1" x14ac:dyDescent="0.3"/>
    <row r="4963" customFormat="1" x14ac:dyDescent="0.3"/>
    <row r="4964" customFormat="1" x14ac:dyDescent="0.3"/>
    <row r="4965" customFormat="1" x14ac:dyDescent="0.3"/>
    <row r="4966" customFormat="1" x14ac:dyDescent="0.3"/>
    <row r="4967" customFormat="1" x14ac:dyDescent="0.3"/>
    <row r="4968" customFormat="1" x14ac:dyDescent="0.3"/>
    <row r="4969" customFormat="1" x14ac:dyDescent="0.3"/>
    <row r="4970" customFormat="1" x14ac:dyDescent="0.3"/>
    <row r="4971" customFormat="1" x14ac:dyDescent="0.3"/>
    <row r="4972" customFormat="1" x14ac:dyDescent="0.3"/>
    <row r="4973" customFormat="1" x14ac:dyDescent="0.3"/>
    <row r="4974" customFormat="1" x14ac:dyDescent="0.3"/>
    <row r="4975" customFormat="1" x14ac:dyDescent="0.3"/>
    <row r="4976" customFormat="1" x14ac:dyDescent="0.3"/>
    <row r="4977" customFormat="1" x14ac:dyDescent="0.3"/>
    <row r="4978" customFormat="1" x14ac:dyDescent="0.3"/>
    <row r="4979" customFormat="1" x14ac:dyDescent="0.3"/>
    <row r="4980" customFormat="1" x14ac:dyDescent="0.3"/>
    <row r="4981" customFormat="1" x14ac:dyDescent="0.3"/>
    <row r="4982" customFormat="1" x14ac:dyDescent="0.3"/>
    <row r="4983" customFormat="1" x14ac:dyDescent="0.3"/>
    <row r="4984" customFormat="1" x14ac:dyDescent="0.3"/>
    <row r="4985" customFormat="1" x14ac:dyDescent="0.3"/>
    <row r="4986" customFormat="1" x14ac:dyDescent="0.3"/>
    <row r="4987" customFormat="1" x14ac:dyDescent="0.3"/>
    <row r="4988" customFormat="1" x14ac:dyDescent="0.3"/>
    <row r="4989" customFormat="1" x14ac:dyDescent="0.3"/>
    <row r="4990" customFormat="1" x14ac:dyDescent="0.3"/>
    <row r="4991" customFormat="1" x14ac:dyDescent="0.3"/>
    <row r="4992" customFormat="1" x14ac:dyDescent="0.3"/>
    <row r="4993" customFormat="1" x14ac:dyDescent="0.3"/>
    <row r="4994" customFormat="1" x14ac:dyDescent="0.3"/>
    <row r="4995" customFormat="1" x14ac:dyDescent="0.3"/>
    <row r="4996" customFormat="1" x14ac:dyDescent="0.3"/>
    <row r="4997" customFormat="1" x14ac:dyDescent="0.3"/>
    <row r="4998" customFormat="1" x14ac:dyDescent="0.3"/>
    <row r="4999" customFormat="1" x14ac:dyDescent="0.3"/>
    <row r="5000" customFormat="1" x14ac:dyDescent="0.3"/>
    <row r="5001" customFormat="1" x14ac:dyDescent="0.3"/>
    <row r="5002" customFormat="1" x14ac:dyDescent="0.3"/>
    <row r="5003" customFormat="1" x14ac:dyDescent="0.3"/>
    <row r="5004" customFormat="1" x14ac:dyDescent="0.3"/>
    <row r="5005" customFormat="1" x14ac:dyDescent="0.3"/>
    <row r="5006" customFormat="1" x14ac:dyDescent="0.3"/>
    <row r="5007" customFormat="1" x14ac:dyDescent="0.3"/>
    <row r="5008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  <row r="7621" customFormat="1" x14ac:dyDescent="0.3"/>
    <row r="7622" customFormat="1" x14ac:dyDescent="0.3"/>
    <row r="7623" customFormat="1" x14ac:dyDescent="0.3"/>
    <row r="7624" customFormat="1" x14ac:dyDescent="0.3"/>
    <row r="7625" customFormat="1" x14ac:dyDescent="0.3"/>
    <row r="7626" customFormat="1" x14ac:dyDescent="0.3"/>
    <row r="7627" customFormat="1" x14ac:dyDescent="0.3"/>
    <row r="7628" customFormat="1" x14ac:dyDescent="0.3"/>
    <row r="7629" customFormat="1" x14ac:dyDescent="0.3"/>
    <row r="7630" customFormat="1" x14ac:dyDescent="0.3"/>
    <row r="7631" customFormat="1" x14ac:dyDescent="0.3"/>
    <row r="7632" customFormat="1" x14ac:dyDescent="0.3"/>
    <row r="7633" customFormat="1" x14ac:dyDescent="0.3"/>
    <row r="7634" customFormat="1" x14ac:dyDescent="0.3"/>
    <row r="7635" customFormat="1" x14ac:dyDescent="0.3"/>
    <row r="7636" customFormat="1" x14ac:dyDescent="0.3"/>
    <row r="7637" customFormat="1" x14ac:dyDescent="0.3"/>
    <row r="7638" customFormat="1" x14ac:dyDescent="0.3"/>
    <row r="7639" customFormat="1" x14ac:dyDescent="0.3"/>
    <row r="7640" customFormat="1" x14ac:dyDescent="0.3"/>
    <row r="7641" customFormat="1" x14ac:dyDescent="0.3"/>
    <row r="7642" customFormat="1" x14ac:dyDescent="0.3"/>
    <row r="7643" customFormat="1" x14ac:dyDescent="0.3"/>
    <row r="7644" customFormat="1" x14ac:dyDescent="0.3"/>
    <row r="7645" customFormat="1" x14ac:dyDescent="0.3"/>
    <row r="7646" customFormat="1" x14ac:dyDescent="0.3"/>
    <row r="7647" customFormat="1" x14ac:dyDescent="0.3"/>
    <row r="7648" customFormat="1" x14ac:dyDescent="0.3"/>
    <row r="7649" customFormat="1" x14ac:dyDescent="0.3"/>
    <row r="7650" customFormat="1" x14ac:dyDescent="0.3"/>
    <row r="7651" customFormat="1" x14ac:dyDescent="0.3"/>
    <row r="7652" customFormat="1" x14ac:dyDescent="0.3"/>
    <row r="7653" customFormat="1" x14ac:dyDescent="0.3"/>
    <row r="7654" customFormat="1" x14ac:dyDescent="0.3"/>
    <row r="7655" customFormat="1" x14ac:dyDescent="0.3"/>
    <row r="7656" customFormat="1" x14ac:dyDescent="0.3"/>
    <row r="7657" customFormat="1" x14ac:dyDescent="0.3"/>
    <row r="7658" customFormat="1" x14ac:dyDescent="0.3"/>
    <row r="7659" customFormat="1" x14ac:dyDescent="0.3"/>
    <row r="7660" customFormat="1" x14ac:dyDescent="0.3"/>
    <row r="7661" customFormat="1" x14ac:dyDescent="0.3"/>
    <row r="7662" customFormat="1" x14ac:dyDescent="0.3"/>
    <row r="7663" customFormat="1" x14ac:dyDescent="0.3"/>
    <row r="7664" customFormat="1" x14ac:dyDescent="0.3"/>
    <row r="7665" customFormat="1" x14ac:dyDescent="0.3"/>
    <row r="7666" customFormat="1" x14ac:dyDescent="0.3"/>
    <row r="7667" customFormat="1" x14ac:dyDescent="0.3"/>
    <row r="7668" customFormat="1" x14ac:dyDescent="0.3"/>
    <row r="7669" customFormat="1" x14ac:dyDescent="0.3"/>
    <row r="7670" customFormat="1" x14ac:dyDescent="0.3"/>
    <row r="7671" customFormat="1" x14ac:dyDescent="0.3"/>
    <row r="7672" customFormat="1" x14ac:dyDescent="0.3"/>
    <row r="7673" customFormat="1" x14ac:dyDescent="0.3"/>
    <row r="7674" customFormat="1" x14ac:dyDescent="0.3"/>
    <row r="7675" customFormat="1" x14ac:dyDescent="0.3"/>
    <row r="7676" customFormat="1" x14ac:dyDescent="0.3"/>
    <row r="7677" customFormat="1" x14ac:dyDescent="0.3"/>
    <row r="7678" customFormat="1" x14ac:dyDescent="0.3"/>
    <row r="7679" customFormat="1" x14ac:dyDescent="0.3"/>
    <row r="7680" customFormat="1" x14ac:dyDescent="0.3"/>
    <row r="7681" customFormat="1" x14ac:dyDescent="0.3"/>
    <row r="7682" customFormat="1" x14ac:dyDescent="0.3"/>
    <row r="7683" customFormat="1" x14ac:dyDescent="0.3"/>
    <row r="7684" customFormat="1" x14ac:dyDescent="0.3"/>
    <row r="7685" customFormat="1" x14ac:dyDescent="0.3"/>
    <row r="7686" customFormat="1" x14ac:dyDescent="0.3"/>
    <row r="7687" customFormat="1" x14ac:dyDescent="0.3"/>
    <row r="7688" customFormat="1" x14ac:dyDescent="0.3"/>
    <row r="7689" customFormat="1" x14ac:dyDescent="0.3"/>
    <row r="7690" customFormat="1" x14ac:dyDescent="0.3"/>
    <row r="7691" customFormat="1" x14ac:dyDescent="0.3"/>
    <row r="7692" customFormat="1" x14ac:dyDescent="0.3"/>
    <row r="7693" customFormat="1" x14ac:dyDescent="0.3"/>
    <row r="7694" customFormat="1" x14ac:dyDescent="0.3"/>
    <row r="7695" customFormat="1" x14ac:dyDescent="0.3"/>
    <row r="7696" customFormat="1" x14ac:dyDescent="0.3"/>
    <row r="7697" customFormat="1" x14ac:dyDescent="0.3"/>
    <row r="7698" customFormat="1" x14ac:dyDescent="0.3"/>
    <row r="7699" customFormat="1" x14ac:dyDescent="0.3"/>
    <row r="7700" customFormat="1" x14ac:dyDescent="0.3"/>
    <row r="7701" customFormat="1" x14ac:dyDescent="0.3"/>
    <row r="7702" customFormat="1" x14ac:dyDescent="0.3"/>
    <row r="7703" customFormat="1" x14ac:dyDescent="0.3"/>
    <row r="7704" customFormat="1" x14ac:dyDescent="0.3"/>
    <row r="7705" customFormat="1" x14ac:dyDescent="0.3"/>
    <row r="7706" customFormat="1" x14ac:dyDescent="0.3"/>
    <row r="7707" customFormat="1" x14ac:dyDescent="0.3"/>
    <row r="7708" customFormat="1" x14ac:dyDescent="0.3"/>
    <row r="7709" customFormat="1" x14ac:dyDescent="0.3"/>
    <row r="7710" customFormat="1" x14ac:dyDescent="0.3"/>
    <row r="7711" customFormat="1" x14ac:dyDescent="0.3"/>
    <row r="7712" customFormat="1" x14ac:dyDescent="0.3"/>
    <row r="7713" customFormat="1" x14ac:dyDescent="0.3"/>
    <row r="7714" customFormat="1" x14ac:dyDescent="0.3"/>
    <row r="7715" customFormat="1" x14ac:dyDescent="0.3"/>
    <row r="7716" customFormat="1" x14ac:dyDescent="0.3"/>
    <row r="7717" customFormat="1" x14ac:dyDescent="0.3"/>
    <row r="7718" customFormat="1" x14ac:dyDescent="0.3"/>
    <row r="7719" customFormat="1" x14ac:dyDescent="0.3"/>
    <row r="7720" customFormat="1" x14ac:dyDescent="0.3"/>
    <row r="7721" customFormat="1" x14ac:dyDescent="0.3"/>
    <row r="7722" customFormat="1" x14ac:dyDescent="0.3"/>
    <row r="7723" customFormat="1" x14ac:dyDescent="0.3"/>
    <row r="7724" customFormat="1" x14ac:dyDescent="0.3"/>
    <row r="7725" customFormat="1" x14ac:dyDescent="0.3"/>
    <row r="7726" customFormat="1" x14ac:dyDescent="0.3"/>
    <row r="7727" customFormat="1" x14ac:dyDescent="0.3"/>
    <row r="7728" customFormat="1" x14ac:dyDescent="0.3"/>
    <row r="7729" customFormat="1" x14ac:dyDescent="0.3"/>
    <row r="7730" customFormat="1" x14ac:dyDescent="0.3"/>
    <row r="7731" customFormat="1" x14ac:dyDescent="0.3"/>
    <row r="7732" customFormat="1" x14ac:dyDescent="0.3"/>
    <row r="7733" customFormat="1" x14ac:dyDescent="0.3"/>
    <row r="7734" customFormat="1" x14ac:dyDescent="0.3"/>
    <row r="7735" customFormat="1" x14ac:dyDescent="0.3"/>
    <row r="7736" customFormat="1" x14ac:dyDescent="0.3"/>
    <row r="7737" customFormat="1" x14ac:dyDescent="0.3"/>
    <row r="7738" customFormat="1" x14ac:dyDescent="0.3"/>
    <row r="7739" customFormat="1" x14ac:dyDescent="0.3"/>
    <row r="7740" customFormat="1" x14ac:dyDescent="0.3"/>
    <row r="7741" customFormat="1" x14ac:dyDescent="0.3"/>
    <row r="7742" customFormat="1" x14ac:dyDescent="0.3"/>
    <row r="7743" customFormat="1" x14ac:dyDescent="0.3"/>
    <row r="7744" customFormat="1" x14ac:dyDescent="0.3"/>
    <row r="7745" customFormat="1" x14ac:dyDescent="0.3"/>
    <row r="7746" customFormat="1" x14ac:dyDescent="0.3"/>
    <row r="7747" customFormat="1" x14ac:dyDescent="0.3"/>
    <row r="7748" customFormat="1" x14ac:dyDescent="0.3"/>
    <row r="7749" customFormat="1" x14ac:dyDescent="0.3"/>
    <row r="7750" customFormat="1" x14ac:dyDescent="0.3"/>
    <row r="7751" customFormat="1" x14ac:dyDescent="0.3"/>
    <row r="7752" customFormat="1" x14ac:dyDescent="0.3"/>
    <row r="7753" customFormat="1" x14ac:dyDescent="0.3"/>
    <row r="7754" customFormat="1" x14ac:dyDescent="0.3"/>
    <row r="7755" customFormat="1" x14ac:dyDescent="0.3"/>
    <row r="7756" customFormat="1" x14ac:dyDescent="0.3"/>
    <row r="7757" customFormat="1" x14ac:dyDescent="0.3"/>
    <row r="7758" customFormat="1" x14ac:dyDescent="0.3"/>
    <row r="7759" customFormat="1" x14ac:dyDescent="0.3"/>
    <row r="7760" customFormat="1" x14ac:dyDescent="0.3"/>
    <row r="7761" customFormat="1" x14ac:dyDescent="0.3"/>
    <row r="7762" customFormat="1" x14ac:dyDescent="0.3"/>
    <row r="7763" customFormat="1" x14ac:dyDescent="0.3"/>
    <row r="7764" customFormat="1" x14ac:dyDescent="0.3"/>
    <row r="7765" customFormat="1" x14ac:dyDescent="0.3"/>
    <row r="7766" customFormat="1" x14ac:dyDescent="0.3"/>
    <row r="7767" customFormat="1" x14ac:dyDescent="0.3"/>
    <row r="7768" customFormat="1" x14ac:dyDescent="0.3"/>
    <row r="7769" customFormat="1" x14ac:dyDescent="0.3"/>
    <row r="7770" customFormat="1" x14ac:dyDescent="0.3"/>
    <row r="7771" customFormat="1" x14ac:dyDescent="0.3"/>
    <row r="7772" customFormat="1" x14ac:dyDescent="0.3"/>
    <row r="7773" customFormat="1" x14ac:dyDescent="0.3"/>
    <row r="7774" customFormat="1" x14ac:dyDescent="0.3"/>
    <row r="7775" customFormat="1" x14ac:dyDescent="0.3"/>
    <row r="7776" customFormat="1" x14ac:dyDescent="0.3"/>
    <row r="7777" customFormat="1" x14ac:dyDescent="0.3"/>
    <row r="7778" customFormat="1" x14ac:dyDescent="0.3"/>
    <row r="7779" customFormat="1" x14ac:dyDescent="0.3"/>
    <row r="7780" customFormat="1" x14ac:dyDescent="0.3"/>
    <row r="7781" customFormat="1" x14ac:dyDescent="0.3"/>
    <row r="7782" customFormat="1" x14ac:dyDescent="0.3"/>
    <row r="7783" customFormat="1" x14ac:dyDescent="0.3"/>
    <row r="7784" customFormat="1" x14ac:dyDescent="0.3"/>
    <row r="7785" customFormat="1" x14ac:dyDescent="0.3"/>
    <row r="7786" customFormat="1" x14ac:dyDescent="0.3"/>
    <row r="7787" customFormat="1" x14ac:dyDescent="0.3"/>
    <row r="7788" customFormat="1" x14ac:dyDescent="0.3"/>
    <row r="7789" customFormat="1" x14ac:dyDescent="0.3"/>
    <row r="7790" customFormat="1" x14ac:dyDescent="0.3"/>
    <row r="7791" customFormat="1" x14ac:dyDescent="0.3"/>
    <row r="7792" customFormat="1" x14ac:dyDescent="0.3"/>
    <row r="7793" customFormat="1" x14ac:dyDescent="0.3"/>
    <row r="7794" customFormat="1" x14ac:dyDescent="0.3"/>
    <row r="7795" customFormat="1" x14ac:dyDescent="0.3"/>
    <row r="7796" customFormat="1" x14ac:dyDescent="0.3"/>
    <row r="7797" customFormat="1" x14ac:dyDescent="0.3"/>
    <row r="7798" customFormat="1" x14ac:dyDescent="0.3"/>
    <row r="7799" customFormat="1" x14ac:dyDescent="0.3"/>
    <row r="7800" customFormat="1" x14ac:dyDescent="0.3"/>
    <row r="7801" customFormat="1" x14ac:dyDescent="0.3"/>
    <row r="7802" customFormat="1" x14ac:dyDescent="0.3"/>
    <row r="7803" customFormat="1" x14ac:dyDescent="0.3"/>
    <row r="7804" customFormat="1" x14ac:dyDescent="0.3"/>
    <row r="7805" customFormat="1" x14ac:dyDescent="0.3"/>
    <row r="7806" customFormat="1" x14ac:dyDescent="0.3"/>
    <row r="7807" customFormat="1" x14ac:dyDescent="0.3"/>
    <row r="7808" customFormat="1" x14ac:dyDescent="0.3"/>
    <row r="7809" customFormat="1" x14ac:dyDescent="0.3"/>
    <row r="7810" customFormat="1" x14ac:dyDescent="0.3"/>
    <row r="7811" customFormat="1" x14ac:dyDescent="0.3"/>
    <row r="7812" customFormat="1" x14ac:dyDescent="0.3"/>
    <row r="7813" customFormat="1" x14ac:dyDescent="0.3"/>
    <row r="7814" customFormat="1" x14ac:dyDescent="0.3"/>
    <row r="7815" customFormat="1" x14ac:dyDescent="0.3"/>
    <row r="7816" customFormat="1" x14ac:dyDescent="0.3"/>
    <row r="7817" customFormat="1" x14ac:dyDescent="0.3"/>
    <row r="7818" customFormat="1" x14ac:dyDescent="0.3"/>
    <row r="7819" customFormat="1" x14ac:dyDescent="0.3"/>
    <row r="7820" customFormat="1" x14ac:dyDescent="0.3"/>
    <row r="7821" customFormat="1" x14ac:dyDescent="0.3"/>
    <row r="7822" customFormat="1" x14ac:dyDescent="0.3"/>
    <row r="7823" customFormat="1" x14ac:dyDescent="0.3"/>
    <row r="7824" customFormat="1" x14ac:dyDescent="0.3"/>
    <row r="7825" customFormat="1" x14ac:dyDescent="0.3"/>
    <row r="7826" customFormat="1" x14ac:dyDescent="0.3"/>
    <row r="7827" customFormat="1" x14ac:dyDescent="0.3"/>
    <row r="7828" customFormat="1" x14ac:dyDescent="0.3"/>
    <row r="7829" customFormat="1" x14ac:dyDescent="0.3"/>
    <row r="7830" customFormat="1" x14ac:dyDescent="0.3"/>
    <row r="7831" customFormat="1" x14ac:dyDescent="0.3"/>
    <row r="7832" customFormat="1" x14ac:dyDescent="0.3"/>
    <row r="7833" customFormat="1" x14ac:dyDescent="0.3"/>
    <row r="7834" customFormat="1" x14ac:dyDescent="0.3"/>
    <row r="7835" customFormat="1" x14ac:dyDescent="0.3"/>
    <row r="7836" customFormat="1" x14ac:dyDescent="0.3"/>
    <row r="7837" customFormat="1" x14ac:dyDescent="0.3"/>
    <row r="7838" customFormat="1" x14ac:dyDescent="0.3"/>
    <row r="7839" customFormat="1" x14ac:dyDescent="0.3"/>
    <row r="7840" customFormat="1" x14ac:dyDescent="0.3"/>
    <row r="7841" customFormat="1" x14ac:dyDescent="0.3"/>
    <row r="7842" customFormat="1" x14ac:dyDescent="0.3"/>
    <row r="7843" customFormat="1" x14ac:dyDescent="0.3"/>
    <row r="7844" customFormat="1" x14ac:dyDescent="0.3"/>
    <row r="7845" customFormat="1" x14ac:dyDescent="0.3"/>
    <row r="7846" customFormat="1" x14ac:dyDescent="0.3"/>
    <row r="7847" customFormat="1" x14ac:dyDescent="0.3"/>
    <row r="7848" customFormat="1" x14ac:dyDescent="0.3"/>
    <row r="7849" customFormat="1" x14ac:dyDescent="0.3"/>
    <row r="7850" customFormat="1" x14ac:dyDescent="0.3"/>
    <row r="7851" customFormat="1" x14ac:dyDescent="0.3"/>
    <row r="7852" customFormat="1" x14ac:dyDescent="0.3"/>
    <row r="7853" customFormat="1" x14ac:dyDescent="0.3"/>
    <row r="7854" customFormat="1" x14ac:dyDescent="0.3"/>
    <row r="7855" customFormat="1" x14ac:dyDescent="0.3"/>
    <row r="7856" customFormat="1" x14ac:dyDescent="0.3"/>
    <row r="7857" customFormat="1" x14ac:dyDescent="0.3"/>
    <row r="7858" customFormat="1" x14ac:dyDescent="0.3"/>
    <row r="7859" customFormat="1" x14ac:dyDescent="0.3"/>
    <row r="7860" customFormat="1" x14ac:dyDescent="0.3"/>
    <row r="7861" customFormat="1" x14ac:dyDescent="0.3"/>
    <row r="7862" customFormat="1" x14ac:dyDescent="0.3"/>
    <row r="7863" customFormat="1" x14ac:dyDescent="0.3"/>
    <row r="7864" customFormat="1" x14ac:dyDescent="0.3"/>
    <row r="7865" customFormat="1" x14ac:dyDescent="0.3"/>
    <row r="7866" customFormat="1" x14ac:dyDescent="0.3"/>
    <row r="7867" customFormat="1" x14ac:dyDescent="0.3"/>
    <row r="7868" customFormat="1" x14ac:dyDescent="0.3"/>
    <row r="7869" customFormat="1" x14ac:dyDescent="0.3"/>
    <row r="7870" customFormat="1" x14ac:dyDescent="0.3"/>
    <row r="7871" customFormat="1" x14ac:dyDescent="0.3"/>
    <row r="7872" customFormat="1" x14ac:dyDescent="0.3"/>
    <row r="7873" customFormat="1" x14ac:dyDescent="0.3"/>
    <row r="7874" customFormat="1" x14ac:dyDescent="0.3"/>
    <row r="7875" customFormat="1" x14ac:dyDescent="0.3"/>
    <row r="7876" customFormat="1" x14ac:dyDescent="0.3"/>
    <row r="7877" customFormat="1" x14ac:dyDescent="0.3"/>
    <row r="7878" customFormat="1" x14ac:dyDescent="0.3"/>
    <row r="7879" customFormat="1" x14ac:dyDescent="0.3"/>
    <row r="7880" customFormat="1" x14ac:dyDescent="0.3"/>
    <row r="7881" customFormat="1" x14ac:dyDescent="0.3"/>
    <row r="7882" customFormat="1" x14ac:dyDescent="0.3"/>
    <row r="7883" customFormat="1" x14ac:dyDescent="0.3"/>
    <row r="7884" customFormat="1" x14ac:dyDescent="0.3"/>
    <row r="7885" customFormat="1" x14ac:dyDescent="0.3"/>
    <row r="7886" customFormat="1" x14ac:dyDescent="0.3"/>
    <row r="7887" customFormat="1" x14ac:dyDescent="0.3"/>
    <row r="7888" customFormat="1" x14ac:dyDescent="0.3"/>
    <row r="7889" customFormat="1" x14ac:dyDescent="0.3"/>
    <row r="7890" customFormat="1" x14ac:dyDescent="0.3"/>
    <row r="7891" customFormat="1" x14ac:dyDescent="0.3"/>
    <row r="7892" customFormat="1" x14ac:dyDescent="0.3"/>
    <row r="7893" customFormat="1" x14ac:dyDescent="0.3"/>
    <row r="7894" customFormat="1" x14ac:dyDescent="0.3"/>
    <row r="7895" customFormat="1" x14ac:dyDescent="0.3"/>
    <row r="7896" customFormat="1" x14ac:dyDescent="0.3"/>
    <row r="7897" customFormat="1" x14ac:dyDescent="0.3"/>
    <row r="7898" customFormat="1" x14ac:dyDescent="0.3"/>
    <row r="7899" customFormat="1" x14ac:dyDescent="0.3"/>
    <row r="7900" customFormat="1" x14ac:dyDescent="0.3"/>
    <row r="7901" customFormat="1" x14ac:dyDescent="0.3"/>
    <row r="7902" customFormat="1" x14ac:dyDescent="0.3"/>
    <row r="7903" customFormat="1" x14ac:dyDescent="0.3"/>
    <row r="7904" customFormat="1" x14ac:dyDescent="0.3"/>
    <row r="7905" customFormat="1" x14ac:dyDescent="0.3"/>
    <row r="7906" customFormat="1" x14ac:dyDescent="0.3"/>
    <row r="7907" customFormat="1" x14ac:dyDescent="0.3"/>
    <row r="7908" customFormat="1" x14ac:dyDescent="0.3"/>
    <row r="7909" customFormat="1" x14ac:dyDescent="0.3"/>
    <row r="7910" customFormat="1" x14ac:dyDescent="0.3"/>
    <row r="7911" customFormat="1" x14ac:dyDescent="0.3"/>
    <row r="7912" customFormat="1" x14ac:dyDescent="0.3"/>
    <row r="7913" customFormat="1" x14ac:dyDescent="0.3"/>
    <row r="7914" customFormat="1" x14ac:dyDescent="0.3"/>
    <row r="7915" customFormat="1" x14ac:dyDescent="0.3"/>
    <row r="7916" customFormat="1" x14ac:dyDescent="0.3"/>
    <row r="7917" customFormat="1" x14ac:dyDescent="0.3"/>
    <row r="7918" customFormat="1" x14ac:dyDescent="0.3"/>
    <row r="7919" customFormat="1" x14ac:dyDescent="0.3"/>
    <row r="7920" customFormat="1" x14ac:dyDescent="0.3"/>
    <row r="7921" customFormat="1" x14ac:dyDescent="0.3"/>
    <row r="7922" customFormat="1" x14ac:dyDescent="0.3"/>
    <row r="7923" customFormat="1" x14ac:dyDescent="0.3"/>
    <row r="7924" customFormat="1" x14ac:dyDescent="0.3"/>
    <row r="7925" customFormat="1" x14ac:dyDescent="0.3"/>
    <row r="7926" customFormat="1" x14ac:dyDescent="0.3"/>
    <row r="7927" customFormat="1" x14ac:dyDescent="0.3"/>
    <row r="7928" customFormat="1" x14ac:dyDescent="0.3"/>
    <row r="7929" customFormat="1" x14ac:dyDescent="0.3"/>
    <row r="7930" customFormat="1" x14ac:dyDescent="0.3"/>
    <row r="7931" customFormat="1" x14ac:dyDescent="0.3"/>
    <row r="7932" customFormat="1" x14ac:dyDescent="0.3"/>
    <row r="7933" customFormat="1" x14ac:dyDescent="0.3"/>
    <row r="7934" customFormat="1" x14ac:dyDescent="0.3"/>
    <row r="7935" customFormat="1" x14ac:dyDescent="0.3"/>
    <row r="7936" customFormat="1" x14ac:dyDescent="0.3"/>
    <row r="7937" customFormat="1" x14ac:dyDescent="0.3"/>
    <row r="7938" customFormat="1" x14ac:dyDescent="0.3"/>
    <row r="7939" customFormat="1" x14ac:dyDescent="0.3"/>
    <row r="7940" customFormat="1" x14ac:dyDescent="0.3"/>
    <row r="7941" customFormat="1" x14ac:dyDescent="0.3"/>
    <row r="7942" customFormat="1" x14ac:dyDescent="0.3"/>
    <row r="7943" customFormat="1" x14ac:dyDescent="0.3"/>
    <row r="7944" customFormat="1" x14ac:dyDescent="0.3"/>
    <row r="7945" customFormat="1" x14ac:dyDescent="0.3"/>
    <row r="7946" customFormat="1" x14ac:dyDescent="0.3"/>
    <row r="7947" customFormat="1" x14ac:dyDescent="0.3"/>
    <row r="7948" customFormat="1" x14ac:dyDescent="0.3"/>
    <row r="7949" customFormat="1" x14ac:dyDescent="0.3"/>
    <row r="7950" customFormat="1" x14ac:dyDescent="0.3"/>
    <row r="7951" customFormat="1" x14ac:dyDescent="0.3"/>
    <row r="7952" customFormat="1" x14ac:dyDescent="0.3"/>
    <row r="7953" customFormat="1" x14ac:dyDescent="0.3"/>
    <row r="7954" customFormat="1" x14ac:dyDescent="0.3"/>
    <row r="7955" customFormat="1" x14ac:dyDescent="0.3"/>
    <row r="7956" customFormat="1" x14ac:dyDescent="0.3"/>
    <row r="7957" customFormat="1" x14ac:dyDescent="0.3"/>
    <row r="7958" customFormat="1" x14ac:dyDescent="0.3"/>
    <row r="7959" customFormat="1" x14ac:dyDescent="0.3"/>
    <row r="7960" customFormat="1" x14ac:dyDescent="0.3"/>
    <row r="7961" customFormat="1" x14ac:dyDescent="0.3"/>
    <row r="7962" customFormat="1" x14ac:dyDescent="0.3"/>
    <row r="7963" customFormat="1" x14ac:dyDescent="0.3"/>
    <row r="7964" customFormat="1" x14ac:dyDescent="0.3"/>
    <row r="7965" customFormat="1" x14ac:dyDescent="0.3"/>
    <row r="7966" customFormat="1" x14ac:dyDescent="0.3"/>
    <row r="7967" customFormat="1" x14ac:dyDescent="0.3"/>
    <row r="7968" customFormat="1" x14ac:dyDescent="0.3"/>
    <row r="7969" customFormat="1" x14ac:dyDescent="0.3"/>
    <row r="7970" customFormat="1" x14ac:dyDescent="0.3"/>
    <row r="7971" customFormat="1" x14ac:dyDescent="0.3"/>
    <row r="7972" customFormat="1" x14ac:dyDescent="0.3"/>
    <row r="7973" customFormat="1" x14ac:dyDescent="0.3"/>
    <row r="7974" customFormat="1" x14ac:dyDescent="0.3"/>
    <row r="7975" customFormat="1" x14ac:dyDescent="0.3"/>
    <row r="7976" customFormat="1" x14ac:dyDescent="0.3"/>
    <row r="7977" customFormat="1" x14ac:dyDescent="0.3"/>
    <row r="7978" customFormat="1" x14ac:dyDescent="0.3"/>
    <row r="7979" customFormat="1" x14ac:dyDescent="0.3"/>
    <row r="7980" customFormat="1" x14ac:dyDescent="0.3"/>
    <row r="7981" customFormat="1" x14ac:dyDescent="0.3"/>
    <row r="7982" customFormat="1" x14ac:dyDescent="0.3"/>
    <row r="7983" customFormat="1" x14ac:dyDescent="0.3"/>
    <row r="7984" customFormat="1" x14ac:dyDescent="0.3"/>
    <row r="7985" customFormat="1" x14ac:dyDescent="0.3"/>
    <row r="7986" customFormat="1" x14ac:dyDescent="0.3"/>
    <row r="7987" customFormat="1" x14ac:dyDescent="0.3"/>
    <row r="7988" customFormat="1" x14ac:dyDescent="0.3"/>
    <row r="7989" customFormat="1" x14ac:dyDescent="0.3"/>
    <row r="7990" customFormat="1" x14ac:dyDescent="0.3"/>
    <row r="7991" customFormat="1" x14ac:dyDescent="0.3"/>
    <row r="7992" customFormat="1" x14ac:dyDescent="0.3"/>
    <row r="7993" customFormat="1" x14ac:dyDescent="0.3"/>
    <row r="7994" customFormat="1" x14ac:dyDescent="0.3"/>
    <row r="7995" customFormat="1" x14ac:dyDescent="0.3"/>
    <row r="7996" customFormat="1" x14ac:dyDescent="0.3"/>
    <row r="7997" customFormat="1" x14ac:dyDescent="0.3"/>
    <row r="7998" customFormat="1" x14ac:dyDescent="0.3"/>
    <row r="7999" customFormat="1" x14ac:dyDescent="0.3"/>
    <row r="8000" customFormat="1" x14ac:dyDescent="0.3"/>
    <row r="8001" customFormat="1" x14ac:dyDescent="0.3"/>
    <row r="8002" customFormat="1" x14ac:dyDescent="0.3"/>
    <row r="8003" customFormat="1" x14ac:dyDescent="0.3"/>
    <row r="8004" customFormat="1" x14ac:dyDescent="0.3"/>
    <row r="8005" customFormat="1" x14ac:dyDescent="0.3"/>
    <row r="8006" customFormat="1" x14ac:dyDescent="0.3"/>
    <row r="8007" customFormat="1" x14ac:dyDescent="0.3"/>
    <row r="8008" customFormat="1" x14ac:dyDescent="0.3"/>
    <row r="8009" customFormat="1" x14ac:dyDescent="0.3"/>
    <row r="8010" customFormat="1" x14ac:dyDescent="0.3"/>
    <row r="8011" customFormat="1" x14ac:dyDescent="0.3"/>
    <row r="8012" customFormat="1" x14ac:dyDescent="0.3"/>
    <row r="8013" customFormat="1" x14ac:dyDescent="0.3"/>
    <row r="8014" customFormat="1" x14ac:dyDescent="0.3"/>
    <row r="8015" customFormat="1" x14ac:dyDescent="0.3"/>
    <row r="8016" customFormat="1" x14ac:dyDescent="0.3"/>
    <row r="8017" customFormat="1" x14ac:dyDescent="0.3"/>
    <row r="8018" customFormat="1" x14ac:dyDescent="0.3"/>
    <row r="8019" customFormat="1" x14ac:dyDescent="0.3"/>
    <row r="8020" customFormat="1" x14ac:dyDescent="0.3"/>
    <row r="8021" customFormat="1" x14ac:dyDescent="0.3"/>
    <row r="8022" customFormat="1" x14ac:dyDescent="0.3"/>
    <row r="8023" customFormat="1" x14ac:dyDescent="0.3"/>
    <row r="8024" customFormat="1" x14ac:dyDescent="0.3"/>
    <row r="8025" customFormat="1" x14ac:dyDescent="0.3"/>
    <row r="8026" customFormat="1" x14ac:dyDescent="0.3"/>
    <row r="8027" customFormat="1" x14ac:dyDescent="0.3"/>
    <row r="8028" customFormat="1" x14ac:dyDescent="0.3"/>
    <row r="8029" customFormat="1" x14ac:dyDescent="0.3"/>
    <row r="8030" customFormat="1" x14ac:dyDescent="0.3"/>
    <row r="8031" customFormat="1" x14ac:dyDescent="0.3"/>
    <row r="8032" customFormat="1" x14ac:dyDescent="0.3"/>
    <row r="8033" customFormat="1" x14ac:dyDescent="0.3"/>
    <row r="8034" customFormat="1" x14ac:dyDescent="0.3"/>
    <row r="8035" customFormat="1" x14ac:dyDescent="0.3"/>
    <row r="8036" customFormat="1" x14ac:dyDescent="0.3"/>
    <row r="8037" customFormat="1" x14ac:dyDescent="0.3"/>
    <row r="8038" customFormat="1" x14ac:dyDescent="0.3"/>
    <row r="8039" customFormat="1" x14ac:dyDescent="0.3"/>
    <row r="8040" customFormat="1" x14ac:dyDescent="0.3"/>
    <row r="8041" customFormat="1" x14ac:dyDescent="0.3"/>
    <row r="8042" customFormat="1" x14ac:dyDescent="0.3"/>
    <row r="8043" customFormat="1" x14ac:dyDescent="0.3"/>
    <row r="8044" customFormat="1" x14ac:dyDescent="0.3"/>
    <row r="8045" customFormat="1" x14ac:dyDescent="0.3"/>
    <row r="8046" customFormat="1" x14ac:dyDescent="0.3"/>
    <row r="8047" customFormat="1" x14ac:dyDescent="0.3"/>
    <row r="8048" customFormat="1" x14ac:dyDescent="0.3"/>
    <row r="8049" customFormat="1" x14ac:dyDescent="0.3"/>
    <row r="8050" customFormat="1" x14ac:dyDescent="0.3"/>
    <row r="8051" customFormat="1" x14ac:dyDescent="0.3"/>
    <row r="8052" customFormat="1" x14ac:dyDescent="0.3"/>
    <row r="8053" customFormat="1" x14ac:dyDescent="0.3"/>
    <row r="8054" customFormat="1" x14ac:dyDescent="0.3"/>
    <row r="8055" customFormat="1" x14ac:dyDescent="0.3"/>
    <row r="8056" customFormat="1" x14ac:dyDescent="0.3"/>
    <row r="8057" customFormat="1" x14ac:dyDescent="0.3"/>
    <row r="8058" customFormat="1" x14ac:dyDescent="0.3"/>
    <row r="8059" customFormat="1" x14ac:dyDescent="0.3"/>
    <row r="8060" customFormat="1" x14ac:dyDescent="0.3"/>
    <row r="8061" customFormat="1" x14ac:dyDescent="0.3"/>
    <row r="8062" customFormat="1" x14ac:dyDescent="0.3"/>
    <row r="8063" customFormat="1" x14ac:dyDescent="0.3"/>
    <row r="8064" customFormat="1" x14ac:dyDescent="0.3"/>
    <row r="8065" customFormat="1" x14ac:dyDescent="0.3"/>
    <row r="8066" customFormat="1" x14ac:dyDescent="0.3"/>
    <row r="8067" customFormat="1" x14ac:dyDescent="0.3"/>
    <row r="8068" customFormat="1" x14ac:dyDescent="0.3"/>
    <row r="8069" customFormat="1" x14ac:dyDescent="0.3"/>
    <row r="8070" customFormat="1" x14ac:dyDescent="0.3"/>
    <row r="8071" customFormat="1" x14ac:dyDescent="0.3"/>
    <row r="8072" customFormat="1" x14ac:dyDescent="0.3"/>
    <row r="8073" customFormat="1" x14ac:dyDescent="0.3"/>
    <row r="8074" customFormat="1" x14ac:dyDescent="0.3"/>
    <row r="8075" customFormat="1" x14ac:dyDescent="0.3"/>
    <row r="8076" customFormat="1" x14ac:dyDescent="0.3"/>
    <row r="8077" customFormat="1" x14ac:dyDescent="0.3"/>
    <row r="8078" customFormat="1" x14ac:dyDescent="0.3"/>
    <row r="8079" customFormat="1" x14ac:dyDescent="0.3"/>
    <row r="8080" customFormat="1" x14ac:dyDescent="0.3"/>
    <row r="8081" customFormat="1" x14ac:dyDescent="0.3"/>
    <row r="8082" customFormat="1" x14ac:dyDescent="0.3"/>
    <row r="8083" customFormat="1" x14ac:dyDescent="0.3"/>
    <row r="8084" customFormat="1" x14ac:dyDescent="0.3"/>
    <row r="8085" customFormat="1" x14ac:dyDescent="0.3"/>
    <row r="8086" customFormat="1" x14ac:dyDescent="0.3"/>
    <row r="8087" customFormat="1" x14ac:dyDescent="0.3"/>
    <row r="8088" customFormat="1" x14ac:dyDescent="0.3"/>
    <row r="8089" customFormat="1" x14ac:dyDescent="0.3"/>
    <row r="8090" customFormat="1" x14ac:dyDescent="0.3"/>
    <row r="8091" customFormat="1" x14ac:dyDescent="0.3"/>
    <row r="8092" customFormat="1" x14ac:dyDescent="0.3"/>
    <row r="8093" customFormat="1" x14ac:dyDescent="0.3"/>
    <row r="8094" customFormat="1" x14ac:dyDescent="0.3"/>
    <row r="8095" customFormat="1" x14ac:dyDescent="0.3"/>
    <row r="8096" customFormat="1" x14ac:dyDescent="0.3"/>
    <row r="8097" customFormat="1" x14ac:dyDescent="0.3"/>
    <row r="8098" customFormat="1" x14ac:dyDescent="0.3"/>
    <row r="8099" customFormat="1" x14ac:dyDescent="0.3"/>
    <row r="8100" customFormat="1" x14ac:dyDescent="0.3"/>
    <row r="8101" customFormat="1" x14ac:dyDescent="0.3"/>
    <row r="8102" customFormat="1" x14ac:dyDescent="0.3"/>
    <row r="8103" customFormat="1" x14ac:dyDescent="0.3"/>
    <row r="8104" customFormat="1" x14ac:dyDescent="0.3"/>
    <row r="8105" customFormat="1" x14ac:dyDescent="0.3"/>
    <row r="8106" customFormat="1" x14ac:dyDescent="0.3"/>
    <row r="8107" customFormat="1" x14ac:dyDescent="0.3"/>
    <row r="8108" customFormat="1" x14ac:dyDescent="0.3"/>
    <row r="8109" customFormat="1" x14ac:dyDescent="0.3"/>
    <row r="8110" customFormat="1" x14ac:dyDescent="0.3"/>
    <row r="8111" customFormat="1" x14ac:dyDescent="0.3"/>
    <row r="8112" customFormat="1" x14ac:dyDescent="0.3"/>
    <row r="8113" customFormat="1" x14ac:dyDescent="0.3"/>
    <row r="8114" customFormat="1" x14ac:dyDescent="0.3"/>
    <row r="8115" customFormat="1" x14ac:dyDescent="0.3"/>
    <row r="8116" customFormat="1" x14ac:dyDescent="0.3"/>
    <row r="8117" customFormat="1" x14ac:dyDescent="0.3"/>
    <row r="8118" customFormat="1" x14ac:dyDescent="0.3"/>
    <row r="8119" customFormat="1" x14ac:dyDescent="0.3"/>
    <row r="8120" customFormat="1" x14ac:dyDescent="0.3"/>
    <row r="8121" customFormat="1" x14ac:dyDescent="0.3"/>
    <row r="8122" customFormat="1" x14ac:dyDescent="0.3"/>
    <row r="8123" customFormat="1" x14ac:dyDescent="0.3"/>
    <row r="8124" customFormat="1" x14ac:dyDescent="0.3"/>
    <row r="8125" customFormat="1" x14ac:dyDescent="0.3"/>
    <row r="8126" customFormat="1" x14ac:dyDescent="0.3"/>
    <row r="8127" customFormat="1" x14ac:dyDescent="0.3"/>
    <row r="8128" customFormat="1" x14ac:dyDescent="0.3"/>
    <row r="8129" customFormat="1" x14ac:dyDescent="0.3"/>
    <row r="8130" customFormat="1" x14ac:dyDescent="0.3"/>
    <row r="8131" customFormat="1" x14ac:dyDescent="0.3"/>
    <row r="8132" customFormat="1" x14ac:dyDescent="0.3"/>
    <row r="8133" customFormat="1" x14ac:dyDescent="0.3"/>
    <row r="8134" customFormat="1" x14ac:dyDescent="0.3"/>
    <row r="8135" customFormat="1" x14ac:dyDescent="0.3"/>
    <row r="8136" customFormat="1" x14ac:dyDescent="0.3"/>
    <row r="8137" customFormat="1" x14ac:dyDescent="0.3"/>
    <row r="8138" customFormat="1" x14ac:dyDescent="0.3"/>
    <row r="8139" customFormat="1" x14ac:dyDescent="0.3"/>
    <row r="8140" customFormat="1" x14ac:dyDescent="0.3"/>
    <row r="8141" customFormat="1" x14ac:dyDescent="0.3"/>
    <row r="8142" customFormat="1" x14ac:dyDescent="0.3"/>
    <row r="8143" customFormat="1" x14ac:dyDescent="0.3"/>
    <row r="8144" customFormat="1" x14ac:dyDescent="0.3"/>
    <row r="8145" customFormat="1" x14ac:dyDescent="0.3"/>
    <row r="8146" customFormat="1" x14ac:dyDescent="0.3"/>
    <row r="8147" customFormat="1" x14ac:dyDescent="0.3"/>
    <row r="8148" customFormat="1" x14ac:dyDescent="0.3"/>
    <row r="8149" customFormat="1" x14ac:dyDescent="0.3"/>
    <row r="8150" customFormat="1" x14ac:dyDescent="0.3"/>
    <row r="8151" customFormat="1" x14ac:dyDescent="0.3"/>
    <row r="8152" customFormat="1" x14ac:dyDescent="0.3"/>
    <row r="8153" customFormat="1" x14ac:dyDescent="0.3"/>
    <row r="8154" customFormat="1" x14ac:dyDescent="0.3"/>
    <row r="8155" customFormat="1" x14ac:dyDescent="0.3"/>
    <row r="8156" customFormat="1" x14ac:dyDescent="0.3"/>
    <row r="8157" customFormat="1" x14ac:dyDescent="0.3"/>
    <row r="8158" customFormat="1" x14ac:dyDescent="0.3"/>
    <row r="8159" customFormat="1" x14ac:dyDescent="0.3"/>
    <row r="8160" customFormat="1" x14ac:dyDescent="0.3"/>
    <row r="8161" customFormat="1" x14ac:dyDescent="0.3"/>
    <row r="8162" customFormat="1" x14ac:dyDescent="0.3"/>
    <row r="8163" customFormat="1" x14ac:dyDescent="0.3"/>
    <row r="8164" customFormat="1" x14ac:dyDescent="0.3"/>
    <row r="8165" customFormat="1" x14ac:dyDescent="0.3"/>
    <row r="8166" customFormat="1" x14ac:dyDescent="0.3"/>
    <row r="8167" customFormat="1" x14ac:dyDescent="0.3"/>
    <row r="8168" customFormat="1" x14ac:dyDescent="0.3"/>
    <row r="8169" customFormat="1" x14ac:dyDescent="0.3"/>
    <row r="8170" customFormat="1" x14ac:dyDescent="0.3"/>
    <row r="8171" customFormat="1" x14ac:dyDescent="0.3"/>
    <row r="8172" customFormat="1" x14ac:dyDescent="0.3"/>
    <row r="8173" customFormat="1" x14ac:dyDescent="0.3"/>
    <row r="8174" customFormat="1" x14ac:dyDescent="0.3"/>
    <row r="8175" customFormat="1" x14ac:dyDescent="0.3"/>
    <row r="8176" customFormat="1" x14ac:dyDescent="0.3"/>
    <row r="8177" customFormat="1" x14ac:dyDescent="0.3"/>
    <row r="8178" customFormat="1" x14ac:dyDescent="0.3"/>
    <row r="8179" customFormat="1" x14ac:dyDescent="0.3"/>
    <row r="8180" customFormat="1" x14ac:dyDescent="0.3"/>
    <row r="8181" customFormat="1" x14ac:dyDescent="0.3"/>
    <row r="8182" customFormat="1" x14ac:dyDescent="0.3"/>
    <row r="8183" customFormat="1" x14ac:dyDescent="0.3"/>
    <row r="8184" customFormat="1" x14ac:dyDescent="0.3"/>
    <row r="8185" customFormat="1" x14ac:dyDescent="0.3"/>
    <row r="8186" customFormat="1" x14ac:dyDescent="0.3"/>
    <row r="8187" customFormat="1" x14ac:dyDescent="0.3"/>
    <row r="8188" customFormat="1" x14ac:dyDescent="0.3"/>
    <row r="8189" customFormat="1" x14ac:dyDescent="0.3"/>
    <row r="8190" customFormat="1" x14ac:dyDescent="0.3"/>
    <row r="8191" customFormat="1" x14ac:dyDescent="0.3"/>
    <row r="8192" customFormat="1" x14ac:dyDescent="0.3"/>
    <row r="8193" customFormat="1" x14ac:dyDescent="0.3"/>
    <row r="8194" customFormat="1" x14ac:dyDescent="0.3"/>
    <row r="8195" customFormat="1" x14ac:dyDescent="0.3"/>
    <row r="8196" customFormat="1" x14ac:dyDescent="0.3"/>
    <row r="8197" customFormat="1" x14ac:dyDescent="0.3"/>
    <row r="8198" customFormat="1" x14ac:dyDescent="0.3"/>
    <row r="8199" customFormat="1" x14ac:dyDescent="0.3"/>
    <row r="8200" customFormat="1" x14ac:dyDescent="0.3"/>
    <row r="8201" customFormat="1" x14ac:dyDescent="0.3"/>
    <row r="8202" customFormat="1" x14ac:dyDescent="0.3"/>
    <row r="8203" customFormat="1" x14ac:dyDescent="0.3"/>
    <row r="8204" customFormat="1" x14ac:dyDescent="0.3"/>
    <row r="8205" customFormat="1" x14ac:dyDescent="0.3"/>
    <row r="8206" customFormat="1" x14ac:dyDescent="0.3"/>
    <row r="8207" customFormat="1" x14ac:dyDescent="0.3"/>
    <row r="8208" customFormat="1" x14ac:dyDescent="0.3"/>
    <row r="8209" customFormat="1" x14ac:dyDescent="0.3"/>
    <row r="8210" customFormat="1" x14ac:dyDescent="0.3"/>
    <row r="8211" customFormat="1" x14ac:dyDescent="0.3"/>
    <row r="8212" customFormat="1" x14ac:dyDescent="0.3"/>
    <row r="8213" customFormat="1" x14ac:dyDescent="0.3"/>
    <row r="8214" customFormat="1" x14ac:dyDescent="0.3"/>
    <row r="8215" customFormat="1" x14ac:dyDescent="0.3"/>
    <row r="8216" customFormat="1" x14ac:dyDescent="0.3"/>
    <row r="8217" customFormat="1" x14ac:dyDescent="0.3"/>
    <row r="8218" customFormat="1" x14ac:dyDescent="0.3"/>
    <row r="8219" customFormat="1" x14ac:dyDescent="0.3"/>
    <row r="8220" customFormat="1" x14ac:dyDescent="0.3"/>
    <row r="8221" customFormat="1" x14ac:dyDescent="0.3"/>
    <row r="8222" customFormat="1" x14ac:dyDescent="0.3"/>
    <row r="8223" customFormat="1" x14ac:dyDescent="0.3"/>
    <row r="8224" customFormat="1" x14ac:dyDescent="0.3"/>
    <row r="8225" customFormat="1" x14ac:dyDescent="0.3"/>
    <row r="8226" customFormat="1" x14ac:dyDescent="0.3"/>
    <row r="8227" customFormat="1" x14ac:dyDescent="0.3"/>
    <row r="8228" customFormat="1" x14ac:dyDescent="0.3"/>
    <row r="8229" customFormat="1" x14ac:dyDescent="0.3"/>
    <row r="8230" customFormat="1" x14ac:dyDescent="0.3"/>
    <row r="8231" customFormat="1" x14ac:dyDescent="0.3"/>
    <row r="8232" customFormat="1" x14ac:dyDescent="0.3"/>
    <row r="8233" customFormat="1" x14ac:dyDescent="0.3"/>
    <row r="8234" customFormat="1" x14ac:dyDescent="0.3"/>
    <row r="8235" customFormat="1" x14ac:dyDescent="0.3"/>
    <row r="8236" customFormat="1" x14ac:dyDescent="0.3"/>
    <row r="8237" customFormat="1" x14ac:dyDescent="0.3"/>
    <row r="8238" customFormat="1" x14ac:dyDescent="0.3"/>
    <row r="8239" customFormat="1" x14ac:dyDescent="0.3"/>
    <row r="8240" customFormat="1" x14ac:dyDescent="0.3"/>
    <row r="8241" customFormat="1" x14ac:dyDescent="0.3"/>
    <row r="8242" customFormat="1" x14ac:dyDescent="0.3"/>
    <row r="8243" customFormat="1" x14ac:dyDescent="0.3"/>
    <row r="8244" customFormat="1" x14ac:dyDescent="0.3"/>
    <row r="8245" customFormat="1" x14ac:dyDescent="0.3"/>
    <row r="8246" customFormat="1" x14ac:dyDescent="0.3"/>
    <row r="8247" customFormat="1" x14ac:dyDescent="0.3"/>
    <row r="8248" customFormat="1" x14ac:dyDescent="0.3"/>
    <row r="8249" customFormat="1" x14ac:dyDescent="0.3"/>
    <row r="8250" customFormat="1" x14ac:dyDescent="0.3"/>
    <row r="8251" customFormat="1" x14ac:dyDescent="0.3"/>
    <row r="8252" customFormat="1" x14ac:dyDescent="0.3"/>
    <row r="8253" customFormat="1" x14ac:dyDescent="0.3"/>
    <row r="8254" customFormat="1" x14ac:dyDescent="0.3"/>
    <row r="8255" customFormat="1" x14ac:dyDescent="0.3"/>
    <row r="8256" customFormat="1" x14ac:dyDescent="0.3"/>
    <row r="8257" customFormat="1" x14ac:dyDescent="0.3"/>
    <row r="8258" customFormat="1" x14ac:dyDescent="0.3"/>
    <row r="8259" customFormat="1" x14ac:dyDescent="0.3"/>
    <row r="8260" customFormat="1" x14ac:dyDescent="0.3"/>
    <row r="8261" customFormat="1" x14ac:dyDescent="0.3"/>
    <row r="8262" customFormat="1" x14ac:dyDescent="0.3"/>
    <row r="8263" customFormat="1" x14ac:dyDescent="0.3"/>
    <row r="8264" customFormat="1" x14ac:dyDescent="0.3"/>
    <row r="8265" customFormat="1" x14ac:dyDescent="0.3"/>
    <row r="8266" customFormat="1" x14ac:dyDescent="0.3"/>
    <row r="8267" customFormat="1" x14ac:dyDescent="0.3"/>
    <row r="8268" customFormat="1" x14ac:dyDescent="0.3"/>
    <row r="8269" customFormat="1" x14ac:dyDescent="0.3"/>
    <row r="8270" customFormat="1" x14ac:dyDescent="0.3"/>
    <row r="8271" customFormat="1" x14ac:dyDescent="0.3"/>
    <row r="8272" customFormat="1" x14ac:dyDescent="0.3"/>
    <row r="8273" customFormat="1" x14ac:dyDescent="0.3"/>
    <row r="8274" customFormat="1" x14ac:dyDescent="0.3"/>
    <row r="8275" customFormat="1" x14ac:dyDescent="0.3"/>
    <row r="8276" customFormat="1" x14ac:dyDescent="0.3"/>
    <row r="8277" customFormat="1" x14ac:dyDescent="0.3"/>
    <row r="8278" customFormat="1" x14ac:dyDescent="0.3"/>
    <row r="8279" customFormat="1" x14ac:dyDescent="0.3"/>
    <row r="8280" customFormat="1" x14ac:dyDescent="0.3"/>
    <row r="8281" customFormat="1" x14ac:dyDescent="0.3"/>
    <row r="8282" customFormat="1" x14ac:dyDescent="0.3"/>
    <row r="8283" customFormat="1" x14ac:dyDescent="0.3"/>
    <row r="8284" customFormat="1" x14ac:dyDescent="0.3"/>
    <row r="8285" customFormat="1" x14ac:dyDescent="0.3"/>
    <row r="8286" customFormat="1" x14ac:dyDescent="0.3"/>
    <row r="8287" customFormat="1" x14ac:dyDescent="0.3"/>
    <row r="8288" customFormat="1" x14ac:dyDescent="0.3"/>
    <row r="8289" customFormat="1" x14ac:dyDescent="0.3"/>
    <row r="8290" customFormat="1" x14ac:dyDescent="0.3"/>
    <row r="8291" customFormat="1" x14ac:dyDescent="0.3"/>
    <row r="8292" customFormat="1" x14ac:dyDescent="0.3"/>
    <row r="8293" customFormat="1" x14ac:dyDescent="0.3"/>
    <row r="8294" customFormat="1" x14ac:dyDescent="0.3"/>
    <row r="8295" customFormat="1" x14ac:dyDescent="0.3"/>
    <row r="8296" customFormat="1" x14ac:dyDescent="0.3"/>
    <row r="8297" customFormat="1" x14ac:dyDescent="0.3"/>
    <row r="8298" customFormat="1" x14ac:dyDescent="0.3"/>
    <row r="8299" customFormat="1" x14ac:dyDescent="0.3"/>
    <row r="8300" customFormat="1" x14ac:dyDescent="0.3"/>
    <row r="8301" customFormat="1" x14ac:dyDescent="0.3"/>
    <row r="8302" customFormat="1" x14ac:dyDescent="0.3"/>
    <row r="8303" customFormat="1" x14ac:dyDescent="0.3"/>
    <row r="8304" customFormat="1" x14ac:dyDescent="0.3"/>
    <row r="8305" customFormat="1" x14ac:dyDescent="0.3"/>
    <row r="8306" customFormat="1" x14ac:dyDescent="0.3"/>
    <row r="8307" customFormat="1" x14ac:dyDescent="0.3"/>
    <row r="8308" customFormat="1" x14ac:dyDescent="0.3"/>
    <row r="8309" customFormat="1" x14ac:dyDescent="0.3"/>
    <row r="8310" customFormat="1" x14ac:dyDescent="0.3"/>
    <row r="8311" customFormat="1" x14ac:dyDescent="0.3"/>
    <row r="8312" customFormat="1" x14ac:dyDescent="0.3"/>
    <row r="8313" customFormat="1" x14ac:dyDescent="0.3"/>
    <row r="8314" customFormat="1" x14ac:dyDescent="0.3"/>
    <row r="8315" customFormat="1" x14ac:dyDescent="0.3"/>
    <row r="8316" customFormat="1" x14ac:dyDescent="0.3"/>
    <row r="8317" customFormat="1" x14ac:dyDescent="0.3"/>
    <row r="8318" customFormat="1" x14ac:dyDescent="0.3"/>
    <row r="8319" customFormat="1" x14ac:dyDescent="0.3"/>
    <row r="8320" customFormat="1" x14ac:dyDescent="0.3"/>
    <row r="8321" customFormat="1" x14ac:dyDescent="0.3"/>
    <row r="8322" customFormat="1" x14ac:dyDescent="0.3"/>
    <row r="8323" customFormat="1" x14ac:dyDescent="0.3"/>
    <row r="8324" customFormat="1" x14ac:dyDescent="0.3"/>
    <row r="8325" customFormat="1" x14ac:dyDescent="0.3"/>
    <row r="8326" customFormat="1" x14ac:dyDescent="0.3"/>
    <row r="8327" customFormat="1" x14ac:dyDescent="0.3"/>
    <row r="8328" customFormat="1" x14ac:dyDescent="0.3"/>
    <row r="8329" customFormat="1" x14ac:dyDescent="0.3"/>
    <row r="8330" customFormat="1" x14ac:dyDescent="0.3"/>
    <row r="8331" customFormat="1" x14ac:dyDescent="0.3"/>
    <row r="8332" customFormat="1" x14ac:dyDescent="0.3"/>
    <row r="8333" customFormat="1" x14ac:dyDescent="0.3"/>
    <row r="8334" customFormat="1" x14ac:dyDescent="0.3"/>
    <row r="8335" customFormat="1" x14ac:dyDescent="0.3"/>
    <row r="8336" customFormat="1" x14ac:dyDescent="0.3"/>
    <row r="8337" customFormat="1" x14ac:dyDescent="0.3"/>
    <row r="8338" customFormat="1" x14ac:dyDescent="0.3"/>
    <row r="8339" customFormat="1" x14ac:dyDescent="0.3"/>
    <row r="8340" customFormat="1" x14ac:dyDescent="0.3"/>
    <row r="8341" customFormat="1" x14ac:dyDescent="0.3"/>
    <row r="8342" customFormat="1" x14ac:dyDescent="0.3"/>
    <row r="8343" customFormat="1" x14ac:dyDescent="0.3"/>
    <row r="8344" customFormat="1" x14ac:dyDescent="0.3"/>
    <row r="8345" customFormat="1" x14ac:dyDescent="0.3"/>
    <row r="8346" customFormat="1" x14ac:dyDescent="0.3"/>
    <row r="8347" customFormat="1" x14ac:dyDescent="0.3"/>
    <row r="8348" customFormat="1" x14ac:dyDescent="0.3"/>
    <row r="8349" customFormat="1" x14ac:dyDescent="0.3"/>
    <row r="8350" customFormat="1" x14ac:dyDescent="0.3"/>
    <row r="8351" customFormat="1" x14ac:dyDescent="0.3"/>
    <row r="8352" customFormat="1" x14ac:dyDescent="0.3"/>
    <row r="8353" customFormat="1" x14ac:dyDescent="0.3"/>
    <row r="8354" customFormat="1" x14ac:dyDescent="0.3"/>
    <row r="8355" customFormat="1" x14ac:dyDescent="0.3"/>
    <row r="8356" customFormat="1" x14ac:dyDescent="0.3"/>
    <row r="8357" customFormat="1" x14ac:dyDescent="0.3"/>
    <row r="8358" customFormat="1" x14ac:dyDescent="0.3"/>
    <row r="8359" customFormat="1" x14ac:dyDescent="0.3"/>
    <row r="8360" customFormat="1" x14ac:dyDescent="0.3"/>
    <row r="8361" customFormat="1" x14ac:dyDescent="0.3"/>
    <row r="8362" customFormat="1" x14ac:dyDescent="0.3"/>
    <row r="8363" customFormat="1" x14ac:dyDescent="0.3"/>
    <row r="8364" customFormat="1" x14ac:dyDescent="0.3"/>
    <row r="8365" customFormat="1" x14ac:dyDescent="0.3"/>
    <row r="8366" customFormat="1" x14ac:dyDescent="0.3"/>
    <row r="8367" customFormat="1" x14ac:dyDescent="0.3"/>
    <row r="8368" customFormat="1" x14ac:dyDescent="0.3"/>
    <row r="8369" customFormat="1" x14ac:dyDescent="0.3"/>
    <row r="8370" customFormat="1" x14ac:dyDescent="0.3"/>
    <row r="8371" customFormat="1" x14ac:dyDescent="0.3"/>
    <row r="8372" customFormat="1" x14ac:dyDescent="0.3"/>
    <row r="8373" customFormat="1" x14ac:dyDescent="0.3"/>
    <row r="8374" customFormat="1" x14ac:dyDescent="0.3"/>
    <row r="8375" customFormat="1" x14ac:dyDescent="0.3"/>
    <row r="8376" customFormat="1" x14ac:dyDescent="0.3"/>
    <row r="8377" customFormat="1" x14ac:dyDescent="0.3"/>
    <row r="8378" customFormat="1" x14ac:dyDescent="0.3"/>
    <row r="8379" customFormat="1" x14ac:dyDescent="0.3"/>
    <row r="8380" customFormat="1" x14ac:dyDescent="0.3"/>
    <row r="8381" customFormat="1" x14ac:dyDescent="0.3"/>
    <row r="8382" customFormat="1" x14ac:dyDescent="0.3"/>
    <row r="8383" customFormat="1" x14ac:dyDescent="0.3"/>
    <row r="8384" customFormat="1" x14ac:dyDescent="0.3"/>
    <row r="8385" customFormat="1" x14ac:dyDescent="0.3"/>
    <row r="8386" customFormat="1" x14ac:dyDescent="0.3"/>
    <row r="8387" customFormat="1" x14ac:dyDescent="0.3"/>
    <row r="8388" customFormat="1" x14ac:dyDescent="0.3"/>
    <row r="8389" customFormat="1" x14ac:dyDescent="0.3"/>
    <row r="8390" customFormat="1" x14ac:dyDescent="0.3"/>
    <row r="8391" customFormat="1" x14ac:dyDescent="0.3"/>
    <row r="8392" customFormat="1" x14ac:dyDescent="0.3"/>
    <row r="8393" customFormat="1" x14ac:dyDescent="0.3"/>
    <row r="8394" customFormat="1" x14ac:dyDescent="0.3"/>
    <row r="8395" customFormat="1" x14ac:dyDescent="0.3"/>
    <row r="8396" customFormat="1" x14ac:dyDescent="0.3"/>
    <row r="8397" customFormat="1" x14ac:dyDescent="0.3"/>
    <row r="8398" customFormat="1" x14ac:dyDescent="0.3"/>
    <row r="8399" customFormat="1" x14ac:dyDescent="0.3"/>
    <row r="8400" customFormat="1" x14ac:dyDescent="0.3"/>
    <row r="8401" customFormat="1" x14ac:dyDescent="0.3"/>
    <row r="8402" customFormat="1" x14ac:dyDescent="0.3"/>
    <row r="8403" customFormat="1" x14ac:dyDescent="0.3"/>
    <row r="8404" customFormat="1" x14ac:dyDescent="0.3"/>
    <row r="8405" customFormat="1" x14ac:dyDescent="0.3"/>
    <row r="8406" customFormat="1" x14ac:dyDescent="0.3"/>
    <row r="8407" customFormat="1" x14ac:dyDescent="0.3"/>
    <row r="8408" customFormat="1" x14ac:dyDescent="0.3"/>
    <row r="8409" customFormat="1" x14ac:dyDescent="0.3"/>
    <row r="8410" customFormat="1" x14ac:dyDescent="0.3"/>
    <row r="8411" customFormat="1" x14ac:dyDescent="0.3"/>
    <row r="8412" customFormat="1" x14ac:dyDescent="0.3"/>
    <row r="8413" customFormat="1" x14ac:dyDescent="0.3"/>
    <row r="8414" customFormat="1" x14ac:dyDescent="0.3"/>
    <row r="8415" customFormat="1" x14ac:dyDescent="0.3"/>
    <row r="8416" customFormat="1" x14ac:dyDescent="0.3"/>
    <row r="8417" customFormat="1" x14ac:dyDescent="0.3"/>
    <row r="8418" customFormat="1" x14ac:dyDescent="0.3"/>
    <row r="8419" customFormat="1" x14ac:dyDescent="0.3"/>
    <row r="8420" customFormat="1" x14ac:dyDescent="0.3"/>
    <row r="8421" customFormat="1" x14ac:dyDescent="0.3"/>
    <row r="8422" customFormat="1" x14ac:dyDescent="0.3"/>
    <row r="8423" customFormat="1" x14ac:dyDescent="0.3"/>
    <row r="8424" customFormat="1" x14ac:dyDescent="0.3"/>
    <row r="8425" customFormat="1" x14ac:dyDescent="0.3"/>
    <row r="8426" customFormat="1" x14ac:dyDescent="0.3"/>
    <row r="8427" customFormat="1" x14ac:dyDescent="0.3"/>
    <row r="8428" customFormat="1" x14ac:dyDescent="0.3"/>
    <row r="8429" customFormat="1" x14ac:dyDescent="0.3"/>
    <row r="8430" customFormat="1" x14ac:dyDescent="0.3"/>
    <row r="8431" customFormat="1" x14ac:dyDescent="0.3"/>
    <row r="8432" customFormat="1" x14ac:dyDescent="0.3"/>
    <row r="8433" customFormat="1" x14ac:dyDescent="0.3"/>
    <row r="8434" customFormat="1" x14ac:dyDescent="0.3"/>
    <row r="8435" customFormat="1" x14ac:dyDescent="0.3"/>
    <row r="8436" customFormat="1" x14ac:dyDescent="0.3"/>
    <row r="8437" customFormat="1" x14ac:dyDescent="0.3"/>
    <row r="8438" customFormat="1" x14ac:dyDescent="0.3"/>
    <row r="8439" customFormat="1" x14ac:dyDescent="0.3"/>
    <row r="8440" customFormat="1" x14ac:dyDescent="0.3"/>
    <row r="8441" customFormat="1" x14ac:dyDescent="0.3"/>
    <row r="8442" customFormat="1" x14ac:dyDescent="0.3"/>
    <row r="8443" customFormat="1" x14ac:dyDescent="0.3"/>
    <row r="8444" customFormat="1" x14ac:dyDescent="0.3"/>
    <row r="8445" customFormat="1" x14ac:dyDescent="0.3"/>
    <row r="8446" customFormat="1" x14ac:dyDescent="0.3"/>
    <row r="8447" customFormat="1" x14ac:dyDescent="0.3"/>
    <row r="8448" customFormat="1" x14ac:dyDescent="0.3"/>
    <row r="8449" customFormat="1" x14ac:dyDescent="0.3"/>
    <row r="8450" customFormat="1" x14ac:dyDescent="0.3"/>
    <row r="8451" customFormat="1" x14ac:dyDescent="0.3"/>
    <row r="8452" customFormat="1" x14ac:dyDescent="0.3"/>
    <row r="8453" customFormat="1" x14ac:dyDescent="0.3"/>
    <row r="8454" customFormat="1" x14ac:dyDescent="0.3"/>
    <row r="8455" customFormat="1" x14ac:dyDescent="0.3"/>
    <row r="8456" customFormat="1" x14ac:dyDescent="0.3"/>
    <row r="8457" customFormat="1" x14ac:dyDescent="0.3"/>
    <row r="8458" customFormat="1" x14ac:dyDescent="0.3"/>
    <row r="8459" customFormat="1" x14ac:dyDescent="0.3"/>
    <row r="8460" customFormat="1" x14ac:dyDescent="0.3"/>
    <row r="8461" customFormat="1" x14ac:dyDescent="0.3"/>
    <row r="8462" customFormat="1" x14ac:dyDescent="0.3"/>
    <row r="8463" customFormat="1" x14ac:dyDescent="0.3"/>
    <row r="8464" customFormat="1" x14ac:dyDescent="0.3"/>
    <row r="8465" customFormat="1" x14ac:dyDescent="0.3"/>
    <row r="8466" customFormat="1" x14ac:dyDescent="0.3"/>
    <row r="8467" customFormat="1" x14ac:dyDescent="0.3"/>
    <row r="8468" customFormat="1" x14ac:dyDescent="0.3"/>
    <row r="8469" customFormat="1" x14ac:dyDescent="0.3"/>
    <row r="8470" customFormat="1" x14ac:dyDescent="0.3"/>
    <row r="8471" customFormat="1" x14ac:dyDescent="0.3"/>
    <row r="8472" customFormat="1" x14ac:dyDescent="0.3"/>
    <row r="8473" customFormat="1" x14ac:dyDescent="0.3"/>
    <row r="8474" customFormat="1" x14ac:dyDescent="0.3"/>
    <row r="8475" customFormat="1" x14ac:dyDescent="0.3"/>
    <row r="8476" customFormat="1" x14ac:dyDescent="0.3"/>
    <row r="8477" customFormat="1" x14ac:dyDescent="0.3"/>
    <row r="8478" customFormat="1" x14ac:dyDescent="0.3"/>
    <row r="8479" customFormat="1" x14ac:dyDescent="0.3"/>
    <row r="8480" customFormat="1" x14ac:dyDescent="0.3"/>
    <row r="8481" customFormat="1" x14ac:dyDescent="0.3"/>
    <row r="8482" customFormat="1" x14ac:dyDescent="0.3"/>
    <row r="8483" customFormat="1" x14ac:dyDescent="0.3"/>
    <row r="8484" customFormat="1" x14ac:dyDescent="0.3"/>
    <row r="8485" customFormat="1" x14ac:dyDescent="0.3"/>
    <row r="8486" customFormat="1" x14ac:dyDescent="0.3"/>
    <row r="8487" customFormat="1" x14ac:dyDescent="0.3"/>
    <row r="8488" customFormat="1" x14ac:dyDescent="0.3"/>
    <row r="8489" customFormat="1" x14ac:dyDescent="0.3"/>
    <row r="8490" customFormat="1" x14ac:dyDescent="0.3"/>
    <row r="8491" customFormat="1" x14ac:dyDescent="0.3"/>
    <row r="8492" customFormat="1" x14ac:dyDescent="0.3"/>
    <row r="8493" customFormat="1" x14ac:dyDescent="0.3"/>
    <row r="8494" customFormat="1" x14ac:dyDescent="0.3"/>
    <row r="8495" customFormat="1" x14ac:dyDescent="0.3"/>
    <row r="8496" customFormat="1" x14ac:dyDescent="0.3"/>
    <row r="8497" customFormat="1" x14ac:dyDescent="0.3"/>
    <row r="8498" customFormat="1" x14ac:dyDescent="0.3"/>
    <row r="8499" customFormat="1" x14ac:dyDescent="0.3"/>
    <row r="8500" customFormat="1" x14ac:dyDescent="0.3"/>
    <row r="8501" customFormat="1" x14ac:dyDescent="0.3"/>
    <row r="8502" customFormat="1" x14ac:dyDescent="0.3"/>
    <row r="8503" customFormat="1" x14ac:dyDescent="0.3"/>
    <row r="8504" customFormat="1" x14ac:dyDescent="0.3"/>
    <row r="8505" customFormat="1" x14ac:dyDescent="0.3"/>
    <row r="8506" customFormat="1" x14ac:dyDescent="0.3"/>
    <row r="8507" customFormat="1" x14ac:dyDescent="0.3"/>
    <row r="8508" customFormat="1" x14ac:dyDescent="0.3"/>
    <row r="8509" customFormat="1" x14ac:dyDescent="0.3"/>
    <row r="8510" customFormat="1" x14ac:dyDescent="0.3"/>
    <row r="8511" customFormat="1" x14ac:dyDescent="0.3"/>
    <row r="8512" customFormat="1" x14ac:dyDescent="0.3"/>
    <row r="8513" customFormat="1" x14ac:dyDescent="0.3"/>
    <row r="8514" customFormat="1" x14ac:dyDescent="0.3"/>
    <row r="8515" customFormat="1" x14ac:dyDescent="0.3"/>
    <row r="8516" customFormat="1" x14ac:dyDescent="0.3"/>
    <row r="8517" customFormat="1" x14ac:dyDescent="0.3"/>
    <row r="8518" customFormat="1" x14ac:dyDescent="0.3"/>
    <row r="8519" customFormat="1" x14ac:dyDescent="0.3"/>
    <row r="8520" customFormat="1" x14ac:dyDescent="0.3"/>
    <row r="8521" customFormat="1" x14ac:dyDescent="0.3"/>
    <row r="8522" customFormat="1" x14ac:dyDescent="0.3"/>
    <row r="8523" customFormat="1" x14ac:dyDescent="0.3"/>
    <row r="8524" customFormat="1" x14ac:dyDescent="0.3"/>
    <row r="8525" customFormat="1" x14ac:dyDescent="0.3"/>
    <row r="8526" customFormat="1" x14ac:dyDescent="0.3"/>
    <row r="8527" customFormat="1" x14ac:dyDescent="0.3"/>
    <row r="8528" customFormat="1" x14ac:dyDescent="0.3"/>
    <row r="8529" customFormat="1" x14ac:dyDescent="0.3"/>
    <row r="8530" customFormat="1" x14ac:dyDescent="0.3"/>
    <row r="8531" customFormat="1" x14ac:dyDescent="0.3"/>
    <row r="8532" customFormat="1" x14ac:dyDescent="0.3"/>
    <row r="8533" customFormat="1" x14ac:dyDescent="0.3"/>
    <row r="8534" customFormat="1" x14ac:dyDescent="0.3"/>
    <row r="8535" customFormat="1" x14ac:dyDescent="0.3"/>
    <row r="8536" customFormat="1" x14ac:dyDescent="0.3"/>
    <row r="8537" customFormat="1" x14ac:dyDescent="0.3"/>
    <row r="8538" customFormat="1" x14ac:dyDescent="0.3"/>
    <row r="8539" customFormat="1" x14ac:dyDescent="0.3"/>
    <row r="8540" customFormat="1" x14ac:dyDescent="0.3"/>
    <row r="8541" customFormat="1" x14ac:dyDescent="0.3"/>
    <row r="8542" customFormat="1" x14ac:dyDescent="0.3"/>
    <row r="8543" customFormat="1" x14ac:dyDescent="0.3"/>
    <row r="8544" customFormat="1" x14ac:dyDescent="0.3"/>
    <row r="8545" customFormat="1" x14ac:dyDescent="0.3"/>
    <row r="8546" customFormat="1" x14ac:dyDescent="0.3"/>
    <row r="8547" customFormat="1" x14ac:dyDescent="0.3"/>
    <row r="8548" customFormat="1" x14ac:dyDescent="0.3"/>
    <row r="8549" customFormat="1" x14ac:dyDescent="0.3"/>
    <row r="8550" customFormat="1" x14ac:dyDescent="0.3"/>
    <row r="8551" customFormat="1" x14ac:dyDescent="0.3"/>
    <row r="8552" customFormat="1" x14ac:dyDescent="0.3"/>
    <row r="8553" customFormat="1" x14ac:dyDescent="0.3"/>
    <row r="8554" customFormat="1" x14ac:dyDescent="0.3"/>
    <row r="8555" customFormat="1" x14ac:dyDescent="0.3"/>
    <row r="8556" customFormat="1" x14ac:dyDescent="0.3"/>
    <row r="8557" customFormat="1" x14ac:dyDescent="0.3"/>
    <row r="8558" customFormat="1" x14ac:dyDescent="0.3"/>
    <row r="8559" customFormat="1" x14ac:dyDescent="0.3"/>
    <row r="8560" customFormat="1" x14ac:dyDescent="0.3"/>
    <row r="8561" customFormat="1" x14ac:dyDescent="0.3"/>
    <row r="8562" customFormat="1" x14ac:dyDescent="0.3"/>
    <row r="8563" customFormat="1" x14ac:dyDescent="0.3"/>
    <row r="8564" customFormat="1" x14ac:dyDescent="0.3"/>
    <row r="8565" customFormat="1" x14ac:dyDescent="0.3"/>
    <row r="8566" customFormat="1" x14ac:dyDescent="0.3"/>
    <row r="8567" customFormat="1" x14ac:dyDescent="0.3"/>
    <row r="8568" customFormat="1" x14ac:dyDescent="0.3"/>
    <row r="8569" customFormat="1" x14ac:dyDescent="0.3"/>
    <row r="8570" customFormat="1" x14ac:dyDescent="0.3"/>
    <row r="8571" customFormat="1" x14ac:dyDescent="0.3"/>
    <row r="8572" customFormat="1" x14ac:dyDescent="0.3"/>
    <row r="8573" customFormat="1" x14ac:dyDescent="0.3"/>
    <row r="8574" customFormat="1" x14ac:dyDescent="0.3"/>
    <row r="8575" customFormat="1" x14ac:dyDescent="0.3"/>
    <row r="8576" customFormat="1" x14ac:dyDescent="0.3"/>
    <row r="8577" customFormat="1" x14ac:dyDescent="0.3"/>
    <row r="8578" customFormat="1" x14ac:dyDescent="0.3"/>
    <row r="8579" customFormat="1" x14ac:dyDescent="0.3"/>
    <row r="8580" customFormat="1" x14ac:dyDescent="0.3"/>
    <row r="8581" customFormat="1" x14ac:dyDescent="0.3"/>
    <row r="8582" customFormat="1" x14ac:dyDescent="0.3"/>
    <row r="8583" customFormat="1" x14ac:dyDescent="0.3"/>
    <row r="8584" customFormat="1" x14ac:dyDescent="0.3"/>
    <row r="8585" customFormat="1" x14ac:dyDescent="0.3"/>
    <row r="8586" customFormat="1" x14ac:dyDescent="0.3"/>
    <row r="8587" customFormat="1" x14ac:dyDescent="0.3"/>
    <row r="8588" customFormat="1" x14ac:dyDescent="0.3"/>
    <row r="8589" customFormat="1" x14ac:dyDescent="0.3"/>
    <row r="8590" customFormat="1" x14ac:dyDescent="0.3"/>
    <row r="8591" customFormat="1" x14ac:dyDescent="0.3"/>
    <row r="8592" customFormat="1" x14ac:dyDescent="0.3"/>
    <row r="8593" customFormat="1" x14ac:dyDescent="0.3"/>
    <row r="8594" customFormat="1" x14ac:dyDescent="0.3"/>
    <row r="8595" customFormat="1" x14ac:dyDescent="0.3"/>
    <row r="8596" customFormat="1" x14ac:dyDescent="0.3"/>
    <row r="8597" customFormat="1" x14ac:dyDescent="0.3"/>
    <row r="8598" customFormat="1" x14ac:dyDescent="0.3"/>
    <row r="8599" customFormat="1" x14ac:dyDescent="0.3"/>
    <row r="8600" customFormat="1" x14ac:dyDescent="0.3"/>
    <row r="8601" customFormat="1" x14ac:dyDescent="0.3"/>
    <row r="8602" customFormat="1" x14ac:dyDescent="0.3"/>
    <row r="8603" customFormat="1" x14ac:dyDescent="0.3"/>
    <row r="8604" customFormat="1" x14ac:dyDescent="0.3"/>
    <row r="8605" customFormat="1" x14ac:dyDescent="0.3"/>
    <row r="8606" customFormat="1" x14ac:dyDescent="0.3"/>
    <row r="8607" customFormat="1" x14ac:dyDescent="0.3"/>
    <row r="8608" customFormat="1" x14ac:dyDescent="0.3"/>
    <row r="8609" customFormat="1" x14ac:dyDescent="0.3"/>
    <row r="8610" customFormat="1" x14ac:dyDescent="0.3"/>
    <row r="8611" customFormat="1" x14ac:dyDescent="0.3"/>
    <row r="8612" customFormat="1" x14ac:dyDescent="0.3"/>
    <row r="8613" customFormat="1" x14ac:dyDescent="0.3"/>
    <row r="8614" customFormat="1" x14ac:dyDescent="0.3"/>
    <row r="8615" customFormat="1" x14ac:dyDescent="0.3"/>
    <row r="8616" customFormat="1" x14ac:dyDescent="0.3"/>
    <row r="8617" customFormat="1" x14ac:dyDescent="0.3"/>
    <row r="8618" customFormat="1" x14ac:dyDescent="0.3"/>
    <row r="8619" customFormat="1" x14ac:dyDescent="0.3"/>
    <row r="8620" customFormat="1" x14ac:dyDescent="0.3"/>
    <row r="8621" customFormat="1" x14ac:dyDescent="0.3"/>
    <row r="8622" customFormat="1" x14ac:dyDescent="0.3"/>
    <row r="8623" customFormat="1" x14ac:dyDescent="0.3"/>
    <row r="8624" customFormat="1" x14ac:dyDescent="0.3"/>
    <row r="8625" customFormat="1" x14ac:dyDescent="0.3"/>
    <row r="8626" customFormat="1" x14ac:dyDescent="0.3"/>
    <row r="8627" customFormat="1" x14ac:dyDescent="0.3"/>
    <row r="8628" customFormat="1" x14ac:dyDescent="0.3"/>
    <row r="8629" customFormat="1" x14ac:dyDescent="0.3"/>
    <row r="8630" customFormat="1" x14ac:dyDescent="0.3"/>
    <row r="8631" customFormat="1" x14ac:dyDescent="0.3"/>
    <row r="8632" customFormat="1" x14ac:dyDescent="0.3"/>
    <row r="8633" customFormat="1" x14ac:dyDescent="0.3"/>
    <row r="8634" customFormat="1" x14ac:dyDescent="0.3"/>
    <row r="8635" customFormat="1" x14ac:dyDescent="0.3"/>
    <row r="8636" customFormat="1" x14ac:dyDescent="0.3"/>
    <row r="8637" customFormat="1" x14ac:dyDescent="0.3"/>
    <row r="8638" customFormat="1" x14ac:dyDescent="0.3"/>
    <row r="8639" customFormat="1" x14ac:dyDescent="0.3"/>
    <row r="8640" customFormat="1" x14ac:dyDescent="0.3"/>
    <row r="8641" customFormat="1" x14ac:dyDescent="0.3"/>
    <row r="8642" customFormat="1" x14ac:dyDescent="0.3"/>
    <row r="8643" customFormat="1" x14ac:dyDescent="0.3"/>
    <row r="8644" customFormat="1" x14ac:dyDescent="0.3"/>
    <row r="8645" customFormat="1" x14ac:dyDescent="0.3"/>
    <row r="8646" customFormat="1" x14ac:dyDescent="0.3"/>
    <row r="8647" customFormat="1" x14ac:dyDescent="0.3"/>
    <row r="8648" customFormat="1" x14ac:dyDescent="0.3"/>
    <row r="8649" customFormat="1" x14ac:dyDescent="0.3"/>
    <row r="8650" customFormat="1" x14ac:dyDescent="0.3"/>
    <row r="8651" customFormat="1" x14ac:dyDescent="0.3"/>
    <row r="8652" customFormat="1" x14ac:dyDescent="0.3"/>
    <row r="8653" customFormat="1" x14ac:dyDescent="0.3"/>
    <row r="8654" customFormat="1" x14ac:dyDescent="0.3"/>
    <row r="8655" customFormat="1" x14ac:dyDescent="0.3"/>
    <row r="8656" customFormat="1" x14ac:dyDescent="0.3"/>
    <row r="8657" customFormat="1" x14ac:dyDescent="0.3"/>
    <row r="8658" customFormat="1" x14ac:dyDescent="0.3"/>
    <row r="8659" customFormat="1" x14ac:dyDescent="0.3"/>
    <row r="8660" customFormat="1" x14ac:dyDescent="0.3"/>
    <row r="8661" customFormat="1" x14ac:dyDescent="0.3"/>
    <row r="8662" customFormat="1" x14ac:dyDescent="0.3"/>
    <row r="8663" customFormat="1" x14ac:dyDescent="0.3"/>
    <row r="8664" customFormat="1" x14ac:dyDescent="0.3"/>
    <row r="8665" customFormat="1" x14ac:dyDescent="0.3"/>
    <row r="8666" customFormat="1" x14ac:dyDescent="0.3"/>
    <row r="8667" customFormat="1" x14ac:dyDescent="0.3"/>
    <row r="8668" customFormat="1" x14ac:dyDescent="0.3"/>
    <row r="8669" customFormat="1" x14ac:dyDescent="0.3"/>
    <row r="8670" customFormat="1" x14ac:dyDescent="0.3"/>
    <row r="8671" customFormat="1" x14ac:dyDescent="0.3"/>
    <row r="8672" customFormat="1" x14ac:dyDescent="0.3"/>
    <row r="8673" customFormat="1" x14ac:dyDescent="0.3"/>
    <row r="8674" customFormat="1" x14ac:dyDescent="0.3"/>
    <row r="8675" customFormat="1" x14ac:dyDescent="0.3"/>
    <row r="8676" customFormat="1" x14ac:dyDescent="0.3"/>
    <row r="8677" customFormat="1" x14ac:dyDescent="0.3"/>
    <row r="8678" customFormat="1" x14ac:dyDescent="0.3"/>
    <row r="8679" customFormat="1" x14ac:dyDescent="0.3"/>
    <row r="8680" customFormat="1" x14ac:dyDescent="0.3"/>
    <row r="8681" customFormat="1" x14ac:dyDescent="0.3"/>
    <row r="8682" customFormat="1" x14ac:dyDescent="0.3"/>
    <row r="8683" customFormat="1" x14ac:dyDescent="0.3"/>
    <row r="8684" customFormat="1" x14ac:dyDescent="0.3"/>
    <row r="8685" customFormat="1" x14ac:dyDescent="0.3"/>
    <row r="8686" customFormat="1" x14ac:dyDescent="0.3"/>
    <row r="8687" customFormat="1" x14ac:dyDescent="0.3"/>
    <row r="8688" customFormat="1" x14ac:dyDescent="0.3"/>
    <row r="8689" customFormat="1" x14ac:dyDescent="0.3"/>
    <row r="8690" customFormat="1" x14ac:dyDescent="0.3"/>
    <row r="8691" customFormat="1" x14ac:dyDescent="0.3"/>
    <row r="8692" customFormat="1" x14ac:dyDescent="0.3"/>
    <row r="8693" customFormat="1" x14ac:dyDescent="0.3"/>
    <row r="8694" customFormat="1" x14ac:dyDescent="0.3"/>
    <row r="8695" customFormat="1" x14ac:dyDescent="0.3"/>
    <row r="8696" customFormat="1" x14ac:dyDescent="0.3"/>
    <row r="8697" customFormat="1" x14ac:dyDescent="0.3"/>
    <row r="8698" customFormat="1" x14ac:dyDescent="0.3"/>
    <row r="8699" customFormat="1" x14ac:dyDescent="0.3"/>
    <row r="8700" customFormat="1" x14ac:dyDescent="0.3"/>
    <row r="8701" customFormat="1" x14ac:dyDescent="0.3"/>
    <row r="8702" customFormat="1" x14ac:dyDescent="0.3"/>
    <row r="8703" customFormat="1" x14ac:dyDescent="0.3"/>
    <row r="8704" customFormat="1" x14ac:dyDescent="0.3"/>
    <row r="8705" customFormat="1" x14ac:dyDescent="0.3"/>
    <row r="8706" customFormat="1" x14ac:dyDescent="0.3"/>
    <row r="8707" customFormat="1" x14ac:dyDescent="0.3"/>
    <row r="8708" customFormat="1" x14ac:dyDescent="0.3"/>
    <row r="8709" customFormat="1" x14ac:dyDescent="0.3"/>
    <row r="8710" customFormat="1" x14ac:dyDescent="0.3"/>
    <row r="8711" customFormat="1" x14ac:dyDescent="0.3"/>
    <row r="8712" customFormat="1" x14ac:dyDescent="0.3"/>
    <row r="8713" customFormat="1" x14ac:dyDescent="0.3"/>
    <row r="8714" customFormat="1" x14ac:dyDescent="0.3"/>
    <row r="8715" customFormat="1" x14ac:dyDescent="0.3"/>
    <row r="8716" customFormat="1" x14ac:dyDescent="0.3"/>
    <row r="8717" customFormat="1" x14ac:dyDescent="0.3"/>
    <row r="8718" customFormat="1" x14ac:dyDescent="0.3"/>
    <row r="8719" customFormat="1" x14ac:dyDescent="0.3"/>
    <row r="8720" customFormat="1" x14ac:dyDescent="0.3"/>
    <row r="8721" customFormat="1" x14ac:dyDescent="0.3"/>
    <row r="8722" customFormat="1" x14ac:dyDescent="0.3"/>
    <row r="8723" customFormat="1" x14ac:dyDescent="0.3"/>
    <row r="8724" customFormat="1" x14ac:dyDescent="0.3"/>
    <row r="8725" customFormat="1" x14ac:dyDescent="0.3"/>
    <row r="8726" customFormat="1" x14ac:dyDescent="0.3"/>
    <row r="8727" customFormat="1" x14ac:dyDescent="0.3"/>
    <row r="8728" customFormat="1" x14ac:dyDescent="0.3"/>
    <row r="8729" customFormat="1" x14ac:dyDescent="0.3"/>
    <row r="8730" customFormat="1" x14ac:dyDescent="0.3"/>
    <row r="8731" customFormat="1" x14ac:dyDescent="0.3"/>
    <row r="8732" customFormat="1" x14ac:dyDescent="0.3"/>
    <row r="8733" customFormat="1" x14ac:dyDescent="0.3"/>
    <row r="8734" customFormat="1" x14ac:dyDescent="0.3"/>
    <row r="8735" customFormat="1" x14ac:dyDescent="0.3"/>
    <row r="8736" customFormat="1" x14ac:dyDescent="0.3"/>
    <row r="8737" customFormat="1" x14ac:dyDescent="0.3"/>
    <row r="8738" customFormat="1" x14ac:dyDescent="0.3"/>
    <row r="8739" customFormat="1" x14ac:dyDescent="0.3"/>
    <row r="8740" customFormat="1" x14ac:dyDescent="0.3"/>
    <row r="8741" customFormat="1" x14ac:dyDescent="0.3"/>
    <row r="8742" customFormat="1" x14ac:dyDescent="0.3"/>
    <row r="8743" customFormat="1" x14ac:dyDescent="0.3"/>
    <row r="8744" customFormat="1" x14ac:dyDescent="0.3"/>
    <row r="8745" customFormat="1" x14ac:dyDescent="0.3"/>
    <row r="8746" customFormat="1" x14ac:dyDescent="0.3"/>
    <row r="8747" customFormat="1" x14ac:dyDescent="0.3"/>
    <row r="8748" customFormat="1" x14ac:dyDescent="0.3"/>
    <row r="8749" customFormat="1" x14ac:dyDescent="0.3"/>
    <row r="8750" customFormat="1" x14ac:dyDescent="0.3"/>
    <row r="8751" customFormat="1" x14ac:dyDescent="0.3"/>
    <row r="8752" customFormat="1" x14ac:dyDescent="0.3"/>
    <row r="8753" customFormat="1" x14ac:dyDescent="0.3"/>
    <row r="8754" customFormat="1" x14ac:dyDescent="0.3"/>
    <row r="8755" customFormat="1" x14ac:dyDescent="0.3"/>
    <row r="8756" customFormat="1" x14ac:dyDescent="0.3"/>
    <row r="8757" customFormat="1" x14ac:dyDescent="0.3"/>
    <row r="8758" customFormat="1" x14ac:dyDescent="0.3"/>
    <row r="8759" customFormat="1" x14ac:dyDescent="0.3"/>
    <row r="8760" customFormat="1" x14ac:dyDescent="0.3"/>
    <row r="8761" customFormat="1" x14ac:dyDescent="0.3"/>
    <row r="8762" customFormat="1" x14ac:dyDescent="0.3"/>
    <row r="8763" customFormat="1" x14ac:dyDescent="0.3"/>
    <row r="8764" customFormat="1" x14ac:dyDescent="0.3"/>
    <row r="8765" customFormat="1" x14ac:dyDescent="0.3"/>
    <row r="8766" customFormat="1" x14ac:dyDescent="0.3"/>
    <row r="8767" customFormat="1" x14ac:dyDescent="0.3"/>
    <row r="8768" customFormat="1" x14ac:dyDescent="0.3"/>
    <row r="8769" customFormat="1" x14ac:dyDescent="0.3"/>
    <row r="8770" customFormat="1" x14ac:dyDescent="0.3"/>
    <row r="8771" customFormat="1" x14ac:dyDescent="0.3"/>
    <row r="8772" customFormat="1" x14ac:dyDescent="0.3"/>
    <row r="8773" customFormat="1" x14ac:dyDescent="0.3"/>
    <row r="8774" customFormat="1" x14ac:dyDescent="0.3"/>
    <row r="8775" customFormat="1" x14ac:dyDescent="0.3"/>
    <row r="8776" customFormat="1" x14ac:dyDescent="0.3"/>
    <row r="8777" customFormat="1" x14ac:dyDescent="0.3"/>
    <row r="8778" customFormat="1" x14ac:dyDescent="0.3"/>
    <row r="8779" customFormat="1" x14ac:dyDescent="0.3"/>
    <row r="8780" customFormat="1" x14ac:dyDescent="0.3"/>
    <row r="8781" customFormat="1" x14ac:dyDescent="0.3"/>
    <row r="8782" customFormat="1" x14ac:dyDescent="0.3"/>
    <row r="8783" customFormat="1" x14ac:dyDescent="0.3"/>
    <row r="8784" customFormat="1" x14ac:dyDescent="0.3"/>
    <row r="8785" customFormat="1" x14ac:dyDescent="0.3"/>
    <row r="8786" customFormat="1" x14ac:dyDescent="0.3"/>
    <row r="8787" customFormat="1" x14ac:dyDescent="0.3"/>
    <row r="8788" customFormat="1" x14ac:dyDescent="0.3"/>
    <row r="8789" customFormat="1" x14ac:dyDescent="0.3"/>
    <row r="8790" customFormat="1" x14ac:dyDescent="0.3"/>
    <row r="8791" customFormat="1" x14ac:dyDescent="0.3"/>
    <row r="8792" customFormat="1" x14ac:dyDescent="0.3"/>
    <row r="8793" customFormat="1" x14ac:dyDescent="0.3"/>
    <row r="8794" customFormat="1" x14ac:dyDescent="0.3"/>
    <row r="8795" customFormat="1" x14ac:dyDescent="0.3"/>
    <row r="8796" customFormat="1" x14ac:dyDescent="0.3"/>
    <row r="8797" customFormat="1" x14ac:dyDescent="0.3"/>
    <row r="8798" customFormat="1" x14ac:dyDescent="0.3"/>
    <row r="8799" customFormat="1" x14ac:dyDescent="0.3"/>
    <row r="8800" customFormat="1" x14ac:dyDescent="0.3"/>
    <row r="8801" customFormat="1" x14ac:dyDescent="0.3"/>
    <row r="8802" customFormat="1" x14ac:dyDescent="0.3"/>
    <row r="8803" customFormat="1" x14ac:dyDescent="0.3"/>
    <row r="8804" customFormat="1" x14ac:dyDescent="0.3"/>
    <row r="8805" customFormat="1" x14ac:dyDescent="0.3"/>
    <row r="8806" customFormat="1" x14ac:dyDescent="0.3"/>
    <row r="8807" customFormat="1" x14ac:dyDescent="0.3"/>
    <row r="8808" customFormat="1" x14ac:dyDescent="0.3"/>
    <row r="8809" customFormat="1" x14ac:dyDescent="0.3"/>
    <row r="8810" customFormat="1" x14ac:dyDescent="0.3"/>
    <row r="8811" customFormat="1" x14ac:dyDescent="0.3"/>
    <row r="8812" customFormat="1" x14ac:dyDescent="0.3"/>
    <row r="8813" customFormat="1" x14ac:dyDescent="0.3"/>
    <row r="8814" customFormat="1" x14ac:dyDescent="0.3"/>
    <row r="8815" customFormat="1" x14ac:dyDescent="0.3"/>
    <row r="8816" customFormat="1" x14ac:dyDescent="0.3"/>
    <row r="8817" customFormat="1" x14ac:dyDescent="0.3"/>
    <row r="8818" customFormat="1" x14ac:dyDescent="0.3"/>
    <row r="8819" customFormat="1" x14ac:dyDescent="0.3"/>
    <row r="8820" customFormat="1" x14ac:dyDescent="0.3"/>
    <row r="8821" customFormat="1" x14ac:dyDescent="0.3"/>
    <row r="8822" customFormat="1" x14ac:dyDescent="0.3"/>
    <row r="8823" customFormat="1" x14ac:dyDescent="0.3"/>
    <row r="8824" customFormat="1" x14ac:dyDescent="0.3"/>
    <row r="8825" customFormat="1" x14ac:dyDescent="0.3"/>
    <row r="8826" customFormat="1" x14ac:dyDescent="0.3"/>
    <row r="8827" customFormat="1" x14ac:dyDescent="0.3"/>
    <row r="8828" customFormat="1" x14ac:dyDescent="0.3"/>
    <row r="8829" customFormat="1" x14ac:dyDescent="0.3"/>
    <row r="8830" customFormat="1" x14ac:dyDescent="0.3"/>
    <row r="8831" customFormat="1" x14ac:dyDescent="0.3"/>
    <row r="8832" customFormat="1" x14ac:dyDescent="0.3"/>
    <row r="8833" customFormat="1" x14ac:dyDescent="0.3"/>
    <row r="8834" customFormat="1" x14ac:dyDescent="0.3"/>
    <row r="8835" customFormat="1" x14ac:dyDescent="0.3"/>
    <row r="8836" customFormat="1" x14ac:dyDescent="0.3"/>
    <row r="8837" customFormat="1" x14ac:dyDescent="0.3"/>
    <row r="8838" customFormat="1" x14ac:dyDescent="0.3"/>
    <row r="8839" customFormat="1" x14ac:dyDescent="0.3"/>
    <row r="8840" customFormat="1" x14ac:dyDescent="0.3"/>
    <row r="8841" customFormat="1" x14ac:dyDescent="0.3"/>
    <row r="8842" customFormat="1" x14ac:dyDescent="0.3"/>
    <row r="8843" customFormat="1" x14ac:dyDescent="0.3"/>
    <row r="8844" customFormat="1" x14ac:dyDescent="0.3"/>
    <row r="8845" customFormat="1" x14ac:dyDescent="0.3"/>
    <row r="8846" customFormat="1" x14ac:dyDescent="0.3"/>
    <row r="8847" customFormat="1" x14ac:dyDescent="0.3"/>
    <row r="8848" customFormat="1" x14ac:dyDescent="0.3"/>
    <row r="8849" customFormat="1" x14ac:dyDescent="0.3"/>
    <row r="8850" customFormat="1" x14ac:dyDescent="0.3"/>
    <row r="8851" customFormat="1" x14ac:dyDescent="0.3"/>
    <row r="8852" customFormat="1" x14ac:dyDescent="0.3"/>
    <row r="8853" customFormat="1" x14ac:dyDescent="0.3"/>
    <row r="8854" customFormat="1" x14ac:dyDescent="0.3"/>
    <row r="8855" customFormat="1" x14ac:dyDescent="0.3"/>
    <row r="8856" customFormat="1" x14ac:dyDescent="0.3"/>
    <row r="8857" customFormat="1" x14ac:dyDescent="0.3"/>
    <row r="8858" customFormat="1" x14ac:dyDescent="0.3"/>
    <row r="8859" customFormat="1" x14ac:dyDescent="0.3"/>
    <row r="8860" customFormat="1" x14ac:dyDescent="0.3"/>
    <row r="8861" customFormat="1" x14ac:dyDescent="0.3"/>
    <row r="8862" customFormat="1" x14ac:dyDescent="0.3"/>
    <row r="8863" customFormat="1" x14ac:dyDescent="0.3"/>
    <row r="8864" customFormat="1" x14ac:dyDescent="0.3"/>
    <row r="8865" customFormat="1" x14ac:dyDescent="0.3"/>
    <row r="8866" customFormat="1" x14ac:dyDescent="0.3"/>
    <row r="8867" customFormat="1" x14ac:dyDescent="0.3"/>
    <row r="8868" customFormat="1" x14ac:dyDescent="0.3"/>
    <row r="8869" customFormat="1" x14ac:dyDescent="0.3"/>
    <row r="8870" customFormat="1" x14ac:dyDescent="0.3"/>
    <row r="8871" customFormat="1" x14ac:dyDescent="0.3"/>
    <row r="8872" customFormat="1" x14ac:dyDescent="0.3"/>
    <row r="8873" customFormat="1" x14ac:dyDescent="0.3"/>
    <row r="8874" customFormat="1" x14ac:dyDescent="0.3"/>
    <row r="8875" customFormat="1" x14ac:dyDescent="0.3"/>
    <row r="8876" customFormat="1" x14ac:dyDescent="0.3"/>
    <row r="8877" customFormat="1" x14ac:dyDescent="0.3"/>
    <row r="8878" customFormat="1" x14ac:dyDescent="0.3"/>
    <row r="8879" customFormat="1" x14ac:dyDescent="0.3"/>
    <row r="8880" customFormat="1" x14ac:dyDescent="0.3"/>
    <row r="8881" customFormat="1" x14ac:dyDescent="0.3"/>
    <row r="8882" customFormat="1" x14ac:dyDescent="0.3"/>
    <row r="8883" customFormat="1" x14ac:dyDescent="0.3"/>
    <row r="8884" customFormat="1" x14ac:dyDescent="0.3"/>
    <row r="8885" customFormat="1" x14ac:dyDescent="0.3"/>
    <row r="8886" customFormat="1" x14ac:dyDescent="0.3"/>
    <row r="8887" customFormat="1" x14ac:dyDescent="0.3"/>
    <row r="8888" customFormat="1" x14ac:dyDescent="0.3"/>
    <row r="8889" customFormat="1" x14ac:dyDescent="0.3"/>
    <row r="8890" customFormat="1" x14ac:dyDescent="0.3"/>
    <row r="8891" customFormat="1" x14ac:dyDescent="0.3"/>
    <row r="8892" customFormat="1" x14ac:dyDescent="0.3"/>
    <row r="8893" customFormat="1" x14ac:dyDescent="0.3"/>
    <row r="8894" customFormat="1" x14ac:dyDescent="0.3"/>
    <row r="8895" customFormat="1" x14ac:dyDescent="0.3"/>
    <row r="8896" customFormat="1" x14ac:dyDescent="0.3"/>
    <row r="8897" customFormat="1" x14ac:dyDescent="0.3"/>
    <row r="8898" customFormat="1" x14ac:dyDescent="0.3"/>
    <row r="8899" customFormat="1" x14ac:dyDescent="0.3"/>
    <row r="8900" customFormat="1" x14ac:dyDescent="0.3"/>
    <row r="8901" customFormat="1" x14ac:dyDescent="0.3"/>
    <row r="8902" customFormat="1" x14ac:dyDescent="0.3"/>
    <row r="8903" customFormat="1" x14ac:dyDescent="0.3"/>
    <row r="8904" customFormat="1" x14ac:dyDescent="0.3"/>
    <row r="8905" customFormat="1" x14ac:dyDescent="0.3"/>
    <row r="8906" customFormat="1" x14ac:dyDescent="0.3"/>
    <row r="8907" customFormat="1" x14ac:dyDescent="0.3"/>
    <row r="8908" customFormat="1" x14ac:dyDescent="0.3"/>
    <row r="8909" customFormat="1" x14ac:dyDescent="0.3"/>
    <row r="8910" customFormat="1" x14ac:dyDescent="0.3"/>
    <row r="8911" customFormat="1" x14ac:dyDescent="0.3"/>
    <row r="8912" customFormat="1" x14ac:dyDescent="0.3"/>
    <row r="8913" customFormat="1" x14ac:dyDescent="0.3"/>
    <row r="8914" customFormat="1" x14ac:dyDescent="0.3"/>
    <row r="8915" customFormat="1" x14ac:dyDescent="0.3"/>
    <row r="8916" customFormat="1" x14ac:dyDescent="0.3"/>
    <row r="8917" customFormat="1" x14ac:dyDescent="0.3"/>
    <row r="8918" customFormat="1" x14ac:dyDescent="0.3"/>
    <row r="8919" customFormat="1" x14ac:dyDescent="0.3"/>
    <row r="8920" customFormat="1" x14ac:dyDescent="0.3"/>
    <row r="8921" customFormat="1" x14ac:dyDescent="0.3"/>
    <row r="8922" customFormat="1" x14ac:dyDescent="0.3"/>
    <row r="8923" customFormat="1" x14ac:dyDescent="0.3"/>
    <row r="8924" customFormat="1" x14ac:dyDescent="0.3"/>
    <row r="8925" customFormat="1" x14ac:dyDescent="0.3"/>
    <row r="8926" customFormat="1" x14ac:dyDescent="0.3"/>
    <row r="8927" customFormat="1" x14ac:dyDescent="0.3"/>
    <row r="8928" customFormat="1" x14ac:dyDescent="0.3"/>
    <row r="8929" customFormat="1" x14ac:dyDescent="0.3"/>
    <row r="8930" customFormat="1" x14ac:dyDescent="0.3"/>
    <row r="8931" customFormat="1" x14ac:dyDescent="0.3"/>
    <row r="8932" customFormat="1" x14ac:dyDescent="0.3"/>
    <row r="8933" customFormat="1" x14ac:dyDescent="0.3"/>
    <row r="8934" customFormat="1" x14ac:dyDescent="0.3"/>
    <row r="8935" customFormat="1" x14ac:dyDescent="0.3"/>
    <row r="8936" customFormat="1" x14ac:dyDescent="0.3"/>
    <row r="8937" customFormat="1" x14ac:dyDescent="0.3"/>
    <row r="8938" customFormat="1" x14ac:dyDescent="0.3"/>
    <row r="8939" customFormat="1" x14ac:dyDescent="0.3"/>
    <row r="8940" customFormat="1" x14ac:dyDescent="0.3"/>
    <row r="8941" customFormat="1" x14ac:dyDescent="0.3"/>
    <row r="8942" customFormat="1" x14ac:dyDescent="0.3"/>
    <row r="8943" customFormat="1" x14ac:dyDescent="0.3"/>
    <row r="8944" customFormat="1" x14ac:dyDescent="0.3"/>
    <row r="8945" customFormat="1" x14ac:dyDescent="0.3"/>
    <row r="8946" customFormat="1" x14ac:dyDescent="0.3"/>
    <row r="8947" customFormat="1" x14ac:dyDescent="0.3"/>
    <row r="8948" customFormat="1" x14ac:dyDescent="0.3"/>
    <row r="8949" customFormat="1" x14ac:dyDescent="0.3"/>
    <row r="8950" customFormat="1" x14ac:dyDescent="0.3"/>
    <row r="8951" customFormat="1" x14ac:dyDescent="0.3"/>
    <row r="8952" customFormat="1" x14ac:dyDescent="0.3"/>
    <row r="8953" customFormat="1" x14ac:dyDescent="0.3"/>
    <row r="8954" customFormat="1" x14ac:dyDescent="0.3"/>
    <row r="8955" customFormat="1" x14ac:dyDescent="0.3"/>
    <row r="8956" customFormat="1" x14ac:dyDescent="0.3"/>
    <row r="8957" customFormat="1" x14ac:dyDescent="0.3"/>
    <row r="8958" customFormat="1" x14ac:dyDescent="0.3"/>
    <row r="8959" customFormat="1" x14ac:dyDescent="0.3"/>
    <row r="8960" customFormat="1" x14ac:dyDescent="0.3"/>
    <row r="8961" customFormat="1" x14ac:dyDescent="0.3"/>
    <row r="8962" customFormat="1" x14ac:dyDescent="0.3"/>
    <row r="8963" customFormat="1" x14ac:dyDescent="0.3"/>
    <row r="8964" customFormat="1" x14ac:dyDescent="0.3"/>
    <row r="8965" customFormat="1" x14ac:dyDescent="0.3"/>
    <row r="8966" customFormat="1" x14ac:dyDescent="0.3"/>
    <row r="8967" customFormat="1" x14ac:dyDescent="0.3"/>
    <row r="8968" customFormat="1" x14ac:dyDescent="0.3"/>
    <row r="8969" customFormat="1" x14ac:dyDescent="0.3"/>
    <row r="8970" customFormat="1" x14ac:dyDescent="0.3"/>
    <row r="8971" customFormat="1" x14ac:dyDescent="0.3"/>
    <row r="8972" customFormat="1" x14ac:dyDescent="0.3"/>
    <row r="8973" customFormat="1" x14ac:dyDescent="0.3"/>
    <row r="8974" customFormat="1" x14ac:dyDescent="0.3"/>
    <row r="8975" customFormat="1" x14ac:dyDescent="0.3"/>
    <row r="8976" customFormat="1" x14ac:dyDescent="0.3"/>
    <row r="8977" customFormat="1" x14ac:dyDescent="0.3"/>
    <row r="8978" customFormat="1" x14ac:dyDescent="0.3"/>
    <row r="8979" customFormat="1" x14ac:dyDescent="0.3"/>
    <row r="8980" customFormat="1" x14ac:dyDescent="0.3"/>
    <row r="8981" customFormat="1" x14ac:dyDescent="0.3"/>
    <row r="8982" customFormat="1" x14ac:dyDescent="0.3"/>
    <row r="8983" customFormat="1" x14ac:dyDescent="0.3"/>
    <row r="8984" customFormat="1" x14ac:dyDescent="0.3"/>
    <row r="8985" customFormat="1" x14ac:dyDescent="0.3"/>
    <row r="8986" customFormat="1" x14ac:dyDescent="0.3"/>
    <row r="8987" customFormat="1" x14ac:dyDescent="0.3"/>
    <row r="8988" customFormat="1" x14ac:dyDescent="0.3"/>
    <row r="8989" customFormat="1" x14ac:dyDescent="0.3"/>
    <row r="8990" customFormat="1" x14ac:dyDescent="0.3"/>
    <row r="8991" customFormat="1" x14ac:dyDescent="0.3"/>
    <row r="8992" customFormat="1" x14ac:dyDescent="0.3"/>
    <row r="8993" customFormat="1" x14ac:dyDescent="0.3"/>
    <row r="8994" customFormat="1" x14ac:dyDescent="0.3"/>
    <row r="8995" customFormat="1" x14ac:dyDescent="0.3"/>
    <row r="8996" customFormat="1" x14ac:dyDescent="0.3"/>
    <row r="8997" customFormat="1" x14ac:dyDescent="0.3"/>
    <row r="8998" customFormat="1" x14ac:dyDescent="0.3"/>
    <row r="8999" customFormat="1" x14ac:dyDescent="0.3"/>
    <row r="9000" customFormat="1" x14ac:dyDescent="0.3"/>
    <row r="9001" customFormat="1" x14ac:dyDescent="0.3"/>
    <row r="9002" customFormat="1" x14ac:dyDescent="0.3"/>
    <row r="9003" customFormat="1" x14ac:dyDescent="0.3"/>
    <row r="9004" customFormat="1" x14ac:dyDescent="0.3"/>
    <row r="9005" customFormat="1" x14ac:dyDescent="0.3"/>
    <row r="9006" customFormat="1" x14ac:dyDescent="0.3"/>
    <row r="9007" customFormat="1" x14ac:dyDescent="0.3"/>
    <row r="9008" customFormat="1" x14ac:dyDescent="0.3"/>
    <row r="9009" customFormat="1" x14ac:dyDescent="0.3"/>
    <row r="9010" customFormat="1" x14ac:dyDescent="0.3"/>
    <row r="9011" customFormat="1" x14ac:dyDescent="0.3"/>
    <row r="9012" customFormat="1" x14ac:dyDescent="0.3"/>
    <row r="9013" customFormat="1" x14ac:dyDescent="0.3"/>
    <row r="9014" customFormat="1" x14ac:dyDescent="0.3"/>
    <row r="9015" customFormat="1" x14ac:dyDescent="0.3"/>
    <row r="9016" customFormat="1" x14ac:dyDescent="0.3"/>
    <row r="9017" customFormat="1" x14ac:dyDescent="0.3"/>
    <row r="9018" customFormat="1" x14ac:dyDescent="0.3"/>
    <row r="9019" customFormat="1" x14ac:dyDescent="0.3"/>
    <row r="9020" customFormat="1" x14ac:dyDescent="0.3"/>
    <row r="9021" customFormat="1" x14ac:dyDescent="0.3"/>
    <row r="9022" customFormat="1" x14ac:dyDescent="0.3"/>
    <row r="9023" customFormat="1" x14ac:dyDescent="0.3"/>
    <row r="9024" customFormat="1" x14ac:dyDescent="0.3"/>
    <row r="9025" customFormat="1" x14ac:dyDescent="0.3"/>
    <row r="9026" customFormat="1" x14ac:dyDescent="0.3"/>
    <row r="9027" customFormat="1" x14ac:dyDescent="0.3"/>
    <row r="9028" customFormat="1" x14ac:dyDescent="0.3"/>
    <row r="9029" customFormat="1" x14ac:dyDescent="0.3"/>
    <row r="9030" customFormat="1" x14ac:dyDescent="0.3"/>
    <row r="9031" customFormat="1" x14ac:dyDescent="0.3"/>
    <row r="9032" customFormat="1" x14ac:dyDescent="0.3"/>
    <row r="9033" customFormat="1" x14ac:dyDescent="0.3"/>
    <row r="9034" customFormat="1" x14ac:dyDescent="0.3"/>
    <row r="9035" customFormat="1" x14ac:dyDescent="0.3"/>
    <row r="9036" customFormat="1" x14ac:dyDescent="0.3"/>
    <row r="9037" customFormat="1" x14ac:dyDescent="0.3"/>
    <row r="9038" customFormat="1" x14ac:dyDescent="0.3"/>
    <row r="9039" customFormat="1" x14ac:dyDescent="0.3"/>
    <row r="9040" customFormat="1" x14ac:dyDescent="0.3"/>
    <row r="9041" customFormat="1" x14ac:dyDescent="0.3"/>
    <row r="9042" customFormat="1" x14ac:dyDescent="0.3"/>
    <row r="9043" customFormat="1" x14ac:dyDescent="0.3"/>
    <row r="9044" customFormat="1" x14ac:dyDescent="0.3"/>
    <row r="9045" customFormat="1" x14ac:dyDescent="0.3"/>
    <row r="9046" customFormat="1" x14ac:dyDescent="0.3"/>
    <row r="9047" customFormat="1" x14ac:dyDescent="0.3"/>
    <row r="9048" customFormat="1" x14ac:dyDescent="0.3"/>
    <row r="9049" customFormat="1" x14ac:dyDescent="0.3"/>
    <row r="9050" customFormat="1" x14ac:dyDescent="0.3"/>
    <row r="9051" customFormat="1" x14ac:dyDescent="0.3"/>
    <row r="9052" customFormat="1" x14ac:dyDescent="0.3"/>
    <row r="9053" customFormat="1" x14ac:dyDescent="0.3"/>
    <row r="9054" customFormat="1" x14ac:dyDescent="0.3"/>
    <row r="9055" customFormat="1" x14ac:dyDescent="0.3"/>
    <row r="9056" customFormat="1" x14ac:dyDescent="0.3"/>
    <row r="9057" customFormat="1" x14ac:dyDescent="0.3"/>
    <row r="9058" customFormat="1" x14ac:dyDescent="0.3"/>
    <row r="9059" customFormat="1" x14ac:dyDescent="0.3"/>
    <row r="9060" customFormat="1" x14ac:dyDescent="0.3"/>
    <row r="9061" customFormat="1" x14ac:dyDescent="0.3"/>
    <row r="9062" customFormat="1" x14ac:dyDescent="0.3"/>
    <row r="9063" customFormat="1" x14ac:dyDescent="0.3"/>
    <row r="9064" customFormat="1" x14ac:dyDescent="0.3"/>
    <row r="9065" customFormat="1" x14ac:dyDescent="0.3"/>
    <row r="9066" customFormat="1" x14ac:dyDescent="0.3"/>
    <row r="9067" customFormat="1" x14ac:dyDescent="0.3"/>
    <row r="9068" customFormat="1" x14ac:dyDescent="0.3"/>
    <row r="9069" customFormat="1" x14ac:dyDescent="0.3"/>
    <row r="9070" customFormat="1" x14ac:dyDescent="0.3"/>
    <row r="9071" customFormat="1" x14ac:dyDescent="0.3"/>
    <row r="9072" customFormat="1" x14ac:dyDescent="0.3"/>
    <row r="9073" customFormat="1" x14ac:dyDescent="0.3"/>
    <row r="9074" customFormat="1" x14ac:dyDescent="0.3"/>
    <row r="9075" customFormat="1" x14ac:dyDescent="0.3"/>
    <row r="9076" customFormat="1" x14ac:dyDescent="0.3"/>
    <row r="9077" customFormat="1" x14ac:dyDescent="0.3"/>
    <row r="9078" customFormat="1" x14ac:dyDescent="0.3"/>
    <row r="9079" customFormat="1" x14ac:dyDescent="0.3"/>
    <row r="9080" customFormat="1" x14ac:dyDescent="0.3"/>
    <row r="9081" customFormat="1" x14ac:dyDescent="0.3"/>
    <row r="9082" customFormat="1" x14ac:dyDescent="0.3"/>
    <row r="9083" customFormat="1" x14ac:dyDescent="0.3"/>
    <row r="9084" customFormat="1" x14ac:dyDescent="0.3"/>
    <row r="9085" customFormat="1" x14ac:dyDescent="0.3"/>
    <row r="9086" customFormat="1" x14ac:dyDescent="0.3"/>
    <row r="9087" customFormat="1" x14ac:dyDescent="0.3"/>
    <row r="9088" customFormat="1" x14ac:dyDescent="0.3"/>
    <row r="9089" customFormat="1" x14ac:dyDescent="0.3"/>
    <row r="9090" customFormat="1" x14ac:dyDescent="0.3"/>
    <row r="9091" customFormat="1" x14ac:dyDescent="0.3"/>
    <row r="9092" customFormat="1" x14ac:dyDescent="0.3"/>
    <row r="9093" customFormat="1" x14ac:dyDescent="0.3"/>
    <row r="9094" customFormat="1" x14ac:dyDescent="0.3"/>
    <row r="9095" customFormat="1" x14ac:dyDescent="0.3"/>
    <row r="9096" customFormat="1" x14ac:dyDescent="0.3"/>
    <row r="9097" customFormat="1" x14ac:dyDescent="0.3"/>
    <row r="9098" customFormat="1" x14ac:dyDescent="0.3"/>
    <row r="9099" customFormat="1" x14ac:dyDescent="0.3"/>
    <row r="9100" customFormat="1" x14ac:dyDescent="0.3"/>
    <row r="9101" customFormat="1" x14ac:dyDescent="0.3"/>
    <row r="9102" customFormat="1" x14ac:dyDescent="0.3"/>
    <row r="9103" customFormat="1" x14ac:dyDescent="0.3"/>
    <row r="9104" customFormat="1" x14ac:dyDescent="0.3"/>
    <row r="9105" customFormat="1" x14ac:dyDescent="0.3"/>
    <row r="9106" customFormat="1" x14ac:dyDescent="0.3"/>
    <row r="9107" customFormat="1" x14ac:dyDescent="0.3"/>
    <row r="9108" customFormat="1" x14ac:dyDescent="0.3"/>
    <row r="9109" customFormat="1" x14ac:dyDescent="0.3"/>
    <row r="9110" customFormat="1" x14ac:dyDescent="0.3"/>
    <row r="9111" customFormat="1" x14ac:dyDescent="0.3"/>
    <row r="9112" customFormat="1" x14ac:dyDescent="0.3"/>
    <row r="9113" customFormat="1" x14ac:dyDescent="0.3"/>
    <row r="9114" customFormat="1" x14ac:dyDescent="0.3"/>
    <row r="9115" customFormat="1" x14ac:dyDescent="0.3"/>
    <row r="9116" customFormat="1" x14ac:dyDescent="0.3"/>
    <row r="9117" customFormat="1" x14ac:dyDescent="0.3"/>
    <row r="9118" customFormat="1" x14ac:dyDescent="0.3"/>
    <row r="9119" customFormat="1" x14ac:dyDescent="0.3"/>
    <row r="9120" customFormat="1" x14ac:dyDescent="0.3"/>
    <row r="9121" customFormat="1" x14ac:dyDescent="0.3"/>
    <row r="9122" customFormat="1" x14ac:dyDescent="0.3"/>
    <row r="9123" customFormat="1" x14ac:dyDescent="0.3"/>
    <row r="9124" customFormat="1" x14ac:dyDescent="0.3"/>
    <row r="9125" customFormat="1" x14ac:dyDescent="0.3"/>
    <row r="9126" customFormat="1" x14ac:dyDescent="0.3"/>
    <row r="9127" customFormat="1" x14ac:dyDescent="0.3"/>
    <row r="9128" customFormat="1" x14ac:dyDescent="0.3"/>
    <row r="9129" customFormat="1" x14ac:dyDescent="0.3"/>
    <row r="9130" customFormat="1" x14ac:dyDescent="0.3"/>
    <row r="9131" customFormat="1" x14ac:dyDescent="0.3"/>
    <row r="9132" customFormat="1" x14ac:dyDescent="0.3"/>
    <row r="9133" customFormat="1" x14ac:dyDescent="0.3"/>
    <row r="9134" customFormat="1" x14ac:dyDescent="0.3"/>
    <row r="9135" customFormat="1" x14ac:dyDescent="0.3"/>
    <row r="9136" customFormat="1" x14ac:dyDescent="0.3"/>
    <row r="9137" customFormat="1" x14ac:dyDescent="0.3"/>
    <row r="9138" customFormat="1" x14ac:dyDescent="0.3"/>
    <row r="9139" customFormat="1" x14ac:dyDescent="0.3"/>
    <row r="9140" customFormat="1" x14ac:dyDescent="0.3"/>
    <row r="9141" customFormat="1" x14ac:dyDescent="0.3"/>
    <row r="9142" customFormat="1" x14ac:dyDescent="0.3"/>
    <row r="9143" customFormat="1" x14ac:dyDescent="0.3"/>
    <row r="9144" customFormat="1" x14ac:dyDescent="0.3"/>
    <row r="9145" customFormat="1" x14ac:dyDescent="0.3"/>
    <row r="9146" customFormat="1" x14ac:dyDescent="0.3"/>
    <row r="9147" customFormat="1" x14ac:dyDescent="0.3"/>
    <row r="9148" customFormat="1" x14ac:dyDescent="0.3"/>
    <row r="9149" customFormat="1" x14ac:dyDescent="0.3"/>
    <row r="9150" customFormat="1" x14ac:dyDescent="0.3"/>
    <row r="9151" customFormat="1" x14ac:dyDescent="0.3"/>
    <row r="9152" customFormat="1" x14ac:dyDescent="0.3"/>
    <row r="9153" customFormat="1" x14ac:dyDescent="0.3"/>
    <row r="9154" customFormat="1" x14ac:dyDescent="0.3"/>
    <row r="9155" customFormat="1" x14ac:dyDescent="0.3"/>
    <row r="9156" customFormat="1" x14ac:dyDescent="0.3"/>
    <row r="9157" customFormat="1" x14ac:dyDescent="0.3"/>
    <row r="9158" customFormat="1" x14ac:dyDescent="0.3"/>
    <row r="9159" customFormat="1" x14ac:dyDescent="0.3"/>
    <row r="9160" customFormat="1" x14ac:dyDescent="0.3"/>
    <row r="9161" customFormat="1" x14ac:dyDescent="0.3"/>
    <row r="9162" customFormat="1" x14ac:dyDescent="0.3"/>
    <row r="9163" customFormat="1" x14ac:dyDescent="0.3"/>
    <row r="9164" customFormat="1" x14ac:dyDescent="0.3"/>
    <row r="9165" customFormat="1" x14ac:dyDescent="0.3"/>
    <row r="9166" customFormat="1" x14ac:dyDescent="0.3"/>
    <row r="9167" customFormat="1" x14ac:dyDescent="0.3"/>
    <row r="9168" customFormat="1" x14ac:dyDescent="0.3"/>
    <row r="9169" customFormat="1" x14ac:dyDescent="0.3"/>
    <row r="9170" customFormat="1" x14ac:dyDescent="0.3"/>
    <row r="9171" customFormat="1" x14ac:dyDescent="0.3"/>
    <row r="9172" customFormat="1" x14ac:dyDescent="0.3"/>
    <row r="9173" customFormat="1" x14ac:dyDescent="0.3"/>
    <row r="9174" customFormat="1" x14ac:dyDescent="0.3"/>
    <row r="9175" customFormat="1" x14ac:dyDescent="0.3"/>
    <row r="9176" customFormat="1" x14ac:dyDescent="0.3"/>
    <row r="9177" customFormat="1" x14ac:dyDescent="0.3"/>
    <row r="9178" customFormat="1" x14ac:dyDescent="0.3"/>
    <row r="9179" customFormat="1" x14ac:dyDescent="0.3"/>
    <row r="9180" customFormat="1" x14ac:dyDescent="0.3"/>
    <row r="9181" customFormat="1" x14ac:dyDescent="0.3"/>
    <row r="9182" customFormat="1" x14ac:dyDescent="0.3"/>
    <row r="9183" customFormat="1" x14ac:dyDescent="0.3"/>
    <row r="9184" customFormat="1" x14ac:dyDescent="0.3"/>
    <row r="9185" customFormat="1" x14ac:dyDescent="0.3"/>
    <row r="9186" customFormat="1" x14ac:dyDescent="0.3"/>
    <row r="9187" customFormat="1" x14ac:dyDescent="0.3"/>
    <row r="9188" customFormat="1" x14ac:dyDescent="0.3"/>
    <row r="9189" customFormat="1" x14ac:dyDescent="0.3"/>
    <row r="9190" customFormat="1" x14ac:dyDescent="0.3"/>
    <row r="9191" customFormat="1" x14ac:dyDescent="0.3"/>
    <row r="9192" customFormat="1" x14ac:dyDescent="0.3"/>
    <row r="9193" customFormat="1" x14ac:dyDescent="0.3"/>
    <row r="9194" customFormat="1" x14ac:dyDescent="0.3"/>
    <row r="9195" customFormat="1" x14ac:dyDescent="0.3"/>
    <row r="9196" customFormat="1" x14ac:dyDescent="0.3"/>
    <row r="9197" customFormat="1" x14ac:dyDescent="0.3"/>
    <row r="9198" customFormat="1" x14ac:dyDescent="0.3"/>
    <row r="9199" customFormat="1" x14ac:dyDescent="0.3"/>
    <row r="9200" customFormat="1" x14ac:dyDescent="0.3"/>
    <row r="9201" customFormat="1" x14ac:dyDescent="0.3"/>
    <row r="9202" customFormat="1" x14ac:dyDescent="0.3"/>
    <row r="9203" customFormat="1" x14ac:dyDescent="0.3"/>
    <row r="9204" customFormat="1" x14ac:dyDescent="0.3"/>
    <row r="9205" customFormat="1" x14ac:dyDescent="0.3"/>
    <row r="9206" customFormat="1" x14ac:dyDescent="0.3"/>
    <row r="9207" customFormat="1" x14ac:dyDescent="0.3"/>
    <row r="9208" customFormat="1" x14ac:dyDescent="0.3"/>
    <row r="9209" customFormat="1" x14ac:dyDescent="0.3"/>
    <row r="9210" customFormat="1" x14ac:dyDescent="0.3"/>
    <row r="9211" customFormat="1" x14ac:dyDescent="0.3"/>
    <row r="9212" customFormat="1" x14ac:dyDescent="0.3"/>
    <row r="9213" customFormat="1" x14ac:dyDescent="0.3"/>
    <row r="9214" customFormat="1" x14ac:dyDescent="0.3"/>
    <row r="9215" customFormat="1" x14ac:dyDescent="0.3"/>
    <row r="9216" customFormat="1" x14ac:dyDescent="0.3"/>
    <row r="9217" customFormat="1" x14ac:dyDescent="0.3"/>
    <row r="9218" customFormat="1" x14ac:dyDescent="0.3"/>
    <row r="9219" customFormat="1" x14ac:dyDescent="0.3"/>
    <row r="9220" customFormat="1" x14ac:dyDescent="0.3"/>
    <row r="9221" customFormat="1" x14ac:dyDescent="0.3"/>
    <row r="9222" customFormat="1" x14ac:dyDescent="0.3"/>
    <row r="9223" customFormat="1" x14ac:dyDescent="0.3"/>
    <row r="9224" customFormat="1" x14ac:dyDescent="0.3"/>
    <row r="9225" customFormat="1" x14ac:dyDescent="0.3"/>
    <row r="9226" customFormat="1" x14ac:dyDescent="0.3"/>
    <row r="9227" customFormat="1" x14ac:dyDescent="0.3"/>
    <row r="9228" customFormat="1" x14ac:dyDescent="0.3"/>
    <row r="9229" customFormat="1" x14ac:dyDescent="0.3"/>
    <row r="9230" customFormat="1" x14ac:dyDescent="0.3"/>
    <row r="9231" customFormat="1" x14ac:dyDescent="0.3"/>
    <row r="9232" customFormat="1" x14ac:dyDescent="0.3"/>
    <row r="9233" customFormat="1" x14ac:dyDescent="0.3"/>
    <row r="9234" customFormat="1" x14ac:dyDescent="0.3"/>
    <row r="9235" customFormat="1" x14ac:dyDescent="0.3"/>
    <row r="9236" customFormat="1" x14ac:dyDescent="0.3"/>
    <row r="9237" customFormat="1" x14ac:dyDescent="0.3"/>
    <row r="9238" customFormat="1" x14ac:dyDescent="0.3"/>
    <row r="9239" customFormat="1" x14ac:dyDescent="0.3"/>
    <row r="9240" customFormat="1" x14ac:dyDescent="0.3"/>
    <row r="9241" customFormat="1" x14ac:dyDescent="0.3"/>
    <row r="9242" customFormat="1" x14ac:dyDescent="0.3"/>
    <row r="9243" customFormat="1" x14ac:dyDescent="0.3"/>
    <row r="9244" customFormat="1" x14ac:dyDescent="0.3"/>
    <row r="9245" customFormat="1" x14ac:dyDescent="0.3"/>
    <row r="9246" customFormat="1" x14ac:dyDescent="0.3"/>
    <row r="9247" customFormat="1" x14ac:dyDescent="0.3"/>
    <row r="9248" customFormat="1" x14ac:dyDescent="0.3"/>
    <row r="9249" customFormat="1" x14ac:dyDescent="0.3"/>
    <row r="9250" customFormat="1" x14ac:dyDescent="0.3"/>
    <row r="9251" customFormat="1" x14ac:dyDescent="0.3"/>
    <row r="9252" customFormat="1" x14ac:dyDescent="0.3"/>
    <row r="9253" customFormat="1" x14ac:dyDescent="0.3"/>
    <row r="9254" customFormat="1" x14ac:dyDescent="0.3"/>
    <row r="9255" customFormat="1" x14ac:dyDescent="0.3"/>
    <row r="9256" customFormat="1" x14ac:dyDescent="0.3"/>
    <row r="9257" customFormat="1" x14ac:dyDescent="0.3"/>
    <row r="9258" customFormat="1" x14ac:dyDescent="0.3"/>
    <row r="9259" customFormat="1" x14ac:dyDescent="0.3"/>
    <row r="9260" customFormat="1" x14ac:dyDescent="0.3"/>
    <row r="9261" customFormat="1" x14ac:dyDescent="0.3"/>
    <row r="9262" customFormat="1" x14ac:dyDescent="0.3"/>
    <row r="9263" customFormat="1" x14ac:dyDescent="0.3"/>
    <row r="9264" customFormat="1" x14ac:dyDescent="0.3"/>
    <row r="9265" customFormat="1" x14ac:dyDescent="0.3"/>
    <row r="9266" customFormat="1" x14ac:dyDescent="0.3"/>
    <row r="9267" customFormat="1" x14ac:dyDescent="0.3"/>
    <row r="9268" customFormat="1" x14ac:dyDescent="0.3"/>
    <row r="9269" customFormat="1" x14ac:dyDescent="0.3"/>
    <row r="9270" customFormat="1" x14ac:dyDescent="0.3"/>
    <row r="9271" customFormat="1" x14ac:dyDescent="0.3"/>
    <row r="9272" customFormat="1" x14ac:dyDescent="0.3"/>
    <row r="9273" customFormat="1" x14ac:dyDescent="0.3"/>
    <row r="9274" customFormat="1" x14ac:dyDescent="0.3"/>
    <row r="9275" customFormat="1" x14ac:dyDescent="0.3"/>
    <row r="9276" customFormat="1" x14ac:dyDescent="0.3"/>
    <row r="9277" customFormat="1" x14ac:dyDescent="0.3"/>
    <row r="9278" customFormat="1" x14ac:dyDescent="0.3"/>
    <row r="9279" customFormat="1" x14ac:dyDescent="0.3"/>
    <row r="9280" customFormat="1" x14ac:dyDescent="0.3"/>
    <row r="9281" customFormat="1" x14ac:dyDescent="0.3"/>
    <row r="9282" customFormat="1" x14ac:dyDescent="0.3"/>
    <row r="9283" customFormat="1" x14ac:dyDescent="0.3"/>
    <row r="9284" customFormat="1" x14ac:dyDescent="0.3"/>
    <row r="9285" customFormat="1" x14ac:dyDescent="0.3"/>
    <row r="9286" customFormat="1" x14ac:dyDescent="0.3"/>
    <row r="9287" customFormat="1" x14ac:dyDescent="0.3"/>
    <row r="9288" customFormat="1" x14ac:dyDescent="0.3"/>
    <row r="9289" customFormat="1" x14ac:dyDescent="0.3"/>
    <row r="9290" customFormat="1" x14ac:dyDescent="0.3"/>
    <row r="9291" customFormat="1" x14ac:dyDescent="0.3"/>
    <row r="9292" customFormat="1" x14ac:dyDescent="0.3"/>
    <row r="9293" customFormat="1" x14ac:dyDescent="0.3"/>
    <row r="9294" customFormat="1" x14ac:dyDescent="0.3"/>
    <row r="9295" customFormat="1" x14ac:dyDescent="0.3"/>
    <row r="9296" customFormat="1" x14ac:dyDescent="0.3"/>
    <row r="9297" customFormat="1" x14ac:dyDescent="0.3"/>
    <row r="9298" customFormat="1" x14ac:dyDescent="0.3"/>
    <row r="9299" customFormat="1" x14ac:dyDescent="0.3"/>
    <row r="9300" customFormat="1" x14ac:dyDescent="0.3"/>
    <row r="9301" customFormat="1" x14ac:dyDescent="0.3"/>
    <row r="9302" customFormat="1" x14ac:dyDescent="0.3"/>
    <row r="9303" customFormat="1" x14ac:dyDescent="0.3"/>
    <row r="9304" customFormat="1" x14ac:dyDescent="0.3"/>
    <row r="9305" customFormat="1" x14ac:dyDescent="0.3"/>
    <row r="9306" customFormat="1" x14ac:dyDescent="0.3"/>
    <row r="9307" customFormat="1" x14ac:dyDescent="0.3"/>
    <row r="9308" customFormat="1" x14ac:dyDescent="0.3"/>
    <row r="9309" customFormat="1" x14ac:dyDescent="0.3"/>
    <row r="9310" customFormat="1" x14ac:dyDescent="0.3"/>
    <row r="9311" customFormat="1" x14ac:dyDescent="0.3"/>
    <row r="9312" customFormat="1" x14ac:dyDescent="0.3"/>
    <row r="9313" customFormat="1" x14ac:dyDescent="0.3"/>
    <row r="9314" customFormat="1" x14ac:dyDescent="0.3"/>
    <row r="9315" customFormat="1" x14ac:dyDescent="0.3"/>
    <row r="9316" customFormat="1" x14ac:dyDescent="0.3"/>
    <row r="9317" customFormat="1" x14ac:dyDescent="0.3"/>
    <row r="9318" customFormat="1" x14ac:dyDescent="0.3"/>
    <row r="9319" customFormat="1" x14ac:dyDescent="0.3"/>
    <row r="9320" customFormat="1" x14ac:dyDescent="0.3"/>
    <row r="9321" customFormat="1" x14ac:dyDescent="0.3"/>
    <row r="9322" customFormat="1" x14ac:dyDescent="0.3"/>
    <row r="9323" customFormat="1" x14ac:dyDescent="0.3"/>
    <row r="9324" customFormat="1" x14ac:dyDescent="0.3"/>
    <row r="9325" customFormat="1" x14ac:dyDescent="0.3"/>
    <row r="9326" customFormat="1" x14ac:dyDescent="0.3"/>
    <row r="9327" customFormat="1" x14ac:dyDescent="0.3"/>
    <row r="9328" customFormat="1" x14ac:dyDescent="0.3"/>
    <row r="9329" customFormat="1" x14ac:dyDescent="0.3"/>
    <row r="9330" customFormat="1" x14ac:dyDescent="0.3"/>
    <row r="9331" customFormat="1" x14ac:dyDescent="0.3"/>
    <row r="9332" customFormat="1" x14ac:dyDescent="0.3"/>
    <row r="9333" customFormat="1" x14ac:dyDescent="0.3"/>
    <row r="9334" customFormat="1" x14ac:dyDescent="0.3"/>
    <row r="9335" customFormat="1" x14ac:dyDescent="0.3"/>
    <row r="9336" customFormat="1" x14ac:dyDescent="0.3"/>
    <row r="9337" customFormat="1" x14ac:dyDescent="0.3"/>
    <row r="9338" customFormat="1" x14ac:dyDescent="0.3"/>
    <row r="9339" customFormat="1" x14ac:dyDescent="0.3"/>
    <row r="9340" customFormat="1" x14ac:dyDescent="0.3"/>
    <row r="9341" customFormat="1" x14ac:dyDescent="0.3"/>
    <row r="9342" customFormat="1" x14ac:dyDescent="0.3"/>
    <row r="9343" customFormat="1" x14ac:dyDescent="0.3"/>
    <row r="9344" customFormat="1" x14ac:dyDescent="0.3"/>
    <row r="9345" customFormat="1" x14ac:dyDescent="0.3"/>
    <row r="9346" customFormat="1" x14ac:dyDescent="0.3"/>
    <row r="9347" customFormat="1" x14ac:dyDescent="0.3"/>
    <row r="9348" customFormat="1" x14ac:dyDescent="0.3"/>
    <row r="9349" customFormat="1" x14ac:dyDescent="0.3"/>
    <row r="9350" customFormat="1" x14ac:dyDescent="0.3"/>
    <row r="9351" customFormat="1" x14ac:dyDescent="0.3"/>
    <row r="9352" customFormat="1" x14ac:dyDescent="0.3"/>
    <row r="9353" customFormat="1" x14ac:dyDescent="0.3"/>
    <row r="9354" customFormat="1" x14ac:dyDescent="0.3"/>
    <row r="9355" customFormat="1" x14ac:dyDescent="0.3"/>
    <row r="9356" customFormat="1" x14ac:dyDescent="0.3"/>
    <row r="9357" customFormat="1" x14ac:dyDescent="0.3"/>
    <row r="9358" customFormat="1" x14ac:dyDescent="0.3"/>
    <row r="9359" customFormat="1" x14ac:dyDescent="0.3"/>
    <row r="9360" customFormat="1" x14ac:dyDescent="0.3"/>
    <row r="9361" customFormat="1" x14ac:dyDescent="0.3"/>
    <row r="9362" customFormat="1" x14ac:dyDescent="0.3"/>
    <row r="9363" customFormat="1" x14ac:dyDescent="0.3"/>
    <row r="9364" customFormat="1" x14ac:dyDescent="0.3"/>
    <row r="9365" customFormat="1" x14ac:dyDescent="0.3"/>
    <row r="9366" customFormat="1" x14ac:dyDescent="0.3"/>
    <row r="9367" customFormat="1" x14ac:dyDescent="0.3"/>
    <row r="9368" customFormat="1" x14ac:dyDescent="0.3"/>
    <row r="9369" customFormat="1" x14ac:dyDescent="0.3"/>
    <row r="9370" customFormat="1" x14ac:dyDescent="0.3"/>
    <row r="9371" customFormat="1" x14ac:dyDescent="0.3"/>
    <row r="9372" customFormat="1" x14ac:dyDescent="0.3"/>
    <row r="9373" customFormat="1" x14ac:dyDescent="0.3"/>
    <row r="9374" customFormat="1" x14ac:dyDescent="0.3"/>
    <row r="9375" customFormat="1" x14ac:dyDescent="0.3"/>
    <row r="9376" customFormat="1" x14ac:dyDescent="0.3"/>
    <row r="9377" customFormat="1" x14ac:dyDescent="0.3"/>
    <row r="9378" customFormat="1" x14ac:dyDescent="0.3"/>
    <row r="9379" customFormat="1" x14ac:dyDescent="0.3"/>
    <row r="9380" customFormat="1" x14ac:dyDescent="0.3"/>
    <row r="9381" customFormat="1" x14ac:dyDescent="0.3"/>
    <row r="9382" customFormat="1" x14ac:dyDescent="0.3"/>
    <row r="9383" customFormat="1" x14ac:dyDescent="0.3"/>
    <row r="9384" customFormat="1" x14ac:dyDescent="0.3"/>
    <row r="9385" customFormat="1" x14ac:dyDescent="0.3"/>
    <row r="9386" customFormat="1" x14ac:dyDescent="0.3"/>
    <row r="9387" customFormat="1" x14ac:dyDescent="0.3"/>
    <row r="9388" customFormat="1" x14ac:dyDescent="0.3"/>
    <row r="9389" customFormat="1" x14ac:dyDescent="0.3"/>
    <row r="9390" customFormat="1" x14ac:dyDescent="0.3"/>
    <row r="9391" customFormat="1" x14ac:dyDescent="0.3"/>
    <row r="9392" customFormat="1" x14ac:dyDescent="0.3"/>
    <row r="9393" customFormat="1" x14ac:dyDescent="0.3"/>
    <row r="9394" customFormat="1" x14ac:dyDescent="0.3"/>
    <row r="9395" customFormat="1" x14ac:dyDescent="0.3"/>
    <row r="9396" customFormat="1" x14ac:dyDescent="0.3"/>
    <row r="9397" customFormat="1" x14ac:dyDescent="0.3"/>
    <row r="9398" customFormat="1" x14ac:dyDescent="0.3"/>
    <row r="9399" customFormat="1" x14ac:dyDescent="0.3"/>
    <row r="9400" customFormat="1" x14ac:dyDescent="0.3"/>
    <row r="9401" customFormat="1" x14ac:dyDescent="0.3"/>
    <row r="9402" customFormat="1" x14ac:dyDescent="0.3"/>
    <row r="9403" customFormat="1" x14ac:dyDescent="0.3"/>
    <row r="9404" customFormat="1" x14ac:dyDescent="0.3"/>
    <row r="9405" customFormat="1" x14ac:dyDescent="0.3"/>
    <row r="9406" customFormat="1" x14ac:dyDescent="0.3"/>
    <row r="9407" customFormat="1" x14ac:dyDescent="0.3"/>
    <row r="9408" customFormat="1" x14ac:dyDescent="0.3"/>
    <row r="9409" customFormat="1" x14ac:dyDescent="0.3"/>
    <row r="9410" customFormat="1" x14ac:dyDescent="0.3"/>
    <row r="9411" customFormat="1" x14ac:dyDescent="0.3"/>
    <row r="9412" customFormat="1" x14ac:dyDescent="0.3"/>
    <row r="9413" customFormat="1" x14ac:dyDescent="0.3"/>
    <row r="9414" customFormat="1" x14ac:dyDescent="0.3"/>
    <row r="9415" customFormat="1" x14ac:dyDescent="0.3"/>
    <row r="9416" customFormat="1" x14ac:dyDescent="0.3"/>
    <row r="9417" customFormat="1" x14ac:dyDescent="0.3"/>
    <row r="9418" customFormat="1" x14ac:dyDescent="0.3"/>
    <row r="9419" customFormat="1" x14ac:dyDescent="0.3"/>
    <row r="9420" customFormat="1" x14ac:dyDescent="0.3"/>
    <row r="9421" customFormat="1" x14ac:dyDescent="0.3"/>
    <row r="9422" customFormat="1" x14ac:dyDescent="0.3"/>
    <row r="9423" customFormat="1" x14ac:dyDescent="0.3"/>
    <row r="9424" customFormat="1" x14ac:dyDescent="0.3"/>
    <row r="9425" customFormat="1" x14ac:dyDescent="0.3"/>
    <row r="9426" customFormat="1" x14ac:dyDescent="0.3"/>
    <row r="9427" customFormat="1" x14ac:dyDescent="0.3"/>
    <row r="9428" customFormat="1" x14ac:dyDescent="0.3"/>
    <row r="9429" customFormat="1" x14ac:dyDescent="0.3"/>
    <row r="9430" customFormat="1" x14ac:dyDescent="0.3"/>
    <row r="9431" customFormat="1" x14ac:dyDescent="0.3"/>
    <row r="9432" customFormat="1" x14ac:dyDescent="0.3"/>
    <row r="9433" customFormat="1" x14ac:dyDescent="0.3"/>
    <row r="9434" customFormat="1" x14ac:dyDescent="0.3"/>
    <row r="9435" customFormat="1" x14ac:dyDescent="0.3"/>
    <row r="9436" customFormat="1" x14ac:dyDescent="0.3"/>
    <row r="9437" customFormat="1" x14ac:dyDescent="0.3"/>
    <row r="9438" customFormat="1" x14ac:dyDescent="0.3"/>
    <row r="9439" customFormat="1" x14ac:dyDescent="0.3"/>
    <row r="9440" customFormat="1" x14ac:dyDescent="0.3"/>
    <row r="9441" customFormat="1" x14ac:dyDescent="0.3"/>
    <row r="9442" customFormat="1" x14ac:dyDescent="0.3"/>
    <row r="9443" customFormat="1" x14ac:dyDescent="0.3"/>
    <row r="9444" customFormat="1" x14ac:dyDescent="0.3"/>
    <row r="9445" customFormat="1" x14ac:dyDescent="0.3"/>
    <row r="9446" customFormat="1" x14ac:dyDescent="0.3"/>
    <row r="9447" customFormat="1" x14ac:dyDescent="0.3"/>
    <row r="9448" customFormat="1" x14ac:dyDescent="0.3"/>
    <row r="9449" customFormat="1" x14ac:dyDescent="0.3"/>
    <row r="9450" customFormat="1" x14ac:dyDescent="0.3"/>
    <row r="9451" customFormat="1" x14ac:dyDescent="0.3"/>
    <row r="9452" customFormat="1" x14ac:dyDescent="0.3"/>
    <row r="9453" customFormat="1" x14ac:dyDescent="0.3"/>
    <row r="9454" customFormat="1" x14ac:dyDescent="0.3"/>
    <row r="9455" customFormat="1" x14ac:dyDescent="0.3"/>
    <row r="9456" customFormat="1" x14ac:dyDescent="0.3"/>
    <row r="9457" customFormat="1" x14ac:dyDescent="0.3"/>
    <row r="9458" customFormat="1" x14ac:dyDescent="0.3"/>
    <row r="9459" customFormat="1" x14ac:dyDescent="0.3"/>
    <row r="9460" customFormat="1" x14ac:dyDescent="0.3"/>
    <row r="9461" customFormat="1" x14ac:dyDescent="0.3"/>
    <row r="9462" customFormat="1" x14ac:dyDescent="0.3"/>
    <row r="9463" customFormat="1" x14ac:dyDescent="0.3"/>
    <row r="9464" customFormat="1" x14ac:dyDescent="0.3"/>
    <row r="9465" customFormat="1" x14ac:dyDescent="0.3"/>
    <row r="9466" customFormat="1" x14ac:dyDescent="0.3"/>
    <row r="9467" customFormat="1" x14ac:dyDescent="0.3"/>
    <row r="9468" customFormat="1" x14ac:dyDescent="0.3"/>
    <row r="9469" customFormat="1" x14ac:dyDescent="0.3"/>
    <row r="9470" customFormat="1" x14ac:dyDescent="0.3"/>
    <row r="9471" customFormat="1" x14ac:dyDescent="0.3"/>
    <row r="9472" customFormat="1" x14ac:dyDescent="0.3"/>
    <row r="9473" customFormat="1" x14ac:dyDescent="0.3"/>
    <row r="9474" customFormat="1" x14ac:dyDescent="0.3"/>
    <row r="9475" customFormat="1" x14ac:dyDescent="0.3"/>
    <row r="9476" customFormat="1" x14ac:dyDescent="0.3"/>
    <row r="9477" customFormat="1" x14ac:dyDescent="0.3"/>
    <row r="9478" customFormat="1" x14ac:dyDescent="0.3"/>
    <row r="9479" customFormat="1" x14ac:dyDescent="0.3"/>
    <row r="9480" customFormat="1" x14ac:dyDescent="0.3"/>
    <row r="9481" customFormat="1" x14ac:dyDescent="0.3"/>
    <row r="9482" customFormat="1" x14ac:dyDescent="0.3"/>
    <row r="9483" customFormat="1" x14ac:dyDescent="0.3"/>
    <row r="9484" customFormat="1" x14ac:dyDescent="0.3"/>
    <row r="9485" customFormat="1" x14ac:dyDescent="0.3"/>
    <row r="9486" customFormat="1" x14ac:dyDescent="0.3"/>
    <row r="9487" customFormat="1" x14ac:dyDescent="0.3"/>
    <row r="9488" customFormat="1" x14ac:dyDescent="0.3"/>
    <row r="9489" customFormat="1" x14ac:dyDescent="0.3"/>
    <row r="9490" customFormat="1" x14ac:dyDescent="0.3"/>
    <row r="9491" customFormat="1" x14ac:dyDescent="0.3"/>
    <row r="9492" customFormat="1" x14ac:dyDescent="0.3"/>
    <row r="9493" customFormat="1" x14ac:dyDescent="0.3"/>
    <row r="9494" customFormat="1" x14ac:dyDescent="0.3"/>
    <row r="9495" customFormat="1" x14ac:dyDescent="0.3"/>
    <row r="9496" customFormat="1" x14ac:dyDescent="0.3"/>
    <row r="9497" customFormat="1" x14ac:dyDescent="0.3"/>
    <row r="9498" customFormat="1" x14ac:dyDescent="0.3"/>
    <row r="9499" customFormat="1" x14ac:dyDescent="0.3"/>
    <row r="9500" customFormat="1" x14ac:dyDescent="0.3"/>
    <row r="9501" customFormat="1" x14ac:dyDescent="0.3"/>
    <row r="9502" customFormat="1" x14ac:dyDescent="0.3"/>
    <row r="9503" customFormat="1" x14ac:dyDescent="0.3"/>
    <row r="9504" customFormat="1" x14ac:dyDescent="0.3"/>
    <row r="9505" customFormat="1" x14ac:dyDescent="0.3"/>
    <row r="9506" customFormat="1" x14ac:dyDescent="0.3"/>
    <row r="9507" customFormat="1" x14ac:dyDescent="0.3"/>
    <row r="9508" customFormat="1" x14ac:dyDescent="0.3"/>
    <row r="9509" customFormat="1" x14ac:dyDescent="0.3"/>
    <row r="9510" customFormat="1" x14ac:dyDescent="0.3"/>
    <row r="9511" customFormat="1" x14ac:dyDescent="0.3"/>
    <row r="9512" customFormat="1" x14ac:dyDescent="0.3"/>
    <row r="9513" customFormat="1" x14ac:dyDescent="0.3"/>
    <row r="9514" customFormat="1" x14ac:dyDescent="0.3"/>
    <row r="9515" customFormat="1" x14ac:dyDescent="0.3"/>
    <row r="9516" customFormat="1" x14ac:dyDescent="0.3"/>
    <row r="9517" customFormat="1" x14ac:dyDescent="0.3"/>
    <row r="9518" customFormat="1" x14ac:dyDescent="0.3"/>
    <row r="9519" customFormat="1" x14ac:dyDescent="0.3"/>
    <row r="9520" customFormat="1" x14ac:dyDescent="0.3"/>
    <row r="9521" customFormat="1" x14ac:dyDescent="0.3"/>
    <row r="9522" customFormat="1" x14ac:dyDescent="0.3"/>
    <row r="9523" customFormat="1" x14ac:dyDescent="0.3"/>
    <row r="9524" customFormat="1" x14ac:dyDescent="0.3"/>
    <row r="9525" customFormat="1" x14ac:dyDescent="0.3"/>
    <row r="9526" customFormat="1" x14ac:dyDescent="0.3"/>
    <row r="9527" customFormat="1" x14ac:dyDescent="0.3"/>
    <row r="9528" customFormat="1" x14ac:dyDescent="0.3"/>
    <row r="9529" customFormat="1" x14ac:dyDescent="0.3"/>
    <row r="9530" customFormat="1" x14ac:dyDescent="0.3"/>
    <row r="9531" customFormat="1" x14ac:dyDescent="0.3"/>
    <row r="9532" customFormat="1" x14ac:dyDescent="0.3"/>
    <row r="9533" customFormat="1" x14ac:dyDescent="0.3"/>
    <row r="9534" customFormat="1" x14ac:dyDescent="0.3"/>
    <row r="9535" customFormat="1" x14ac:dyDescent="0.3"/>
    <row r="9536" customFormat="1" x14ac:dyDescent="0.3"/>
    <row r="9537" customFormat="1" x14ac:dyDescent="0.3"/>
    <row r="9538" customFormat="1" x14ac:dyDescent="0.3"/>
    <row r="9539" customFormat="1" x14ac:dyDescent="0.3"/>
    <row r="9540" customFormat="1" x14ac:dyDescent="0.3"/>
    <row r="9541" customFormat="1" x14ac:dyDescent="0.3"/>
    <row r="9542" customFormat="1" x14ac:dyDescent="0.3"/>
    <row r="9543" customFormat="1" x14ac:dyDescent="0.3"/>
    <row r="9544" customFormat="1" x14ac:dyDescent="0.3"/>
    <row r="9545" customFormat="1" x14ac:dyDescent="0.3"/>
    <row r="9546" customFormat="1" x14ac:dyDescent="0.3"/>
    <row r="9547" customFormat="1" x14ac:dyDescent="0.3"/>
    <row r="9548" customFormat="1" x14ac:dyDescent="0.3"/>
    <row r="9549" customFormat="1" x14ac:dyDescent="0.3"/>
    <row r="9550" customFormat="1" x14ac:dyDescent="0.3"/>
    <row r="9551" customFormat="1" x14ac:dyDescent="0.3"/>
    <row r="9552" customFormat="1" x14ac:dyDescent="0.3"/>
    <row r="9553" customFormat="1" x14ac:dyDescent="0.3"/>
    <row r="9554" customFormat="1" x14ac:dyDescent="0.3"/>
    <row r="9555" customFormat="1" x14ac:dyDescent="0.3"/>
    <row r="9556" customFormat="1" x14ac:dyDescent="0.3"/>
    <row r="9557" customFormat="1" x14ac:dyDescent="0.3"/>
    <row r="9558" customFormat="1" x14ac:dyDescent="0.3"/>
    <row r="9559" customFormat="1" x14ac:dyDescent="0.3"/>
    <row r="9560" customFormat="1" x14ac:dyDescent="0.3"/>
    <row r="9561" customFormat="1" x14ac:dyDescent="0.3"/>
    <row r="9562" customFormat="1" x14ac:dyDescent="0.3"/>
    <row r="9563" customFormat="1" x14ac:dyDescent="0.3"/>
    <row r="9564" customFormat="1" x14ac:dyDescent="0.3"/>
    <row r="9565" customFormat="1" x14ac:dyDescent="0.3"/>
    <row r="9566" customFormat="1" x14ac:dyDescent="0.3"/>
    <row r="9567" customFormat="1" x14ac:dyDescent="0.3"/>
    <row r="9568" customFormat="1" x14ac:dyDescent="0.3"/>
    <row r="9569" customFormat="1" x14ac:dyDescent="0.3"/>
    <row r="9570" customFormat="1" x14ac:dyDescent="0.3"/>
    <row r="9571" customFormat="1" x14ac:dyDescent="0.3"/>
    <row r="9572" customFormat="1" x14ac:dyDescent="0.3"/>
    <row r="9573" customFormat="1" x14ac:dyDescent="0.3"/>
    <row r="9574" customFormat="1" x14ac:dyDescent="0.3"/>
    <row r="9575" customFormat="1" x14ac:dyDescent="0.3"/>
    <row r="9576" customFormat="1" x14ac:dyDescent="0.3"/>
    <row r="9577" customFormat="1" x14ac:dyDescent="0.3"/>
    <row r="9578" customFormat="1" x14ac:dyDescent="0.3"/>
    <row r="9579" customFormat="1" x14ac:dyDescent="0.3"/>
    <row r="9580" customFormat="1" x14ac:dyDescent="0.3"/>
    <row r="9581" customFormat="1" x14ac:dyDescent="0.3"/>
    <row r="9582" customFormat="1" x14ac:dyDescent="0.3"/>
    <row r="9583" customFormat="1" x14ac:dyDescent="0.3"/>
    <row r="9584" customFormat="1" x14ac:dyDescent="0.3"/>
    <row r="9585" customFormat="1" x14ac:dyDescent="0.3"/>
    <row r="9586" customFormat="1" x14ac:dyDescent="0.3"/>
    <row r="9587" customFormat="1" x14ac:dyDescent="0.3"/>
    <row r="9588" customFormat="1" x14ac:dyDescent="0.3"/>
    <row r="9589" customFormat="1" x14ac:dyDescent="0.3"/>
    <row r="9590" customFormat="1" x14ac:dyDescent="0.3"/>
    <row r="9591" customFormat="1" x14ac:dyDescent="0.3"/>
    <row r="9592" customFormat="1" x14ac:dyDescent="0.3"/>
    <row r="9593" customFormat="1" x14ac:dyDescent="0.3"/>
    <row r="9594" customFormat="1" x14ac:dyDescent="0.3"/>
    <row r="9595" customFormat="1" x14ac:dyDescent="0.3"/>
    <row r="9596" customFormat="1" x14ac:dyDescent="0.3"/>
    <row r="9597" customFormat="1" x14ac:dyDescent="0.3"/>
    <row r="9598" customFormat="1" x14ac:dyDescent="0.3"/>
    <row r="9599" customFormat="1" x14ac:dyDescent="0.3"/>
    <row r="9600" customFormat="1" x14ac:dyDescent="0.3"/>
    <row r="9601" customFormat="1" x14ac:dyDescent="0.3"/>
    <row r="9602" customFormat="1" x14ac:dyDescent="0.3"/>
    <row r="9603" customFormat="1" x14ac:dyDescent="0.3"/>
    <row r="9604" customFormat="1" x14ac:dyDescent="0.3"/>
    <row r="9605" customFormat="1" x14ac:dyDescent="0.3"/>
    <row r="9606" customFormat="1" x14ac:dyDescent="0.3"/>
    <row r="9607" customFormat="1" x14ac:dyDescent="0.3"/>
    <row r="9608" customFormat="1" x14ac:dyDescent="0.3"/>
    <row r="9609" customFormat="1" x14ac:dyDescent="0.3"/>
    <row r="9610" customFormat="1" x14ac:dyDescent="0.3"/>
    <row r="9611" customFormat="1" x14ac:dyDescent="0.3"/>
    <row r="9612" customFormat="1" x14ac:dyDescent="0.3"/>
    <row r="9613" customFormat="1" x14ac:dyDescent="0.3"/>
    <row r="9614" customFormat="1" x14ac:dyDescent="0.3"/>
    <row r="9615" customFormat="1" x14ac:dyDescent="0.3"/>
    <row r="9616" customFormat="1" x14ac:dyDescent="0.3"/>
    <row r="9617" customFormat="1" x14ac:dyDescent="0.3"/>
    <row r="9618" customFormat="1" x14ac:dyDescent="0.3"/>
    <row r="9619" customFormat="1" x14ac:dyDescent="0.3"/>
    <row r="9620" customFormat="1" x14ac:dyDescent="0.3"/>
    <row r="9621" customFormat="1" x14ac:dyDescent="0.3"/>
    <row r="9622" customFormat="1" x14ac:dyDescent="0.3"/>
    <row r="9623" customFormat="1" x14ac:dyDescent="0.3"/>
    <row r="9624" customFormat="1" x14ac:dyDescent="0.3"/>
    <row r="9625" customFormat="1" x14ac:dyDescent="0.3"/>
    <row r="9626" customFormat="1" x14ac:dyDescent="0.3"/>
    <row r="9627" customFormat="1" x14ac:dyDescent="0.3"/>
    <row r="9628" customFormat="1" x14ac:dyDescent="0.3"/>
    <row r="9629" customFormat="1" x14ac:dyDescent="0.3"/>
    <row r="9630" customFormat="1" x14ac:dyDescent="0.3"/>
    <row r="9631" customFormat="1" x14ac:dyDescent="0.3"/>
    <row r="9632" customFormat="1" x14ac:dyDescent="0.3"/>
    <row r="9633" customFormat="1" x14ac:dyDescent="0.3"/>
    <row r="9634" customFormat="1" x14ac:dyDescent="0.3"/>
    <row r="9635" customFormat="1" x14ac:dyDescent="0.3"/>
    <row r="9636" customFormat="1" x14ac:dyDescent="0.3"/>
    <row r="9637" customFormat="1" x14ac:dyDescent="0.3"/>
    <row r="9638" customFormat="1" x14ac:dyDescent="0.3"/>
    <row r="9639" customFormat="1" x14ac:dyDescent="0.3"/>
    <row r="9640" customFormat="1" x14ac:dyDescent="0.3"/>
    <row r="9641" customFormat="1" x14ac:dyDescent="0.3"/>
    <row r="9642" customFormat="1" x14ac:dyDescent="0.3"/>
    <row r="9643" customFormat="1" x14ac:dyDescent="0.3"/>
    <row r="9644" customFormat="1" x14ac:dyDescent="0.3"/>
    <row r="9645" customFormat="1" x14ac:dyDescent="0.3"/>
    <row r="9646" customFormat="1" x14ac:dyDescent="0.3"/>
    <row r="9647" customFormat="1" x14ac:dyDescent="0.3"/>
    <row r="9648" customFormat="1" x14ac:dyDescent="0.3"/>
    <row r="9649" customFormat="1" x14ac:dyDescent="0.3"/>
    <row r="9650" customFormat="1" x14ac:dyDescent="0.3"/>
    <row r="9651" customFormat="1" x14ac:dyDescent="0.3"/>
    <row r="9652" customFormat="1" x14ac:dyDescent="0.3"/>
    <row r="9653" customFormat="1" x14ac:dyDescent="0.3"/>
    <row r="9654" customFormat="1" x14ac:dyDescent="0.3"/>
    <row r="9655" customFormat="1" x14ac:dyDescent="0.3"/>
    <row r="9656" customFormat="1" x14ac:dyDescent="0.3"/>
    <row r="9657" customFormat="1" x14ac:dyDescent="0.3"/>
    <row r="9658" customFormat="1" x14ac:dyDescent="0.3"/>
    <row r="9659" customFormat="1" x14ac:dyDescent="0.3"/>
    <row r="9660" customFormat="1" x14ac:dyDescent="0.3"/>
    <row r="9661" customFormat="1" x14ac:dyDescent="0.3"/>
    <row r="9662" customFormat="1" x14ac:dyDescent="0.3"/>
    <row r="9663" customFormat="1" x14ac:dyDescent="0.3"/>
    <row r="9664" customFormat="1" x14ac:dyDescent="0.3"/>
    <row r="9665" customFormat="1" x14ac:dyDescent="0.3"/>
    <row r="9666" customFormat="1" x14ac:dyDescent="0.3"/>
    <row r="9667" customFormat="1" x14ac:dyDescent="0.3"/>
    <row r="9668" customFormat="1" x14ac:dyDescent="0.3"/>
    <row r="9669" customFormat="1" x14ac:dyDescent="0.3"/>
    <row r="9670" customFormat="1" x14ac:dyDescent="0.3"/>
    <row r="9671" customFormat="1" x14ac:dyDescent="0.3"/>
    <row r="9672" customFormat="1" x14ac:dyDescent="0.3"/>
    <row r="9673" customFormat="1" x14ac:dyDescent="0.3"/>
    <row r="9674" customFormat="1" x14ac:dyDescent="0.3"/>
    <row r="9675" customFormat="1" x14ac:dyDescent="0.3"/>
    <row r="9676" customFormat="1" x14ac:dyDescent="0.3"/>
    <row r="9677" customFormat="1" x14ac:dyDescent="0.3"/>
    <row r="9678" customFormat="1" x14ac:dyDescent="0.3"/>
    <row r="9679" customFormat="1" x14ac:dyDescent="0.3"/>
    <row r="9680" customFormat="1" x14ac:dyDescent="0.3"/>
    <row r="9681" customFormat="1" x14ac:dyDescent="0.3"/>
    <row r="9682" customFormat="1" x14ac:dyDescent="0.3"/>
    <row r="9683" customFormat="1" x14ac:dyDescent="0.3"/>
    <row r="9684" customFormat="1" x14ac:dyDescent="0.3"/>
    <row r="9685" customFormat="1" x14ac:dyDescent="0.3"/>
    <row r="9686" customFormat="1" x14ac:dyDescent="0.3"/>
    <row r="9687" customFormat="1" x14ac:dyDescent="0.3"/>
    <row r="9688" customFormat="1" x14ac:dyDescent="0.3"/>
    <row r="9689" customFormat="1" x14ac:dyDescent="0.3"/>
    <row r="9690" customFormat="1" x14ac:dyDescent="0.3"/>
    <row r="9691" customFormat="1" x14ac:dyDescent="0.3"/>
    <row r="9692" customFormat="1" x14ac:dyDescent="0.3"/>
    <row r="9693" customFormat="1" x14ac:dyDescent="0.3"/>
    <row r="9694" customFormat="1" x14ac:dyDescent="0.3"/>
    <row r="9695" customFormat="1" x14ac:dyDescent="0.3"/>
    <row r="9696" customFormat="1" x14ac:dyDescent="0.3"/>
    <row r="9697" customFormat="1" x14ac:dyDescent="0.3"/>
    <row r="9698" customFormat="1" x14ac:dyDescent="0.3"/>
    <row r="9699" customFormat="1" x14ac:dyDescent="0.3"/>
    <row r="9700" customFormat="1" x14ac:dyDescent="0.3"/>
    <row r="9701" customFormat="1" x14ac:dyDescent="0.3"/>
    <row r="9702" customFormat="1" x14ac:dyDescent="0.3"/>
    <row r="9703" customFormat="1" x14ac:dyDescent="0.3"/>
    <row r="9704" customFormat="1" x14ac:dyDescent="0.3"/>
    <row r="9705" customFormat="1" x14ac:dyDescent="0.3"/>
    <row r="9706" customFormat="1" x14ac:dyDescent="0.3"/>
    <row r="9707" customFormat="1" x14ac:dyDescent="0.3"/>
    <row r="9708" customFormat="1" x14ac:dyDescent="0.3"/>
    <row r="9709" customFormat="1" x14ac:dyDescent="0.3"/>
    <row r="9710" customFormat="1" x14ac:dyDescent="0.3"/>
    <row r="9711" customFormat="1" x14ac:dyDescent="0.3"/>
    <row r="9712" customFormat="1" x14ac:dyDescent="0.3"/>
    <row r="9713" customFormat="1" x14ac:dyDescent="0.3"/>
    <row r="9714" customFormat="1" x14ac:dyDescent="0.3"/>
    <row r="9715" customFormat="1" x14ac:dyDescent="0.3"/>
    <row r="9716" customFormat="1" x14ac:dyDescent="0.3"/>
    <row r="9717" customFormat="1" x14ac:dyDescent="0.3"/>
    <row r="9718" customFormat="1" x14ac:dyDescent="0.3"/>
    <row r="9719" customFormat="1" x14ac:dyDescent="0.3"/>
    <row r="9720" customFormat="1" x14ac:dyDescent="0.3"/>
    <row r="9721" customFormat="1" x14ac:dyDescent="0.3"/>
    <row r="9722" customFormat="1" x14ac:dyDescent="0.3"/>
    <row r="9723" customFormat="1" x14ac:dyDescent="0.3"/>
    <row r="9724" customFormat="1" x14ac:dyDescent="0.3"/>
    <row r="9725" customFormat="1" x14ac:dyDescent="0.3"/>
    <row r="9726" customFormat="1" x14ac:dyDescent="0.3"/>
    <row r="9727" customFormat="1" x14ac:dyDescent="0.3"/>
    <row r="9728" customFormat="1" x14ac:dyDescent="0.3"/>
    <row r="9729" customFormat="1" x14ac:dyDescent="0.3"/>
    <row r="9730" customFormat="1" x14ac:dyDescent="0.3"/>
    <row r="9731" customFormat="1" x14ac:dyDescent="0.3"/>
    <row r="9732" customFormat="1" x14ac:dyDescent="0.3"/>
    <row r="9733" customFormat="1" x14ac:dyDescent="0.3"/>
    <row r="9734" customFormat="1" x14ac:dyDescent="0.3"/>
    <row r="9735" customFormat="1" x14ac:dyDescent="0.3"/>
    <row r="9736" customFormat="1" x14ac:dyDescent="0.3"/>
    <row r="9737" customFormat="1" x14ac:dyDescent="0.3"/>
    <row r="9738" customFormat="1" x14ac:dyDescent="0.3"/>
    <row r="9739" customFormat="1" x14ac:dyDescent="0.3"/>
    <row r="9740" customFormat="1" x14ac:dyDescent="0.3"/>
    <row r="9741" customFormat="1" x14ac:dyDescent="0.3"/>
    <row r="9742" customFormat="1" x14ac:dyDescent="0.3"/>
    <row r="9743" customFormat="1" x14ac:dyDescent="0.3"/>
    <row r="9744" customFormat="1" x14ac:dyDescent="0.3"/>
    <row r="9745" customFormat="1" x14ac:dyDescent="0.3"/>
    <row r="9746" customFormat="1" x14ac:dyDescent="0.3"/>
    <row r="9747" customFormat="1" x14ac:dyDescent="0.3"/>
    <row r="9748" customFormat="1" x14ac:dyDescent="0.3"/>
    <row r="9749" customFormat="1" x14ac:dyDescent="0.3"/>
    <row r="9750" customFormat="1" x14ac:dyDescent="0.3"/>
    <row r="9751" customFormat="1" x14ac:dyDescent="0.3"/>
    <row r="9752" customFormat="1" x14ac:dyDescent="0.3"/>
    <row r="9753" customFormat="1" x14ac:dyDescent="0.3"/>
    <row r="9754" customFormat="1" x14ac:dyDescent="0.3"/>
    <row r="9755" customFormat="1" x14ac:dyDescent="0.3"/>
    <row r="9756" customFormat="1" x14ac:dyDescent="0.3"/>
    <row r="9757" customFormat="1" x14ac:dyDescent="0.3"/>
    <row r="9758" customFormat="1" x14ac:dyDescent="0.3"/>
    <row r="9759" customFormat="1" x14ac:dyDescent="0.3"/>
    <row r="9760" customFormat="1" x14ac:dyDescent="0.3"/>
    <row r="9761" customFormat="1" x14ac:dyDescent="0.3"/>
    <row r="9762" customFormat="1" x14ac:dyDescent="0.3"/>
    <row r="9763" customFormat="1" x14ac:dyDescent="0.3"/>
    <row r="9764" customFormat="1" x14ac:dyDescent="0.3"/>
    <row r="9765" customFormat="1" x14ac:dyDescent="0.3"/>
    <row r="9766" customFormat="1" x14ac:dyDescent="0.3"/>
    <row r="9767" customFormat="1" x14ac:dyDescent="0.3"/>
    <row r="9768" customFormat="1" x14ac:dyDescent="0.3"/>
    <row r="9769" customFormat="1" x14ac:dyDescent="0.3"/>
    <row r="9770" customFormat="1" x14ac:dyDescent="0.3"/>
    <row r="9771" customFormat="1" x14ac:dyDescent="0.3"/>
    <row r="9772" customFormat="1" x14ac:dyDescent="0.3"/>
    <row r="9773" customFormat="1" x14ac:dyDescent="0.3"/>
    <row r="9774" customFormat="1" x14ac:dyDescent="0.3"/>
    <row r="9775" customFormat="1" x14ac:dyDescent="0.3"/>
    <row r="9776" customFormat="1" x14ac:dyDescent="0.3"/>
    <row r="9777" customFormat="1" x14ac:dyDescent="0.3"/>
    <row r="9778" customFormat="1" x14ac:dyDescent="0.3"/>
    <row r="9779" customFormat="1" x14ac:dyDescent="0.3"/>
    <row r="9780" customFormat="1" x14ac:dyDescent="0.3"/>
    <row r="9781" customFormat="1" x14ac:dyDescent="0.3"/>
    <row r="9782" customFormat="1" x14ac:dyDescent="0.3"/>
    <row r="9783" customFormat="1" x14ac:dyDescent="0.3"/>
    <row r="9784" customFormat="1" x14ac:dyDescent="0.3"/>
    <row r="9785" customFormat="1" x14ac:dyDescent="0.3"/>
    <row r="9786" customFormat="1" x14ac:dyDescent="0.3"/>
    <row r="9787" customFormat="1" x14ac:dyDescent="0.3"/>
    <row r="9788" customFormat="1" x14ac:dyDescent="0.3"/>
    <row r="9789" customFormat="1" x14ac:dyDescent="0.3"/>
    <row r="9790" customFormat="1" x14ac:dyDescent="0.3"/>
    <row r="9791" customFormat="1" x14ac:dyDescent="0.3"/>
    <row r="9792" customFormat="1" x14ac:dyDescent="0.3"/>
    <row r="9793" customFormat="1" x14ac:dyDescent="0.3"/>
    <row r="9794" customFormat="1" x14ac:dyDescent="0.3"/>
    <row r="9795" customFormat="1" x14ac:dyDescent="0.3"/>
    <row r="9796" customFormat="1" x14ac:dyDescent="0.3"/>
    <row r="9797" customFormat="1" x14ac:dyDescent="0.3"/>
    <row r="9798" customFormat="1" x14ac:dyDescent="0.3"/>
    <row r="9799" customFormat="1" x14ac:dyDescent="0.3"/>
    <row r="9800" customFormat="1" x14ac:dyDescent="0.3"/>
    <row r="9801" customFormat="1" x14ac:dyDescent="0.3"/>
    <row r="9802" customFormat="1" x14ac:dyDescent="0.3"/>
    <row r="9803" customFormat="1" x14ac:dyDescent="0.3"/>
    <row r="9804" customFormat="1" x14ac:dyDescent="0.3"/>
    <row r="9805" customFormat="1" x14ac:dyDescent="0.3"/>
    <row r="9806" customFormat="1" x14ac:dyDescent="0.3"/>
    <row r="9807" customFormat="1" x14ac:dyDescent="0.3"/>
    <row r="9808" customFormat="1" x14ac:dyDescent="0.3"/>
    <row r="9809" customFormat="1" x14ac:dyDescent="0.3"/>
    <row r="9810" customFormat="1" x14ac:dyDescent="0.3"/>
    <row r="9811" customFormat="1" x14ac:dyDescent="0.3"/>
    <row r="9812" customFormat="1" x14ac:dyDescent="0.3"/>
    <row r="9813" customFormat="1" x14ac:dyDescent="0.3"/>
    <row r="9814" customFormat="1" x14ac:dyDescent="0.3"/>
    <row r="9815" customFormat="1" x14ac:dyDescent="0.3"/>
    <row r="9816" customFormat="1" x14ac:dyDescent="0.3"/>
    <row r="9817" customFormat="1" x14ac:dyDescent="0.3"/>
    <row r="9818" customFormat="1" x14ac:dyDescent="0.3"/>
    <row r="9819" customFormat="1" x14ac:dyDescent="0.3"/>
    <row r="9820" customFormat="1" x14ac:dyDescent="0.3"/>
    <row r="9821" customFormat="1" x14ac:dyDescent="0.3"/>
    <row r="9822" customFormat="1" x14ac:dyDescent="0.3"/>
    <row r="9823" customFormat="1" x14ac:dyDescent="0.3"/>
    <row r="9824" customFormat="1" x14ac:dyDescent="0.3"/>
    <row r="9825" customFormat="1" x14ac:dyDescent="0.3"/>
    <row r="9826" customFormat="1" x14ac:dyDescent="0.3"/>
    <row r="9827" customFormat="1" x14ac:dyDescent="0.3"/>
    <row r="9828" customFormat="1" x14ac:dyDescent="0.3"/>
    <row r="9829" customFormat="1" x14ac:dyDescent="0.3"/>
    <row r="9830" customFormat="1" x14ac:dyDescent="0.3"/>
    <row r="9831" customFormat="1" x14ac:dyDescent="0.3"/>
    <row r="9832" customFormat="1" x14ac:dyDescent="0.3"/>
    <row r="9833" customFormat="1" x14ac:dyDescent="0.3"/>
    <row r="9834" customFormat="1" x14ac:dyDescent="0.3"/>
    <row r="9835" customFormat="1" x14ac:dyDescent="0.3"/>
    <row r="9836" customFormat="1" x14ac:dyDescent="0.3"/>
    <row r="9837" customFormat="1" x14ac:dyDescent="0.3"/>
    <row r="9838" customFormat="1" x14ac:dyDescent="0.3"/>
    <row r="9839" customFormat="1" x14ac:dyDescent="0.3"/>
    <row r="9840" customFormat="1" x14ac:dyDescent="0.3"/>
    <row r="9841" customFormat="1" x14ac:dyDescent="0.3"/>
    <row r="9842" customFormat="1" x14ac:dyDescent="0.3"/>
    <row r="9843" customFormat="1" x14ac:dyDescent="0.3"/>
    <row r="9844" customFormat="1" x14ac:dyDescent="0.3"/>
    <row r="9845" customFormat="1" x14ac:dyDescent="0.3"/>
    <row r="9846" customFormat="1" x14ac:dyDescent="0.3"/>
    <row r="9847" customFormat="1" x14ac:dyDescent="0.3"/>
    <row r="9848" customFormat="1" x14ac:dyDescent="0.3"/>
    <row r="9849" customFormat="1" x14ac:dyDescent="0.3"/>
    <row r="9850" customFormat="1" x14ac:dyDescent="0.3"/>
    <row r="9851" customFormat="1" x14ac:dyDescent="0.3"/>
    <row r="9852" customFormat="1" x14ac:dyDescent="0.3"/>
    <row r="9853" customFormat="1" x14ac:dyDescent="0.3"/>
    <row r="9854" customFormat="1" x14ac:dyDescent="0.3"/>
    <row r="9855" customFormat="1" x14ac:dyDescent="0.3"/>
    <row r="9856" customFormat="1" x14ac:dyDescent="0.3"/>
    <row r="9857" customFormat="1" x14ac:dyDescent="0.3"/>
    <row r="9858" customFormat="1" x14ac:dyDescent="0.3"/>
    <row r="9859" customFormat="1" x14ac:dyDescent="0.3"/>
    <row r="9860" customFormat="1" x14ac:dyDescent="0.3"/>
    <row r="9861" customFormat="1" x14ac:dyDescent="0.3"/>
    <row r="9862" customFormat="1" x14ac:dyDescent="0.3"/>
    <row r="9863" customFormat="1" x14ac:dyDescent="0.3"/>
    <row r="9864" customFormat="1" x14ac:dyDescent="0.3"/>
    <row r="9865" customFormat="1" x14ac:dyDescent="0.3"/>
    <row r="9866" customFormat="1" x14ac:dyDescent="0.3"/>
    <row r="9867" customFormat="1" x14ac:dyDescent="0.3"/>
    <row r="9868" customFormat="1" x14ac:dyDescent="0.3"/>
    <row r="9869" customFormat="1" x14ac:dyDescent="0.3"/>
    <row r="9870" customFormat="1" x14ac:dyDescent="0.3"/>
    <row r="9871" customFormat="1" x14ac:dyDescent="0.3"/>
    <row r="9872" customFormat="1" x14ac:dyDescent="0.3"/>
    <row r="9873" customFormat="1" x14ac:dyDescent="0.3"/>
    <row r="9874" customFormat="1" x14ac:dyDescent="0.3"/>
    <row r="9875" customFormat="1" x14ac:dyDescent="0.3"/>
    <row r="9876" customFormat="1" x14ac:dyDescent="0.3"/>
    <row r="9877" customFormat="1" x14ac:dyDescent="0.3"/>
    <row r="9878" customFormat="1" x14ac:dyDescent="0.3"/>
    <row r="9879" customFormat="1" x14ac:dyDescent="0.3"/>
    <row r="9880" customFormat="1" x14ac:dyDescent="0.3"/>
    <row r="9881" customFormat="1" x14ac:dyDescent="0.3"/>
    <row r="9882" customFormat="1" x14ac:dyDescent="0.3"/>
    <row r="9883" customFormat="1" x14ac:dyDescent="0.3"/>
    <row r="9884" customFormat="1" x14ac:dyDescent="0.3"/>
    <row r="9885" customFormat="1" x14ac:dyDescent="0.3"/>
    <row r="9886" customFormat="1" x14ac:dyDescent="0.3"/>
    <row r="9887" customFormat="1" x14ac:dyDescent="0.3"/>
    <row r="9888" customFormat="1" x14ac:dyDescent="0.3"/>
    <row r="9889" customFormat="1" x14ac:dyDescent="0.3"/>
    <row r="9890" customFormat="1" x14ac:dyDescent="0.3"/>
    <row r="9891" customFormat="1" x14ac:dyDescent="0.3"/>
    <row r="9892" customFormat="1" x14ac:dyDescent="0.3"/>
    <row r="9893" customFormat="1" x14ac:dyDescent="0.3"/>
    <row r="9894" customFormat="1" x14ac:dyDescent="0.3"/>
    <row r="9895" customFormat="1" x14ac:dyDescent="0.3"/>
    <row r="9896" customFormat="1" x14ac:dyDescent="0.3"/>
    <row r="9897" customFormat="1" x14ac:dyDescent="0.3"/>
    <row r="9898" customFormat="1" x14ac:dyDescent="0.3"/>
    <row r="9899" customFormat="1" x14ac:dyDescent="0.3"/>
    <row r="9900" customFormat="1" x14ac:dyDescent="0.3"/>
    <row r="9901" customFormat="1" x14ac:dyDescent="0.3"/>
    <row r="9902" customFormat="1" x14ac:dyDescent="0.3"/>
    <row r="9903" customFormat="1" x14ac:dyDescent="0.3"/>
    <row r="9904" customFormat="1" x14ac:dyDescent="0.3"/>
    <row r="9905" customFormat="1" x14ac:dyDescent="0.3"/>
    <row r="9906" customFormat="1" x14ac:dyDescent="0.3"/>
    <row r="9907" customFormat="1" x14ac:dyDescent="0.3"/>
    <row r="9908" customFormat="1" x14ac:dyDescent="0.3"/>
    <row r="9909" customFormat="1" x14ac:dyDescent="0.3"/>
    <row r="9910" customFormat="1" x14ac:dyDescent="0.3"/>
    <row r="9911" customFormat="1" x14ac:dyDescent="0.3"/>
    <row r="9912" customFormat="1" x14ac:dyDescent="0.3"/>
    <row r="9913" customFormat="1" x14ac:dyDescent="0.3"/>
    <row r="9914" customFormat="1" x14ac:dyDescent="0.3"/>
    <row r="9915" customFormat="1" x14ac:dyDescent="0.3"/>
    <row r="9916" customFormat="1" x14ac:dyDescent="0.3"/>
    <row r="9917" customFormat="1" x14ac:dyDescent="0.3"/>
    <row r="9918" customFormat="1" x14ac:dyDescent="0.3"/>
    <row r="9919" customFormat="1" x14ac:dyDescent="0.3"/>
    <row r="9920" customFormat="1" x14ac:dyDescent="0.3"/>
    <row r="9921" customFormat="1" x14ac:dyDescent="0.3"/>
    <row r="9922" customFormat="1" x14ac:dyDescent="0.3"/>
    <row r="9923" customFormat="1" x14ac:dyDescent="0.3"/>
    <row r="9924" customFormat="1" x14ac:dyDescent="0.3"/>
    <row r="9925" customFormat="1" x14ac:dyDescent="0.3"/>
    <row r="9926" customFormat="1" x14ac:dyDescent="0.3"/>
    <row r="9927" customFormat="1" x14ac:dyDescent="0.3"/>
    <row r="9928" customFormat="1" x14ac:dyDescent="0.3"/>
    <row r="9929" customFormat="1" x14ac:dyDescent="0.3"/>
    <row r="9930" customFormat="1" x14ac:dyDescent="0.3"/>
    <row r="9931" customFormat="1" x14ac:dyDescent="0.3"/>
    <row r="9932" customFormat="1" x14ac:dyDescent="0.3"/>
    <row r="9933" customFormat="1" x14ac:dyDescent="0.3"/>
    <row r="9934" customFormat="1" x14ac:dyDescent="0.3"/>
    <row r="9935" customFormat="1" x14ac:dyDescent="0.3"/>
    <row r="9936" customFormat="1" x14ac:dyDescent="0.3"/>
    <row r="9937" customFormat="1" x14ac:dyDescent="0.3"/>
    <row r="9938" customFormat="1" x14ac:dyDescent="0.3"/>
    <row r="9939" customFormat="1" x14ac:dyDescent="0.3"/>
    <row r="9940" customFormat="1" x14ac:dyDescent="0.3"/>
    <row r="9941" customFormat="1" x14ac:dyDescent="0.3"/>
    <row r="9942" customFormat="1" x14ac:dyDescent="0.3"/>
    <row r="9943" customFormat="1" x14ac:dyDescent="0.3"/>
    <row r="9944" customFormat="1" x14ac:dyDescent="0.3"/>
    <row r="9945" customFormat="1" x14ac:dyDescent="0.3"/>
    <row r="9946" customFormat="1" x14ac:dyDescent="0.3"/>
    <row r="9947" customFormat="1" x14ac:dyDescent="0.3"/>
    <row r="9948" customFormat="1" x14ac:dyDescent="0.3"/>
    <row r="9949" customFormat="1" x14ac:dyDescent="0.3"/>
    <row r="9950" customFormat="1" x14ac:dyDescent="0.3"/>
    <row r="9951" customFormat="1" x14ac:dyDescent="0.3"/>
    <row r="9952" customFormat="1" x14ac:dyDescent="0.3"/>
    <row r="9953" customFormat="1" x14ac:dyDescent="0.3"/>
    <row r="9954" customFormat="1" x14ac:dyDescent="0.3"/>
    <row r="9955" customFormat="1" x14ac:dyDescent="0.3"/>
    <row r="9956" customFormat="1" x14ac:dyDescent="0.3"/>
    <row r="9957" customFormat="1" x14ac:dyDescent="0.3"/>
    <row r="9958" customFormat="1" x14ac:dyDescent="0.3"/>
    <row r="9959" customFormat="1" x14ac:dyDescent="0.3"/>
    <row r="9960" customFormat="1" x14ac:dyDescent="0.3"/>
    <row r="9961" customFormat="1" x14ac:dyDescent="0.3"/>
    <row r="9962" customFormat="1" x14ac:dyDescent="0.3"/>
    <row r="9963" customFormat="1" x14ac:dyDescent="0.3"/>
    <row r="9964" customFormat="1" x14ac:dyDescent="0.3"/>
    <row r="9965" customFormat="1" x14ac:dyDescent="0.3"/>
    <row r="9966" customFormat="1" x14ac:dyDescent="0.3"/>
    <row r="9967" customFormat="1" x14ac:dyDescent="0.3"/>
    <row r="9968" customFormat="1" x14ac:dyDescent="0.3"/>
    <row r="9969" customFormat="1" x14ac:dyDescent="0.3"/>
    <row r="9970" customFormat="1" x14ac:dyDescent="0.3"/>
    <row r="9971" customFormat="1" x14ac:dyDescent="0.3"/>
    <row r="9972" customFormat="1" x14ac:dyDescent="0.3"/>
    <row r="9973" customFormat="1" x14ac:dyDescent="0.3"/>
    <row r="9974" customFormat="1" x14ac:dyDescent="0.3"/>
    <row r="9975" customFormat="1" x14ac:dyDescent="0.3"/>
    <row r="9976" customFormat="1" x14ac:dyDescent="0.3"/>
    <row r="9977" customFormat="1" x14ac:dyDescent="0.3"/>
    <row r="9978" customFormat="1" x14ac:dyDescent="0.3"/>
    <row r="9979" customFormat="1" x14ac:dyDescent="0.3"/>
    <row r="9980" customFormat="1" x14ac:dyDescent="0.3"/>
    <row r="9981" customFormat="1" x14ac:dyDescent="0.3"/>
    <row r="9982" customFormat="1" x14ac:dyDescent="0.3"/>
    <row r="9983" customFormat="1" x14ac:dyDescent="0.3"/>
    <row r="9984" customFormat="1" x14ac:dyDescent="0.3"/>
    <row r="9985" customFormat="1" x14ac:dyDescent="0.3"/>
    <row r="9986" customFormat="1" x14ac:dyDescent="0.3"/>
    <row r="9987" customFormat="1" x14ac:dyDescent="0.3"/>
    <row r="9988" customFormat="1" x14ac:dyDescent="0.3"/>
    <row r="9989" customFormat="1" x14ac:dyDescent="0.3"/>
    <row r="9990" customFormat="1" x14ac:dyDescent="0.3"/>
    <row r="9991" customFormat="1" x14ac:dyDescent="0.3"/>
    <row r="9992" customFormat="1" x14ac:dyDescent="0.3"/>
    <row r="9993" customFormat="1" x14ac:dyDescent="0.3"/>
    <row r="9994" customFormat="1" x14ac:dyDescent="0.3"/>
    <row r="9995" customFormat="1" x14ac:dyDescent="0.3"/>
    <row r="9996" customFormat="1" x14ac:dyDescent="0.3"/>
    <row r="9997" customFormat="1" x14ac:dyDescent="0.3"/>
    <row r="9998" customFormat="1" x14ac:dyDescent="0.3"/>
    <row r="9999" customFormat="1" x14ac:dyDescent="0.3"/>
    <row r="10000" customFormat="1" x14ac:dyDescent="0.3"/>
    <row r="10001" customFormat="1" x14ac:dyDescent="0.3"/>
    <row r="10002" customFormat="1" x14ac:dyDescent="0.3"/>
    <row r="10003" customFormat="1" x14ac:dyDescent="0.3"/>
    <row r="10004" customFormat="1" x14ac:dyDescent="0.3"/>
    <row r="10005" customFormat="1" x14ac:dyDescent="0.3"/>
    <row r="10006" customFormat="1" x14ac:dyDescent="0.3"/>
    <row r="10007" customFormat="1" x14ac:dyDescent="0.3"/>
    <row r="10008" customFormat="1" x14ac:dyDescent="0.3"/>
    <row r="10009" customFormat="1" x14ac:dyDescent="0.3"/>
    <row r="10010" customFormat="1" x14ac:dyDescent="0.3"/>
    <row r="10011" customFormat="1" x14ac:dyDescent="0.3"/>
    <row r="10012" customFormat="1" x14ac:dyDescent="0.3"/>
    <row r="10013" customFormat="1" x14ac:dyDescent="0.3"/>
    <row r="10014" customFormat="1" x14ac:dyDescent="0.3"/>
    <row r="10015" customFormat="1" x14ac:dyDescent="0.3"/>
    <row r="10016" customFormat="1" x14ac:dyDescent="0.3"/>
    <row r="10017" customFormat="1" x14ac:dyDescent="0.3"/>
    <row r="10018" customFormat="1" x14ac:dyDescent="0.3"/>
    <row r="10019" customFormat="1" x14ac:dyDescent="0.3"/>
    <row r="10020" customFormat="1" x14ac:dyDescent="0.3"/>
    <row r="10021" customFormat="1" x14ac:dyDescent="0.3"/>
    <row r="10022" customFormat="1" x14ac:dyDescent="0.3"/>
    <row r="10023" customFormat="1" x14ac:dyDescent="0.3"/>
    <row r="10024" customFormat="1" x14ac:dyDescent="0.3"/>
    <row r="10025" customFormat="1" x14ac:dyDescent="0.3"/>
    <row r="10026" customFormat="1" x14ac:dyDescent="0.3"/>
    <row r="10027" customFormat="1" x14ac:dyDescent="0.3"/>
    <row r="10028" customFormat="1" x14ac:dyDescent="0.3"/>
    <row r="10029" customFormat="1" x14ac:dyDescent="0.3"/>
    <row r="10030" customFormat="1" x14ac:dyDescent="0.3"/>
    <row r="10031" customFormat="1" x14ac:dyDescent="0.3"/>
    <row r="10032" customFormat="1" x14ac:dyDescent="0.3"/>
    <row r="10033" customFormat="1" x14ac:dyDescent="0.3"/>
    <row r="10034" customFormat="1" x14ac:dyDescent="0.3"/>
    <row r="10035" customFormat="1" x14ac:dyDescent="0.3"/>
    <row r="10036" customFormat="1" x14ac:dyDescent="0.3"/>
    <row r="10037" customFormat="1" x14ac:dyDescent="0.3"/>
    <row r="10038" customFormat="1" x14ac:dyDescent="0.3"/>
    <row r="10039" customFormat="1" x14ac:dyDescent="0.3"/>
    <row r="10040" customFormat="1" x14ac:dyDescent="0.3"/>
    <row r="10041" customFormat="1" x14ac:dyDescent="0.3"/>
    <row r="10042" customFormat="1" x14ac:dyDescent="0.3"/>
    <row r="10043" customFormat="1" x14ac:dyDescent="0.3"/>
    <row r="10044" customFormat="1" x14ac:dyDescent="0.3"/>
    <row r="10045" customFormat="1" x14ac:dyDescent="0.3"/>
    <row r="10046" customFormat="1" x14ac:dyDescent="0.3"/>
    <row r="10047" customFormat="1" x14ac:dyDescent="0.3"/>
    <row r="10048" customFormat="1" x14ac:dyDescent="0.3"/>
    <row r="10049" customFormat="1" x14ac:dyDescent="0.3"/>
    <row r="10050" customFormat="1" x14ac:dyDescent="0.3"/>
    <row r="10051" customFormat="1" x14ac:dyDescent="0.3"/>
    <row r="10052" customFormat="1" x14ac:dyDescent="0.3"/>
    <row r="10053" customFormat="1" x14ac:dyDescent="0.3"/>
    <row r="10054" customFormat="1" x14ac:dyDescent="0.3"/>
    <row r="10055" customFormat="1" x14ac:dyDescent="0.3"/>
    <row r="10056" customFormat="1" x14ac:dyDescent="0.3"/>
    <row r="10057" customFormat="1" x14ac:dyDescent="0.3"/>
    <row r="10058" customFormat="1" x14ac:dyDescent="0.3"/>
    <row r="10059" customFormat="1" x14ac:dyDescent="0.3"/>
    <row r="10060" customFormat="1" x14ac:dyDescent="0.3"/>
    <row r="10061" customFormat="1" x14ac:dyDescent="0.3"/>
    <row r="10062" customFormat="1" x14ac:dyDescent="0.3"/>
    <row r="10063" customFormat="1" x14ac:dyDescent="0.3"/>
    <row r="10064" customFormat="1" x14ac:dyDescent="0.3"/>
    <row r="10065" customFormat="1" x14ac:dyDescent="0.3"/>
    <row r="10066" customFormat="1" x14ac:dyDescent="0.3"/>
    <row r="10067" customFormat="1" x14ac:dyDescent="0.3"/>
    <row r="10068" customFormat="1" x14ac:dyDescent="0.3"/>
    <row r="10069" customFormat="1" x14ac:dyDescent="0.3"/>
    <row r="10070" customFormat="1" x14ac:dyDescent="0.3"/>
    <row r="10071" customFormat="1" x14ac:dyDescent="0.3"/>
    <row r="10072" customFormat="1" x14ac:dyDescent="0.3"/>
    <row r="10073" customFormat="1" x14ac:dyDescent="0.3"/>
    <row r="10074" customFormat="1" x14ac:dyDescent="0.3"/>
    <row r="10075" customFormat="1" x14ac:dyDescent="0.3"/>
    <row r="10076" customFormat="1" x14ac:dyDescent="0.3"/>
    <row r="10077" customFormat="1" x14ac:dyDescent="0.3"/>
    <row r="10078" customFormat="1" x14ac:dyDescent="0.3"/>
    <row r="10079" customFormat="1" x14ac:dyDescent="0.3"/>
    <row r="10080" customFormat="1" x14ac:dyDescent="0.3"/>
    <row r="10081" customFormat="1" x14ac:dyDescent="0.3"/>
    <row r="10082" customFormat="1" x14ac:dyDescent="0.3"/>
    <row r="10083" customFormat="1" x14ac:dyDescent="0.3"/>
    <row r="10084" customFormat="1" x14ac:dyDescent="0.3"/>
    <row r="10085" customFormat="1" x14ac:dyDescent="0.3"/>
    <row r="10086" customFormat="1" x14ac:dyDescent="0.3"/>
    <row r="10087" customFormat="1" x14ac:dyDescent="0.3"/>
    <row r="10088" customFormat="1" x14ac:dyDescent="0.3"/>
    <row r="10089" customFormat="1" x14ac:dyDescent="0.3"/>
    <row r="10090" customFormat="1" x14ac:dyDescent="0.3"/>
    <row r="10091" customFormat="1" x14ac:dyDescent="0.3"/>
    <row r="10092" customFormat="1" x14ac:dyDescent="0.3"/>
    <row r="10093" customFormat="1" x14ac:dyDescent="0.3"/>
    <row r="10094" customFormat="1" x14ac:dyDescent="0.3"/>
    <row r="10095" customFormat="1" x14ac:dyDescent="0.3"/>
    <row r="10096" customFormat="1" x14ac:dyDescent="0.3"/>
    <row r="10097" customFormat="1" x14ac:dyDescent="0.3"/>
    <row r="10098" customFormat="1" x14ac:dyDescent="0.3"/>
    <row r="10099" customFormat="1" x14ac:dyDescent="0.3"/>
    <row r="10100" customFormat="1" x14ac:dyDescent="0.3"/>
    <row r="10101" customFormat="1" x14ac:dyDescent="0.3"/>
    <row r="10102" customFormat="1" x14ac:dyDescent="0.3"/>
    <row r="10103" customFormat="1" x14ac:dyDescent="0.3"/>
    <row r="10104" customFormat="1" x14ac:dyDescent="0.3"/>
    <row r="10105" customFormat="1" x14ac:dyDescent="0.3"/>
    <row r="10106" customFormat="1" x14ac:dyDescent="0.3"/>
    <row r="10107" customFormat="1" x14ac:dyDescent="0.3"/>
    <row r="10108" customFormat="1" x14ac:dyDescent="0.3"/>
    <row r="10109" customFormat="1" x14ac:dyDescent="0.3"/>
    <row r="10110" customFormat="1" x14ac:dyDescent="0.3"/>
    <row r="10111" customFormat="1" x14ac:dyDescent="0.3"/>
    <row r="10112" customFormat="1" x14ac:dyDescent="0.3"/>
    <row r="10113" customFormat="1" x14ac:dyDescent="0.3"/>
    <row r="10114" customFormat="1" x14ac:dyDescent="0.3"/>
    <row r="10115" customFormat="1" x14ac:dyDescent="0.3"/>
    <row r="10116" customFormat="1" x14ac:dyDescent="0.3"/>
    <row r="10117" customFormat="1" x14ac:dyDescent="0.3"/>
    <row r="10118" customFormat="1" x14ac:dyDescent="0.3"/>
    <row r="10119" customFormat="1" x14ac:dyDescent="0.3"/>
    <row r="10120" customFormat="1" x14ac:dyDescent="0.3"/>
    <row r="10121" customFormat="1" x14ac:dyDescent="0.3"/>
    <row r="10122" customFormat="1" x14ac:dyDescent="0.3"/>
    <row r="10123" customFormat="1" x14ac:dyDescent="0.3"/>
    <row r="10124" customFormat="1" x14ac:dyDescent="0.3"/>
    <row r="10125" customFormat="1" x14ac:dyDescent="0.3"/>
    <row r="10126" customFormat="1" x14ac:dyDescent="0.3"/>
    <row r="10127" customFormat="1" x14ac:dyDescent="0.3"/>
    <row r="10128" customFormat="1" x14ac:dyDescent="0.3"/>
    <row r="10129" customFormat="1" x14ac:dyDescent="0.3"/>
    <row r="10130" customFormat="1" x14ac:dyDescent="0.3"/>
    <row r="10131" customFormat="1" x14ac:dyDescent="0.3"/>
    <row r="10132" customFormat="1" x14ac:dyDescent="0.3"/>
    <row r="10133" customFormat="1" x14ac:dyDescent="0.3"/>
    <row r="10134" customFormat="1" x14ac:dyDescent="0.3"/>
    <row r="10135" customFormat="1" x14ac:dyDescent="0.3"/>
    <row r="10136" customFormat="1" x14ac:dyDescent="0.3"/>
    <row r="10137" customFormat="1" x14ac:dyDescent="0.3"/>
    <row r="10138" customFormat="1" x14ac:dyDescent="0.3"/>
    <row r="10139" customFormat="1" x14ac:dyDescent="0.3"/>
    <row r="10140" customFormat="1" x14ac:dyDescent="0.3"/>
    <row r="10141" customFormat="1" x14ac:dyDescent="0.3"/>
    <row r="10142" customFormat="1" x14ac:dyDescent="0.3"/>
    <row r="10143" customFormat="1" x14ac:dyDescent="0.3"/>
    <row r="10144" customFormat="1" x14ac:dyDescent="0.3"/>
    <row r="10145" customFormat="1" x14ac:dyDescent="0.3"/>
    <row r="10146" customFormat="1" x14ac:dyDescent="0.3"/>
    <row r="10147" customFormat="1" x14ac:dyDescent="0.3"/>
    <row r="10148" customFormat="1" x14ac:dyDescent="0.3"/>
    <row r="10149" customFormat="1" x14ac:dyDescent="0.3"/>
    <row r="10150" customFormat="1" x14ac:dyDescent="0.3"/>
    <row r="10151" customFormat="1" x14ac:dyDescent="0.3"/>
    <row r="10152" customFormat="1" x14ac:dyDescent="0.3"/>
    <row r="10153" customFormat="1" x14ac:dyDescent="0.3"/>
    <row r="10154" customFormat="1" x14ac:dyDescent="0.3"/>
    <row r="10155" customFormat="1" x14ac:dyDescent="0.3"/>
    <row r="10156" customFormat="1" x14ac:dyDescent="0.3"/>
    <row r="10157" customFormat="1" x14ac:dyDescent="0.3"/>
    <row r="10158" customFormat="1" x14ac:dyDescent="0.3"/>
    <row r="10159" customFormat="1" x14ac:dyDescent="0.3"/>
    <row r="10160" customFormat="1" x14ac:dyDescent="0.3"/>
    <row r="10161" customFormat="1" x14ac:dyDescent="0.3"/>
    <row r="10162" customFormat="1" x14ac:dyDescent="0.3"/>
    <row r="10163" customFormat="1" x14ac:dyDescent="0.3"/>
    <row r="10164" customFormat="1" x14ac:dyDescent="0.3"/>
    <row r="10165" customFormat="1" x14ac:dyDescent="0.3"/>
    <row r="10166" customFormat="1" x14ac:dyDescent="0.3"/>
    <row r="10167" customFormat="1" x14ac:dyDescent="0.3"/>
    <row r="10168" customFormat="1" x14ac:dyDescent="0.3"/>
    <row r="10169" customFormat="1" x14ac:dyDescent="0.3"/>
    <row r="10170" customFormat="1" x14ac:dyDescent="0.3"/>
    <row r="10171" customFormat="1" x14ac:dyDescent="0.3"/>
    <row r="10172" customFormat="1" x14ac:dyDescent="0.3"/>
    <row r="10173" customFormat="1" x14ac:dyDescent="0.3"/>
    <row r="10174" customFormat="1" x14ac:dyDescent="0.3"/>
    <row r="10175" customFormat="1" x14ac:dyDescent="0.3"/>
    <row r="10176" customFormat="1" x14ac:dyDescent="0.3"/>
    <row r="10177" customFormat="1" x14ac:dyDescent="0.3"/>
    <row r="10178" customFormat="1" x14ac:dyDescent="0.3"/>
    <row r="10179" customFormat="1" x14ac:dyDescent="0.3"/>
    <row r="10180" customFormat="1" x14ac:dyDescent="0.3"/>
    <row r="10181" customFormat="1" x14ac:dyDescent="0.3"/>
    <row r="10182" customFormat="1" x14ac:dyDescent="0.3"/>
    <row r="10183" customFormat="1" x14ac:dyDescent="0.3"/>
    <row r="10184" customFormat="1" x14ac:dyDescent="0.3"/>
    <row r="10185" customFormat="1" x14ac:dyDescent="0.3"/>
    <row r="10186" customFormat="1" x14ac:dyDescent="0.3"/>
    <row r="10187" customFormat="1" x14ac:dyDescent="0.3"/>
    <row r="10188" customFormat="1" x14ac:dyDescent="0.3"/>
    <row r="10189" customFormat="1" x14ac:dyDescent="0.3"/>
    <row r="10190" customFormat="1" x14ac:dyDescent="0.3"/>
    <row r="10191" customFormat="1" x14ac:dyDescent="0.3"/>
    <row r="10192" customFormat="1" x14ac:dyDescent="0.3"/>
    <row r="10193" customFormat="1" x14ac:dyDescent="0.3"/>
    <row r="10194" customFormat="1" x14ac:dyDescent="0.3"/>
    <row r="10195" customFormat="1" x14ac:dyDescent="0.3"/>
    <row r="10196" customFormat="1" x14ac:dyDescent="0.3"/>
    <row r="10197" customFormat="1" x14ac:dyDescent="0.3"/>
    <row r="10198" customFormat="1" x14ac:dyDescent="0.3"/>
    <row r="10199" customFormat="1" x14ac:dyDescent="0.3"/>
    <row r="10200" customFormat="1" x14ac:dyDescent="0.3"/>
    <row r="10201" customFormat="1" x14ac:dyDescent="0.3"/>
    <row r="10202" customFormat="1" x14ac:dyDescent="0.3"/>
    <row r="10203" customFormat="1" x14ac:dyDescent="0.3"/>
    <row r="10204" customFormat="1" x14ac:dyDescent="0.3"/>
    <row r="10205" customFormat="1" x14ac:dyDescent="0.3"/>
    <row r="10206" customFormat="1" x14ac:dyDescent="0.3"/>
    <row r="10207" customFormat="1" x14ac:dyDescent="0.3"/>
    <row r="10208" customFormat="1" x14ac:dyDescent="0.3"/>
    <row r="10209" customFormat="1" x14ac:dyDescent="0.3"/>
    <row r="10210" customFormat="1" x14ac:dyDescent="0.3"/>
    <row r="10211" customFormat="1" x14ac:dyDescent="0.3"/>
    <row r="10212" customFormat="1" x14ac:dyDescent="0.3"/>
    <row r="10213" customFormat="1" x14ac:dyDescent="0.3"/>
    <row r="10214" customFormat="1" x14ac:dyDescent="0.3"/>
    <row r="10215" customFormat="1" x14ac:dyDescent="0.3"/>
    <row r="10216" customFormat="1" x14ac:dyDescent="0.3"/>
    <row r="10217" customFormat="1" x14ac:dyDescent="0.3"/>
    <row r="10218" customFormat="1" x14ac:dyDescent="0.3"/>
    <row r="10219" customFormat="1" x14ac:dyDescent="0.3"/>
    <row r="10220" customFormat="1" x14ac:dyDescent="0.3"/>
    <row r="10221" customFormat="1" x14ac:dyDescent="0.3"/>
    <row r="10222" customFormat="1" x14ac:dyDescent="0.3"/>
    <row r="10223" customFormat="1" x14ac:dyDescent="0.3"/>
    <row r="10224" customFormat="1" x14ac:dyDescent="0.3"/>
    <row r="10225" customFormat="1" x14ac:dyDescent="0.3"/>
    <row r="10226" customFormat="1" x14ac:dyDescent="0.3"/>
    <row r="10227" customFormat="1" x14ac:dyDescent="0.3"/>
    <row r="10228" customFormat="1" x14ac:dyDescent="0.3"/>
    <row r="10229" customFormat="1" x14ac:dyDescent="0.3"/>
    <row r="10230" customFormat="1" x14ac:dyDescent="0.3"/>
    <row r="10231" customFormat="1" x14ac:dyDescent="0.3"/>
    <row r="10232" customFormat="1" x14ac:dyDescent="0.3"/>
    <row r="10233" customFormat="1" x14ac:dyDescent="0.3"/>
    <row r="10234" customFormat="1" x14ac:dyDescent="0.3"/>
    <row r="10235" customFormat="1" x14ac:dyDescent="0.3"/>
    <row r="10236" customFormat="1" x14ac:dyDescent="0.3"/>
    <row r="10237" customFormat="1" x14ac:dyDescent="0.3"/>
    <row r="10238" customFormat="1" x14ac:dyDescent="0.3"/>
    <row r="10239" customFormat="1" x14ac:dyDescent="0.3"/>
    <row r="10240" customFormat="1" x14ac:dyDescent="0.3"/>
    <row r="10241" customFormat="1" x14ac:dyDescent="0.3"/>
    <row r="10242" customFormat="1" x14ac:dyDescent="0.3"/>
    <row r="10243" customFormat="1" x14ac:dyDescent="0.3"/>
    <row r="10244" customFormat="1" x14ac:dyDescent="0.3"/>
    <row r="10245" customFormat="1" x14ac:dyDescent="0.3"/>
    <row r="10246" customFormat="1" x14ac:dyDescent="0.3"/>
    <row r="10247" customFormat="1" x14ac:dyDescent="0.3"/>
    <row r="10248" customFormat="1" x14ac:dyDescent="0.3"/>
    <row r="10249" customFormat="1" x14ac:dyDescent="0.3"/>
    <row r="10250" customFormat="1" x14ac:dyDescent="0.3"/>
    <row r="10251" customFormat="1" x14ac:dyDescent="0.3"/>
    <row r="10252" customFormat="1" x14ac:dyDescent="0.3"/>
    <row r="10253" customFormat="1" x14ac:dyDescent="0.3"/>
    <row r="10254" customFormat="1" x14ac:dyDescent="0.3"/>
    <row r="10255" customFormat="1" x14ac:dyDescent="0.3"/>
    <row r="10256" customFormat="1" x14ac:dyDescent="0.3"/>
    <row r="10257" customFormat="1" x14ac:dyDescent="0.3"/>
    <row r="10258" customFormat="1" x14ac:dyDescent="0.3"/>
    <row r="10259" customFormat="1" x14ac:dyDescent="0.3"/>
    <row r="10260" customFormat="1" x14ac:dyDescent="0.3"/>
    <row r="10261" customFormat="1" x14ac:dyDescent="0.3"/>
    <row r="10262" customFormat="1" x14ac:dyDescent="0.3"/>
    <row r="10263" customFormat="1" x14ac:dyDescent="0.3"/>
    <row r="10264" customFormat="1" x14ac:dyDescent="0.3"/>
    <row r="10265" customFormat="1" x14ac:dyDescent="0.3"/>
    <row r="10266" customFormat="1" x14ac:dyDescent="0.3"/>
    <row r="10267" customFormat="1" x14ac:dyDescent="0.3"/>
    <row r="10268" customFormat="1" x14ac:dyDescent="0.3"/>
    <row r="10269" customFormat="1" x14ac:dyDescent="0.3"/>
    <row r="10270" customFormat="1" x14ac:dyDescent="0.3"/>
    <row r="10271" customFormat="1" x14ac:dyDescent="0.3"/>
    <row r="10272" customFormat="1" x14ac:dyDescent="0.3"/>
    <row r="10273" customFormat="1" x14ac:dyDescent="0.3"/>
    <row r="10274" customFormat="1" x14ac:dyDescent="0.3"/>
    <row r="10275" customFormat="1" x14ac:dyDescent="0.3"/>
    <row r="10276" customFormat="1" x14ac:dyDescent="0.3"/>
    <row r="10277" customFormat="1" x14ac:dyDescent="0.3"/>
    <row r="10278" customFormat="1" x14ac:dyDescent="0.3"/>
    <row r="10279" customFormat="1" x14ac:dyDescent="0.3"/>
    <row r="10280" customFormat="1" x14ac:dyDescent="0.3"/>
    <row r="10281" customFormat="1" x14ac:dyDescent="0.3"/>
    <row r="10282" customFormat="1" x14ac:dyDescent="0.3"/>
    <row r="10283" customFormat="1" x14ac:dyDescent="0.3"/>
    <row r="10284" customFormat="1" x14ac:dyDescent="0.3"/>
    <row r="10285" customFormat="1" x14ac:dyDescent="0.3"/>
    <row r="10286" customFormat="1" x14ac:dyDescent="0.3"/>
    <row r="10287" customFormat="1" x14ac:dyDescent="0.3"/>
    <row r="10288" customFormat="1" x14ac:dyDescent="0.3"/>
    <row r="10289" customFormat="1" x14ac:dyDescent="0.3"/>
    <row r="10290" customFormat="1" x14ac:dyDescent="0.3"/>
    <row r="10291" customFormat="1" x14ac:dyDescent="0.3"/>
    <row r="10292" customFormat="1" x14ac:dyDescent="0.3"/>
    <row r="10293" customFormat="1" x14ac:dyDescent="0.3"/>
    <row r="10294" customFormat="1" x14ac:dyDescent="0.3"/>
    <row r="10295" customFormat="1" x14ac:dyDescent="0.3"/>
    <row r="10296" customFormat="1" x14ac:dyDescent="0.3"/>
    <row r="10297" customFormat="1" x14ac:dyDescent="0.3"/>
    <row r="10298" customFormat="1" x14ac:dyDescent="0.3"/>
    <row r="10299" customFormat="1" x14ac:dyDescent="0.3"/>
    <row r="10300" customFormat="1" x14ac:dyDescent="0.3"/>
    <row r="10301" customFormat="1" x14ac:dyDescent="0.3"/>
    <row r="10302" customFormat="1" x14ac:dyDescent="0.3"/>
    <row r="10303" customFormat="1" x14ac:dyDescent="0.3"/>
    <row r="10304" customFormat="1" x14ac:dyDescent="0.3"/>
    <row r="10305" customFormat="1" x14ac:dyDescent="0.3"/>
    <row r="10306" customFormat="1" x14ac:dyDescent="0.3"/>
    <row r="10307" customFormat="1" x14ac:dyDescent="0.3"/>
    <row r="10308" customFormat="1" x14ac:dyDescent="0.3"/>
    <row r="10309" customFormat="1" x14ac:dyDescent="0.3"/>
    <row r="10310" customFormat="1" x14ac:dyDescent="0.3"/>
    <row r="10311" customFormat="1" x14ac:dyDescent="0.3"/>
    <row r="10312" customFormat="1" x14ac:dyDescent="0.3"/>
    <row r="10313" customFormat="1" x14ac:dyDescent="0.3"/>
    <row r="10314" customFormat="1" x14ac:dyDescent="0.3"/>
    <row r="10315" customFormat="1" x14ac:dyDescent="0.3"/>
    <row r="10316" customFormat="1" x14ac:dyDescent="0.3"/>
    <row r="10317" customFormat="1" x14ac:dyDescent="0.3"/>
    <row r="10318" customFormat="1" x14ac:dyDescent="0.3"/>
    <row r="10319" customFormat="1" x14ac:dyDescent="0.3"/>
    <row r="10320" customFormat="1" x14ac:dyDescent="0.3"/>
    <row r="10321" customFormat="1" x14ac:dyDescent="0.3"/>
    <row r="10322" customFormat="1" x14ac:dyDescent="0.3"/>
    <row r="10323" customFormat="1" x14ac:dyDescent="0.3"/>
    <row r="10324" customFormat="1" x14ac:dyDescent="0.3"/>
    <row r="10325" customFormat="1" x14ac:dyDescent="0.3"/>
    <row r="10326" customFormat="1" x14ac:dyDescent="0.3"/>
    <row r="10327" customFormat="1" x14ac:dyDescent="0.3"/>
    <row r="10328" customFormat="1" x14ac:dyDescent="0.3"/>
    <row r="10329" customFormat="1" x14ac:dyDescent="0.3"/>
    <row r="10330" customFormat="1" x14ac:dyDescent="0.3"/>
    <row r="10331" customFormat="1" x14ac:dyDescent="0.3"/>
    <row r="10332" customFormat="1" x14ac:dyDescent="0.3"/>
    <row r="10333" customFormat="1" x14ac:dyDescent="0.3"/>
    <row r="10334" customFormat="1" x14ac:dyDescent="0.3"/>
    <row r="10335" customFormat="1" x14ac:dyDescent="0.3"/>
    <row r="10336" customFormat="1" x14ac:dyDescent="0.3"/>
    <row r="10337" customFormat="1" x14ac:dyDescent="0.3"/>
    <row r="10338" customFormat="1" x14ac:dyDescent="0.3"/>
    <row r="10339" customFormat="1" x14ac:dyDescent="0.3"/>
    <row r="10340" customFormat="1" x14ac:dyDescent="0.3"/>
    <row r="10341" customFormat="1" x14ac:dyDescent="0.3"/>
    <row r="10342" customFormat="1" x14ac:dyDescent="0.3"/>
    <row r="10343" customFormat="1" x14ac:dyDescent="0.3"/>
    <row r="10344" customFormat="1" x14ac:dyDescent="0.3"/>
    <row r="10345" customFormat="1" x14ac:dyDescent="0.3"/>
    <row r="10346" customFormat="1" x14ac:dyDescent="0.3"/>
    <row r="10347" customFormat="1" x14ac:dyDescent="0.3"/>
    <row r="10348" customFormat="1" x14ac:dyDescent="0.3"/>
    <row r="10349" customFormat="1" x14ac:dyDescent="0.3"/>
    <row r="10350" customFormat="1" x14ac:dyDescent="0.3"/>
    <row r="10351" customFormat="1" x14ac:dyDescent="0.3"/>
    <row r="10352" customFormat="1" x14ac:dyDescent="0.3"/>
    <row r="10353" customFormat="1" x14ac:dyDescent="0.3"/>
    <row r="10354" customFormat="1" x14ac:dyDescent="0.3"/>
    <row r="10355" customFormat="1" x14ac:dyDescent="0.3"/>
    <row r="10356" customFormat="1" x14ac:dyDescent="0.3"/>
    <row r="10357" customFormat="1" x14ac:dyDescent="0.3"/>
    <row r="10358" customFormat="1" x14ac:dyDescent="0.3"/>
    <row r="10359" customFormat="1" x14ac:dyDescent="0.3"/>
    <row r="10360" customFormat="1" x14ac:dyDescent="0.3"/>
    <row r="10361" customFormat="1" x14ac:dyDescent="0.3"/>
    <row r="10362" customFormat="1" x14ac:dyDescent="0.3"/>
    <row r="10363" customFormat="1" x14ac:dyDescent="0.3"/>
    <row r="10364" customFormat="1" x14ac:dyDescent="0.3"/>
    <row r="10365" customFormat="1" x14ac:dyDescent="0.3"/>
    <row r="10366" customFormat="1" x14ac:dyDescent="0.3"/>
    <row r="10367" customFormat="1" x14ac:dyDescent="0.3"/>
    <row r="10368" customFormat="1" x14ac:dyDescent="0.3"/>
    <row r="10369" customFormat="1" x14ac:dyDescent="0.3"/>
    <row r="10370" customFormat="1" x14ac:dyDescent="0.3"/>
    <row r="10371" customFormat="1" x14ac:dyDescent="0.3"/>
    <row r="10372" customFormat="1" x14ac:dyDescent="0.3"/>
    <row r="10373" customFormat="1" x14ac:dyDescent="0.3"/>
    <row r="10374" customFormat="1" x14ac:dyDescent="0.3"/>
    <row r="10375" customFormat="1" x14ac:dyDescent="0.3"/>
    <row r="10376" customFormat="1" x14ac:dyDescent="0.3"/>
    <row r="10377" customFormat="1" x14ac:dyDescent="0.3"/>
    <row r="10378" customFormat="1" x14ac:dyDescent="0.3"/>
    <row r="10379" customFormat="1" x14ac:dyDescent="0.3"/>
    <row r="10380" customFormat="1" x14ac:dyDescent="0.3"/>
    <row r="10381" customFormat="1" x14ac:dyDescent="0.3"/>
    <row r="10382" customFormat="1" x14ac:dyDescent="0.3"/>
    <row r="10383" customFormat="1" x14ac:dyDescent="0.3"/>
    <row r="10384" customFormat="1" x14ac:dyDescent="0.3"/>
    <row r="10385" customFormat="1" x14ac:dyDescent="0.3"/>
    <row r="10386" customFormat="1" x14ac:dyDescent="0.3"/>
    <row r="10387" customFormat="1" x14ac:dyDescent="0.3"/>
    <row r="10388" customFormat="1" x14ac:dyDescent="0.3"/>
    <row r="10389" customFormat="1" x14ac:dyDescent="0.3"/>
    <row r="10390" customFormat="1" x14ac:dyDescent="0.3"/>
    <row r="10391" customFormat="1" x14ac:dyDescent="0.3"/>
    <row r="10392" customFormat="1" x14ac:dyDescent="0.3"/>
    <row r="10393" customFormat="1" x14ac:dyDescent="0.3"/>
    <row r="10394" customFormat="1" x14ac:dyDescent="0.3"/>
    <row r="10395" customFormat="1" x14ac:dyDescent="0.3"/>
  </sheetData>
  <sheetProtection algorithmName="SHA-512" hashValue="fDH3nuntBk+PdXL6D494FaCWBdJh2i91CuRCeiLPQy+pTepfwjxVEAAHVWmGCozjmnt/Hkeu8ulroF6KYZn1Xw==" saltValue="0RsDp5D+dKaOQcgKgmI0VA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BE20"/>
  <sheetViews>
    <sheetView zoomScale="120" zoomScaleNormal="120" workbookViewId="0">
      <selection activeCell="J12" sqref="J12:N12"/>
    </sheetView>
  </sheetViews>
  <sheetFormatPr defaultColWidth="11.07421875" defaultRowHeight="13.5" x14ac:dyDescent="0.3"/>
  <cols>
    <col min="1" max="1" width="4.84375" customWidth="1"/>
    <col min="3" max="3" width="6.3046875" customWidth="1"/>
    <col min="4" max="4" width="18.69140625" customWidth="1"/>
    <col min="6" max="6" width="16.15234375" customWidth="1"/>
    <col min="7" max="7" width="16.4609375" customWidth="1"/>
    <col min="51" max="51" width="50.69140625" customWidth="1"/>
    <col min="52" max="52" width="12.15234375" customWidth="1"/>
    <col min="53" max="53" width="10.84375" customWidth="1"/>
    <col min="55" max="55" width="20.4609375" customWidth="1"/>
    <col min="56" max="56" width="88.15234375" customWidth="1"/>
  </cols>
  <sheetData>
    <row r="1" spans="1:57" ht="54" x14ac:dyDescent="0.3">
      <c r="A1" s="163" t="s">
        <v>209</v>
      </c>
      <c r="B1" s="163" t="s">
        <v>366</v>
      </c>
      <c r="C1" s="164" t="s">
        <v>257</v>
      </c>
      <c r="D1" s="165" t="s">
        <v>258</v>
      </c>
      <c r="E1" s="163" t="s">
        <v>259</v>
      </c>
      <c r="F1" s="164" t="s">
        <v>267</v>
      </c>
      <c r="G1" s="166" t="s">
        <v>260</v>
      </c>
      <c r="H1" s="167" t="s">
        <v>268</v>
      </c>
      <c r="I1" s="168" t="s">
        <v>261</v>
      </c>
      <c r="J1" s="168" t="s">
        <v>262</v>
      </c>
      <c r="K1" s="168" t="s">
        <v>263</v>
      </c>
      <c r="L1" s="168" t="s">
        <v>264</v>
      </c>
      <c r="M1" s="168" t="s">
        <v>265</v>
      </c>
      <c r="N1" s="169" t="s">
        <v>266</v>
      </c>
      <c r="O1" s="170" t="s">
        <v>316</v>
      </c>
      <c r="P1" s="170" t="s">
        <v>317</v>
      </c>
      <c r="Q1" s="170" t="s">
        <v>318</v>
      </c>
      <c r="R1" s="170" t="s">
        <v>319</v>
      </c>
      <c r="S1" s="170" t="s">
        <v>320</v>
      </c>
      <c r="T1" s="171" t="s">
        <v>321</v>
      </c>
      <c r="U1" s="172" t="s">
        <v>322</v>
      </c>
      <c r="V1" s="172" t="s">
        <v>323</v>
      </c>
      <c r="W1" s="172" t="s">
        <v>324</v>
      </c>
      <c r="X1" s="172" t="s">
        <v>428</v>
      </c>
      <c r="Y1" s="172" t="s">
        <v>429</v>
      </c>
      <c r="Z1" s="173" t="s">
        <v>430</v>
      </c>
      <c r="AA1" s="174" t="s">
        <v>431</v>
      </c>
      <c r="AB1" s="174" t="s">
        <v>331</v>
      </c>
      <c r="AC1" s="174" t="s">
        <v>332</v>
      </c>
      <c r="AD1" s="174" t="s">
        <v>333</v>
      </c>
      <c r="AE1" s="174" t="s">
        <v>334</v>
      </c>
      <c r="AF1" s="175" t="s">
        <v>335</v>
      </c>
      <c r="AG1" s="176" t="s">
        <v>336</v>
      </c>
      <c r="AH1" s="176" t="s">
        <v>337</v>
      </c>
      <c r="AI1" s="176" t="s">
        <v>338</v>
      </c>
      <c r="AJ1" s="177" t="s">
        <v>229</v>
      </c>
      <c r="AK1" s="178" t="s">
        <v>230</v>
      </c>
      <c r="AL1" s="179" t="s">
        <v>231</v>
      </c>
      <c r="AM1" s="180" t="s">
        <v>232</v>
      </c>
      <c r="AN1" s="170" t="s">
        <v>340</v>
      </c>
      <c r="AO1" s="181" t="s">
        <v>440</v>
      </c>
      <c r="AP1" s="182" t="s">
        <v>441</v>
      </c>
      <c r="AQ1" s="183" t="s">
        <v>442</v>
      </c>
      <c r="AR1" s="171" t="s">
        <v>443</v>
      </c>
      <c r="AS1" s="183" t="s">
        <v>444</v>
      </c>
      <c r="AT1" s="171" t="s">
        <v>445</v>
      </c>
      <c r="AU1" s="163" t="s">
        <v>446</v>
      </c>
      <c r="AV1" s="184" t="s">
        <v>447</v>
      </c>
      <c r="AW1" s="185" t="s">
        <v>249</v>
      </c>
      <c r="AX1" s="184" t="s">
        <v>250</v>
      </c>
      <c r="AY1" s="186" t="s">
        <v>251</v>
      </c>
      <c r="AZ1" s="187" t="s">
        <v>252</v>
      </c>
      <c r="BA1" s="188" t="s">
        <v>353</v>
      </c>
      <c r="BB1" s="188" t="s">
        <v>354</v>
      </c>
      <c r="BC1" s="187" t="s">
        <v>355</v>
      </c>
      <c r="BD1" s="188" t="s">
        <v>356</v>
      </c>
      <c r="BE1" s="186" t="s">
        <v>357</v>
      </c>
    </row>
    <row r="2" spans="1:57" x14ac:dyDescent="0.3">
      <c r="A2" s="189">
        <v>370</v>
      </c>
      <c r="B2" s="190">
        <v>41137</v>
      </c>
      <c r="C2" s="191" t="s">
        <v>358</v>
      </c>
      <c r="D2" s="192" t="s">
        <v>220</v>
      </c>
      <c r="E2" s="193">
        <v>41152</v>
      </c>
      <c r="F2" s="191" t="s">
        <v>359</v>
      </c>
      <c r="G2" s="192" t="s">
        <v>360</v>
      </c>
      <c r="H2" s="192">
        <v>54.55</v>
      </c>
      <c r="I2" s="194" t="s">
        <v>361</v>
      </c>
      <c r="J2" s="200">
        <v>1200</v>
      </c>
      <c r="K2" s="200">
        <v>2400</v>
      </c>
      <c r="L2" s="200">
        <v>5400</v>
      </c>
      <c r="M2" s="200">
        <v>165400</v>
      </c>
      <c r="N2" s="200">
        <v>832000</v>
      </c>
      <c r="O2" s="192">
        <v>3.5329999999999999</v>
      </c>
      <c r="P2" s="192">
        <v>2.355</v>
      </c>
      <c r="Q2" s="192">
        <v>2.1779999999999999</v>
      </c>
      <c r="R2" s="192">
        <v>2.1589999999999998</v>
      </c>
      <c r="S2" s="192">
        <v>2.06</v>
      </c>
      <c r="T2" s="192">
        <v>1.7070000000000001</v>
      </c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6" t="s">
        <v>362</v>
      </c>
      <c r="AH2" s="196"/>
      <c r="AI2" s="196"/>
      <c r="AJ2" s="196"/>
      <c r="AK2" s="196">
        <v>0</v>
      </c>
      <c r="AL2" s="196">
        <v>0</v>
      </c>
      <c r="AM2" s="196">
        <v>0</v>
      </c>
      <c r="AN2" s="196">
        <v>10</v>
      </c>
      <c r="AO2" s="196">
        <v>0</v>
      </c>
      <c r="AP2" s="196">
        <v>0</v>
      </c>
      <c r="AQ2" s="196">
        <v>0</v>
      </c>
      <c r="AR2" s="196">
        <v>0</v>
      </c>
      <c r="AS2" s="196">
        <v>0</v>
      </c>
      <c r="AT2" s="197">
        <v>2</v>
      </c>
      <c r="AU2" s="192">
        <v>0</v>
      </c>
      <c r="AV2" s="196" t="s">
        <v>362</v>
      </c>
      <c r="AW2" s="196">
        <v>12</v>
      </c>
      <c r="AX2" s="196" t="s">
        <v>362</v>
      </c>
      <c r="AY2" s="191" t="s">
        <v>363</v>
      </c>
      <c r="AZ2" s="192" t="s">
        <v>364</v>
      </c>
      <c r="BA2" s="196">
        <v>50</v>
      </c>
      <c r="BB2" s="196" t="s">
        <v>365</v>
      </c>
      <c r="BC2" s="191"/>
      <c r="BD2" t="s">
        <v>285</v>
      </c>
      <c r="BE2" t="s">
        <v>286</v>
      </c>
    </row>
    <row r="3" spans="1:57" x14ac:dyDescent="0.3">
      <c r="A3" s="189">
        <v>382</v>
      </c>
      <c r="B3" s="190">
        <v>41135</v>
      </c>
      <c r="C3" s="191" t="s">
        <v>358</v>
      </c>
      <c r="D3" s="192" t="s">
        <v>220</v>
      </c>
      <c r="E3" s="193">
        <v>41090</v>
      </c>
      <c r="F3" s="191" t="s">
        <v>102</v>
      </c>
      <c r="G3" s="192" t="s">
        <v>287</v>
      </c>
      <c r="H3" s="192">
        <v>60.66</v>
      </c>
      <c r="I3" s="194" t="s">
        <v>361</v>
      </c>
      <c r="J3" s="200">
        <v>1200</v>
      </c>
      <c r="K3" s="200">
        <v>2400</v>
      </c>
      <c r="L3" s="200">
        <v>5400</v>
      </c>
      <c r="M3" s="200">
        <v>165400</v>
      </c>
      <c r="N3" s="200">
        <v>832000</v>
      </c>
      <c r="O3" s="192">
        <v>4.04</v>
      </c>
      <c r="P3" s="192">
        <v>2.63</v>
      </c>
      <c r="Q3" s="192">
        <v>2.56</v>
      </c>
      <c r="R3" s="192">
        <v>2.5299999999999998</v>
      </c>
      <c r="S3" s="192">
        <v>2.37</v>
      </c>
      <c r="T3" s="192">
        <v>1.86</v>
      </c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6" t="s">
        <v>288</v>
      </c>
      <c r="AH3" s="192"/>
      <c r="AI3" s="192"/>
      <c r="AJ3" s="192"/>
      <c r="AK3" s="196">
        <v>0</v>
      </c>
      <c r="AL3" s="196">
        <v>0</v>
      </c>
      <c r="AM3" s="196">
        <v>0</v>
      </c>
      <c r="AN3" s="196">
        <v>18</v>
      </c>
      <c r="AO3" s="196">
        <v>0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2">
        <v>0</v>
      </c>
      <c r="AV3" s="196" t="s">
        <v>288</v>
      </c>
      <c r="AW3" s="196"/>
      <c r="AX3" s="196" t="s">
        <v>288</v>
      </c>
      <c r="AY3" s="191"/>
      <c r="AZ3" s="192"/>
      <c r="BA3" s="196"/>
      <c r="BB3" s="196" t="s">
        <v>289</v>
      </c>
      <c r="BC3" s="191" t="s">
        <v>290</v>
      </c>
      <c r="BD3" t="s">
        <v>472</v>
      </c>
      <c r="BE3" t="s">
        <v>473</v>
      </c>
    </row>
    <row r="4" spans="1:57" x14ac:dyDescent="0.3">
      <c r="A4" s="189">
        <v>376</v>
      </c>
      <c r="B4" s="190">
        <v>41136</v>
      </c>
      <c r="C4" s="191" t="s">
        <v>474</v>
      </c>
      <c r="D4" s="192" t="s">
        <v>475</v>
      </c>
      <c r="E4" s="193">
        <v>41152</v>
      </c>
      <c r="F4" s="191" t="s">
        <v>476</v>
      </c>
      <c r="G4" s="192" t="s">
        <v>477</v>
      </c>
      <c r="H4" s="192">
        <v>54.44</v>
      </c>
      <c r="I4" s="194" t="s">
        <v>478</v>
      </c>
      <c r="J4" s="200">
        <v>1200</v>
      </c>
      <c r="K4" s="200">
        <v>2400</v>
      </c>
      <c r="L4" s="200">
        <v>5400</v>
      </c>
      <c r="M4" s="200">
        <v>165400</v>
      </c>
      <c r="N4" s="200">
        <v>832000</v>
      </c>
      <c r="O4" s="192">
        <v>4.05</v>
      </c>
      <c r="P4" s="192">
        <v>2.35</v>
      </c>
      <c r="Q4" s="192">
        <v>2.35</v>
      </c>
      <c r="R4" s="192">
        <v>2.35</v>
      </c>
      <c r="S4" s="192">
        <v>2.2000000000000002</v>
      </c>
      <c r="T4" s="192">
        <v>1.8</v>
      </c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6" t="s">
        <v>396</v>
      </c>
      <c r="AH4" s="192"/>
      <c r="AI4" s="192"/>
      <c r="AJ4" s="192"/>
      <c r="AK4" s="196">
        <v>0</v>
      </c>
      <c r="AL4" s="196">
        <v>0</v>
      </c>
      <c r="AM4" s="196">
        <v>0</v>
      </c>
      <c r="AN4" s="196">
        <v>20</v>
      </c>
      <c r="AO4" s="196">
        <v>0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2">
        <v>0</v>
      </c>
      <c r="AV4" s="196" t="s">
        <v>396</v>
      </c>
      <c r="AW4" s="196"/>
      <c r="AX4" s="196" t="s">
        <v>396</v>
      </c>
      <c r="AY4" s="191"/>
      <c r="AZ4" s="192"/>
      <c r="BA4" s="196"/>
      <c r="BB4" s="196" t="s">
        <v>397</v>
      </c>
      <c r="BC4" s="191"/>
      <c r="BD4" t="s">
        <v>301</v>
      </c>
      <c r="BE4" t="s">
        <v>473</v>
      </c>
    </row>
    <row r="5" spans="1:57" x14ac:dyDescent="0.3">
      <c r="A5" s="189">
        <v>380</v>
      </c>
      <c r="B5" s="190">
        <v>41137</v>
      </c>
      <c r="C5" s="191" t="s">
        <v>358</v>
      </c>
      <c r="D5" s="192" t="s">
        <v>220</v>
      </c>
      <c r="E5" s="193">
        <v>41117</v>
      </c>
      <c r="F5" s="191" t="s">
        <v>407</v>
      </c>
      <c r="G5" s="192" t="s">
        <v>408</v>
      </c>
      <c r="H5" s="192">
        <v>56.15</v>
      </c>
      <c r="I5" s="194" t="s">
        <v>409</v>
      </c>
      <c r="J5" s="200">
        <v>1200</v>
      </c>
      <c r="K5" s="200">
        <v>2400</v>
      </c>
      <c r="L5" s="200">
        <v>5400</v>
      </c>
      <c r="M5" s="200">
        <v>165400</v>
      </c>
      <c r="N5" s="200">
        <v>832000</v>
      </c>
      <c r="O5" s="192">
        <v>3.59</v>
      </c>
      <c r="P5" s="192">
        <v>2.41</v>
      </c>
      <c r="Q5" s="192">
        <v>2.2050000000000001</v>
      </c>
      <c r="R5" s="192">
        <v>2.169</v>
      </c>
      <c r="S5" s="192">
        <v>2.0699999999999998</v>
      </c>
      <c r="T5" s="192">
        <v>1.73</v>
      </c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6" t="s">
        <v>288</v>
      </c>
      <c r="AH5" s="192"/>
      <c r="AI5" s="192"/>
      <c r="AJ5" s="192"/>
      <c r="AK5" s="196">
        <v>0</v>
      </c>
      <c r="AL5" s="196">
        <v>0</v>
      </c>
      <c r="AM5" s="196">
        <v>0</v>
      </c>
      <c r="AN5" s="196">
        <v>13</v>
      </c>
      <c r="AO5" s="196">
        <v>0</v>
      </c>
      <c r="AP5" s="196">
        <v>0</v>
      </c>
      <c r="AQ5" s="196">
        <v>0</v>
      </c>
      <c r="AR5" s="196">
        <v>2</v>
      </c>
      <c r="AS5" s="196">
        <v>0</v>
      </c>
      <c r="AT5" s="196">
        <v>0</v>
      </c>
      <c r="AU5" s="192">
        <v>0</v>
      </c>
      <c r="AV5" s="196" t="s">
        <v>410</v>
      </c>
      <c r="AW5" s="196">
        <v>12</v>
      </c>
      <c r="AX5" s="196" t="s">
        <v>410</v>
      </c>
      <c r="AY5" s="191"/>
      <c r="AZ5" s="192"/>
      <c r="BA5" s="196"/>
      <c r="BB5" s="196" t="s">
        <v>411</v>
      </c>
      <c r="BC5" s="191"/>
      <c r="BD5" s="198" t="s">
        <v>412</v>
      </c>
      <c r="BE5" t="s">
        <v>413</v>
      </c>
    </row>
    <row r="6" spans="1:57" x14ac:dyDescent="0.3">
      <c r="A6" s="189">
        <v>508</v>
      </c>
      <c r="B6" s="190">
        <v>41135</v>
      </c>
      <c r="C6" s="191" t="s">
        <v>414</v>
      </c>
      <c r="D6" s="192" t="s">
        <v>415</v>
      </c>
      <c r="E6" s="193">
        <v>41152</v>
      </c>
      <c r="F6" s="191" t="s">
        <v>416</v>
      </c>
      <c r="G6" s="192" t="s">
        <v>417</v>
      </c>
      <c r="H6" s="192">
        <v>54.55</v>
      </c>
      <c r="I6" s="194" t="s">
        <v>418</v>
      </c>
      <c r="J6" s="200">
        <v>1200</v>
      </c>
      <c r="K6" s="200">
        <v>2400</v>
      </c>
      <c r="L6" s="200">
        <v>5400</v>
      </c>
      <c r="M6" s="200">
        <v>165400</v>
      </c>
      <c r="N6" s="200">
        <v>832000</v>
      </c>
      <c r="O6" s="192">
        <v>3.5329999999999999</v>
      </c>
      <c r="P6" s="192">
        <v>2.355</v>
      </c>
      <c r="Q6" s="192">
        <v>2.1779999999999999</v>
      </c>
      <c r="R6" s="192">
        <v>2.1589999999999998</v>
      </c>
      <c r="S6" s="192">
        <v>2.06</v>
      </c>
      <c r="T6" s="192">
        <v>1.7070000000000001</v>
      </c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6" t="s">
        <v>288</v>
      </c>
      <c r="AH6" s="196"/>
      <c r="AI6" s="196"/>
      <c r="AJ6" s="196"/>
      <c r="AK6" s="196">
        <v>0</v>
      </c>
      <c r="AL6" s="196">
        <v>0</v>
      </c>
      <c r="AM6" s="196">
        <v>0</v>
      </c>
      <c r="AN6" s="197">
        <v>10</v>
      </c>
      <c r="AO6" s="196">
        <v>0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2">
        <v>0</v>
      </c>
      <c r="AV6" s="196" t="s">
        <v>288</v>
      </c>
      <c r="AW6" s="196">
        <v>12</v>
      </c>
      <c r="AX6" s="196" t="s">
        <v>288</v>
      </c>
      <c r="AY6" s="191"/>
      <c r="AZ6" s="192"/>
      <c r="BA6" s="196"/>
      <c r="BB6" s="196" t="s">
        <v>289</v>
      </c>
      <c r="BC6" s="191"/>
      <c r="BD6" t="s">
        <v>469</v>
      </c>
      <c r="BE6" t="s">
        <v>473</v>
      </c>
    </row>
    <row r="7" spans="1:57" x14ac:dyDescent="0.3">
      <c r="A7" s="189">
        <v>550</v>
      </c>
      <c r="B7" s="190">
        <v>41137</v>
      </c>
      <c r="C7" s="191" t="s">
        <v>358</v>
      </c>
      <c r="D7" s="192" t="s">
        <v>220</v>
      </c>
      <c r="E7" s="193">
        <v>41144</v>
      </c>
      <c r="F7" s="191" t="s">
        <v>255</v>
      </c>
      <c r="G7" s="192" t="s">
        <v>309</v>
      </c>
      <c r="H7" s="192">
        <v>54.55</v>
      </c>
      <c r="I7" s="194" t="s">
        <v>361</v>
      </c>
      <c r="J7" s="200">
        <v>1200</v>
      </c>
      <c r="K7" s="200">
        <v>2400</v>
      </c>
      <c r="L7" s="200">
        <v>5400</v>
      </c>
      <c r="M7" s="200">
        <v>165400</v>
      </c>
      <c r="N7" s="200">
        <v>832000</v>
      </c>
      <c r="O7" s="192">
        <v>3.53</v>
      </c>
      <c r="P7" s="192">
        <v>2.35</v>
      </c>
      <c r="Q7" s="192">
        <v>2.17</v>
      </c>
      <c r="R7" s="192">
        <v>2.15</v>
      </c>
      <c r="S7" s="192">
        <v>2.06</v>
      </c>
      <c r="T7" s="192">
        <v>1.7</v>
      </c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6" t="s">
        <v>288</v>
      </c>
      <c r="AH7" s="192"/>
      <c r="AI7" s="192"/>
      <c r="AJ7" s="192"/>
      <c r="AK7" s="196">
        <v>0</v>
      </c>
      <c r="AL7" s="196">
        <v>0</v>
      </c>
      <c r="AM7" s="196">
        <v>10</v>
      </c>
      <c r="AN7" s="196">
        <v>0</v>
      </c>
      <c r="AO7" s="196">
        <v>0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2">
        <v>0</v>
      </c>
      <c r="AV7" s="196" t="s">
        <v>288</v>
      </c>
      <c r="AW7" s="196"/>
      <c r="AX7" s="196" t="s">
        <v>288</v>
      </c>
      <c r="AY7" s="191"/>
      <c r="AZ7" s="192"/>
      <c r="BA7" s="196"/>
      <c r="BB7" s="196" t="s">
        <v>310</v>
      </c>
      <c r="BC7" s="191"/>
      <c r="BD7" t="s">
        <v>388</v>
      </c>
      <c r="BE7" t="s">
        <v>473</v>
      </c>
    </row>
    <row r="8" spans="1:57" x14ac:dyDescent="0.3">
      <c r="A8" s="189">
        <v>393</v>
      </c>
      <c r="B8" s="190">
        <v>41137</v>
      </c>
      <c r="C8" s="191" t="s">
        <v>311</v>
      </c>
      <c r="D8" s="192" t="s">
        <v>312</v>
      </c>
      <c r="E8" s="193">
        <v>41090</v>
      </c>
      <c r="F8" s="191" t="s">
        <v>313</v>
      </c>
      <c r="G8" s="192" t="s">
        <v>314</v>
      </c>
      <c r="H8" s="192">
        <v>55.92</v>
      </c>
      <c r="I8" s="194" t="s">
        <v>315</v>
      </c>
      <c r="J8" s="200">
        <v>1200</v>
      </c>
      <c r="K8" s="200">
        <v>2400</v>
      </c>
      <c r="L8" s="200">
        <v>5400</v>
      </c>
      <c r="M8" s="200">
        <v>165400</v>
      </c>
      <c r="N8" s="200">
        <v>832000</v>
      </c>
      <c r="O8" s="192">
        <v>3.7229999999999999</v>
      </c>
      <c r="P8" s="192">
        <v>2.3450000000000002</v>
      </c>
      <c r="Q8" s="192">
        <v>2.286</v>
      </c>
      <c r="R8" s="192">
        <v>2.2410000000000001</v>
      </c>
      <c r="S8" s="192">
        <v>2.137</v>
      </c>
      <c r="T8" s="192">
        <v>0.499</v>
      </c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6" t="s">
        <v>288</v>
      </c>
      <c r="AH8" s="192"/>
      <c r="AI8" s="192"/>
      <c r="AJ8" s="192"/>
      <c r="AK8" s="196">
        <v>0</v>
      </c>
      <c r="AL8" s="196">
        <v>0</v>
      </c>
      <c r="AM8" s="196">
        <v>0</v>
      </c>
      <c r="AN8" s="196">
        <v>0</v>
      </c>
      <c r="AO8" s="196">
        <v>0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2">
        <v>0</v>
      </c>
      <c r="AV8" s="196" t="s">
        <v>288</v>
      </c>
      <c r="AW8" s="196"/>
      <c r="AX8" s="196" t="s">
        <v>288</v>
      </c>
      <c r="AY8" s="191"/>
      <c r="AZ8" s="192"/>
      <c r="BA8" s="196"/>
      <c r="BB8" s="196" t="s">
        <v>289</v>
      </c>
      <c r="BC8" s="191" t="s">
        <v>459</v>
      </c>
      <c r="BD8" t="s">
        <v>460</v>
      </c>
      <c r="BE8" t="s">
        <v>473</v>
      </c>
    </row>
    <row r="9" spans="1:57" x14ac:dyDescent="0.3">
      <c r="A9" s="189">
        <v>385</v>
      </c>
      <c r="B9" s="190">
        <v>41137</v>
      </c>
      <c r="C9" s="191" t="s">
        <v>358</v>
      </c>
      <c r="D9" s="192" t="s">
        <v>312</v>
      </c>
      <c r="E9" s="193">
        <v>41117</v>
      </c>
      <c r="F9" s="191" t="s">
        <v>461</v>
      </c>
      <c r="G9" s="192" t="s">
        <v>462</v>
      </c>
      <c r="H9" s="192">
        <v>56.15</v>
      </c>
      <c r="I9" s="194" t="s">
        <v>361</v>
      </c>
      <c r="J9" s="200">
        <v>1200</v>
      </c>
      <c r="K9" s="200">
        <v>2400</v>
      </c>
      <c r="L9" s="200">
        <v>5400</v>
      </c>
      <c r="M9" s="200">
        <v>165400</v>
      </c>
      <c r="N9" s="200">
        <v>832000</v>
      </c>
      <c r="O9" s="192">
        <v>3.59</v>
      </c>
      <c r="P9" s="192">
        <v>2.41</v>
      </c>
      <c r="Q9" s="192">
        <v>2.2050000000000001</v>
      </c>
      <c r="R9" s="192">
        <v>2.169</v>
      </c>
      <c r="S9" s="192">
        <v>2.0699999999999998</v>
      </c>
      <c r="T9" s="192">
        <v>1.73</v>
      </c>
      <c r="U9" s="192"/>
      <c r="V9" s="192"/>
      <c r="W9" s="192"/>
      <c r="X9" s="192"/>
      <c r="Y9" s="192"/>
      <c r="Z9" s="192"/>
      <c r="AA9" s="192"/>
      <c r="AB9" s="192"/>
      <c r="AC9" s="192"/>
      <c r="AD9" s="192"/>
      <c r="AE9" s="192"/>
      <c r="AF9" s="192"/>
      <c r="AG9" s="196" t="s">
        <v>288</v>
      </c>
      <c r="AH9" s="196"/>
      <c r="AI9" s="196"/>
      <c r="AJ9" s="196"/>
      <c r="AK9" s="196">
        <v>0</v>
      </c>
      <c r="AL9" s="196">
        <v>0</v>
      </c>
      <c r="AM9" s="196">
        <v>0</v>
      </c>
      <c r="AN9" s="196">
        <v>13</v>
      </c>
      <c r="AO9" s="196">
        <v>0</v>
      </c>
      <c r="AP9" s="196">
        <v>0</v>
      </c>
      <c r="AQ9" s="196">
        <v>0</v>
      </c>
      <c r="AR9" s="196">
        <v>2</v>
      </c>
      <c r="AS9" s="196">
        <v>0</v>
      </c>
      <c r="AT9" s="196">
        <v>0</v>
      </c>
      <c r="AU9" s="192">
        <v>0</v>
      </c>
      <c r="AV9" s="196" t="s">
        <v>288</v>
      </c>
      <c r="AW9" s="196">
        <v>12</v>
      </c>
      <c r="AX9" s="196" t="s">
        <v>288</v>
      </c>
      <c r="AY9" s="191"/>
      <c r="AZ9" s="192"/>
      <c r="BA9" s="196"/>
      <c r="BB9" s="196" t="s">
        <v>289</v>
      </c>
      <c r="BC9" s="191"/>
      <c r="BD9" t="s">
        <v>470</v>
      </c>
      <c r="BE9" t="s">
        <v>286</v>
      </c>
    </row>
    <row r="10" spans="1:57" x14ac:dyDescent="0.3">
      <c r="A10" s="189">
        <v>389</v>
      </c>
      <c r="B10" s="190">
        <v>41137</v>
      </c>
      <c r="C10" s="191" t="s">
        <v>368</v>
      </c>
      <c r="D10" s="192" t="s">
        <v>369</v>
      </c>
      <c r="E10" s="193">
        <v>41117</v>
      </c>
      <c r="F10" s="191" t="s">
        <v>370</v>
      </c>
      <c r="G10" s="192" t="s">
        <v>371</v>
      </c>
      <c r="H10" s="192">
        <v>74</v>
      </c>
      <c r="I10" s="194" t="s">
        <v>372</v>
      </c>
      <c r="J10" s="200">
        <v>6000</v>
      </c>
      <c r="K10" s="200">
        <v>12000</v>
      </c>
      <c r="L10" s="200">
        <v>85000</v>
      </c>
      <c r="M10" s="200">
        <v>85000</v>
      </c>
      <c r="N10" s="200">
        <v>85000</v>
      </c>
      <c r="O10" s="192">
        <v>1.925</v>
      </c>
      <c r="P10" s="192">
        <v>1.8149999999999999</v>
      </c>
      <c r="Q10" s="192">
        <v>1.77</v>
      </c>
      <c r="R10" s="192">
        <v>0</v>
      </c>
      <c r="S10" s="192">
        <v>0</v>
      </c>
      <c r="T10" s="192">
        <v>0</v>
      </c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6" t="s">
        <v>288</v>
      </c>
      <c r="AH10" s="196"/>
      <c r="AI10" s="196"/>
      <c r="AJ10" s="196"/>
      <c r="AK10" s="196">
        <v>0</v>
      </c>
      <c r="AL10" s="196">
        <v>0</v>
      </c>
      <c r="AM10" s="196">
        <v>0</v>
      </c>
      <c r="AN10" s="196">
        <v>13</v>
      </c>
      <c r="AO10" s="196">
        <v>0</v>
      </c>
      <c r="AP10" s="196">
        <v>0</v>
      </c>
      <c r="AQ10" s="196">
        <v>0</v>
      </c>
      <c r="AR10" s="196">
        <v>2</v>
      </c>
      <c r="AS10" s="196">
        <v>0</v>
      </c>
      <c r="AT10" s="196">
        <v>0</v>
      </c>
      <c r="AU10" s="192">
        <v>0</v>
      </c>
      <c r="AV10" s="196" t="s">
        <v>288</v>
      </c>
      <c r="AW10" s="196">
        <v>12</v>
      </c>
      <c r="AX10" s="196" t="s">
        <v>288</v>
      </c>
      <c r="AY10" s="191"/>
      <c r="AZ10" s="192"/>
      <c r="BA10" s="196"/>
      <c r="BB10" s="196" t="s">
        <v>289</v>
      </c>
      <c r="BC10" s="191"/>
      <c r="BD10" t="s">
        <v>373</v>
      </c>
      <c r="BE10" t="s">
        <v>286</v>
      </c>
    </row>
    <row r="11" spans="1:57" x14ac:dyDescent="0.3">
      <c r="A11" s="189">
        <v>520</v>
      </c>
      <c r="B11" s="190">
        <v>41135</v>
      </c>
      <c r="C11" s="191" t="s">
        <v>358</v>
      </c>
      <c r="D11" s="192" t="s">
        <v>369</v>
      </c>
      <c r="E11" s="193">
        <v>41152</v>
      </c>
      <c r="F11" s="191" t="s">
        <v>464</v>
      </c>
      <c r="G11" s="192" t="s">
        <v>465</v>
      </c>
      <c r="H11" s="192">
        <v>56</v>
      </c>
      <c r="I11" s="194" t="s">
        <v>361</v>
      </c>
      <c r="J11" s="200">
        <v>1650</v>
      </c>
      <c r="K11" s="200">
        <v>2960</v>
      </c>
      <c r="L11" s="200">
        <v>2960</v>
      </c>
      <c r="M11" s="200">
        <v>2960</v>
      </c>
      <c r="N11" s="200">
        <v>2960</v>
      </c>
      <c r="O11" s="192">
        <v>1.94</v>
      </c>
      <c r="P11" s="192">
        <v>1.76</v>
      </c>
      <c r="Q11" s="192">
        <v>1.62</v>
      </c>
      <c r="R11" s="192">
        <v>0</v>
      </c>
      <c r="S11" s="192">
        <v>0</v>
      </c>
      <c r="T11" s="192">
        <v>0</v>
      </c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6" t="s">
        <v>374</v>
      </c>
      <c r="AH11" s="196"/>
      <c r="AI11" s="196"/>
      <c r="AJ11" s="196"/>
      <c r="AK11" s="196">
        <v>0</v>
      </c>
      <c r="AL11" s="196">
        <v>0</v>
      </c>
      <c r="AM11" s="196">
        <v>0</v>
      </c>
      <c r="AN11" s="197">
        <v>10</v>
      </c>
      <c r="AO11" s="196">
        <v>0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2">
        <v>0</v>
      </c>
      <c r="AV11" s="196" t="s">
        <v>374</v>
      </c>
      <c r="AW11" s="196">
        <v>12</v>
      </c>
      <c r="AX11" s="196" t="s">
        <v>374</v>
      </c>
      <c r="AY11" s="191"/>
      <c r="AZ11" s="192"/>
      <c r="BA11" s="196"/>
      <c r="BB11" s="196" t="s">
        <v>375</v>
      </c>
      <c r="BC11" s="191"/>
      <c r="BD11" t="s">
        <v>468</v>
      </c>
      <c r="BE11" t="s">
        <v>473</v>
      </c>
    </row>
    <row r="12" spans="1:57" x14ac:dyDescent="0.3">
      <c r="A12" s="189">
        <v>392</v>
      </c>
      <c r="B12" s="190">
        <v>41137</v>
      </c>
      <c r="C12" s="191" t="s">
        <v>474</v>
      </c>
      <c r="D12" s="192" t="s">
        <v>380</v>
      </c>
      <c r="E12" s="193">
        <v>41117</v>
      </c>
      <c r="F12" s="191" t="s">
        <v>381</v>
      </c>
      <c r="G12" s="192" t="s">
        <v>382</v>
      </c>
      <c r="H12" s="192">
        <v>72</v>
      </c>
      <c r="I12" s="194" t="s">
        <v>478</v>
      </c>
      <c r="J12" s="200">
        <v>6000</v>
      </c>
      <c r="K12" s="200">
        <v>12000</v>
      </c>
      <c r="L12" s="200">
        <v>84000</v>
      </c>
      <c r="M12" s="200">
        <v>84000</v>
      </c>
      <c r="N12" s="200">
        <v>84000</v>
      </c>
      <c r="O12" s="192">
        <v>2.95</v>
      </c>
      <c r="P12" s="192">
        <v>2.65</v>
      </c>
      <c r="Q12" s="192">
        <v>2.35</v>
      </c>
      <c r="R12" s="192">
        <v>0</v>
      </c>
      <c r="S12" s="192">
        <v>0</v>
      </c>
      <c r="T12" s="192">
        <v>0</v>
      </c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6" t="s">
        <v>396</v>
      </c>
      <c r="AH12" s="196"/>
      <c r="AI12" s="196"/>
      <c r="AJ12" s="196"/>
      <c r="AK12" s="196">
        <v>0</v>
      </c>
      <c r="AL12" s="196">
        <v>0</v>
      </c>
      <c r="AM12" s="196">
        <v>0</v>
      </c>
      <c r="AN12" s="196">
        <v>13</v>
      </c>
      <c r="AO12" s="196">
        <v>0</v>
      </c>
      <c r="AP12" s="196">
        <v>0</v>
      </c>
      <c r="AQ12" s="196">
        <v>0</v>
      </c>
      <c r="AR12" s="196">
        <v>2</v>
      </c>
      <c r="AS12" s="196">
        <v>0</v>
      </c>
      <c r="AT12" s="196">
        <v>0</v>
      </c>
      <c r="AU12" s="192">
        <v>0</v>
      </c>
      <c r="AV12" s="196" t="s">
        <v>396</v>
      </c>
      <c r="AW12" s="196">
        <v>12</v>
      </c>
      <c r="AX12" s="196" t="s">
        <v>396</v>
      </c>
      <c r="AY12" s="191"/>
      <c r="AZ12" s="192"/>
      <c r="BA12" s="196"/>
      <c r="BB12" s="196" t="s">
        <v>383</v>
      </c>
      <c r="BC12" s="191"/>
      <c r="BD12" t="s">
        <v>384</v>
      </c>
      <c r="BE12" t="s">
        <v>286</v>
      </c>
    </row>
    <row r="13" spans="1:57" x14ac:dyDescent="0.3">
      <c r="A13" s="189">
        <v>522</v>
      </c>
      <c r="B13" s="190">
        <v>41135</v>
      </c>
      <c r="C13" s="191" t="s">
        <v>368</v>
      </c>
      <c r="D13" s="192" t="s">
        <v>385</v>
      </c>
      <c r="E13" s="193">
        <v>41152</v>
      </c>
      <c r="F13" s="191" t="s">
        <v>386</v>
      </c>
      <c r="G13" s="192" t="s">
        <v>387</v>
      </c>
      <c r="H13" s="192">
        <v>64</v>
      </c>
      <c r="I13" s="194" t="s">
        <v>372</v>
      </c>
      <c r="J13" s="200">
        <v>1650</v>
      </c>
      <c r="K13" s="200">
        <v>2960</v>
      </c>
      <c r="L13" s="200">
        <v>2960</v>
      </c>
      <c r="M13" s="200">
        <v>2960</v>
      </c>
      <c r="N13" s="200">
        <v>2960</v>
      </c>
      <c r="O13" s="192">
        <v>2.97</v>
      </c>
      <c r="P13" s="192">
        <v>2.78</v>
      </c>
      <c r="Q13" s="192">
        <v>2.19</v>
      </c>
      <c r="R13" s="192">
        <v>0</v>
      </c>
      <c r="S13" s="192">
        <v>0</v>
      </c>
      <c r="T13" s="192">
        <v>0</v>
      </c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6" t="s">
        <v>288</v>
      </c>
      <c r="AH13" s="196"/>
      <c r="AI13" s="196"/>
      <c r="AJ13" s="196"/>
      <c r="AK13" s="196">
        <v>0</v>
      </c>
      <c r="AL13" s="196">
        <v>0</v>
      </c>
      <c r="AM13" s="196">
        <v>0</v>
      </c>
      <c r="AN13" s="197">
        <v>10</v>
      </c>
      <c r="AO13" s="196">
        <v>0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2">
        <v>0</v>
      </c>
      <c r="AV13" s="196" t="s">
        <v>288</v>
      </c>
      <c r="AW13" s="196">
        <v>12</v>
      </c>
      <c r="AX13" s="196" t="s">
        <v>288</v>
      </c>
      <c r="AY13" s="191"/>
      <c r="AZ13" s="192"/>
      <c r="BA13" s="196"/>
      <c r="BB13" s="196" t="s">
        <v>289</v>
      </c>
      <c r="BC13" s="191"/>
      <c r="BD13" t="s">
        <v>448</v>
      </c>
      <c r="BE13" t="s">
        <v>473</v>
      </c>
    </row>
    <row r="14" spans="1:57" x14ac:dyDescent="0.3">
      <c r="A14" s="189">
        <v>510</v>
      </c>
      <c r="B14" s="190">
        <v>41135</v>
      </c>
      <c r="C14" s="191" t="s">
        <v>449</v>
      </c>
      <c r="D14" s="192" t="s">
        <v>450</v>
      </c>
      <c r="E14" s="193">
        <v>41152</v>
      </c>
      <c r="F14" s="191" t="s">
        <v>451</v>
      </c>
      <c r="G14" s="192" t="s">
        <v>452</v>
      </c>
      <c r="H14" s="192">
        <v>72</v>
      </c>
      <c r="I14" s="194"/>
      <c r="J14" s="201"/>
      <c r="K14" s="201"/>
      <c r="L14" s="201"/>
      <c r="M14" s="201"/>
      <c r="N14" s="201"/>
      <c r="O14" s="192">
        <v>2.5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6" t="s">
        <v>288</v>
      </c>
      <c r="AH14" s="196"/>
      <c r="AI14" s="196"/>
      <c r="AJ14" s="196"/>
      <c r="AK14" s="196">
        <v>0</v>
      </c>
      <c r="AL14" s="196">
        <v>0</v>
      </c>
      <c r="AM14" s="196">
        <v>0</v>
      </c>
      <c r="AN14" s="197">
        <v>10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2">
        <v>0</v>
      </c>
      <c r="AV14" s="196" t="s">
        <v>288</v>
      </c>
      <c r="AW14" s="196">
        <v>12</v>
      </c>
      <c r="AX14" s="196" t="s">
        <v>288</v>
      </c>
      <c r="AY14" s="191"/>
      <c r="AZ14" s="192"/>
      <c r="BA14" s="196"/>
      <c r="BB14" s="196" t="s">
        <v>289</v>
      </c>
      <c r="BC14" s="191"/>
      <c r="BD14" t="s">
        <v>453</v>
      </c>
      <c r="BE14" t="s">
        <v>473</v>
      </c>
    </row>
    <row r="15" spans="1:57" x14ac:dyDescent="0.3">
      <c r="A15" s="189">
        <v>849</v>
      </c>
      <c r="B15" s="190">
        <v>41137</v>
      </c>
      <c r="C15" s="191" t="s">
        <v>474</v>
      </c>
      <c r="D15" s="192" t="s">
        <v>450</v>
      </c>
      <c r="E15" s="193">
        <v>41121</v>
      </c>
      <c r="F15" s="191" t="s">
        <v>454</v>
      </c>
      <c r="G15" s="192" t="s">
        <v>455</v>
      </c>
      <c r="H15" s="192">
        <v>72</v>
      </c>
      <c r="I15" s="194"/>
      <c r="J15" s="195"/>
      <c r="K15" s="195"/>
      <c r="L15" s="195"/>
      <c r="M15" s="195"/>
      <c r="N15" s="195"/>
      <c r="O15" s="192">
        <v>2.5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6" t="s">
        <v>396</v>
      </c>
      <c r="AH15" s="192"/>
      <c r="AI15" s="192"/>
      <c r="AJ15" s="192"/>
      <c r="AK15" s="196">
        <v>0</v>
      </c>
      <c r="AL15" s="196">
        <v>0</v>
      </c>
      <c r="AM15" s="196">
        <v>10</v>
      </c>
      <c r="AN15" s="196">
        <v>0</v>
      </c>
      <c r="AO15" s="196">
        <v>0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2">
        <v>0</v>
      </c>
      <c r="AV15" s="196" t="s">
        <v>396</v>
      </c>
      <c r="AW15" s="196"/>
      <c r="AX15" s="196" t="s">
        <v>396</v>
      </c>
      <c r="AY15" s="191"/>
      <c r="AZ15" s="192"/>
      <c r="BA15" s="196"/>
      <c r="BB15" s="196" t="s">
        <v>397</v>
      </c>
      <c r="BC15" s="191"/>
      <c r="BD15" t="s">
        <v>432</v>
      </c>
      <c r="BE15" t="s">
        <v>433</v>
      </c>
    </row>
    <row r="16" spans="1:57" x14ac:dyDescent="0.3">
      <c r="A16" s="189">
        <v>512</v>
      </c>
      <c r="B16" s="190">
        <v>41135</v>
      </c>
      <c r="C16" s="191" t="s">
        <v>474</v>
      </c>
      <c r="D16" s="192" t="s">
        <v>434</v>
      </c>
      <c r="E16" s="193">
        <v>41152</v>
      </c>
      <c r="F16" s="191" t="s">
        <v>435</v>
      </c>
      <c r="G16" s="192" t="s">
        <v>436</v>
      </c>
      <c r="H16" s="192">
        <v>77</v>
      </c>
      <c r="I16" s="194"/>
      <c r="J16" s="192"/>
      <c r="K16" s="192"/>
      <c r="L16" s="192"/>
      <c r="M16" s="192"/>
      <c r="N16" s="192"/>
      <c r="O16" s="192">
        <v>2.5299999999999998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6" t="s">
        <v>396</v>
      </c>
      <c r="AH16" s="196"/>
      <c r="AI16" s="196"/>
      <c r="AJ16" s="196"/>
      <c r="AK16" s="196">
        <v>0</v>
      </c>
      <c r="AL16" s="196">
        <v>0</v>
      </c>
      <c r="AM16" s="196">
        <v>0</v>
      </c>
      <c r="AN16" s="197">
        <v>10</v>
      </c>
      <c r="AO16" s="196">
        <v>0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2">
        <v>0</v>
      </c>
      <c r="AV16" s="196" t="s">
        <v>396</v>
      </c>
      <c r="AW16" s="196">
        <v>12</v>
      </c>
      <c r="AX16" s="196" t="s">
        <v>396</v>
      </c>
      <c r="AY16" s="191"/>
      <c r="AZ16" s="192"/>
      <c r="BA16" s="196"/>
      <c r="BB16" s="196" t="s">
        <v>383</v>
      </c>
      <c r="BC16" s="191"/>
      <c r="BD16" t="s">
        <v>339</v>
      </c>
      <c r="BE16" t="s">
        <v>473</v>
      </c>
    </row>
    <row r="17" spans="1:57" x14ac:dyDescent="0.3">
      <c r="A17" s="189">
        <v>514</v>
      </c>
      <c r="B17" s="190">
        <v>41135</v>
      </c>
      <c r="C17" s="191" t="s">
        <v>474</v>
      </c>
      <c r="D17" s="192" t="s">
        <v>439</v>
      </c>
      <c r="E17" s="193">
        <v>41152</v>
      </c>
      <c r="F17" s="191" t="s">
        <v>435</v>
      </c>
      <c r="G17" s="192" t="s">
        <v>436</v>
      </c>
      <c r="H17" s="192">
        <v>82</v>
      </c>
      <c r="I17" s="194"/>
      <c r="J17" s="192"/>
      <c r="K17" s="192"/>
      <c r="L17" s="192"/>
      <c r="M17" s="192"/>
      <c r="N17" s="192"/>
      <c r="O17" s="192">
        <v>2.61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6" t="s">
        <v>396</v>
      </c>
      <c r="AH17" s="196"/>
      <c r="AI17" s="196"/>
      <c r="AJ17" s="196"/>
      <c r="AK17" s="196">
        <v>0</v>
      </c>
      <c r="AL17" s="196">
        <v>0</v>
      </c>
      <c r="AM17" s="196">
        <v>0</v>
      </c>
      <c r="AN17" s="197">
        <v>10</v>
      </c>
      <c r="AO17" s="196">
        <v>0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2">
        <v>0</v>
      </c>
      <c r="AV17" s="196" t="s">
        <v>396</v>
      </c>
      <c r="AW17" s="196">
        <v>12</v>
      </c>
      <c r="AX17" s="196" t="s">
        <v>396</v>
      </c>
      <c r="AY17" s="191"/>
      <c r="AZ17" s="192"/>
      <c r="BA17" s="196"/>
      <c r="BB17" s="196" t="s">
        <v>383</v>
      </c>
      <c r="BC17" s="191"/>
      <c r="BD17" t="s">
        <v>456</v>
      </c>
      <c r="BE17" t="s">
        <v>473</v>
      </c>
    </row>
    <row r="18" spans="1:57" x14ac:dyDescent="0.3">
      <c r="A18" s="189">
        <v>847</v>
      </c>
      <c r="B18" s="190">
        <v>41137</v>
      </c>
      <c r="C18" s="191" t="s">
        <v>358</v>
      </c>
      <c r="D18" s="192" t="s">
        <v>439</v>
      </c>
      <c r="E18" s="193">
        <v>41121</v>
      </c>
      <c r="F18" s="191" t="s">
        <v>255</v>
      </c>
      <c r="G18" s="192" t="s">
        <v>309</v>
      </c>
      <c r="H18" s="192">
        <v>82</v>
      </c>
      <c r="I18" s="194"/>
      <c r="J18" s="195"/>
      <c r="K18" s="195"/>
      <c r="L18" s="195"/>
      <c r="M18" s="195"/>
      <c r="N18" s="195"/>
      <c r="O18" s="192">
        <v>2.61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6" t="s">
        <v>288</v>
      </c>
      <c r="AH18" s="192"/>
      <c r="AI18" s="192"/>
      <c r="AJ18" s="192"/>
      <c r="AK18" s="196">
        <v>0</v>
      </c>
      <c r="AL18" s="196">
        <v>0</v>
      </c>
      <c r="AM18" s="196">
        <v>10</v>
      </c>
      <c r="AN18" s="196">
        <v>0</v>
      </c>
      <c r="AO18" s="196">
        <v>0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2">
        <v>0</v>
      </c>
      <c r="AV18" s="196" t="s">
        <v>288</v>
      </c>
      <c r="AW18" s="196"/>
      <c r="AX18" s="196" t="s">
        <v>288</v>
      </c>
      <c r="AY18" s="191"/>
      <c r="AZ18" s="192"/>
      <c r="BA18" s="196"/>
      <c r="BB18" s="196" t="s">
        <v>310</v>
      </c>
      <c r="BC18" s="191"/>
      <c r="BD18" t="s">
        <v>457</v>
      </c>
      <c r="BE18" t="s">
        <v>433</v>
      </c>
    </row>
    <row r="19" spans="1:57" x14ac:dyDescent="0.3">
      <c r="A19" s="189">
        <v>516</v>
      </c>
      <c r="B19" s="190">
        <v>41135</v>
      </c>
      <c r="C19" s="191" t="s">
        <v>358</v>
      </c>
      <c r="D19" s="192" t="s">
        <v>458</v>
      </c>
      <c r="E19" s="193">
        <v>41152</v>
      </c>
      <c r="F19" s="191" t="s">
        <v>464</v>
      </c>
      <c r="G19" s="192" t="s">
        <v>465</v>
      </c>
      <c r="H19" s="192">
        <v>87</v>
      </c>
      <c r="I19" s="194"/>
      <c r="J19" s="192"/>
      <c r="K19" s="192"/>
      <c r="L19" s="192"/>
      <c r="M19" s="192"/>
      <c r="N19" s="192"/>
      <c r="O19" s="192">
        <v>2.08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6" t="s">
        <v>466</v>
      </c>
      <c r="AH19" s="196"/>
      <c r="AI19" s="196"/>
      <c r="AJ19" s="196"/>
      <c r="AK19" s="196">
        <v>0</v>
      </c>
      <c r="AL19" s="196">
        <v>0</v>
      </c>
      <c r="AM19" s="196">
        <v>0</v>
      </c>
      <c r="AN19" s="197">
        <v>10</v>
      </c>
      <c r="AO19" s="196">
        <v>0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2">
        <v>0</v>
      </c>
      <c r="AV19" s="196" t="s">
        <v>466</v>
      </c>
      <c r="AW19" s="196">
        <v>12</v>
      </c>
      <c r="AX19" s="196" t="s">
        <v>466</v>
      </c>
      <c r="AY19" s="191"/>
      <c r="AZ19" s="192"/>
      <c r="BA19" s="196"/>
      <c r="BB19" s="196" t="s">
        <v>467</v>
      </c>
      <c r="BC19" s="191"/>
      <c r="BD19" t="s">
        <v>350</v>
      </c>
      <c r="BE19" t="s">
        <v>473</v>
      </c>
    </row>
    <row r="20" spans="1:57" x14ac:dyDescent="0.3">
      <c r="A20" s="189">
        <v>518</v>
      </c>
      <c r="B20" s="190">
        <v>41135</v>
      </c>
      <c r="C20" s="191" t="s">
        <v>358</v>
      </c>
      <c r="D20" s="192" t="s">
        <v>463</v>
      </c>
      <c r="E20" s="193">
        <v>41152</v>
      </c>
      <c r="F20" s="191" t="s">
        <v>464</v>
      </c>
      <c r="G20" s="192" t="s">
        <v>465</v>
      </c>
      <c r="H20" s="192">
        <v>66</v>
      </c>
      <c r="I20" s="194"/>
      <c r="J20" s="192"/>
      <c r="K20" s="192"/>
      <c r="L20" s="192"/>
      <c r="M20" s="192"/>
      <c r="N20" s="192"/>
      <c r="O20" s="192">
        <v>3.81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6" t="s">
        <v>466</v>
      </c>
      <c r="AH20" s="196"/>
      <c r="AI20" s="196"/>
      <c r="AJ20" s="196"/>
      <c r="AK20" s="196">
        <v>0</v>
      </c>
      <c r="AL20" s="196">
        <v>0</v>
      </c>
      <c r="AM20" s="196">
        <v>0</v>
      </c>
      <c r="AN20" s="197">
        <v>10</v>
      </c>
      <c r="AO20" s="196">
        <v>0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2">
        <v>0</v>
      </c>
      <c r="AV20" s="196" t="s">
        <v>466</v>
      </c>
      <c r="AW20" s="196">
        <v>12</v>
      </c>
      <c r="AX20" s="196" t="s">
        <v>466</v>
      </c>
      <c r="AY20" s="191"/>
      <c r="AZ20" s="192"/>
      <c r="BA20" s="196"/>
      <c r="BB20" s="196" t="s">
        <v>467</v>
      </c>
      <c r="BC20" s="191"/>
      <c r="BD20" s="199" t="s">
        <v>367</v>
      </c>
      <c r="BE20" t="s">
        <v>473</v>
      </c>
    </row>
  </sheetData>
  <sheetProtection algorithmName="SHA-512" hashValue="XzL0Ue15aIIi4mUMiSFYhC+t0mNoFgkpXrThO92R+Db4QUu0SmhzysllrK51MzOR/alTM7DQ/vrAeETy3hMYcw==" saltValue="jOCywmvuA/lkhAZtgUPq3A==" spinCount="100000" sheet="1" objects="1" scenarios="1"/>
  <phoneticPr fontId="11" type="noConversion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K25"/>
  <sheetViews>
    <sheetView workbookViewId="0">
      <selection activeCell="I3" sqref="I3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39</v>
      </c>
    </row>
    <row r="2" spans="1:11" x14ac:dyDescent="0.3">
      <c r="A2" s="152"/>
      <c r="B2" s="151"/>
      <c r="C2" s="151"/>
      <c r="D2" s="151"/>
      <c r="E2" s="151"/>
      <c r="F2" s="151"/>
      <c r="G2" s="151"/>
      <c r="H2" s="151"/>
      <c r="I2" s="151"/>
      <c r="J2" s="151"/>
      <c r="K2" s="151"/>
    </row>
    <row r="3" spans="1:11" x14ac:dyDescent="0.3">
      <c r="A3" s="6" t="s">
        <v>52</v>
      </c>
      <c r="B3" s="7"/>
      <c r="C3" s="7"/>
      <c r="D3" s="8"/>
      <c r="E3" s="7"/>
      <c r="F3" s="7"/>
      <c r="G3" s="7"/>
      <c r="H3" s="7"/>
      <c r="I3" s="7"/>
    </row>
    <row r="4" spans="1:11" x14ac:dyDescent="0.3">
      <c r="D4" s="9"/>
      <c r="E4" s="10" t="s">
        <v>40</v>
      </c>
      <c r="I4" s="11"/>
    </row>
    <row r="5" spans="1:11" x14ac:dyDescent="0.3">
      <c r="D5" s="9"/>
    </row>
    <row r="6" spans="1:11" x14ac:dyDescent="0.3">
      <c r="A6" s="2" t="s">
        <v>114</v>
      </c>
      <c r="C6" s="11"/>
      <c r="D6" s="9"/>
      <c r="E6" s="19" t="s">
        <v>204</v>
      </c>
      <c r="F6" s="19" t="s">
        <v>169</v>
      </c>
      <c r="G6" s="12" t="s">
        <v>124</v>
      </c>
      <c r="H6" s="12" t="s">
        <v>307</v>
      </c>
      <c r="I6" s="12" t="s">
        <v>98</v>
      </c>
      <c r="J6" s="12" t="s">
        <v>101</v>
      </c>
      <c r="K6" s="12" t="s">
        <v>44</v>
      </c>
    </row>
    <row r="7" spans="1:11" x14ac:dyDescent="0.3">
      <c r="A7" t="s">
        <v>187</v>
      </c>
      <c r="D7" s="9"/>
      <c r="E7" s="11">
        <v>1200</v>
      </c>
      <c r="F7" s="11">
        <v>1200</v>
      </c>
      <c r="G7" s="11">
        <v>1200</v>
      </c>
      <c r="H7" s="11">
        <v>2500</v>
      </c>
      <c r="I7" s="11">
        <v>1200</v>
      </c>
      <c r="J7" s="11">
        <v>1200</v>
      </c>
      <c r="K7" s="11">
        <v>2500</v>
      </c>
    </row>
    <row r="8" spans="1:11" x14ac:dyDescent="0.3">
      <c r="A8" t="s">
        <v>92</v>
      </c>
      <c r="D8" s="9"/>
      <c r="E8" s="11">
        <v>2400</v>
      </c>
      <c r="F8" s="11">
        <v>2400</v>
      </c>
      <c r="G8" s="11">
        <v>2400</v>
      </c>
      <c r="H8" s="11">
        <v>5500</v>
      </c>
      <c r="I8" s="11">
        <v>2400</v>
      </c>
      <c r="J8" s="11">
        <v>2400</v>
      </c>
      <c r="K8" s="11">
        <v>5500</v>
      </c>
    </row>
    <row r="9" spans="1:11" x14ac:dyDescent="0.3">
      <c r="A9" s="13" t="s">
        <v>164</v>
      </c>
      <c r="B9" s="13"/>
      <c r="C9" s="13"/>
      <c r="D9" s="14"/>
      <c r="E9" s="3">
        <v>5400</v>
      </c>
      <c r="F9" s="3">
        <v>5400</v>
      </c>
      <c r="G9" s="3">
        <v>5400</v>
      </c>
      <c r="H9" s="3">
        <v>17000</v>
      </c>
      <c r="I9" s="3">
        <v>5400</v>
      </c>
      <c r="J9" s="3">
        <v>5400</v>
      </c>
      <c r="K9" s="3">
        <v>17000</v>
      </c>
    </row>
    <row r="10" spans="1:11" x14ac:dyDescent="0.3">
      <c r="A10" s="15" t="s">
        <v>395</v>
      </c>
      <c r="B10" s="16"/>
      <c r="C10" s="16"/>
      <c r="D10" s="17"/>
      <c r="E10" s="15">
        <v>165400</v>
      </c>
      <c r="F10" s="15">
        <v>165400</v>
      </c>
      <c r="G10" s="15">
        <v>165400</v>
      </c>
      <c r="H10" s="15">
        <v>167000</v>
      </c>
      <c r="I10" s="15">
        <v>165400</v>
      </c>
      <c r="J10" s="15">
        <v>165400</v>
      </c>
      <c r="K10" s="15">
        <v>167000</v>
      </c>
    </row>
    <row r="11" spans="1:11" x14ac:dyDescent="0.3">
      <c r="A11" s="3" t="s">
        <v>391</v>
      </c>
      <c r="D11" s="9"/>
      <c r="E11" s="3">
        <v>3.51</v>
      </c>
      <c r="F11" s="11">
        <v>3.51</v>
      </c>
      <c r="G11" s="11">
        <v>3.51</v>
      </c>
      <c r="H11" s="11">
        <v>3.7240000000000002</v>
      </c>
      <c r="I11" s="3">
        <v>3.51</v>
      </c>
      <c r="J11" s="3">
        <v>3.51</v>
      </c>
      <c r="K11" s="3">
        <v>4.09</v>
      </c>
    </row>
    <row r="12" spans="1:11" x14ac:dyDescent="0.3">
      <c r="A12" s="3" t="s">
        <v>392</v>
      </c>
      <c r="D12" s="9"/>
      <c r="E12" s="3">
        <v>2.3439999999999999</v>
      </c>
      <c r="F12" s="11">
        <v>2.3439999999999999</v>
      </c>
      <c r="G12" s="11">
        <v>2.3439999999999999</v>
      </c>
      <c r="H12" s="11">
        <v>2.1320000000000001</v>
      </c>
      <c r="I12" s="3">
        <v>2.3439999999999999</v>
      </c>
      <c r="J12" s="3">
        <v>2.34</v>
      </c>
      <c r="K12" s="3">
        <v>2.29</v>
      </c>
    </row>
    <row r="13" spans="1:11" x14ac:dyDescent="0.3">
      <c r="A13" s="3" t="s">
        <v>393</v>
      </c>
      <c r="D13" s="9"/>
      <c r="E13" s="3">
        <v>2.1619999999999999</v>
      </c>
      <c r="F13" s="11">
        <v>2.1619999999999999</v>
      </c>
      <c r="G13" s="11">
        <v>2.1619999999999999</v>
      </c>
      <c r="H13" s="11">
        <v>2.0920000000000001</v>
      </c>
      <c r="I13" s="3">
        <v>2.1619999999999999</v>
      </c>
      <c r="J13" s="3">
        <v>2.16</v>
      </c>
      <c r="K13" s="3">
        <v>2.29</v>
      </c>
    </row>
    <row r="14" spans="1:11" x14ac:dyDescent="0.3">
      <c r="A14" s="3" t="s">
        <v>97</v>
      </c>
      <c r="D14" s="9"/>
      <c r="E14" s="3">
        <v>2.141</v>
      </c>
      <c r="F14" s="11">
        <v>2.141</v>
      </c>
      <c r="G14" s="11">
        <v>2.141</v>
      </c>
      <c r="H14" s="11">
        <v>2.077</v>
      </c>
      <c r="I14" s="3">
        <v>2.141</v>
      </c>
      <c r="J14" s="3">
        <v>2.14</v>
      </c>
      <c r="K14" s="3">
        <v>2.29</v>
      </c>
    </row>
    <row r="15" spans="1:11" x14ac:dyDescent="0.3">
      <c r="A15" s="3" t="s">
        <v>390</v>
      </c>
      <c r="D15" s="9"/>
      <c r="E15" s="3">
        <v>2.0470000000000002</v>
      </c>
      <c r="F15" s="11">
        <v>2.0470000000000002</v>
      </c>
      <c r="G15" s="11">
        <v>2.0470000000000002</v>
      </c>
      <c r="H15" s="11">
        <v>1.9750000000000001</v>
      </c>
      <c r="I15" s="3">
        <v>2.0470000000000002</v>
      </c>
      <c r="J15" s="3">
        <v>2.0499999999999998</v>
      </c>
      <c r="K15" s="3">
        <v>2.14</v>
      </c>
    </row>
    <row r="16" spans="1:11" x14ac:dyDescent="0.3">
      <c r="A16" t="s">
        <v>202</v>
      </c>
      <c r="D16" s="9"/>
      <c r="E16" s="3">
        <v>54.01</v>
      </c>
      <c r="F16" s="11">
        <v>54.01</v>
      </c>
      <c r="G16" s="11">
        <v>54.01</v>
      </c>
      <c r="H16" s="11">
        <v>51.6</v>
      </c>
      <c r="I16" s="3">
        <v>54.01</v>
      </c>
      <c r="J16" s="3">
        <v>54.1</v>
      </c>
      <c r="K16" s="3">
        <v>51.49</v>
      </c>
    </row>
    <row r="17" spans="1:11" x14ac:dyDescent="0.3">
      <c r="A17" s="14"/>
      <c r="B17" s="14"/>
      <c r="C17" s="14"/>
      <c r="D17" s="14"/>
      <c r="E17" s="14"/>
      <c r="F17" s="14"/>
      <c r="G17" s="9"/>
      <c r="H17" s="9"/>
      <c r="I17" s="9"/>
      <c r="J17" s="9"/>
      <c r="K17" s="9"/>
    </row>
    <row r="18" spans="1:11" x14ac:dyDescent="0.3">
      <c r="A18" s="18" t="s">
        <v>171</v>
      </c>
      <c r="B18" s="13"/>
      <c r="C18" s="13"/>
      <c r="D18" s="14"/>
      <c r="E18" s="19" t="s">
        <v>204</v>
      </c>
      <c r="F18" s="19" t="s">
        <v>169</v>
      </c>
      <c r="G18" s="12" t="s">
        <v>124</v>
      </c>
      <c r="H18" s="12" t="s">
        <v>307</v>
      </c>
      <c r="I18" s="12" t="s">
        <v>98</v>
      </c>
      <c r="J18" s="12" t="s">
        <v>101</v>
      </c>
      <c r="K18" s="12" t="s">
        <v>44</v>
      </c>
    </row>
    <row r="19" spans="1:11" x14ac:dyDescent="0.3">
      <c r="A19" s="3" t="s">
        <v>144</v>
      </c>
      <c r="C19" s="13"/>
      <c r="D19" s="14"/>
      <c r="E19" s="23" t="s">
        <v>104</v>
      </c>
      <c r="F19" s="24" t="s">
        <v>50</v>
      </c>
      <c r="G19" s="24" t="s">
        <v>247</v>
      </c>
      <c r="H19" s="24" t="s">
        <v>214</v>
      </c>
      <c r="I19" s="11" t="s">
        <v>99</v>
      </c>
      <c r="J19" s="162" t="s">
        <v>22</v>
      </c>
      <c r="K19" s="162" t="s">
        <v>22</v>
      </c>
    </row>
    <row r="20" spans="1:11" x14ac:dyDescent="0.3">
      <c r="A20" s="13" t="s">
        <v>174</v>
      </c>
      <c r="C20" s="13"/>
      <c r="D20" s="14"/>
      <c r="E20" s="24" t="s">
        <v>176</v>
      </c>
      <c r="F20" s="24" t="s">
        <v>176</v>
      </c>
      <c r="G20" s="24" t="s">
        <v>176</v>
      </c>
      <c r="H20" s="24" t="s">
        <v>126</v>
      </c>
      <c r="I20" s="24" t="s">
        <v>126</v>
      </c>
      <c r="J20" s="11" t="s">
        <v>23</v>
      </c>
      <c r="K20" s="162" t="s">
        <v>22</v>
      </c>
    </row>
    <row r="21" spans="1:11" x14ac:dyDescent="0.3">
      <c r="A21" t="s">
        <v>234</v>
      </c>
      <c r="D21" s="9"/>
      <c r="E21" s="25" t="s">
        <v>247</v>
      </c>
      <c r="F21" s="25" t="s">
        <v>50</v>
      </c>
      <c r="G21" s="25" t="s">
        <v>247</v>
      </c>
      <c r="H21" s="145">
        <v>75</v>
      </c>
      <c r="I21" s="145">
        <v>20</v>
      </c>
      <c r="J21" s="145" t="s">
        <v>24</v>
      </c>
      <c r="K21" s="162" t="s">
        <v>22</v>
      </c>
    </row>
    <row r="22" spans="1:11" x14ac:dyDescent="0.3">
      <c r="A22" t="s">
        <v>177</v>
      </c>
      <c r="D22" s="9"/>
      <c r="E22" s="26" t="s">
        <v>103</v>
      </c>
      <c r="F22" s="26" t="s">
        <v>17</v>
      </c>
      <c r="G22" s="24" t="s">
        <v>105</v>
      </c>
      <c r="H22" s="11" t="s">
        <v>100</v>
      </c>
      <c r="I22" s="11" t="s">
        <v>100</v>
      </c>
      <c r="J22" s="11" t="s">
        <v>25</v>
      </c>
      <c r="K22" s="11" t="s">
        <v>45</v>
      </c>
    </row>
    <row r="23" spans="1:11" x14ac:dyDescent="0.3">
      <c r="A23" t="s">
        <v>379</v>
      </c>
      <c r="D23" s="9"/>
      <c r="E23" s="27">
        <v>11.93</v>
      </c>
      <c r="F23" s="25">
        <v>12</v>
      </c>
      <c r="G23" s="25">
        <v>12</v>
      </c>
      <c r="H23" s="25" t="s">
        <v>214</v>
      </c>
      <c r="I23" s="25" t="s">
        <v>214</v>
      </c>
      <c r="J23" s="162" t="s">
        <v>26</v>
      </c>
      <c r="K23" s="25" t="s">
        <v>214</v>
      </c>
    </row>
    <row r="24" spans="1:11" x14ac:dyDescent="0.3">
      <c r="A24" t="s">
        <v>328</v>
      </c>
      <c r="D24" s="9"/>
      <c r="E24" s="25" t="s">
        <v>325</v>
      </c>
      <c r="F24" s="25" t="s">
        <v>182</v>
      </c>
      <c r="G24" s="11" t="s">
        <v>214</v>
      </c>
      <c r="H24" s="26" t="s">
        <v>214</v>
      </c>
      <c r="I24" s="26" t="s">
        <v>214</v>
      </c>
      <c r="J24" s="11" t="s">
        <v>27</v>
      </c>
      <c r="K24" s="26" t="s">
        <v>214</v>
      </c>
    </row>
    <row r="25" spans="1:11" x14ac:dyDescent="0.3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</row>
  </sheetData>
  <sheetProtection algorithmName="SHA-512" hashValue="s4Hv0UXjzJRoeUV2OveQfMkuyv1uyniugV/Ae0CRIZDV8EXGNu0l8lqaIWVGRLCR5DmlVr8EBqnGEcKKbp3vrQ==" saltValue="i9J/kdvwVeERJ9QSXU7b6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K25"/>
  <sheetViews>
    <sheetView workbookViewId="0">
      <selection activeCell="F18" activeCellId="1" sqref="F6:G16 F18:G24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41</v>
      </c>
    </row>
    <row r="2" spans="1:11" x14ac:dyDescent="0.3">
      <c r="A2" s="152"/>
      <c r="B2" s="151"/>
      <c r="C2" s="151"/>
      <c r="D2" s="151"/>
      <c r="E2" s="151"/>
      <c r="F2" s="151"/>
      <c r="G2" s="151"/>
      <c r="H2" s="151"/>
      <c r="I2" s="151"/>
      <c r="J2" s="151"/>
      <c r="K2" s="151"/>
    </row>
    <row r="3" spans="1:11" x14ac:dyDescent="0.3">
      <c r="A3" s="6" t="s">
        <v>293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108</v>
      </c>
      <c r="B4" s="1"/>
      <c r="D4" s="9"/>
      <c r="E4" s="10" t="s">
        <v>40</v>
      </c>
    </row>
    <row r="5" spans="1:11" x14ac:dyDescent="0.3">
      <c r="A5" s="10" t="s">
        <v>294</v>
      </c>
      <c r="B5" s="1"/>
      <c r="D5" s="9"/>
    </row>
    <row r="6" spans="1:11" x14ac:dyDescent="0.3">
      <c r="A6" s="2" t="s">
        <v>114</v>
      </c>
      <c r="C6" s="11"/>
      <c r="D6" s="9"/>
      <c r="E6" s="12" t="s">
        <v>169</v>
      </c>
      <c r="F6" s="12" t="s">
        <v>124</v>
      </c>
      <c r="G6" s="12" t="s">
        <v>159</v>
      </c>
      <c r="H6" s="11"/>
      <c r="I6" s="11"/>
    </row>
    <row r="7" spans="1:11" x14ac:dyDescent="0.3">
      <c r="A7" t="s">
        <v>206</v>
      </c>
      <c r="D7" s="9"/>
      <c r="E7" t="s">
        <v>158</v>
      </c>
      <c r="F7" s="11">
        <v>1200</v>
      </c>
      <c r="G7" s="11">
        <v>1200</v>
      </c>
      <c r="H7" s="11"/>
      <c r="I7" s="11"/>
    </row>
    <row r="8" spans="1:11" x14ac:dyDescent="0.3">
      <c r="A8" t="s">
        <v>201</v>
      </c>
      <c r="D8" s="9"/>
      <c r="E8" t="s">
        <v>158</v>
      </c>
      <c r="F8" s="11">
        <v>2400</v>
      </c>
      <c r="G8" s="11">
        <v>2400</v>
      </c>
      <c r="H8" s="11"/>
      <c r="I8" s="11"/>
    </row>
    <row r="9" spans="1:11" x14ac:dyDescent="0.3">
      <c r="A9" s="13" t="s">
        <v>164</v>
      </c>
      <c r="B9" s="13"/>
      <c r="C9" s="13"/>
      <c r="D9" s="14"/>
      <c r="E9" t="s">
        <v>158</v>
      </c>
      <c r="F9" s="3">
        <v>5400</v>
      </c>
      <c r="G9" s="3">
        <v>5400</v>
      </c>
      <c r="H9" s="11"/>
      <c r="I9" s="11"/>
    </row>
    <row r="10" spans="1:11" x14ac:dyDescent="0.3">
      <c r="A10" s="15" t="s">
        <v>395</v>
      </c>
      <c r="B10" s="16"/>
      <c r="C10" s="16"/>
      <c r="D10" s="17"/>
      <c r="E10" s="16" t="s">
        <v>158</v>
      </c>
      <c r="F10" s="15">
        <v>165400</v>
      </c>
      <c r="G10" s="15">
        <v>165400</v>
      </c>
      <c r="H10" s="11"/>
      <c r="I10" s="11"/>
    </row>
    <row r="11" spans="1:11" x14ac:dyDescent="0.3">
      <c r="A11" s="3" t="s">
        <v>391</v>
      </c>
      <c r="D11" s="9"/>
      <c r="E11" t="s">
        <v>158</v>
      </c>
      <c r="F11" s="11">
        <v>3.51</v>
      </c>
      <c r="G11" s="11">
        <v>3.282</v>
      </c>
      <c r="H11" s="11"/>
      <c r="I11" s="11"/>
    </row>
    <row r="12" spans="1:11" x14ac:dyDescent="0.3">
      <c r="A12" s="3" t="s">
        <v>392</v>
      </c>
      <c r="D12" s="9"/>
      <c r="E12" t="s">
        <v>158</v>
      </c>
      <c r="F12" s="11">
        <v>2.3439999999999999</v>
      </c>
      <c r="G12" s="11">
        <v>2.3559999999999999</v>
      </c>
      <c r="H12" s="11"/>
      <c r="I12" s="11"/>
    </row>
    <row r="13" spans="1:11" x14ac:dyDescent="0.3">
      <c r="A13" s="3" t="s">
        <v>393</v>
      </c>
      <c r="D13" s="9"/>
      <c r="E13" t="s">
        <v>158</v>
      </c>
      <c r="F13" s="11">
        <v>2.1619999999999999</v>
      </c>
      <c r="G13" s="11">
        <v>2.2970000000000002</v>
      </c>
      <c r="H13" s="11"/>
      <c r="I13" s="11"/>
    </row>
    <row r="14" spans="1:11" x14ac:dyDescent="0.3">
      <c r="A14" s="3" t="s">
        <v>97</v>
      </c>
      <c r="D14" s="9"/>
      <c r="E14" t="s">
        <v>158</v>
      </c>
      <c r="F14" s="11">
        <v>2.141</v>
      </c>
      <c r="G14" s="11">
        <v>2.258</v>
      </c>
      <c r="H14" s="11"/>
      <c r="I14" s="11"/>
    </row>
    <row r="15" spans="1:11" x14ac:dyDescent="0.3">
      <c r="A15" s="3" t="s">
        <v>390</v>
      </c>
      <c r="D15" s="9"/>
      <c r="E15" t="s">
        <v>158</v>
      </c>
      <c r="F15" s="11">
        <v>2.0470000000000002</v>
      </c>
      <c r="G15" s="11">
        <v>2.1469999999999998</v>
      </c>
      <c r="H15" s="11"/>
      <c r="I15" s="11"/>
    </row>
    <row r="16" spans="1:11" x14ac:dyDescent="0.3">
      <c r="A16" t="s">
        <v>202</v>
      </c>
      <c r="D16" s="9"/>
      <c r="E16" t="s">
        <v>158</v>
      </c>
      <c r="F16" s="11">
        <v>54.01</v>
      </c>
      <c r="G16" s="11">
        <v>55.92</v>
      </c>
      <c r="H16" s="11"/>
      <c r="I16" s="11"/>
    </row>
    <row r="17" spans="1:11" x14ac:dyDescent="0.3">
      <c r="A17" s="14"/>
      <c r="B17" s="14"/>
      <c r="C17" s="14"/>
      <c r="D17" s="14"/>
      <c r="E17" s="14"/>
      <c r="F17" s="9"/>
      <c r="G17" s="14"/>
      <c r="H17" s="9"/>
      <c r="I17" s="9"/>
      <c r="J17" s="9"/>
      <c r="K17" s="9"/>
    </row>
    <row r="18" spans="1:11" x14ac:dyDescent="0.3">
      <c r="A18" s="18" t="s">
        <v>171</v>
      </c>
      <c r="B18" s="13"/>
      <c r="C18" s="13"/>
      <c r="D18" s="14"/>
      <c r="E18" s="12" t="s">
        <v>169</v>
      </c>
      <c r="F18" s="12" t="s">
        <v>124</v>
      </c>
      <c r="G18" s="12" t="s">
        <v>159</v>
      </c>
    </row>
    <row r="19" spans="1:11" x14ac:dyDescent="0.3">
      <c r="A19" s="3" t="s">
        <v>144</v>
      </c>
      <c r="C19" s="13"/>
      <c r="D19" s="14"/>
      <c r="E19" s="24" t="s">
        <v>158</v>
      </c>
      <c r="F19" s="24" t="s">
        <v>247</v>
      </c>
      <c r="G19" s="11" t="s">
        <v>18</v>
      </c>
    </row>
    <row r="20" spans="1:11" x14ac:dyDescent="0.3">
      <c r="A20" s="13" t="s">
        <v>174</v>
      </c>
      <c r="C20" s="13"/>
      <c r="D20" s="14"/>
      <c r="E20" s="24" t="s">
        <v>158</v>
      </c>
      <c r="F20" s="24" t="s">
        <v>176</v>
      </c>
      <c r="G20" s="11" t="s">
        <v>19</v>
      </c>
    </row>
    <row r="21" spans="1:11" x14ac:dyDescent="0.3">
      <c r="A21" t="s">
        <v>234</v>
      </c>
      <c r="D21" s="9"/>
      <c r="E21" s="24" t="s">
        <v>158</v>
      </c>
      <c r="F21" s="25" t="s">
        <v>247</v>
      </c>
      <c r="G21" s="11" t="s">
        <v>20</v>
      </c>
    </row>
    <row r="22" spans="1:11" x14ac:dyDescent="0.3">
      <c r="A22" t="s">
        <v>177</v>
      </c>
      <c r="D22" s="9"/>
      <c r="E22" s="24" t="s">
        <v>158</v>
      </c>
      <c r="F22" s="24" t="s">
        <v>105</v>
      </c>
      <c r="G22" s="11" t="s">
        <v>214</v>
      </c>
    </row>
    <row r="23" spans="1:11" x14ac:dyDescent="0.3">
      <c r="A23" t="s">
        <v>379</v>
      </c>
      <c r="D23" s="9"/>
      <c r="E23" s="24" t="s">
        <v>158</v>
      </c>
      <c r="F23" s="25">
        <v>12</v>
      </c>
      <c r="G23" s="29">
        <v>13.95</v>
      </c>
    </row>
    <row r="24" spans="1:11" x14ac:dyDescent="0.3">
      <c r="A24" t="s">
        <v>328</v>
      </c>
      <c r="D24" s="9"/>
      <c r="E24" s="24" t="s">
        <v>158</v>
      </c>
      <c r="F24" s="11" t="s">
        <v>214</v>
      </c>
      <c r="G24" s="11" t="s">
        <v>21</v>
      </c>
    </row>
    <row r="25" spans="1:11" x14ac:dyDescent="0.3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</row>
  </sheetData>
  <sheetProtection algorithmName="SHA-512" hashValue="aWrzOJO6AwVYt7nJXhDLRtIEdt0+s0d78gjx5XoA3HyvQj/aeQqzIT5x1WuHtWpYzkbNNTRhDqfYleyYx3YLvQ==" saltValue="yDAL612ZLV0KceNEkGdEQ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K77"/>
  <sheetViews>
    <sheetView workbookViewId="0">
      <selection activeCell="K21" sqref="K21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9.4609375" customWidth="1"/>
    <col min="4" max="4" width="1.84375" customWidth="1"/>
    <col min="5" max="11" width="10" customWidth="1"/>
  </cols>
  <sheetData>
    <row r="1" spans="1:11" x14ac:dyDescent="0.3">
      <c r="A1" s="1" t="s">
        <v>39</v>
      </c>
    </row>
    <row r="2" spans="1:11" x14ac:dyDescent="0.3">
      <c r="A2" s="152"/>
      <c r="B2" s="151"/>
      <c r="C2" s="151"/>
      <c r="D2" s="151"/>
      <c r="E2" s="151"/>
      <c r="F2" s="151"/>
      <c r="G2" s="151"/>
      <c r="H2" s="151"/>
      <c r="I2" s="151"/>
      <c r="J2" s="151"/>
      <c r="K2" s="151"/>
    </row>
    <row r="3" spans="1:11" x14ac:dyDescent="0.3">
      <c r="A3" s="6" t="s">
        <v>7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298</v>
      </c>
      <c r="B4" s="1"/>
      <c r="D4" s="9"/>
      <c r="E4" s="10" t="s">
        <v>40</v>
      </c>
    </row>
    <row r="5" spans="1:11" x14ac:dyDescent="0.3">
      <c r="A5" s="10"/>
      <c r="B5" s="1"/>
      <c r="D5" s="9"/>
      <c r="E5" s="11"/>
      <c r="F5" s="11"/>
      <c r="G5" s="11"/>
    </row>
    <row r="6" spans="1:11" x14ac:dyDescent="0.3">
      <c r="A6" s="2" t="s">
        <v>114</v>
      </c>
      <c r="C6" s="11"/>
      <c r="D6" s="9"/>
      <c r="E6" s="19" t="s">
        <v>169</v>
      </c>
      <c r="F6" s="12" t="s">
        <v>124</v>
      </c>
      <c r="G6" s="11"/>
    </row>
    <row r="7" spans="1:11" x14ac:dyDescent="0.3">
      <c r="A7" s="21" t="s">
        <v>65</v>
      </c>
      <c r="D7" s="9"/>
      <c r="E7" s="72">
        <v>2</v>
      </c>
      <c r="F7" s="72">
        <v>2</v>
      </c>
      <c r="G7" s="11"/>
      <c r="H7" s="11"/>
      <c r="I7" s="11"/>
    </row>
    <row r="8" spans="1:11" x14ac:dyDescent="0.3">
      <c r="A8" s="21" t="s">
        <v>66</v>
      </c>
      <c r="D8" s="9"/>
      <c r="E8" s="72">
        <v>4</v>
      </c>
      <c r="F8" s="72">
        <v>4</v>
      </c>
      <c r="G8" s="11"/>
      <c r="H8" s="11"/>
      <c r="I8" s="11"/>
    </row>
    <row r="9" spans="1:11" x14ac:dyDescent="0.3">
      <c r="A9" s="13" t="s">
        <v>206</v>
      </c>
      <c r="B9" s="13"/>
      <c r="C9" s="13"/>
      <c r="D9" s="14"/>
      <c r="E9" s="3">
        <v>1650</v>
      </c>
      <c r="F9" s="3">
        <v>6000</v>
      </c>
      <c r="G9" s="11"/>
      <c r="H9" s="11"/>
      <c r="I9" s="11"/>
    </row>
    <row r="10" spans="1:11" x14ac:dyDescent="0.3">
      <c r="A10" t="s">
        <v>92</v>
      </c>
      <c r="B10" s="13"/>
      <c r="C10" s="13"/>
      <c r="D10" s="14"/>
      <c r="E10" s="3">
        <v>2960</v>
      </c>
      <c r="F10" s="3">
        <v>12000</v>
      </c>
      <c r="G10" s="11"/>
      <c r="H10" s="11"/>
      <c r="I10" s="11"/>
    </row>
    <row r="11" spans="1:11" x14ac:dyDescent="0.3">
      <c r="A11" s="16" t="s">
        <v>94</v>
      </c>
      <c r="B11" s="16"/>
      <c r="C11" s="16"/>
      <c r="D11" s="17"/>
      <c r="E11" s="15">
        <v>0</v>
      </c>
      <c r="F11" s="15">
        <v>85000</v>
      </c>
      <c r="G11" s="11"/>
      <c r="H11" s="11"/>
      <c r="I11" s="11"/>
    </row>
    <row r="12" spans="1:11" x14ac:dyDescent="0.3">
      <c r="A12" s="3" t="s">
        <v>254</v>
      </c>
      <c r="D12" s="9"/>
      <c r="E12" s="11">
        <v>1.93</v>
      </c>
      <c r="F12" s="11">
        <v>2.1480000000000001</v>
      </c>
      <c r="G12" s="11"/>
      <c r="H12" s="11"/>
      <c r="I12" s="11"/>
    </row>
    <row r="13" spans="1:11" x14ac:dyDescent="0.3">
      <c r="A13" s="3" t="s">
        <v>345</v>
      </c>
      <c r="D13" s="9"/>
      <c r="E13" s="11">
        <v>1.76</v>
      </c>
      <c r="F13" s="11">
        <v>1.84</v>
      </c>
      <c r="G13" s="11"/>
      <c r="H13" s="11"/>
      <c r="I13" s="11"/>
    </row>
    <row r="14" spans="1:11" x14ac:dyDescent="0.3">
      <c r="A14" s="3" t="s">
        <v>346</v>
      </c>
      <c r="D14" s="9"/>
      <c r="E14" s="11">
        <v>0</v>
      </c>
      <c r="F14" s="11">
        <v>1.766</v>
      </c>
      <c r="G14" s="11"/>
      <c r="H14" s="11"/>
      <c r="I14" s="11"/>
    </row>
    <row r="15" spans="1:11" x14ac:dyDescent="0.3">
      <c r="A15" s="3" t="s">
        <v>236</v>
      </c>
      <c r="D15" s="9"/>
      <c r="E15" s="11">
        <v>1.63</v>
      </c>
      <c r="F15" s="11">
        <v>1.7166999999999999</v>
      </c>
      <c r="G15" s="11"/>
      <c r="H15" s="11"/>
      <c r="I15" s="11"/>
    </row>
    <row r="16" spans="1:11" x14ac:dyDescent="0.3">
      <c r="A16" s="3" t="s">
        <v>155</v>
      </c>
      <c r="D16" s="9"/>
      <c r="E16" s="11">
        <v>1.93</v>
      </c>
      <c r="F16" s="11">
        <v>1.9138999999999999</v>
      </c>
      <c r="G16" s="11"/>
      <c r="H16" s="11"/>
      <c r="I16" s="11"/>
    </row>
    <row r="17" spans="1:9" x14ac:dyDescent="0.3">
      <c r="A17" s="3" t="s">
        <v>112</v>
      </c>
      <c r="D17" s="9"/>
      <c r="E17" s="11">
        <v>1.76</v>
      </c>
      <c r="F17" s="11">
        <v>1.7166999999999999</v>
      </c>
      <c r="G17" s="11"/>
      <c r="H17" s="11"/>
      <c r="I17" s="11"/>
    </row>
    <row r="18" spans="1:9" x14ac:dyDescent="0.3">
      <c r="A18" s="3" t="s">
        <v>37</v>
      </c>
      <c r="D18" s="9"/>
      <c r="E18" s="11">
        <v>0</v>
      </c>
      <c r="F18" s="11">
        <v>1.7043999999999999</v>
      </c>
      <c r="G18" s="11"/>
      <c r="H18" s="11"/>
      <c r="I18" s="11"/>
    </row>
    <row r="19" spans="1:9" x14ac:dyDescent="0.3">
      <c r="A19" s="3" t="s">
        <v>55</v>
      </c>
      <c r="D19" s="9"/>
      <c r="E19" s="11">
        <v>1.63</v>
      </c>
      <c r="F19" s="11">
        <v>1.6551</v>
      </c>
      <c r="G19" s="11"/>
      <c r="H19" s="11"/>
      <c r="I19" s="11"/>
    </row>
    <row r="20" spans="1:9" x14ac:dyDescent="0.3">
      <c r="A20" t="s">
        <v>202</v>
      </c>
      <c r="D20" s="9"/>
      <c r="E20" s="11">
        <v>55</v>
      </c>
      <c r="F20" s="11">
        <v>73.977000000000004</v>
      </c>
      <c r="G20" s="11"/>
      <c r="H20" s="11"/>
      <c r="I20" s="11"/>
    </row>
    <row r="21" spans="1:9" x14ac:dyDescent="0.3">
      <c r="D21" s="9"/>
      <c r="E21" s="11"/>
      <c r="F21" s="11"/>
      <c r="G21" s="11"/>
      <c r="H21" s="11"/>
      <c r="I21" s="11"/>
    </row>
    <row r="22" spans="1:9" x14ac:dyDescent="0.3">
      <c r="A22" s="10" t="s">
        <v>299</v>
      </c>
      <c r="D22" s="9"/>
      <c r="E22" s="11"/>
      <c r="F22" s="11"/>
      <c r="G22" s="11"/>
    </row>
    <row r="23" spans="1:9" x14ac:dyDescent="0.3">
      <c r="D23" s="14"/>
      <c r="E23" s="11"/>
      <c r="F23" s="11"/>
      <c r="G23" s="11"/>
    </row>
    <row r="24" spans="1:9" x14ac:dyDescent="0.3">
      <c r="A24" s="2" t="s">
        <v>114</v>
      </c>
      <c r="C24" s="11"/>
      <c r="D24" s="14"/>
      <c r="E24" s="19" t="s">
        <v>169</v>
      </c>
      <c r="F24" s="12" t="s">
        <v>124</v>
      </c>
      <c r="G24" s="11"/>
    </row>
    <row r="25" spans="1:9" x14ac:dyDescent="0.3">
      <c r="A25" s="21" t="s">
        <v>65</v>
      </c>
      <c r="D25" s="9"/>
      <c r="E25" s="72">
        <v>2</v>
      </c>
      <c r="F25" s="72">
        <v>2</v>
      </c>
      <c r="G25" s="11"/>
    </row>
    <row r="26" spans="1:9" x14ac:dyDescent="0.3">
      <c r="A26" s="85" t="s">
        <v>66</v>
      </c>
      <c r="B26" s="13"/>
      <c r="C26" s="13"/>
      <c r="D26" s="14"/>
      <c r="E26" s="88">
        <v>4</v>
      </c>
      <c r="F26" s="88">
        <v>4</v>
      </c>
      <c r="G26" s="11"/>
    </row>
    <row r="27" spans="1:9" x14ac:dyDescent="0.3">
      <c r="A27" s="13" t="s">
        <v>206</v>
      </c>
      <c r="B27" s="13"/>
      <c r="C27" s="13"/>
      <c r="D27" s="14"/>
      <c r="E27" s="3">
        <v>1650</v>
      </c>
      <c r="F27" s="3">
        <v>6000</v>
      </c>
      <c r="G27" s="11"/>
    </row>
    <row r="28" spans="1:9" x14ac:dyDescent="0.3">
      <c r="A28" t="s">
        <v>92</v>
      </c>
      <c r="B28" s="13"/>
      <c r="C28" s="13"/>
      <c r="D28" s="14"/>
      <c r="E28" s="3">
        <v>2960</v>
      </c>
      <c r="F28" s="3">
        <v>12000</v>
      </c>
      <c r="G28" s="11"/>
    </row>
    <row r="29" spans="1:9" x14ac:dyDescent="0.3">
      <c r="A29" s="16" t="s">
        <v>94</v>
      </c>
      <c r="B29" s="16"/>
      <c r="C29" s="16"/>
      <c r="D29" s="17"/>
      <c r="E29" s="74">
        <v>0</v>
      </c>
      <c r="F29" s="15">
        <v>85000</v>
      </c>
      <c r="G29" s="11"/>
    </row>
    <row r="30" spans="1:9" x14ac:dyDescent="0.3">
      <c r="A30" s="3" t="s">
        <v>183</v>
      </c>
      <c r="D30" s="14"/>
      <c r="E30" s="11">
        <v>2.93</v>
      </c>
      <c r="F30" s="11">
        <v>3.3605</v>
      </c>
      <c r="G30" s="11"/>
    </row>
    <row r="31" spans="1:9" x14ac:dyDescent="0.3">
      <c r="A31" s="3" t="s">
        <v>345</v>
      </c>
      <c r="D31" s="14"/>
      <c r="E31" s="11">
        <v>2.79</v>
      </c>
      <c r="F31" s="11">
        <v>2.5991</v>
      </c>
      <c r="G31" s="11"/>
    </row>
    <row r="32" spans="1:9" x14ac:dyDescent="0.3">
      <c r="A32" s="3" t="s">
        <v>346</v>
      </c>
      <c r="D32" s="14"/>
      <c r="E32" s="11">
        <v>0</v>
      </c>
      <c r="F32" s="11">
        <v>2.3452000000000002</v>
      </c>
      <c r="G32" s="11"/>
    </row>
    <row r="33" spans="1:7" x14ac:dyDescent="0.3">
      <c r="A33" s="3" t="s">
        <v>236</v>
      </c>
      <c r="D33" s="14"/>
      <c r="E33" s="11">
        <v>2.2000000000000002</v>
      </c>
      <c r="F33" s="11">
        <v>2.0912999999999999</v>
      </c>
      <c r="G33" s="11"/>
    </row>
    <row r="34" spans="1:7" x14ac:dyDescent="0.3">
      <c r="A34" s="3" t="s">
        <v>155</v>
      </c>
      <c r="D34" s="14"/>
      <c r="E34" s="11">
        <v>2.93</v>
      </c>
      <c r="F34" s="11">
        <v>2.2970999999999999</v>
      </c>
      <c r="G34" s="11"/>
    </row>
    <row r="35" spans="1:7" x14ac:dyDescent="0.3">
      <c r="A35" s="3" t="s">
        <v>112</v>
      </c>
      <c r="D35" s="14"/>
      <c r="E35" s="11">
        <v>2.79</v>
      </c>
      <c r="F35" s="11">
        <v>2.5356000000000001</v>
      </c>
      <c r="G35" s="11"/>
    </row>
    <row r="36" spans="1:7" x14ac:dyDescent="0.3">
      <c r="A36" s="3" t="s">
        <v>37</v>
      </c>
      <c r="D36" s="14"/>
      <c r="E36" s="11">
        <v>0</v>
      </c>
      <c r="F36" s="11">
        <v>2.2816999999999998</v>
      </c>
      <c r="G36" s="11"/>
    </row>
    <row r="37" spans="1:7" x14ac:dyDescent="0.3">
      <c r="A37" s="3" t="s">
        <v>55</v>
      </c>
      <c r="D37" s="14"/>
      <c r="E37" s="11">
        <v>2.2000000000000002</v>
      </c>
      <c r="F37" s="11">
        <v>2.0278999999999998</v>
      </c>
      <c r="G37" s="11"/>
    </row>
    <row r="38" spans="1:7" x14ac:dyDescent="0.3">
      <c r="A38" t="s">
        <v>202</v>
      </c>
      <c r="D38" s="14"/>
      <c r="E38" s="11">
        <v>63</v>
      </c>
      <c r="F38" s="11">
        <v>68.573999999999998</v>
      </c>
      <c r="G38" s="11"/>
    </row>
    <row r="39" spans="1:7" x14ac:dyDescent="0.3">
      <c r="D39" s="9"/>
      <c r="E39" s="11"/>
      <c r="F39" s="11"/>
      <c r="G39" s="11"/>
    </row>
    <row r="40" spans="1:7" x14ac:dyDescent="0.3">
      <c r="A40" s="10" t="s">
        <v>83</v>
      </c>
      <c r="D40" s="9"/>
      <c r="E40" s="11"/>
      <c r="F40" s="11"/>
      <c r="G40" s="11"/>
    </row>
    <row r="41" spans="1:7" x14ac:dyDescent="0.3">
      <c r="D41" s="9"/>
      <c r="E41" s="11"/>
      <c r="F41" s="11"/>
      <c r="G41" s="11"/>
    </row>
    <row r="42" spans="1:7" x14ac:dyDescent="0.3">
      <c r="A42" s="2" t="s">
        <v>114</v>
      </c>
      <c r="D42" s="9"/>
      <c r="E42" s="19" t="s">
        <v>169</v>
      </c>
      <c r="F42" s="12" t="s">
        <v>124</v>
      </c>
      <c r="G42" s="11"/>
    </row>
    <row r="43" spans="1:7" x14ac:dyDescent="0.3">
      <c r="A43" t="s">
        <v>242</v>
      </c>
      <c r="D43" s="9"/>
      <c r="E43" s="11">
        <v>2.4500000000000002</v>
      </c>
      <c r="F43" s="11"/>
      <c r="G43" s="11"/>
    </row>
    <row r="44" spans="1:7" x14ac:dyDescent="0.3">
      <c r="A44" t="s">
        <v>202</v>
      </c>
      <c r="D44" s="9"/>
      <c r="E44" s="11">
        <v>71.5</v>
      </c>
      <c r="F44" s="11"/>
      <c r="G44" s="11"/>
    </row>
    <row r="45" spans="1:7" x14ac:dyDescent="0.3">
      <c r="D45" s="9"/>
      <c r="E45" s="11"/>
      <c r="F45" s="11"/>
      <c r="G45" s="11"/>
    </row>
    <row r="46" spans="1:7" x14ac:dyDescent="0.3">
      <c r="A46" s="10" t="s">
        <v>291</v>
      </c>
      <c r="D46" s="9"/>
      <c r="E46" s="11"/>
      <c r="F46" s="11"/>
      <c r="G46" s="11"/>
    </row>
    <row r="47" spans="1:7" x14ac:dyDescent="0.3">
      <c r="D47" s="9"/>
      <c r="E47" s="11"/>
      <c r="F47" s="11"/>
      <c r="G47" s="11"/>
    </row>
    <row r="48" spans="1:7" x14ac:dyDescent="0.3">
      <c r="A48" s="2" t="s">
        <v>114</v>
      </c>
      <c r="D48" s="9"/>
      <c r="E48" s="19" t="s">
        <v>169</v>
      </c>
      <c r="F48" s="12" t="s">
        <v>124</v>
      </c>
      <c r="G48" s="11"/>
    </row>
    <row r="49" spans="1:7" x14ac:dyDescent="0.3">
      <c r="A49" t="s">
        <v>242</v>
      </c>
      <c r="D49" s="9"/>
      <c r="E49" s="11">
        <v>2.4700000000000002</v>
      </c>
      <c r="F49" s="11"/>
      <c r="G49" s="11"/>
    </row>
    <row r="50" spans="1:7" x14ac:dyDescent="0.3">
      <c r="A50" t="s">
        <v>202</v>
      </c>
      <c r="D50" s="9"/>
      <c r="E50" s="11">
        <v>76.98</v>
      </c>
      <c r="F50" s="11"/>
      <c r="G50" s="11"/>
    </row>
    <row r="51" spans="1:7" x14ac:dyDescent="0.3">
      <c r="D51" s="9"/>
      <c r="E51" s="11"/>
      <c r="F51" s="11"/>
      <c r="G51" s="11"/>
    </row>
    <row r="52" spans="1:7" x14ac:dyDescent="0.3">
      <c r="A52" s="10" t="s">
        <v>149</v>
      </c>
      <c r="D52" s="9"/>
      <c r="E52" s="11"/>
      <c r="F52" s="11"/>
      <c r="G52" s="11"/>
    </row>
    <row r="53" spans="1:7" x14ac:dyDescent="0.3">
      <c r="D53" s="9"/>
      <c r="E53" s="11"/>
      <c r="F53" s="11"/>
      <c r="G53" s="11"/>
    </row>
    <row r="54" spans="1:7" x14ac:dyDescent="0.3">
      <c r="A54" s="2" t="s">
        <v>114</v>
      </c>
      <c r="D54" s="9"/>
      <c r="E54" s="19" t="s">
        <v>169</v>
      </c>
      <c r="F54" s="12" t="s">
        <v>124</v>
      </c>
      <c r="G54" s="11"/>
    </row>
    <row r="55" spans="1:7" x14ac:dyDescent="0.3">
      <c r="A55" t="s">
        <v>242</v>
      </c>
      <c r="D55" s="9"/>
      <c r="E55" s="11">
        <v>2.65</v>
      </c>
      <c r="F55" s="11"/>
      <c r="G55" s="11"/>
    </row>
    <row r="56" spans="1:7" x14ac:dyDescent="0.3">
      <c r="A56" t="s">
        <v>202</v>
      </c>
      <c r="D56" s="9"/>
      <c r="E56" s="11">
        <v>76.2</v>
      </c>
      <c r="F56" s="11"/>
      <c r="G56" s="11"/>
    </row>
    <row r="57" spans="1:7" x14ac:dyDescent="0.3">
      <c r="D57" s="9"/>
      <c r="E57" s="11"/>
      <c r="F57" s="11"/>
      <c r="G57" s="11"/>
    </row>
    <row r="58" spans="1:7" x14ac:dyDescent="0.3">
      <c r="A58" s="10" t="s">
        <v>145</v>
      </c>
      <c r="D58" s="9"/>
      <c r="E58" s="11"/>
      <c r="F58" s="11"/>
      <c r="G58" s="11"/>
    </row>
    <row r="59" spans="1:7" x14ac:dyDescent="0.3">
      <c r="D59" s="9"/>
      <c r="E59" s="11"/>
      <c r="F59" s="11"/>
      <c r="G59" s="11"/>
    </row>
    <row r="60" spans="1:7" x14ac:dyDescent="0.3">
      <c r="A60" s="2" t="s">
        <v>114</v>
      </c>
      <c r="D60" s="9"/>
      <c r="E60" s="19" t="s">
        <v>169</v>
      </c>
      <c r="F60" s="12" t="s">
        <v>124</v>
      </c>
      <c r="G60" s="11"/>
    </row>
    <row r="61" spans="1:7" x14ac:dyDescent="0.3">
      <c r="A61" t="s">
        <v>242</v>
      </c>
      <c r="D61" s="9"/>
      <c r="E61" s="11">
        <v>2.14</v>
      </c>
      <c r="F61" s="11"/>
      <c r="G61" s="11"/>
    </row>
    <row r="62" spans="1:7" x14ac:dyDescent="0.3">
      <c r="A62" t="s">
        <v>202</v>
      </c>
      <c r="D62" s="9"/>
      <c r="E62" s="11">
        <v>80.260000000000005</v>
      </c>
      <c r="F62" s="11"/>
      <c r="G62" s="11"/>
    </row>
    <row r="63" spans="1:7" x14ac:dyDescent="0.3">
      <c r="D63" s="9"/>
      <c r="E63" s="11"/>
      <c r="F63" s="11"/>
      <c r="G63" s="11"/>
    </row>
    <row r="64" spans="1:7" x14ac:dyDescent="0.3">
      <c r="A64" s="10" t="s">
        <v>146</v>
      </c>
      <c r="D64" s="9"/>
      <c r="E64" s="11"/>
      <c r="F64" s="11"/>
      <c r="G64" s="11"/>
    </row>
    <row r="65" spans="1:11" x14ac:dyDescent="0.3">
      <c r="D65" s="9"/>
      <c r="E65" s="11"/>
      <c r="F65" s="11"/>
      <c r="G65" s="11"/>
    </row>
    <row r="66" spans="1:11" x14ac:dyDescent="0.3">
      <c r="A66" s="2" t="s">
        <v>114</v>
      </c>
      <c r="D66" s="9"/>
      <c r="E66" s="19" t="s">
        <v>169</v>
      </c>
      <c r="F66" s="12" t="s">
        <v>124</v>
      </c>
      <c r="G66" s="11"/>
    </row>
    <row r="67" spans="1:11" x14ac:dyDescent="0.3">
      <c r="A67" t="s">
        <v>242</v>
      </c>
      <c r="D67" s="9"/>
      <c r="E67" s="11">
        <v>3.8</v>
      </c>
      <c r="F67" s="11"/>
      <c r="G67" s="11"/>
    </row>
    <row r="68" spans="1:11" x14ac:dyDescent="0.3">
      <c r="A68" t="s">
        <v>202</v>
      </c>
      <c r="D68" s="9"/>
      <c r="E68" s="11">
        <v>66.37</v>
      </c>
      <c r="F68" s="11"/>
      <c r="G68" s="11"/>
    </row>
    <row r="69" spans="1:11" x14ac:dyDescent="0.3">
      <c r="A69" s="14"/>
      <c r="B69" s="14"/>
      <c r="C69" s="14"/>
      <c r="D69" s="9"/>
      <c r="E69" s="14"/>
      <c r="F69" s="14"/>
      <c r="G69" s="14"/>
      <c r="H69" s="9"/>
      <c r="I69" s="9"/>
      <c r="J69" s="9"/>
      <c r="K69" s="9"/>
    </row>
    <row r="70" spans="1:11" x14ac:dyDescent="0.3">
      <c r="A70" s="18" t="s">
        <v>171</v>
      </c>
      <c r="B70" s="13"/>
      <c r="D70" s="9"/>
      <c r="E70" s="19" t="s">
        <v>169</v>
      </c>
      <c r="F70" s="12" t="s">
        <v>124</v>
      </c>
      <c r="G70" s="11"/>
    </row>
    <row r="71" spans="1:11" x14ac:dyDescent="0.3">
      <c r="A71" s="3" t="s">
        <v>144</v>
      </c>
      <c r="D71" s="9"/>
      <c r="E71" s="24" t="s">
        <v>50</v>
      </c>
      <c r="F71" s="24" t="s">
        <v>247</v>
      </c>
      <c r="G71" s="11"/>
    </row>
    <row r="72" spans="1:11" x14ac:dyDescent="0.3">
      <c r="A72" s="13" t="s">
        <v>174</v>
      </c>
      <c r="D72" s="14"/>
      <c r="E72" s="24" t="s">
        <v>176</v>
      </c>
      <c r="F72" s="24" t="s">
        <v>176</v>
      </c>
      <c r="G72" s="11"/>
    </row>
    <row r="73" spans="1:11" x14ac:dyDescent="0.3">
      <c r="A73" t="s">
        <v>234</v>
      </c>
      <c r="D73" s="14"/>
      <c r="E73" s="25" t="s">
        <v>50</v>
      </c>
      <c r="F73" s="25" t="s">
        <v>247</v>
      </c>
      <c r="G73" s="11"/>
    </row>
    <row r="74" spans="1:11" x14ac:dyDescent="0.3">
      <c r="A74" t="s">
        <v>177</v>
      </c>
      <c r="D74" s="14"/>
      <c r="E74" s="26" t="s">
        <v>17</v>
      </c>
      <c r="F74" s="26" t="s">
        <v>181</v>
      </c>
      <c r="G74" s="11"/>
    </row>
    <row r="75" spans="1:11" x14ac:dyDescent="0.3">
      <c r="A75" t="s">
        <v>379</v>
      </c>
      <c r="D75" s="14"/>
      <c r="E75" s="25">
        <v>12</v>
      </c>
      <c r="F75" s="25">
        <v>12</v>
      </c>
      <c r="G75" s="11"/>
    </row>
    <row r="76" spans="1:11" x14ac:dyDescent="0.3">
      <c r="A76" t="s">
        <v>328</v>
      </c>
      <c r="D76" s="14"/>
      <c r="E76" s="25" t="s">
        <v>182</v>
      </c>
      <c r="F76" s="25" t="s">
        <v>182</v>
      </c>
      <c r="G76" s="11"/>
    </row>
    <row r="77" spans="1:11" x14ac:dyDescent="0.3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</row>
  </sheetData>
  <sheetProtection algorithmName="SHA-512" hashValue="CF+1UCoGgEbac82X/4Z+XhXyzSl5u/wqEHlFAaT47+Xh66Dx8QCcGN9t2jGID021WyBx0jnd8kfyAlSZnbQ5rQ==" saltValue="MDqTK4fDwoFB/QOQ9TwuPQ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K25"/>
  <sheetViews>
    <sheetView workbookViewId="0">
      <selection sqref="A1:I25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0" width="10" customWidth="1"/>
  </cols>
  <sheetData>
    <row r="1" spans="1:11" x14ac:dyDescent="0.3">
      <c r="A1" s="1" t="s">
        <v>36</v>
      </c>
    </row>
    <row r="2" spans="1:11" x14ac:dyDescent="0.3">
      <c r="A2" s="141"/>
      <c r="B2" s="142"/>
      <c r="C2" s="142"/>
      <c r="D2" s="142"/>
      <c r="E2" s="142"/>
      <c r="F2" s="142"/>
      <c r="G2" s="142"/>
      <c r="H2" s="142"/>
      <c r="I2" s="142"/>
    </row>
    <row r="3" spans="1:11" x14ac:dyDescent="0.3">
      <c r="A3" s="6" t="s">
        <v>52</v>
      </c>
      <c r="B3" s="7"/>
      <c r="C3" s="7"/>
      <c r="D3" s="8"/>
      <c r="E3" s="7"/>
      <c r="F3" s="7"/>
      <c r="G3" s="7"/>
      <c r="H3" s="7"/>
      <c r="I3" s="7"/>
    </row>
    <row r="4" spans="1:11" x14ac:dyDescent="0.3">
      <c r="D4" s="9"/>
      <c r="E4" s="10" t="s">
        <v>300</v>
      </c>
      <c r="I4" s="11"/>
      <c r="K4" s="11"/>
    </row>
    <row r="5" spans="1:11" x14ac:dyDescent="0.3">
      <c r="D5" s="9"/>
    </row>
    <row r="6" spans="1:11" x14ac:dyDescent="0.3">
      <c r="A6" s="2" t="s">
        <v>114</v>
      </c>
      <c r="C6" s="11"/>
      <c r="D6" s="9"/>
      <c r="E6" s="19" t="s">
        <v>204</v>
      </c>
      <c r="F6" s="12" t="s">
        <v>169</v>
      </c>
      <c r="G6" s="12" t="s">
        <v>124</v>
      </c>
      <c r="H6" s="12" t="s">
        <v>307</v>
      </c>
    </row>
    <row r="7" spans="1:11" x14ac:dyDescent="0.3">
      <c r="A7" t="s">
        <v>187</v>
      </c>
      <c r="D7" s="9"/>
      <c r="E7" s="11">
        <v>2500</v>
      </c>
      <c r="F7" s="11">
        <v>2500</v>
      </c>
      <c r="G7" s="11">
        <v>2500</v>
      </c>
      <c r="H7" s="11">
        <v>2500</v>
      </c>
    </row>
    <row r="8" spans="1:11" x14ac:dyDescent="0.3">
      <c r="A8" t="s">
        <v>92</v>
      </c>
      <c r="D8" s="9"/>
      <c r="E8" s="11">
        <v>5500</v>
      </c>
      <c r="F8" s="11">
        <v>5500</v>
      </c>
      <c r="G8" s="11">
        <v>5500</v>
      </c>
      <c r="H8" s="11">
        <v>5500</v>
      </c>
    </row>
    <row r="9" spans="1:11" x14ac:dyDescent="0.3">
      <c r="A9" s="13" t="s">
        <v>164</v>
      </c>
      <c r="B9" s="13"/>
      <c r="C9" s="13"/>
      <c r="D9" s="14"/>
      <c r="E9" s="3">
        <v>17000</v>
      </c>
      <c r="F9" s="3">
        <v>17000</v>
      </c>
      <c r="G9" s="3">
        <v>17000</v>
      </c>
      <c r="H9" s="3">
        <v>17000</v>
      </c>
    </row>
    <row r="10" spans="1:11" x14ac:dyDescent="0.3">
      <c r="A10" s="15" t="s">
        <v>395</v>
      </c>
      <c r="B10" s="16"/>
      <c r="C10" s="16"/>
      <c r="D10" s="17"/>
      <c r="E10" s="15">
        <v>167000</v>
      </c>
      <c r="F10" s="15">
        <v>167000</v>
      </c>
      <c r="G10" s="15">
        <v>167000</v>
      </c>
      <c r="H10" s="15">
        <v>167000</v>
      </c>
    </row>
    <row r="11" spans="1:11" x14ac:dyDescent="0.3">
      <c r="A11" s="3" t="s">
        <v>391</v>
      </c>
      <c r="D11" s="9"/>
      <c r="E11" s="3">
        <v>4.2988</v>
      </c>
      <c r="F11" s="11">
        <v>4.2988</v>
      </c>
      <c r="G11" s="3">
        <v>4.5070300000000003</v>
      </c>
      <c r="H11" s="11">
        <v>3.6120000000000001</v>
      </c>
    </row>
    <row r="12" spans="1:11" x14ac:dyDescent="0.3">
      <c r="A12" s="3" t="s">
        <v>392</v>
      </c>
      <c r="D12" s="9"/>
      <c r="E12" s="3">
        <v>2.5487000000000002</v>
      </c>
      <c r="F12" s="11">
        <v>2.5487000000000002</v>
      </c>
      <c r="G12" s="3">
        <v>2.71238</v>
      </c>
      <c r="H12" s="11">
        <v>2.1154099999999998</v>
      </c>
    </row>
    <row r="13" spans="1:11" x14ac:dyDescent="0.3">
      <c r="A13" s="3" t="s">
        <v>393</v>
      </c>
      <c r="D13" s="9"/>
      <c r="E13" s="3">
        <v>2.5047000000000001</v>
      </c>
      <c r="F13" s="11">
        <v>2.5047000000000001</v>
      </c>
      <c r="G13" s="3">
        <v>2.6995100000000001</v>
      </c>
      <c r="H13" s="11">
        <v>2.0857100000000002</v>
      </c>
    </row>
    <row r="14" spans="1:11" x14ac:dyDescent="0.3">
      <c r="A14" s="3" t="s">
        <v>97</v>
      </c>
      <c r="D14" s="9"/>
      <c r="E14" s="3">
        <v>2.4882</v>
      </c>
      <c r="F14" s="11">
        <v>2.4882</v>
      </c>
      <c r="G14" s="3">
        <v>2.6942300000000001</v>
      </c>
      <c r="H14" s="11">
        <v>2.06921</v>
      </c>
    </row>
    <row r="15" spans="1:11" x14ac:dyDescent="0.3">
      <c r="A15" s="3" t="s">
        <v>390</v>
      </c>
      <c r="D15" s="9"/>
      <c r="E15" s="3">
        <v>2.3759999999999999</v>
      </c>
      <c r="F15" s="11">
        <v>2.3759999999999999</v>
      </c>
      <c r="G15" s="3">
        <v>2.4472800000000001</v>
      </c>
      <c r="H15" s="11">
        <v>1.96262</v>
      </c>
    </row>
    <row r="16" spans="1:11" x14ac:dyDescent="0.3">
      <c r="A16" t="s">
        <v>202</v>
      </c>
      <c r="D16" s="9"/>
      <c r="E16" s="3">
        <v>56.76</v>
      </c>
      <c r="F16" s="11">
        <v>56.76</v>
      </c>
      <c r="G16" s="3">
        <v>72.489999999999995</v>
      </c>
      <c r="H16" s="11">
        <v>51.798999999999999</v>
      </c>
    </row>
    <row r="17" spans="1:9" x14ac:dyDescent="0.3">
      <c r="A17" s="14"/>
      <c r="B17" s="14"/>
      <c r="C17" s="14"/>
      <c r="D17" s="14"/>
      <c r="E17" s="14"/>
      <c r="F17" s="14"/>
      <c r="G17" s="9"/>
      <c r="H17" s="9"/>
    </row>
    <row r="18" spans="1:9" x14ac:dyDescent="0.3">
      <c r="A18" s="18" t="s">
        <v>171</v>
      </c>
      <c r="B18" s="13"/>
      <c r="C18" s="13"/>
      <c r="D18" s="14"/>
      <c r="E18" s="19" t="s">
        <v>204</v>
      </c>
      <c r="F18" s="12" t="s">
        <v>169</v>
      </c>
      <c r="G18" s="12" t="s">
        <v>124</v>
      </c>
      <c r="H18" s="12" t="s">
        <v>307</v>
      </c>
    </row>
    <row r="19" spans="1:9" x14ac:dyDescent="0.3">
      <c r="A19" s="3" t="s">
        <v>144</v>
      </c>
      <c r="C19" s="13"/>
      <c r="D19" s="14"/>
      <c r="E19" s="23" t="s">
        <v>84</v>
      </c>
      <c r="F19" s="24" t="s">
        <v>57</v>
      </c>
      <c r="G19" s="24" t="s">
        <v>85</v>
      </c>
      <c r="H19" s="24" t="s">
        <v>272</v>
      </c>
    </row>
    <row r="20" spans="1:9" x14ac:dyDescent="0.3">
      <c r="A20" s="13" t="s">
        <v>174</v>
      </c>
      <c r="C20" s="13"/>
      <c r="D20" s="14"/>
      <c r="E20" s="24" t="s">
        <v>126</v>
      </c>
      <c r="F20" s="24" t="s">
        <v>176</v>
      </c>
      <c r="G20" s="24" t="s">
        <v>190</v>
      </c>
      <c r="H20" s="24" t="s">
        <v>126</v>
      </c>
    </row>
    <row r="21" spans="1:9" x14ac:dyDescent="0.3">
      <c r="A21" t="s">
        <v>234</v>
      </c>
      <c r="D21" s="9"/>
      <c r="E21" s="26" t="s">
        <v>273</v>
      </c>
      <c r="F21" s="25" t="s">
        <v>58</v>
      </c>
      <c r="G21" s="26" t="s">
        <v>191</v>
      </c>
      <c r="H21" s="145">
        <v>75</v>
      </c>
    </row>
    <row r="22" spans="1:9" x14ac:dyDescent="0.3">
      <c r="A22" t="s">
        <v>177</v>
      </c>
      <c r="D22" s="9"/>
      <c r="E22" s="26" t="s">
        <v>186</v>
      </c>
      <c r="F22" s="26" t="s">
        <v>186</v>
      </c>
      <c r="G22" s="24" t="s">
        <v>86</v>
      </c>
      <c r="H22" s="11" t="s">
        <v>296</v>
      </c>
    </row>
    <row r="23" spans="1:9" x14ac:dyDescent="0.3">
      <c r="A23" t="s">
        <v>379</v>
      </c>
      <c r="D23" s="9"/>
      <c r="E23" s="27">
        <v>11.93</v>
      </c>
      <c r="F23" s="25">
        <v>12</v>
      </c>
      <c r="G23" s="25" t="s">
        <v>272</v>
      </c>
      <c r="H23" s="25" t="s">
        <v>272</v>
      </c>
    </row>
    <row r="24" spans="1:9" x14ac:dyDescent="0.3">
      <c r="A24" t="s">
        <v>328</v>
      </c>
      <c r="D24" s="9"/>
      <c r="E24" s="25" t="s">
        <v>325</v>
      </c>
      <c r="F24" s="25" t="s">
        <v>325</v>
      </c>
      <c r="G24" s="11" t="s">
        <v>272</v>
      </c>
      <c r="H24" s="26" t="s">
        <v>272</v>
      </c>
    </row>
    <row r="25" spans="1:9" x14ac:dyDescent="0.3">
      <c r="A25" s="142"/>
      <c r="B25" s="142"/>
      <c r="C25" s="142"/>
      <c r="D25" s="142"/>
      <c r="E25" s="142"/>
      <c r="F25" s="142"/>
      <c r="G25" s="142"/>
      <c r="H25" s="142"/>
      <c r="I25" s="142"/>
    </row>
  </sheetData>
  <sheetProtection algorithmName="SHA-512" hashValue="hDj7zNsdV9izFFH5hB1SmLy23Ii71LAOI8tN6m0uffIj5nxFIe01WzRchZq+fDXg+hudPilsVwYWFuiOE+Hp8w==" saltValue="hCSsZp02lW4Ghc8oM9kpN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K25"/>
  <sheetViews>
    <sheetView workbookViewId="0">
      <selection activeCell="J11" sqref="J11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36</v>
      </c>
    </row>
    <row r="2" spans="1:11" x14ac:dyDescent="0.3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3">
      <c r="A3" s="6" t="s">
        <v>293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108</v>
      </c>
      <c r="B4" s="1"/>
      <c r="D4" s="9"/>
      <c r="E4" s="10" t="s">
        <v>185</v>
      </c>
    </row>
    <row r="5" spans="1:11" x14ac:dyDescent="0.3">
      <c r="A5" s="10" t="s">
        <v>294</v>
      </c>
      <c r="B5" s="1"/>
      <c r="D5" s="9"/>
    </row>
    <row r="6" spans="1:11" x14ac:dyDescent="0.3">
      <c r="A6" s="2" t="s">
        <v>114</v>
      </c>
      <c r="C6" s="11"/>
      <c r="D6" s="9"/>
      <c r="E6" s="12" t="s">
        <v>169</v>
      </c>
      <c r="F6" s="12" t="s">
        <v>124</v>
      </c>
      <c r="G6" s="12" t="s">
        <v>159</v>
      </c>
      <c r="H6" s="11"/>
      <c r="I6" s="11"/>
    </row>
    <row r="7" spans="1:11" x14ac:dyDescent="0.3">
      <c r="A7" t="s">
        <v>206</v>
      </c>
      <c r="D7" s="9"/>
      <c r="E7" t="s">
        <v>158</v>
      </c>
      <c r="F7" s="11">
        <v>2500</v>
      </c>
      <c r="G7" s="11">
        <v>2500</v>
      </c>
      <c r="H7" s="11"/>
      <c r="I7" s="11"/>
    </row>
    <row r="8" spans="1:11" x14ac:dyDescent="0.3">
      <c r="A8" t="s">
        <v>201</v>
      </c>
      <c r="D8" s="9"/>
      <c r="E8" t="s">
        <v>158</v>
      </c>
      <c r="F8" s="11">
        <v>5500</v>
      </c>
      <c r="G8" s="11">
        <v>5500</v>
      </c>
      <c r="H8" s="11"/>
      <c r="I8" s="11"/>
    </row>
    <row r="9" spans="1:11" x14ac:dyDescent="0.3">
      <c r="A9" s="13" t="s">
        <v>164</v>
      </c>
      <c r="B9" s="13"/>
      <c r="C9" s="13"/>
      <c r="D9" s="14"/>
      <c r="E9" t="s">
        <v>158</v>
      </c>
      <c r="F9" s="3">
        <v>17000</v>
      </c>
      <c r="G9" s="3">
        <v>17000</v>
      </c>
      <c r="H9" s="11"/>
      <c r="I9" s="11"/>
    </row>
    <row r="10" spans="1:11" x14ac:dyDescent="0.3">
      <c r="A10" s="15" t="s">
        <v>395</v>
      </c>
      <c r="B10" s="16"/>
      <c r="C10" s="16"/>
      <c r="D10" s="17"/>
      <c r="E10" s="16" t="s">
        <v>158</v>
      </c>
      <c r="F10" s="15">
        <v>167000</v>
      </c>
      <c r="G10" s="15">
        <v>167000</v>
      </c>
      <c r="H10" s="11"/>
      <c r="I10" s="11"/>
    </row>
    <row r="11" spans="1:11" x14ac:dyDescent="0.3">
      <c r="A11" s="3" t="s">
        <v>391</v>
      </c>
      <c r="D11" s="9"/>
      <c r="E11" t="s">
        <v>158</v>
      </c>
      <c r="F11" s="11">
        <v>4.5070300000000003</v>
      </c>
      <c r="G11" s="11">
        <v>3.8643000000000001</v>
      </c>
      <c r="H11" s="11"/>
      <c r="I11" s="11"/>
    </row>
    <row r="12" spans="1:11" x14ac:dyDescent="0.3">
      <c r="A12" s="3" t="s">
        <v>392</v>
      </c>
      <c r="D12" s="9"/>
      <c r="E12" t="s">
        <v>158</v>
      </c>
      <c r="F12" s="11">
        <v>2.71238</v>
      </c>
      <c r="G12" s="11">
        <v>3.0569000000000002</v>
      </c>
      <c r="H12" s="11"/>
      <c r="I12" s="11"/>
    </row>
    <row r="13" spans="1:11" x14ac:dyDescent="0.3">
      <c r="A13" s="3" t="s">
        <v>393</v>
      </c>
      <c r="D13" s="9"/>
      <c r="E13" t="s">
        <v>158</v>
      </c>
      <c r="F13" s="11">
        <v>2.6995100000000001</v>
      </c>
      <c r="G13" s="11">
        <v>2.6036999999999999</v>
      </c>
      <c r="H13" s="11"/>
      <c r="I13" s="11"/>
    </row>
    <row r="14" spans="1:11" x14ac:dyDescent="0.3">
      <c r="A14" s="3" t="s">
        <v>97</v>
      </c>
      <c r="D14" s="9"/>
      <c r="E14" t="s">
        <v>158</v>
      </c>
      <c r="F14" s="11">
        <v>2.6942300000000001</v>
      </c>
      <c r="G14" s="11">
        <v>2.5695999999999999</v>
      </c>
      <c r="H14" s="11"/>
      <c r="I14" s="11"/>
    </row>
    <row r="15" spans="1:11" x14ac:dyDescent="0.3">
      <c r="A15" s="3" t="s">
        <v>390</v>
      </c>
      <c r="D15" s="9"/>
      <c r="E15" t="s">
        <v>158</v>
      </c>
      <c r="F15" s="11">
        <v>1.4472799999999999</v>
      </c>
      <c r="G15" s="11">
        <v>2.5508999999999999</v>
      </c>
      <c r="H15" s="11"/>
      <c r="I15" s="11"/>
    </row>
    <row r="16" spans="1:11" x14ac:dyDescent="0.3">
      <c r="A16" t="s">
        <v>202</v>
      </c>
      <c r="D16" s="9"/>
      <c r="E16" t="s">
        <v>158</v>
      </c>
      <c r="F16" s="11">
        <v>72.489999999999995</v>
      </c>
      <c r="G16" s="11">
        <v>58.234000000000002</v>
      </c>
      <c r="H16" s="11"/>
      <c r="I16" s="11"/>
    </row>
    <row r="17" spans="1:11" x14ac:dyDescent="0.3">
      <c r="A17" s="14"/>
      <c r="B17" s="14"/>
      <c r="C17" s="14"/>
      <c r="D17" s="14"/>
      <c r="E17" s="14"/>
      <c r="F17" s="14"/>
      <c r="G17" s="14"/>
      <c r="H17" s="9"/>
      <c r="I17" s="9"/>
      <c r="J17" s="9"/>
      <c r="K17" s="9"/>
    </row>
    <row r="18" spans="1:11" x14ac:dyDescent="0.3">
      <c r="A18" s="18" t="s">
        <v>171</v>
      </c>
      <c r="B18" s="13"/>
      <c r="C18" s="13"/>
      <c r="D18" s="14"/>
      <c r="E18" s="12" t="s">
        <v>169</v>
      </c>
      <c r="F18" s="12" t="s">
        <v>124</v>
      </c>
      <c r="G18" s="144" t="s">
        <v>159</v>
      </c>
    </row>
    <row r="19" spans="1:11" x14ac:dyDescent="0.3">
      <c r="A19" s="3" t="s">
        <v>144</v>
      </c>
      <c r="C19" s="13"/>
      <c r="D19" s="14"/>
      <c r="E19" s="24" t="s">
        <v>158</v>
      </c>
      <c r="F19" s="11" t="s">
        <v>85</v>
      </c>
      <c r="G19" s="11" t="s">
        <v>78</v>
      </c>
    </row>
    <row r="20" spans="1:11" x14ac:dyDescent="0.3">
      <c r="A20" s="13" t="s">
        <v>174</v>
      </c>
      <c r="C20" s="13"/>
      <c r="D20" s="14"/>
      <c r="E20" s="24" t="s">
        <v>158</v>
      </c>
      <c r="F20" s="11" t="s">
        <v>190</v>
      </c>
      <c r="G20" s="11" t="s">
        <v>60</v>
      </c>
    </row>
    <row r="21" spans="1:11" x14ac:dyDescent="0.3">
      <c r="A21" t="s">
        <v>234</v>
      </c>
      <c r="D21" s="9"/>
      <c r="E21" s="24" t="s">
        <v>158</v>
      </c>
      <c r="F21" s="11" t="s">
        <v>191</v>
      </c>
      <c r="G21" s="11" t="s">
        <v>80</v>
      </c>
    </row>
    <row r="22" spans="1:11" x14ac:dyDescent="0.3">
      <c r="A22" t="s">
        <v>177</v>
      </c>
      <c r="D22" s="9"/>
      <c r="E22" s="24" t="s">
        <v>158</v>
      </c>
      <c r="F22" s="11" t="s">
        <v>87</v>
      </c>
      <c r="G22" s="11" t="s">
        <v>79</v>
      </c>
    </row>
    <row r="23" spans="1:11" x14ac:dyDescent="0.3">
      <c r="A23" t="s">
        <v>379</v>
      </c>
      <c r="D23" s="9"/>
      <c r="E23" s="24" t="s">
        <v>158</v>
      </c>
      <c r="F23" s="11" t="s">
        <v>272</v>
      </c>
      <c r="G23" s="29">
        <v>13.95</v>
      </c>
    </row>
    <row r="24" spans="1:11" x14ac:dyDescent="0.3">
      <c r="A24" t="s">
        <v>328</v>
      </c>
      <c r="D24" s="9"/>
      <c r="E24" s="24" t="s">
        <v>158</v>
      </c>
      <c r="F24" s="11" t="s">
        <v>272</v>
      </c>
      <c r="G24" s="11" t="s">
        <v>77</v>
      </c>
    </row>
    <row r="25" spans="1:11" x14ac:dyDescent="0.3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42"/>
    </row>
  </sheetData>
  <sheetProtection algorithmName="SHA-512" hashValue="6V4GuJeb+wcLCL1JcBN31wNAPt2tsNlH+qvHIIeNENWFHE/tniLHdb039SlINxSW4sfja4FhmQya6SYhg6yXCA==" saltValue="o8GocdbPZ2jnyKYKnzVr4Q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K77"/>
  <sheetViews>
    <sheetView workbookViewId="0">
      <selection activeCell="J29" sqref="J29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9.4609375" customWidth="1"/>
    <col min="4" max="4" width="1.84375" customWidth="1"/>
    <col min="5" max="11" width="10" customWidth="1"/>
  </cols>
  <sheetData>
    <row r="1" spans="1:11" x14ac:dyDescent="0.3">
      <c r="A1" s="1" t="s">
        <v>36</v>
      </c>
    </row>
    <row r="2" spans="1:11" x14ac:dyDescent="0.3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3">
      <c r="A3" s="6" t="s">
        <v>7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298</v>
      </c>
      <c r="B4" s="1"/>
      <c r="D4" s="9"/>
      <c r="E4" s="10" t="s">
        <v>185</v>
      </c>
    </row>
    <row r="5" spans="1:11" x14ac:dyDescent="0.3">
      <c r="A5" s="10"/>
      <c r="B5" s="1"/>
      <c r="D5" s="9"/>
    </row>
    <row r="6" spans="1:11" x14ac:dyDescent="0.3">
      <c r="A6" s="2" t="s">
        <v>114</v>
      </c>
      <c r="C6" s="11"/>
      <c r="D6" s="9"/>
      <c r="E6" s="12" t="s">
        <v>169</v>
      </c>
      <c r="F6" s="12" t="s">
        <v>124</v>
      </c>
    </row>
    <row r="7" spans="1:11" x14ac:dyDescent="0.3">
      <c r="A7" s="21" t="s">
        <v>65</v>
      </c>
      <c r="D7" s="9"/>
      <c r="E7" s="72">
        <v>2</v>
      </c>
      <c r="F7" s="72">
        <v>2</v>
      </c>
      <c r="G7" s="11"/>
      <c r="H7" s="11"/>
      <c r="I7" s="11"/>
    </row>
    <row r="8" spans="1:11" x14ac:dyDescent="0.3">
      <c r="A8" s="21" t="s">
        <v>66</v>
      </c>
      <c r="D8" s="9"/>
      <c r="E8" s="72">
        <v>4</v>
      </c>
      <c r="F8" s="72">
        <v>4</v>
      </c>
      <c r="G8" s="11"/>
      <c r="H8" s="11"/>
      <c r="I8" s="11"/>
    </row>
    <row r="9" spans="1:11" x14ac:dyDescent="0.3">
      <c r="A9" s="13" t="s">
        <v>206</v>
      </c>
      <c r="B9" s="13"/>
      <c r="C9" s="13"/>
      <c r="D9" s="14"/>
      <c r="E9" s="3">
        <v>4000</v>
      </c>
      <c r="F9" s="3">
        <v>6000</v>
      </c>
      <c r="G9" s="11"/>
      <c r="H9" s="11"/>
      <c r="I9" s="11"/>
    </row>
    <row r="10" spans="1:11" x14ac:dyDescent="0.3">
      <c r="A10" t="s">
        <v>92</v>
      </c>
      <c r="B10" s="13"/>
      <c r="C10" s="13"/>
      <c r="D10" s="14"/>
      <c r="E10" s="3">
        <v>0</v>
      </c>
      <c r="F10" s="3">
        <v>12000</v>
      </c>
      <c r="G10" s="11"/>
      <c r="H10" s="11"/>
      <c r="I10" s="11"/>
    </row>
    <row r="11" spans="1:11" x14ac:dyDescent="0.3">
      <c r="A11" s="16" t="s">
        <v>94</v>
      </c>
      <c r="B11" s="16"/>
      <c r="C11" s="16"/>
      <c r="D11" s="17"/>
      <c r="E11" s="15">
        <v>0</v>
      </c>
      <c r="F11" s="15">
        <v>85000</v>
      </c>
      <c r="G11" s="11"/>
      <c r="H11" s="11"/>
      <c r="I11" s="11"/>
    </row>
    <row r="12" spans="1:11" x14ac:dyDescent="0.3">
      <c r="A12" s="3" t="s">
        <v>254</v>
      </c>
      <c r="D12" s="9"/>
      <c r="E12" s="11">
        <v>1.9316</v>
      </c>
      <c r="F12" s="11">
        <v>2.4787400000000002</v>
      </c>
      <c r="G12" s="11"/>
      <c r="H12" s="11"/>
      <c r="I12" s="11"/>
    </row>
    <row r="13" spans="1:11" x14ac:dyDescent="0.3">
      <c r="A13" s="3" t="s">
        <v>345</v>
      </c>
      <c r="D13" s="9"/>
      <c r="E13" s="11">
        <v>0</v>
      </c>
      <c r="F13" s="11">
        <v>2.15259</v>
      </c>
      <c r="G13" s="11"/>
      <c r="H13" s="11"/>
      <c r="I13" s="11"/>
    </row>
    <row r="14" spans="1:11" x14ac:dyDescent="0.3">
      <c r="A14" s="3" t="s">
        <v>346</v>
      </c>
      <c r="D14" s="9"/>
      <c r="E14" s="11">
        <v>0</v>
      </c>
      <c r="F14" s="11">
        <v>2.0742699999999998</v>
      </c>
      <c r="G14" s="11"/>
      <c r="H14" s="11"/>
      <c r="I14" s="11"/>
    </row>
    <row r="15" spans="1:11" x14ac:dyDescent="0.3">
      <c r="A15" s="3" t="s">
        <v>236</v>
      </c>
      <c r="D15" s="9"/>
      <c r="E15" s="11">
        <v>2.1375999999999999</v>
      </c>
      <c r="F15" s="11">
        <v>2.0221300000000002</v>
      </c>
      <c r="G15" s="11"/>
      <c r="H15" s="11"/>
      <c r="I15" s="11"/>
    </row>
    <row r="16" spans="1:11" x14ac:dyDescent="0.3">
      <c r="A16" s="3" t="s">
        <v>155</v>
      </c>
      <c r="D16" s="9"/>
      <c r="E16" s="11">
        <v>1.8216000000000001</v>
      </c>
      <c r="F16" s="11">
        <v>2.2309100000000002</v>
      </c>
      <c r="G16" s="11"/>
      <c r="H16" s="11"/>
      <c r="I16" s="11"/>
    </row>
    <row r="17" spans="1:9" x14ac:dyDescent="0.3">
      <c r="A17" s="3" t="s">
        <v>112</v>
      </c>
      <c r="D17" s="9"/>
      <c r="E17" s="11">
        <v>0</v>
      </c>
      <c r="F17" s="11">
        <v>2.0221300000000002</v>
      </c>
      <c r="G17" s="11"/>
      <c r="H17" s="11"/>
      <c r="I17" s="11"/>
    </row>
    <row r="18" spans="1:9" x14ac:dyDescent="0.3">
      <c r="A18" s="3" t="s">
        <v>37</v>
      </c>
      <c r="D18" s="9"/>
      <c r="E18" s="11">
        <v>0</v>
      </c>
      <c r="F18" s="11">
        <v>2.0090400000000002</v>
      </c>
      <c r="G18" s="11"/>
      <c r="H18" s="11"/>
      <c r="I18" s="11"/>
    </row>
    <row r="19" spans="1:9" x14ac:dyDescent="0.3">
      <c r="A19" s="3" t="s">
        <v>55</v>
      </c>
      <c r="D19" s="9"/>
      <c r="E19" s="11">
        <v>1.9734</v>
      </c>
      <c r="F19" s="11">
        <v>1.9569000000000001</v>
      </c>
      <c r="G19" s="11"/>
      <c r="H19" s="11"/>
      <c r="I19" s="11"/>
    </row>
    <row r="20" spans="1:9" x14ac:dyDescent="0.3">
      <c r="A20" t="s">
        <v>202</v>
      </c>
      <c r="D20" s="9"/>
      <c r="E20" s="11">
        <v>58.277999999999999</v>
      </c>
      <c r="F20" s="11">
        <v>78.319999999999993</v>
      </c>
      <c r="G20" s="11"/>
      <c r="H20" s="11"/>
      <c r="I20" s="11"/>
    </row>
    <row r="21" spans="1:9" x14ac:dyDescent="0.3">
      <c r="D21" s="9"/>
      <c r="E21" s="11"/>
      <c r="F21" s="11"/>
      <c r="G21" s="11"/>
      <c r="H21" s="11"/>
      <c r="I21" s="11"/>
    </row>
    <row r="22" spans="1:9" x14ac:dyDescent="0.3">
      <c r="A22" s="10" t="s">
        <v>299</v>
      </c>
      <c r="D22" s="9"/>
      <c r="E22" s="11"/>
      <c r="F22" s="11"/>
    </row>
    <row r="23" spans="1:9" x14ac:dyDescent="0.3">
      <c r="D23" s="14"/>
      <c r="E23" s="11"/>
      <c r="F23" s="11"/>
    </row>
    <row r="24" spans="1:9" x14ac:dyDescent="0.3">
      <c r="A24" s="2" t="s">
        <v>114</v>
      </c>
      <c r="C24" s="11"/>
      <c r="D24" s="14"/>
      <c r="E24" s="12" t="s">
        <v>169</v>
      </c>
      <c r="F24" s="12" t="s">
        <v>124</v>
      </c>
    </row>
    <row r="25" spans="1:9" x14ac:dyDescent="0.3">
      <c r="A25" s="21" t="s">
        <v>65</v>
      </c>
      <c r="D25" s="9"/>
      <c r="E25" s="73" t="s">
        <v>123</v>
      </c>
      <c r="F25" s="72">
        <v>2</v>
      </c>
    </row>
    <row r="26" spans="1:9" x14ac:dyDescent="0.3">
      <c r="A26" s="85" t="s">
        <v>66</v>
      </c>
      <c r="B26" s="13"/>
      <c r="C26" s="13"/>
      <c r="D26" s="14"/>
      <c r="E26" s="87" t="s">
        <v>123</v>
      </c>
      <c r="F26" s="88">
        <v>4</v>
      </c>
    </row>
    <row r="27" spans="1:9" x14ac:dyDescent="0.3">
      <c r="A27" s="13" t="s">
        <v>206</v>
      </c>
      <c r="B27" s="13"/>
      <c r="C27" s="13"/>
      <c r="D27" s="14"/>
      <c r="E27" s="87">
        <v>0</v>
      </c>
      <c r="F27" s="3">
        <v>6000</v>
      </c>
    </row>
    <row r="28" spans="1:9" x14ac:dyDescent="0.3">
      <c r="A28" t="s">
        <v>92</v>
      </c>
      <c r="B28" s="13"/>
      <c r="C28" s="13"/>
      <c r="D28" s="14"/>
      <c r="E28" s="87">
        <v>0</v>
      </c>
      <c r="F28" s="3">
        <v>12000</v>
      </c>
    </row>
    <row r="29" spans="1:9" x14ac:dyDescent="0.3">
      <c r="A29" s="16" t="s">
        <v>94</v>
      </c>
      <c r="B29" s="16"/>
      <c r="C29" s="16"/>
      <c r="D29" s="17"/>
      <c r="E29" s="74">
        <v>0</v>
      </c>
      <c r="F29" s="15">
        <v>85000</v>
      </c>
    </row>
    <row r="30" spans="1:9" x14ac:dyDescent="0.3">
      <c r="A30" s="3" t="s">
        <v>95</v>
      </c>
      <c r="D30" s="14"/>
      <c r="E30" s="11">
        <v>2.8445999999999998</v>
      </c>
      <c r="F30" s="11">
        <v>3.96244</v>
      </c>
    </row>
    <row r="31" spans="1:9" x14ac:dyDescent="0.3">
      <c r="A31" s="3" t="s">
        <v>345</v>
      </c>
      <c r="D31" s="14"/>
      <c r="E31" s="11">
        <v>0</v>
      </c>
      <c r="F31" s="11">
        <v>2.9562499999999998</v>
      </c>
    </row>
    <row r="32" spans="1:9" x14ac:dyDescent="0.3">
      <c r="A32" s="3" t="s">
        <v>346</v>
      </c>
      <c r="D32" s="14"/>
      <c r="E32" s="11">
        <v>0</v>
      </c>
      <c r="F32" s="11">
        <v>2.6875200000000001</v>
      </c>
    </row>
    <row r="33" spans="1:6" x14ac:dyDescent="0.3">
      <c r="A33" s="3" t="s">
        <v>236</v>
      </c>
      <c r="D33" s="14"/>
      <c r="E33" s="11">
        <v>0</v>
      </c>
      <c r="F33" s="11">
        <v>2.4186800000000002</v>
      </c>
    </row>
    <row r="34" spans="1:6" x14ac:dyDescent="0.3">
      <c r="A34" s="3" t="s">
        <v>155</v>
      </c>
      <c r="D34" s="14"/>
      <c r="E34" s="11">
        <v>0</v>
      </c>
      <c r="F34" s="11">
        <v>3.69523</v>
      </c>
    </row>
    <row r="35" spans="1:6" x14ac:dyDescent="0.3">
      <c r="A35" s="3" t="s">
        <v>112</v>
      </c>
      <c r="D35" s="14"/>
      <c r="E35" s="11">
        <v>0</v>
      </c>
      <c r="F35" s="11">
        <v>2.8890400000000001</v>
      </c>
    </row>
    <row r="36" spans="1:6" x14ac:dyDescent="0.3">
      <c r="A36" s="3" t="s">
        <v>37</v>
      </c>
      <c r="D36" s="14"/>
      <c r="E36" s="11">
        <v>0</v>
      </c>
      <c r="F36" s="11">
        <v>2.6203099999999999</v>
      </c>
    </row>
    <row r="37" spans="1:6" x14ac:dyDescent="0.3">
      <c r="A37" s="3" t="s">
        <v>55</v>
      </c>
      <c r="D37" s="14"/>
      <c r="E37" s="11">
        <v>0</v>
      </c>
      <c r="F37" s="11">
        <v>2.3515799999999998</v>
      </c>
    </row>
    <row r="38" spans="1:6" x14ac:dyDescent="0.3">
      <c r="A38" t="s">
        <v>202</v>
      </c>
      <c r="D38" s="14"/>
      <c r="E38" s="11">
        <v>66</v>
      </c>
      <c r="F38" s="11">
        <v>72.599999999999994</v>
      </c>
    </row>
    <row r="39" spans="1:6" x14ac:dyDescent="0.3">
      <c r="D39" s="9"/>
      <c r="E39" s="11"/>
      <c r="F39" s="11"/>
    </row>
    <row r="40" spans="1:6" x14ac:dyDescent="0.3">
      <c r="A40" s="10" t="s">
        <v>83</v>
      </c>
      <c r="D40" s="9"/>
      <c r="E40" s="11"/>
      <c r="F40" s="11"/>
    </row>
    <row r="41" spans="1:6" x14ac:dyDescent="0.3">
      <c r="D41" s="9"/>
      <c r="E41" s="11"/>
      <c r="F41" s="11"/>
    </row>
    <row r="42" spans="1:6" x14ac:dyDescent="0.3">
      <c r="A42" s="2" t="s">
        <v>114</v>
      </c>
      <c r="D42" s="9"/>
      <c r="E42" s="12" t="s">
        <v>169</v>
      </c>
      <c r="F42" s="12" t="s">
        <v>124</v>
      </c>
    </row>
    <row r="43" spans="1:6" x14ac:dyDescent="0.3">
      <c r="A43" t="s">
        <v>242</v>
      </c>
      <c r="D43" s="9"/>
      <c r="E43" s="11">
        <v>2.8237000000000001</v>
      </c>
      <c r="F43" s="11"/>
    </row>
    <row r="44" spans="1:6" x14ac:dyDescent="0.3">
      <c r="A44" t="s">
        <v>202</v>
      </c>
      <c r="D44" s="9"/>
      <c r="E44" s="11">
        <v>76.097999999999999</v>
      </c>
      <c r="F44" s="11"/>
    </row>
    <row r="45" spans="1:6" x14ac:dyDescent="0.3">
      <c r="D45" s="9"/>
      <c r="E45" s="11"/>
      <c r="F45" s="11"/>
    </row>
    <row r="46" spans="1:6" x14ac:dyDescent="0.3">
      <c r="A46" s="10" t="s">
        <v>148</v>
      </c>
      <c r="D46" s="9"/>
      <c r="E46" s="11"/>
      <c r="F46" s="11"/>
    </row>
    <row r="47" spans="1:6" x14ac:dyDescent="0.3">
      <c r="D47" s="9"/>
      <c r="E47" s="11"/>
      <c r="F47" s="11"/>
    </row>
    <row r="48" spans="1:6" x14ac:dyDescent="0.3">
      <c r="A48" s="2" t="s">
        <v>114</v>
      </c>
      <c r="D48" s="9"/>
      <c r="E48" s="12" t="s">
        <v>169</v>
      </c>
      <c r="F48" s="12" t="s">
        <v>124</v>
      </c>
    </row>
    <row r="49" spans="1:6" x14ac:dyDescent="0.3">
      <c r="A49" t="s">
        <v>242</v>
      </c>
      <c r="D49" s="9"/>
      <c r="E49" s="11">
        <v>2.8435000000000001</v>
      </c>
      <c r="F49" s="11"/>
    </row>
    <row r="50" spans="1:6" x14ac:dyDescent="0.3">
      <c r="A50" t="s">
        <v>202</v>
      </c>
      <c r="D50" s="9"/>
      <c r="E50" s="11">
        <v>81.917000000000002</v>
      </c>
      <c r="F50" s="11"/>
    </row>
    <row r="51" spans="1:6" x14ac:dyDescent="0.3">
      <c r="D51" s="9"/>
      <c r="E51" s="11"/>
      <c r="F51" s="11"/>
    </row>
    <row r="52" spans="1:6" x14ac:dyDescent="0.3">
      <c r="A52" s="10" t="s">
        <v>149</v>
      </c>
      <c r="D52" s="9"/>
      <c r="E52" s="11"/>
      <c r="F52" s="11"/>
    </row>
    <row r="53" spans="1:6" x14ac:dyDescent="0.3">
      <c r="D53" s="9"/>
      <c r="E53" s="11"/>
      <c r="F53" s="11"/>
    </row>
    <row r="54" spans="1:6" x14ac:dyDescent="0.3">
      <c r="A54" s="2" t="s">
        <v>114</v>
      </c>
      <c r="D54" s="9"/>
      <c r="E54" s="12" t="s">
        <v>169</v>
      </c>
      <c r="F54" s="12" t="s">
        <v>124</v>
      </c>
    </row>
    <row r="55" spans="1:6" x14ac:dyDescent="0.3">
      <c r="A55" t="s">
        <v>242</v>
      </c>
      <c r="D55" s="9"/>
      <c r="E55" s="11">
        <v>3.0293999999999999</v>
      </c>
      <c r="F55" s="11"/>
    </row>
    <row r="56" spans="1:6" x14ac:dyDescent="0.3">
      <c r="A56" t="s">
        <v>202</v>
      </c>
      <c r="D56" s="9"/>
      <c r="E56" s="11">
        <v>81.421999999999997</v>
      </c>
      <c r="F56" s="11"/>
    </row>
    <row r="57" spans="1:6" x14ac:dyDescent="0.3">
      <c r="D57" s="9"/>
      <c r="E57" s="11"/>
      <c r="F57" s="11"/>
    </row>
    <row r="58" spans="1:6" x14ac:dyDescent="0.3">
      <c r="A58" s="10" t="s">
        <v>145</v>
      </c>
      <c r="D58" s="9"/>
      <c r="E58" s="11"/>
      <c r="F58" s="11"/>
    </row>
    <row r="59" spans="1:6" x14ac:dyDescent="0.3">
      <c r="D59" s="9"/>
      <c r="E59" s="11"/>
      <c r="F59" s="11"/>
    </row>
    <row r="60" spans="1:6" x14ac:dyDescent="0.3">
      <c r="A60" s="2" t="s">
        <v>114</v>
      </c>
      <c r="D60" s="9"/>
      <c r="E60" s="12" t="s">
        <v>169</v>
      </c>
      <c r="F60" s="12" t="s">
        <v>124</v>
      </c>
    </row>
    <row r="61" spans="1:6" x14ac:dyDescent="0.3">
      <c r="A61" t="s">
        <v>242</v>
      </c>
      <c r="D61" s="9"/>
      <c r="E61" s="11">
        <v>2.4727999999999999</v>
      </c>
      <c r="F61" s="11"/>
    </row>
    <row r="62" spans="1:6" x14ac:dyDescent="0.3">
      <c r="A62" t="s">
        <v>202</v>
      </c>
      <c r="D62" s="9"/>
      <c r="E62" s="11">
        <v>85.8</v>
      </c>
      <c r="F62" s="11"/>
    </row>
    <row r="63" spans="1:6" x14ac:dyDescent="0.3">
      <c r="D63" s="9"/>
      <c r="E63" s="11"/>
      <c r="F63" s="11"/>
    </row>
    <row r="64" spans="1:6" x14ac:dyDescent="0.3">
      <c r="A64" s="10" t="s">
        <v>146</v>
      </c>
      <c r="D64" s="9"/>
      <c r="E64" s="11"/>
      <c r="F64" s="11"/>
    </row>
    <row r="65" spans="1:11" x14ac:dyDescent="0.3">
      <c r="D65" s="9"/>
      <c r="E65" s="11"/>
      <c r="F65" s="11"/>
    </row>
    <row r="66" spans="1:11" x14ac:dyDescent="0.3">
      <c r="A66" s="2" t="s">
        <v>114</v>
      </c>
      <c r="D66" s="9"/>
      <c r="E66" s="12" t="s">
        <v>169</v>
      </c>
      <c r="F66" s="12" t="s">
        <v>124</v>
      </c>
    </row>
    <row r="67" spans="1:11" x14ac:dyDescent="0.3">
      <c r="A67" t="s">
        <v>242</v>
      </c>
      <c r="D67" s="9"/>
      <c r="E67" s="11">
        <v>4.2416</v>
      </c>
      <c r="F67" s="11"/>
    </row>
    <row r="68" spans="1:11" x14ac:dyDescent="0.3">
      <c r="A68" t="s">
        <v>202</v>
      </c>
      <c r="D68" s="9"/>
      <c r="E68" s="11">
        <v>70.135999999999996</v>
      </c>
      <c r="F68" s="11"/>
    </row>
    <row r="69" spans="1:11" x14ac:dyDescent="0.3">
      <c r="A69" s="14"/>
      <c r="B69" s="14"/>
      <c r="C69" s="14"/>
      <c r="D69" s="9"/>
      <c r="E69" s="14"/>
      <c r="F69" s="14"/>
      <c r="G69" s="14"/>
      <c r="H69" s="9"/>
      <c r="I69" s="9"/>
      <c r="J69" s="9"/>
      <c r="K69" s="9"/>
    </row>
    <row r="70" spans="1:11" x14ac:dyDescent="0.3">
      <c r="A70" s="18" t="s">
        <v>171</v>
      </c>
      <c r="B70" s="13"/>
      <c r="D70" s="9"/>
      <c r="E70" s="12" t="s">
        <v>169</v>
      </c>
      <c r="F70" s="12" t="s">
        <v>124</v>
      </c>
      <c r="G70" s="11"/>
    </row>
    <row r="71" spans="1:11" x14ac:dyDescent="0.3">
      <c r="A71" s="3" t="s">
        <v>144</v>
      </c>
      <c r="D71" s="9"/>
      <c r="E71" s="24" t="s">
        <v>57</v>
      </c>
      <c r="F71" s="11" t="s">
        <v>85</v>
      </c>
      <c r="G71" s="11"/>
    </row>
    <row r="72" spans="1:11" x14ac:dyDescent="0.3">
      <c r="A72" s="13" t="s">
        <v>174</v>
      </c>
      <c r="D72" s="14"/>
      <c r="E72" s="24" t="s">
        <v>176</v>
      </c>
      <c r="F72" s="11" t="s">
        <v>327</v>
      </c>
      <c r="G72" s="11"/>
    </row>
    <row r="73" spans="1:11" x14ac:dyDescent="0.3">
      <c r="A73" t="s">
        <v>234</v>
      </c>
      <c r="D73" s="14"/>
      <c r="E73" s="25" t="s">
        <v>58</v>
      </c>
      <c r="F73" s="11" t="s">
        <v>191</v>
      </c>
      <c r="G73" s="11"/>
    </row>
    <row r="74" spans="1:11" x14ac:dyDescent="0.3">
      <c r="A74" t="s">
        <v>177</v>
      </c>
      <c r="D74" s="14"/>
      <c r="E74" s="26" t="s">
        <v>56</v>
      </c>
      <c r="F74" s="11" t="s">
        <v>87</v>
      </c>
      <c r="G74" s="11"/>
    </row>
    <row r="75" spans="1:11" x14ac:dyDescent="0.3">
      <c r="A75" t="s">
        <v>379</v>
      </c>
      <c r="D75" s="14"/>
      <c r="E75" s="25">
        <v>12</v>
      </c>
      <c r="F75" s="11" t="s">
        <v>272</v>
      </c>
      <c r="G75" s="11"/>
    </row>
    <row r="76" spans="1:11" x14ac:dyDescent="0.3">
      <c r="A76" t="s">
        <v>328</v>
      </c>
      <c r="D76" s="14"/>
      <c r="E76" s="25" t="s">
        <v>325</v>
      </c>
      <c r="F76" s="11" t="s">
        <v>272</v>
      </c>
      <c r="G76" s="11"/>
    </row>
    <row r="77" spans="1:11" x14ac:dyDescent="0.3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</row>
  </sheetData>
  <sheetProtection algorithmName="SHA-512" hashValue="f95dKjmiaDRbmydHhAa8H2JhYadRgAI8Mc3kkulbCKjgN1DRH+WuCt9GtDzmlP05BNRxnKGQGOVioTfDdPrkzA==" saltValue="+iOBEptLeSGV8FLPEnviq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J25"/>
  <sheetViews>
    <sheetView zoomScale="150" workbookViewId="0">
      <selection activeCell="H29" sqref="H29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0" width="10" customWidth="1"/>
  </cols>
  <sheetData>
    <row r="1" spans="1:10" x14ac:dyDescent="0.3">
      <c r="A1" s="1" t="s">
        <v>283</v>
      </c>
    </row>
    <row r="2" spans="1:10" x14ac:dyDescent="0.3">
      <c r="A2" s="83"/>
      <c r="B2" s="84"/>
      <c r="C2" s="84"/>
      <c r="D2" s="84"/>
      <c r="E2" s="84"/>
      <c r="F2" s="84"/>
      <c r="G2" s="84"/>
      <c r="H2" s="84"/>
      <c r="I2" s="84"/>
      <c r="J2" s="84"/>
    </row>
    <row r="3" spans="1:10" x14ac:dyDescent="0.3">
      <c r="A3" s="6" t="s">
        <v>52</v>
      </c>
      <c r="B3" s="7"/>
      <c r="C3" s="7"/>
      <c r="D3" s="8"/>
      <c r="E3" s="7"/>
      <c r="F3" s="7"/>
      <c r="G3" s="7"/>
      <c r="H3" s="7"/>
      <c r="I3" s="7"/>
      <c r="J3" s="7"/>
    </row>
    <row r="4" spans="1:10" x14ac:dyDescent="0.3">
      <c r="D4" s="9"/>
      <c r="E4" s="10" t="s">
        <v>150</v>
      </c>
      <c r="I4" s="11"/>
      <c r="J4" s="11"/>
    </row>
    <row r="5" spans="1:10" x14ac:dyDescent="0.3">
      <c r="D5" s="9"/>
    </row>
    <row r="6" spans="1:10" x14ac:dyDescent="0.3">
      <c r="A6" s="2" t="s">
        <v>114</v>
      </c>
      <c r="C6" s="11"/>
      <c r="D6" s="9"/>
      <c r="E6" s="19" t="s">
        <v>204</v>
      </c>
      <c r="F6" s="12" t="s">
        <v>169</v>
      </c>
      <c r="G6" s="12" t="s">
        <v>124</v>
      </c>
      <c r="H6" s="12" t="s">
        <v>71</v>
      </c>
      <c r="I6" s="12" t="s">
        <v>305</v>
      </c>
    </row>
    <row r="7" spans="1:10" x14ac:dyDescent="0.3">
      <c r="A7" t="s">
        <v>91</v>
      </c>
      <c r="D7" s="9"/>
      <c r="E7" s="11">
        <v>2500</v>
      </c>
      <c r="F7" s="11">
        <v>2500</v>
      </c>
      <c r="G7" s="11">
        <v>2500</v>
      </c>
      <c r="H7" s="11">
        <v>2500</v>
      </c>
      <c r="I7" s="11">
        <v>2500</v>
      </c>
    </row>
    <row r="8" spans="1:10" x14ac:dyDescent="0.3">
      <c r="A8" t="s">
        <v>92</v>
      </c>
      <c r="D8" s="9"/>
      <c r="E8" s="11">
        <v>5500</v>
      </c>
      <c r="F8" s="11">
        <v>5500</v>
      </c>
      <c r="G8" s="11">
        <v>5500</v>
      </c>
      <c r="H8" s="11">
        <v>5500</v>
      </c>
      <c r="I8" s="11">
        <v>5500</v>
      </c>
    </row>
    <row r="9" spans="1:10" x14ac:dyDescent="0.3">
      <c r="A9" s="13" t="s">
        <v>164</v>
      </c>
      <c r="B9" s="13"/>
      <c r="C9" s="13"/>
      <c r="D9" s="14"/>
      <c r="E9" s="3">
        <v>17000</v>
      </c>
      <c r="F9" s="3">
        <v>17000</v>
      </c>
      <c r="G9" s="3">
        <v>17000</v>
      </c>
      <c r="H9" s="3">
        <v>17000</v>
      </c>
      <c r="I9" s="3">
        <v>17000</v>
      </c>
    </row>
    <row r="10" spans="1:10" x14ac:dyDescent="0.3">
      <c r="A10" s="15" t="s">
        <v>93</v>
      </c>
      <c r="B10" s="16"/>
      <c r="C10" s="16"/>
      <c r="D10" s="17"/>
      <c r="E10" s="15">
        <v>167000</v>
      </c>
      <c r="F10" s="15">
        <v>167000</v>
      </c>
      <c r="G10" s="15">
        <v>167000</v>
      </c>
      <c r="H10" s="15">
        <v>167000</v>
      </c>
      <c r="I10" s="15">
        <v>167000</v>
      </c>
    </row>
    <row r="11" spans="1:10" x14ac:dyDescent="0.3">
      <c r="A11" s="3" t="s">
        <v>391</v>
      </c>
      <c r="D11" s="9"/>
      <c r="E11" s="11">
        <v>3.2637</v>
      </c>
      <c r="F11" s="11">
        <v>3.6156999999999999</v>
      </c>
      <c r="G11" s="3">
        <v>4.0788000000000002</v>
      </c>
      <c r="H11" s="11">
        <v>3.3942999999999999</v>
      </c>
      <c r="I11" s="11">
        <v>3.63</v>
      </c>
    </row>
    <row r="12" spans="1:10" x14ac:dyDescent="0.3">
      <c r="A12" s="3" t="s">
        <v>392</v>
      </c>
      <c r="D12" s="9"/>
      <c r="E12" s="11">
        <v>1.9338</v>
      </c>
      <c r="F12" s="11">
        <v>2.1175000000000002</v>
      </c>
      <c r="G12" s="3">
        <v>2.3793000000000002</v>
      </c>
      <c r="H12" s="11">
        <v>2.0110999999999999</v>
      </c>
      <c r="I12" s="11">
        <v>2.145</v>
      </c>
    </row>
    <row r="13" spans="1:10" x14ac:dyDescent="0.3">
      <c r="A13" s="3" t="s">
        <v>393</v>
      </c>
      <c r="D13" s="9"/>
      <c r="E13" s="11">
        <v>1.9074</v>
      </c>
      <c r="F13" s="11">
        <v>2.0878000000000001</v>
      </c>
      <c r="G13" s="3">
        <v>2.3679999999999999</v>
      </c>
      <c r="H13" s="11">
        <v>1.9837</v>
      </c>
      <c r="I13" s="11">
        <v>2.1230000000000002</v>
      </c>
    </row>
    <row r="14" spans="1:10" x14ac:dyDescent="0.3">
      <c r="A14" s="3" t="s">
        <v>97</v>
      </c>
      <c r="D14" s="9"/>
      <c r="E14" s="11">
        <v>1.8919999999999999</v>
      </c>
      <c r="F14" s="11">
        <v>2.0712999999999999</v>
      </c>
      <c r="G14" s="3">
        <v>2.3227000000000002</v>
      </c>
      <c r="H14" s="11">
        <v>1.9677</v>
      </c>
      <c r="I14" s="11">
        <v>2.101</v>
      </c>
    </row>
    <row r="15" spans="1:10" x14ac:dyDescent="0.3">
      <c r="A15" s="3" t="s">
        <v>390</v>
      </c>
      <c r="D15" s="9"/>
      <c r="E15" s="11">
        <v>1.7919</v>
      </c>
      <c r="F15" s="11">
        <v>1.9645999999999999</v>
      </c>
      <c r="G15" s="3">
        <v>2.266</v>
      </c>
      <c r="H15" s="11">
        <v>1.8635999999999999</v>
      </c>
      <c r="I15" s="11">
        <v>1.9910000000000001</v>
      </c>
    </row>
    <row r="16" spans="1:10" x14ac:dyDescent="0.3">
      <c r="A16" t="s">
        <v>202</v>
      </c>
      <c r="D16" s="9"/>
      <c r="E16" s="11">
        <v>48.73</v>
      </c>
      <c r="F16" s="11">
        <v>51.798999999999999</v>
      </c>
      <c r="G16" s="3">
        <v>58.915999999999997</v>
      </c>
      <c r="H16" s="11">
        <v>50.677</v>
      </c>
      <c r="I16" s="11">
        <v>58.805999999999997</v>
      </c>
    </row>
    <row r="17" spans="1:10" x14ac:dyDescent="0.3">
      <c r="A17" s="14"/>
      <c r="B17" s="14"/>
      <c r="C17" s="14"/>
      <c r="D17" s="14"/>
      <c r="E17" s="14"/>
      <c r="F17" s="14"/>
      <c r="G17" s="9"/>
      <c r="H17" s="9"/>
      <c r="I17" s="9"/>
    </row>
    <row r="18" spans="1:10" x14ac:dyDescent="0.3">
      <c r="A18" s="18" t="s">
        <v>171</v>
      </c>
      <c r="B18" s="13"/>
      <c r="C18" s="13"/>
      <c r="D18" s="14"/>
      <c r="E18" s="19" t="s">
        <v>204</v>
      </c>
      <c r="F18" s="12" t="s">
        <v>169</v>
      </c>
      <c r="G18" s="12" t="s">
        <v>124</v>
      </c>
      <c r="H18" s="12" t="s">
        <v>71</v>
      </c>
      <c r="I18" s="12" t="s">
        <v>305</v>
      </c>
    </row>
    <row r="19" spans="1:10" x14ac:dyDescent="0.3">
      <c r="A19" s="3" t="s">
        <v>144</v>
      </c>
      <c r="C19" s="13"/>
      <c r="D19" s="14"/>
      <c r="E19" s="23" t="s">
        <v>160</v>
      </c>
      <c r="F19" s="24" t="s">
        <v>246</v>
      </c>
      <c r="G19" s="24" t="s">
        <v>228</v>
      </c>
      <c r="H19" s="24" t="s">
        <v>272</v>
      </c>
      <c r="I19" s="24" t="s">
        <v>306</v>
      </c>
    </row>
    <row r="20" spans="1:10" x14ac:dyDescent="0.3">
      <c r="A20" s="13" t="s">
        <v>174</v>
      </c>
      <c r="C20" s="13"/>
      <c r="D20" s="14"/>
      <c r="E20" s="24" t="s">
        <v>343</v>
      </c>
      <c r="F20" s="24" t="s">
        <v>176</v>
      </c>
      <c r="G20" s="24" t="s">
        <v>195</v>
      </c>
      <c r="H20" s="24" t="s">
        <v>343</v>
      </c>
      <c r="I20" s="24" t="s">
        <v>195</v>
      </c>
    </row>
    <row r="21" spans="1:10" x14ac:dyDescent="0.3">
      <c r="A21" t="s">
        <v>234</v>
      </c>
      <c r="D21" s="9"/>
      <c r="E21" s="26" t="s">
        <v>273</v>
      </c>
      <c r="F21" s="25">
        <v>70</v>
      </c>
      <c r="G21" s="26" t="s">
        <v>196</v>
      </c>
      <c r="H21" s="11" t="s">
        <v>166</v>
      </c>
      <c r="I21" s="26" t="s">
        <v>218</v>
      </c>
    </row>
    <row r="22" spans="1:10" x14ac:dyDescent="0.3">
      <c r="A22" t="s">
        <v>177</v>
      </c>
      <c r="D22" s="9"/>
      <c r="E22" s="26" t="s">
        <v>245</v>
      </c>
      <c r="F22" s="26" t="s">
        <v>133</v>
      </c>
      <c r="G22" s="24" t="s">
        <v>227</v>
      </c>
      <c r="H22" s="11" t="s">
        <v>72</v>
      </c>
      <c r="I22" s="30" t="s">
        <v>217</v>
      </c>
    </row>
    <row r="23" spans="1:10" x14ac:dyDescent="0.3">
      <c r="A23" t="s">
        <v>379</v>
      </c>
      <c r="D23" s="9"/>
      <c r="E23" s="27">
        <v>13.12</v>
      </c>
      <c r="F23" s="25">
        <v>12</v>
      </c>
      <c r="G23" s="25" t="s">
        <v>272</v>
      </c>
      <c r="H23" s="25" t="s">
        <v>272</v>
      </c>
      <c r="I23" s="25">
        <v>10</v>
      </c>
    </row>
    <row r="24" spans="1:10" x14ac:dyDescent="0.3">
      <c r="A24" t="s">
        <v>328</v>
      </c>
      <c r="D24" s="9"/>
      <c r="E24" s="68" t="s">
        <v>192</v>
      </c>
      <c r="F24" s="25" t="s">
        <v>134</v>
      </c>
      <c r="G24" s="11" t="s">
        <v>136</v>
      </c>
      <c r="H24" s="26" t="s">
        <v>224</v>
      </c>
      <c r="I24" s="26" t="s">
        <v>224</v>
      </c>
    </row>
    <row r="25" spans="1:10" x14ac:dyDescent="0.3">
      <c r="A25" s="84"/>
      <c r="B25" s="84"/>
      <c r="C25" s="84"/>
      <c r="D25" s="84"/>
      <c r="E25" s="84"/>
      <c r="F25" s="84"/>
      <c r="G25" s="84"/>
      <c r="H25" s="84"/>
      <c r="I25" s="84"/>
      <c r="J25" s="84"/>
    </row>
  </sheetData>
  <sheetProtection algorithmName="SHA-512" hashValue="+oaLzoic8ZTNTYMjjN1ht/YYrgZE+me4FaSbKlxrCpZnLpOpmae5P1GygFEdNXm+h5s38frxzGYCXep6Q6+PwQ==" saltValue="3mAjH0crsPgtP3CcJJnhWQ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K25"/>
  <sheetViews>
    <sheetView zoomScale="150" workbookViewId="0">
      <selection activeCell="H30" sqref="H30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284</v>
      </c>
    </row>
    <row r="2" spans="1:11" x14ac:dyDescent="0.3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</row>
    <row r="3" spans="1:11" x14ac:dyDescent="0.3">
      <c r="A3" s="6" t="s">
        <v>293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108</v>
      </c>
      <c r="B4" s="1"/>
      <c r="D4" s="9"/>
      <c r="E4" s="10" t="s">
        <v>150</v>
      </c>
    </row>
    <row r="5" spans="1:11" x14ac:dyDescent="0.3">
      <c r="A5" s="10" t="s">
        <v>294</v>
      </c>
      <c r="B5" s="1"/>
      <c r="D5" s="9"/>
    </row>
    <row r="6" spans="1:11" x14ac:dyDescent="0.3">
      <c r="A6" s="2" t="s">
        <v>114</v>
      </c>
      <c r="C6" s="11"/>
      <c r="D6" s="9"/>
      <c r="E6" s="12" t="s">
        <v>169</v>
      </c>
      <c r="F6" s="12" t="s">
        <v>137</v>
      </c>
    </row>
    <row r="7" spans="1:11" x14ac:dyDescent="0.3">
      <c r="A7" t="s">
        <v>206</v>
      </c>
      <c r="D7" s="9"/>
      <c r="E7" s="11">
        <v>2500</v>
      </c>
      <c r="F7" s="11">
        <v>2500</v>
      </c>
    </row>
    <row r="8" spans="1:11" x14ac:dyDescent="0.3">
      <c r="A8" t="s">
        <v>201</v>
      </c>
      <c r="D8" s="9"/>
      <c r="E8" s="11">
        <v>5500</v>
      </c>
      <c r="F8" s="11">
        <v>5500</v>
      </c>
    </row>
    <row r="9" spans="1:11" x14ac:dyDescent="0.3">
      <c r="A9" s="13" t="s">
        <v>164</v>
      </c>
      <c r="B9" s="13"/>
      <c r="C9" s="13"/>
      <c r="D9" s="14"/>
      <c r="E9" s="3">
        <v>17000</v>
      </c>
      <c r="F9" s="3">
        <v>17000</v>
      </c>
    </row>
    <row r="10" spans="1:11" x14ac:dyDescent="0.3">
      <c r="A10" s="15" t="s">
        <v>395</v>
      </c>
      <c r="B10" s="16"/>
      <c r="C10" s="16"/>
      <c r="D10" s="17"/>
      <c r="E10" s="15">
        <v>167000</v>
      </c>
      <c r="F10" s="15">
        <v>167000</v>
      </c>
    </row>
    <row r="11" spans="1:11" x14ac:dyDescent="0.3">
      <c r="A11" s="3" t="s">
        <v>391</v>
      </c>
      <c r="D11" s="9"/>
      <c r="E11" s="11">
        <v>3.6156999999999999</v>
      </c>
      <c r="F11" s="11">
        <v>4.1297899999999998</v>
      </c>
    </row>
    <row r="12" spans="1:11" x14ac:dyDescent="0.3">
      <c r="A12" s="3" t="s">
        <v>392</v>
      </c>
      <c r="D12" s="9"/>
      <c r="E12" s="11">
        <v>2.1175000000000002</v>
      </c>
      <c r="F12" s="11">
        <v>2.3793000000000002</v>
      </c>
    </row>
    <row r="13" spans="1:11" x14ac:dyDescent="0.3">
      <c r="A13" s="3" t="s">
        <v>393</v>
      </c>
      <c r="D13" s="9"/>
      <c r="E13" s="11">
        <v>2.0878000000000001</v>
      </c>
      <c r="F13" s="11">
        <v>2.3679700000000001</v>
      </c>
    </row>
    <row r="14" spans="1:11" x14ac:dyDescent="0.3">
      <c r="A14" s="3" t="s">
        <v>97</v>
      </c>
      <c r="D14" s="9"/>
      <c r="E14" s="11">
        <v>2.0712999999999999</v>
      </c>
      <c r="F14" s="11">
        <v>2.3226499999999999</v>
      </c>
    </row>
    <row r="15" spans="1:11" x14ac:dyDescent="0.3">
      <c r="A15" s="3" t="s">
        <v>390</v>
      </c>
      <c r="D15" s="9"/>
      <c r="E15" s="11">
        <v>1.9645999999999999</v>
      </c>
      <c r="F15" s="11">
        <v>2.266</v>
      </c>
    </row>
    <row r="16" spans="1:11" x14ac:dyDescent="0.3">
      <c r="A16" t="s">
        <v>202</v>
      </c>
      <c r="D16" s="9"/>
      <c r="E16" s="11">
        <v>51.798999999999999</v>
      </c>
      <c r="F16" s="11">
        <v>58.915999999999997</v>
      </c>
    </row>
    <row r="17" spans="1:11" x14ac:dyDescent="0.3">
      <c r="A17" s="14"/>
      <c r="B17" s="14"/>
      <c r="C17" s="14"/>
      <c r="D17" s="14"/>
      <c r="E17" s="14"/>
      <c r="F17" s="14"/>
      <c r="G17" s="14"/>
      <c r="H17" s="9"/>
      <c r="I17" s="9"/>
      <c r="J17" s="9"/>
      <c r="K17" s="9"/>
    </row>
    <row r="18" spans="1:11" x14ac:dyDescent="0.3">
      <c r="A18" s="18" t="s">
        <v>171</v>
      </c>
      <c r="B18" s="13"/>
      <c r="C18" s="13"/>
      <c r="D18" s="14"/>
      <c r="E18" s="12" t="s">
        <v>169</v>
      </c>
      <c r="F18" s="12" t="s">
        <v>137</v>
      </c>
    </row>
    <row r="19" spans="1:11" x14ac:dyDescent="0.3">
      <c r="A19" s="3" t="s">
        <v>144</v>
      </c>
      <c r="C19" s="13"/>
      <c r="D19" s="14"/>
      <c r="E19" s="24" t="s">
        <v>226</v>
      </c>
      <c r="F19" s="11" t="s">
        <v>189</v>
      </c>
    </row>
    <row r="20" spans="1:11" x14ac:dyDescent="0.3">
      <c r="A20" s="13" t="s">
        <v>174</v>
      </c>
      <c r="C20" s="13"/>
      <c r="D20" s="14"/>
      <c r="E20" s="24" t="s">
        <v>176</v>
      </c>
      <c r="F20" s="11" t="s">
        <v>190</v>
      </c>
    </row>
    <row r="21" spans="1:11" x14ac:dyDescent="0.3">
      <c r="A21" t="s">
        <v>234</v>
      </c>
      <c r="D21" s="9"/>
      <c r="E21" s="25">
        <v>70</v>
      </c>
      <c r="F21" s="11" t="s">
        <v>191</v>
      </c>
    </row>
    <row r="22" spans="1:11" x14ac:dyDescent="0.3">
      <c r="A22" t="s">
        <v>177</v>
      </c>
      <c r="D22" s="9"/>
      <c r="E22" s="26" t="s">
        <v>216</v>
      </c>
      <c r="F22" s="11" t="s">
        <v>344</v>
      </c>
    </row>
    <row r="23" spans="1:11" x14ac:dyDescent="0.3">
      <c r="A23" t="s">
        <v>379</v>
      </c>
      <c r="D23" s="9"/>
      <c r="E23" s="25">
        <v>12</v>
      </c>
      <c r="F23" s="11" t="s">
        <v>165</v>
      </c>
    </row>
    <row r="24" spans="1:11" x14ac:dyDescent="0.3">
      <c r="A24" t="s">
        <v>328</v>
      </c>
      <c r="D24" s="9"/>
      <c r="E24" s="25" t="s">
        <v>325</v>
      </c>
      <c r="F24" s="11" t="s">
        <v>165</v>
      </c>
    </row>
    <row r="25" spans="1:11" x14ac:dyDescent="0.3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</row>
  </sheetData>
  <sheetProtection algorithmName="SHA-512" hashValue="TESTmdZxDOxpvladEipG4+7N97mIXjgqW+Ct/sV42nMX7sPO+iG33NlcO4R556tCMbq7UF5yRWSJqM0l5saAOw==" saltValue="g7YVQ6L7tYCQKQ+giWAzu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K47"/>
  <sheetViews>
    <sheetView zoomScale="150" workbookViewId="0">
      <selection activeCell="H30" sqref="H30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180</v>
      </c>
    </row>
    <row r="2" spans="1:11" x14ac:dyDescent="0.3">
      <c r="A2" s="83"/>
      <c r="B2" s="84"/>
      <c r="C2" s="84"/>
      <c r="D2" s="84"/>
      <c r="E2" s="84"/>
      <c r="F2" s="84"/>
      <c r="G2" s="84"/>
      <c r="H2" s="84"/>
      <c r="I2" s="84"/>
      <c r="J2" s="84"/>
      <c r="K2" s="84"/>
    </row>
    <row r="3" spans="1:11" x14ac:dyDescent="0.3">
      <c r="A3" s="6" t="s">
        <v>64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298</v>
      </c>
      <c r="B4" s="1"/>
      <c r="D4" s="9"/>
      <c r="E4" s="10" t="s">
        <v>162</v>
      </c>
    </row>
    <row r="5" spans="1:11" x14ac:dyDescent="0.3">
      <c r="A5" s="10"/>
      <c r="B5" s="1"/>
      <c r="D5" s="9"/>
    </row>
    <row r="6" spans="1:11" x14ac:dyDescent="0.3">
      <c r="A6" s="2" t="s">
        <v>179</v>
      </c>
      <c r="C6" s="11"/>
      <c r="D6" s="9"/>
      <c r="E6" s="12" t="s">
        <v>169</v>
      </c>
      <c r="F6" s="12" t="s">
        <v>137</v>
      </c>
    </row>
    <row r="7" spans="1:11" x14ac:dyDescent="0.3">
      <c r="A7" s="21" t="s">
        <v>65</v>
      </c>
      <c r="D7" s="9"/>
      <c r="E7" s="72">
        <v>2</v>
      </c>
      <c r="F7" s="72">
        <v>2</v>
      </c>
    </row>
    <row r="8" spans="1:11" x14ac:dyDescent="0.3">
      <c r="A8" s="21" t="s">
        <v>66</v>
      </c>
      <c r="D8" s="9"/>
      <c r="E8" s="72">
        <v>4</v>
      </c>
      <c r="F8" s="72">
        <v>4</v>
      </c>
    </row>
    <row r="9" spans="1:11" x14ac:dyDescent="0.3">
      <c r="A9" s="13" t="s">
        <v>206</v>
      </c>
      <c r="B9" s="13"/>
      <c r="C9" s="13"/>
      <c r="D9" s="14"/>
      <c r="E9" s="3">
        <v>4000</v>
      </c>
      <c r="F9" s="3">
        <v>6000</v>
      </c>
    </row>
    <row r="10" spans="1:11" x14ac:dyDescent="0.3">
      <c r="A10" t="s">
        <v>92</v>
      </c>
      <c r="B10" s="13"/>
      <c r="C10" s="13"/>
      <c r="D10" s="14"/>
      <c r="E10" s="3">
        <v>0</v>
      </c>
      <c r="F10" s="3">
        <v>12000</v>
      </c>
    </row>
    <row r="11" spans="1:11" x14ac:dyDescent="0.3">
      <c r="A11" s="16" t="s">
        <v>94</v>
      </c>
      <c r="B11" s="16"/>
      <c r="C11" s="16"/>
      <c r="D11" s="17"/>
      <c r="E11" s="15">
        <v>0</v>
      </c>
      <c r="F11" s="15">
        <v>85000</v>
      </c>
    </row>
    <row r="12" spans="1:11" x14ac:dyDescent="0.3">
      <c r="A12" s="3" t="s">
        <v>254</v>
      </c>
      <c r="D12" s="9"/>
      <c r="E12" s="11">
        <v>1.6269</v>
      </c>
      <c r="F12" s="11">
        <v>2.09</v>
      </c>
    </row>
    <row r="13" spans="1:11" x14ac:dyDescent="0.3">
      <c r="A13" s="3" t="s">
        <v>345</v>
      </c>
      <c r="D13" s="9"/>
      <c r="E13" s="11">
        <v>0</v>
      </c>
      <c r="F13" s="11">
        <v>1.8149999999999999</v>
      </c>
    </row>
    <row r="14" spans="1:11" x14ac:dyDescent="0.3">
      <c r="A14" s="3" t="s">
        <v>346</v>
      </c>
      <c r="D14" s="9"/>
      <c r="E14" s="11">
        <v>0</v>
      </c>
      <c r="F14" s="11">
        <v>1.7490000000000001</v>
      </c>
    </row>
    <row r="15" spans="1:11" x14ac:dyDescent="0.3">
      <c r="A15" s="3" t="s">
        <v>236</v>
      </c>
      <c r="D15" s="9"/>
      <c r="E15" s="11">
        <v>1.8007</v>
      </c>
      <c r="F15" s="11">
        <v>1.7050000000000001</v>
      </c>
    </row>
    <row r="16" spans="1:11" x14ac:dyDescent="0.3">
      <c r="A16" s="3" t="s">
        <v>155</v>
      </c>
      <c r="D16" s="9"/>
      <c r="E16" s="11">
        <v>1.5345</v>
      </c>
      <c r="F16" s="11">
        <v>1.881</v>
      </c>
    </row>
    <row r="17" spans="1:6" x14ac:dyDescent="0.3">
      <c r="A17" s="3" t="s">
        <v>112</v>
      </c>
      <c r="D17" s="9"/>
      <c r="E17" s="11">
        <v>0</v>
      </c>
      <c r="F17" s="11">
        <v>1.7050000000000001</v>
      </c>
    </row>
    <row r="18" spans="1:6" x14ac:dyDescent="0.3">
      <c r="A18" s="3" t="s">
        <v>37</v>
      </c>
      <c r="D18" s="9"/>
      <c r="E18" s="11">
        <v>0</v>
      </c>
      <c r="F18" s="11">
        <v>1.694</v>
      </c>
    </row>
    <row r="19" spans="1:6" x14ac:dyDescent="0.3">
      <c r="A19" s="3" t="s">
        <v>55</v>
      </c>
      <c r="D19" s="9"/>
      <c r="E19" s="11">
        <v>1.6620999999999999</v>
      </c>
      <c r="F19" s="11">
        <v>1.65</v>
      </c>
    </row>
    <row r="20" spans="1:6" x14ac:dyDescent="0.3">
      <c r="A20" t="s">
        <v>202</v>
      </c>
      <c r="D20" s="9"/>
      <c r="E20" s="11">
        <v>49.093000000000004</v>
      </c>
      <c r="F20" s="11">
        <v>66</v>
      </c>
    </row>
    <row r="21" spans="1:6" x14ac:dyDescent="0.3">
      <c r="D21" s="9"/>
      <c r="E21" s="11"/>
      <c r="F21" s="11"/>
    </row>
    <row r="22" spans="1:6" x14ac:dyDescent="0.3">
      <c r="A22" s="10" t="s">
        <v>299</v>
      </c>
      <c r="D22" s="9"/>
      <c r="E22" s="11"/>
      <c r="F22" s="11"/>
    </row>
    <row r="23" spans="1:6" x14ac:dyDescent="0.3">
      <c r="D23" s="14"/>
      <c r="E23" s="11"/>
      <c r="F23" s="11"/>
    </row>
    <row r="24" spans="1:6" x14ac:dyDescent="0.3">
      <c r="A24" s="2" t="s">
        <v>114</v>
      </c>
      <c r="C24" s="11"/>
      <c r="D24" s="14"/>
      <c r="E24" s="12" t="s">
        <v>169</v>
      </c>
      <c r="F24" s="12" t="s">
        <v>137</v>
      </c>
    </row>
    <row r="25" spans="1:6" x14ac:dyDescent="0.3">
      <c r="A25" s="21" t="s">
        <v>65</v>
      </c>
      <c r="D25" s="9"/>
      <c r="E25" s="73" t="s">
        <v>51</v>
      </c>
      <c r="F25" s="72">
        <v>2</v>
      </c>
    </row>
    <row r="26" spans="1:6" x14ac:dyDescent="0.3">
      <c r="A26" s="85" t="s">
        <v>66</v>
      </c>
      <c r="B26" s="13"/>
      <c r="C26" s="13"/>
      <c r="D26" s="14"/>
      <c r="E26" s="87" t="s">
        <v>51</v>
      </c>
      <c r="F26" s="88">
        <v>4</v>
      </c>
    </row>
    <row r="27" spans="1:6" x14ac:dyDescent="0.3">
      <c r="A27" s="13" t="s">
        <v>206</v>
      </c>
      <c r="B27" s="13"/>
      <c r="C27" s="13"/>
      <c r="D27" s="14"/>
      <c r="E27" s="87">
        <v>0</v>
      </c>
      <c r="F27" s="3">
        <v>6000</v>
      </c>
    </row>
    <row r="28" spans="1:6" x14ac:dyDescent="0.3">
      <c r="A28" t="s">
        <v>92</v>
      </c>
      <c r="B28" s="13"/>
      <c r="C28" s="13"/>
      <c r="D28" s="14"/>
      <c r="E28" s="87">
        <v>0</v>
      </c>
      <c r="F28" s="3">
        <v>12000</v>
      </c>
    </row>
    <row r="29" spans="1:6" x14ac:dyDescent="0.3">
      <c r="A29" s="16" t="s">
        <v>94</v>
      </c>
      <c r="B29" s="16"/>
      <c r="C29" s="16"/>
      <c r="D29" s="17"/>
      <c r="E29" s="74">
        <v>0</v>
      </c>
      <c r="F29" s="15">
        <v>85000</v>
      </c>
    </row>
    <row r="30" spans="1:6" x14ac:dyDescent="0.3">
      <c r="A30" s="3" t="s">
        <v>95</v>
      </c>
      <c r="D30" s="14"/>
      <c r="E30" s="11">
        <v>2.3969</v>
      </c>
      <c r="F30" s="11">
        <v>3.1724000000000001</v>
      </c>
    </row>
    <row r="31" spans="1:6" x14ac:dyDescent="0.3">
      <c r="A31" s="3" t="s">
        <v>345</v>
      </c>
      <c r="D31" s="14"/>
      <c r="E31" s="11">
        <v>0</v>
      </c>
      <c r="F31" s="11">
        <v>2.4925999999999999</v>
      </c>
    </row>
    <row r="32" spans="1:6" x14ac:dyDescent="0.3">
      <c r="A32" s="3" t="s">
        <v>346</v>
      </c>
      <c r="D32" s="14"/>
      <c r="E32" s="11">
        <v>0</v>
      </c>
      <c r="F32" s="11">
        <v>2.266</v>
      </c>
    </row>
    <row r="33" spans="1:11" x14ac:dyDescent="0.3">
      <c r="A33" s="3" t="s">
        <v>236</v>
      </c>
      <c r="D33" s="14"/>
      <c r="E33" s="11">
        <v>0</v>
      </c>
      <c r="F33" s="11">
        <v>2.0394000000000001</v>
      </c>
    </row>
    <row r="34" spans="1:11" x14ac:dyDescent="0.3">
      <c r="A34" s="3" t="s">
        <v>155</v>
      </c>
      <c r="D34" s="14"/>
      <c r="E34" s="11">
        <v>0</v>
      </c>
      <c r="F34" s="11">
        <v>3.1157499999999998</v>
      </c>
    </row>
    <row r="35" spans="1:11" x14ac:dyDescent="0.3">
      <c r="A35" s="3" t="s">
        <v>112</v>
      </c>
      <c r="D35" s="14"/>
      <c r="E35" s="11">
        <v>0</v>
      </c>
      <c r="F35" s="11">
        <v>2.4359500000000001</v>
      </c>
    </row>
    <row r="36" spans="1:11" x14ac:dyDescent="0.3">
      <c r="A36" s="3" t="s">
        <v>37</v>
      </c>
      <c r="D36" s="14"/>
      <c r="E36" s="11">
        <v>0</v>
      </c>
      <c r="F36" s="11">
        <v>2.2093500000000001</v>
      </c>
    </row>
    <row r="37" spans="1:11" x14ac:dyDescent="0.3">
      <c r="A37" s="3" t="s">
        <v>55</v>
      </c>
      <c r="D37" s="14"/>
      <c r="E37" s="11">
        <v>0</v>
      </c>
      <c r="F37" s="11">
        <v>1.98275</v>
      </c>
    </row>
    <row r="38" spans="1:11" x14ac:dyDescent="0.3">
      <c r="A38" t="s">
        <v>202</v>
      </c>
      <c r="D38" s="14"/>
      <c r="E38" s="11">
        <v>55.604999999999997</v>
      </c>
      <c r="F38" s="11">
        <v>61.182000000000002</v>
      </c>
    </row>
    <row r="39" spans="1:11" x14ac:dyDescent="0.3">
      <c r="A39" s="14"/>
      <c r="B39" s="14"/>
      <c r="C39" s="14"/>
      <c r="D39" s="9"/>
      <c r="E39" s="14"/>
      <c r="F39" s="14"/>
      <c r="G39" s="14"/>
      <c r="H39" s="9"/>
      <c r="I39" s="9"/>
      <c r="J39" s="9"/>
      <c r="K39" s="9"/>
    </row>
    <row r="40" spans="1:11" x14ac:dyDescent="0.3">
      <c r="A40" s="18" t="s">
        <v>171</v>
      </c>
      <c r="B40" s="13"/>
      <c r="D40" s="9"/>
      <c r="E40" s="12" t="s">
        <v>169</v>
      </c>
      <c r="F40" s="12" t="s">
        <v>137</v>
      </c>
      <c r="G40" s="11"/>
    </row>
    <row r="41" spans="1:11" x14ac:dyDescent="0.3">
      <c r="A41" s="3" t="s">
        <v>144</v>
      </c>
      <c r="D41" s="9"/>
      <c r="E41" s="24" t="s">
        <v>226</v>
      </c>
      <c r="F41" s="11" t="s">
        <v>189</v>
      </c>
      <c r="G41" s="11"/>
    </row>
    <row r="42" spans="1:11" x14ac:dyDescent="0.3">
      <c r="A42" s="13" t="s">
        <v>174</v>
      </c>
      <c r="D42" s="14"/>
      <c r="E42" s="24" t="s">
        <v>176</v>
      </c>
      <c r="F42" s="11" t="s">
        <v>190</v>
      </c>
      <c r="G42" s="11"/>
    </row>
    <row r="43" spans="1:11" x14ac:dyDescent="0.3">
      <c r="A43" t="s">
        <v>234</v>
      </c>
      <c r="D43" s="14"/>
      <c r="E43" s="25">
        <v>70</v>
      </c>
      <c r="F43" s="11" t="s">
        <v>191</v>
      </c>
      <c r="G43" s="11"/>
    </row>
    <row r="44" spans="1:11" x14ac:dyDescent="0.3">
      <c r="A44" t="s">
        <v>177</v>
      </c>
      <c r="D44" s="14"/>
      <c r="E44" s="26" t="s">
        <v>133</v>
      </c>
      <c r="F44" s="11" t="s">
        <v>344</v>
      </c>
      <c r="G44" s="11"/>
    </row>
    <row r="45" spans="1:11" x14ac:dyDescent="0.3">
      <c r="A45" t="s">
        <v>379</v>
      </c>
      <c r="D45" s="14"/>
      <c r="E45" s="25">
        <v>12</v>
      </c>
      <c r="F45" s="11" t="s">
        <v>272</v>
      </c>
      <c r="G45" s="11"/>
    </row>
    <row r="46" spans="1:11" x14ac:dyDescent="0.3">
      <c r="A46" t="s">
        <v>328</v>
      </c>
      <c r="D46" s="14"/>
      <c r="E46" s="25" t="s">
        <v>134</v>
      </c>
      <c r="F46" s="11" t="s">
        <v>272</v>
      </c>
      <c r="G46" s="11"/>
    </row>
    <row r="47" spans="1:11" x14ac:dyDescent="0.3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</row>
  </sheetData>
  <sheetProtection algorithmName="SHA-512" hashValue="zpP/SvR76QBNjlcURyOp9ymIXEtMX4GvZyBj18oYsGEwN+WhfVnXhtuRVrSWacBweIOy5iF7nqLVVOWmtH4aNw==" saltValue="qN46jHY3d9HGLJ62okOypA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82A75-FE8F-7C41-AEA9-05F1671282C0}">
  <sheetPr codeName="Sheet34"/>
  <dimension ref="A1:QX10395"/>
  <sheetViews>
    <sheetView workbookViewId="0">
      <selection activeCell="X8" sqref="X8:X16"/>
    </sheetView>
  </sheetViews>
  <sheetFormatPr defaultColWidth="10.84375" defaultRowHeight="13.5" x14ac:dyDescent="0.3"/>
  <cols>
    <col min="1" max="1" width="18.69140625" style="326" customWidth="1"/>
    <col min="2" max="2" width="30.4609375" style="326" bestFit="1" customWidth="1"/>
    <col min="3" max="3" width="18.15234375" style="326" bestFit="1" customWidth="1"/>
    <col min="4" max="11" width="12.15234375" style="326" customWidth="1"/>
    <col min="12" max="12" width="10.69140625" style="326" hidden="1" customWidth="1"/>
    <col min="13" max="13" width="12.15234375" style="326" hidden="1" customWidth="1"/>
    <col min="14" max="18" width="12.15234375" style="326" customWidth="1"/>
    <col min="19" max="20" width="12.15234375" style="326" hidden="1" customWidth="1"/>
    <col min="21" max="22" width="10.69140625" style="326" hidden="1" customWidth="1"/>
    <col min="23" max="26" width="12.15234375" style="326" customWidth="1"/>
    <col min="27" max="27" width="10.84375" style="326"/>
    <col min="28" max="466" width="11.07421875" customWidth="1"/>
    <col min="467" max="16384" width="10.84375" style="365"/>
  </cols>
  <sheetData>
    <row r="1" spans="1:40" customFormat="1" x14ac:dyDescent="0.3">
      <c r="A1" s="491" t="s">
        <v>483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</row>
    <row r="2" spans="1:40" customFormat="1" x14ac:dyDescent="0.3">
      <c r="A2" s="492" t="s">
        <v>484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491"/>
      <c r="AK2" s="491"/>
      <c r="AL2" s="491"/>
      <c r="AM2" s="491"/>
      <c r="AN2" s="491"/>
    </row>
    <row r="3" spans="1:40" customFormat="1" ht="14" thickBot="1" x14ac:dyDescent="0.35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1"/>
      <c r="AE3" s="491"/>
      <c r="AF3" s="491"/>
      <c r="AG3" s="491"/>
      <c r="AH3" s="491"/>
      <c r="AI3" s="491"/>
      <c r="AJ3" s="491"/>
      <c r="AK3" s="491"/>
      <c r="AL3" s="491"/>
      <c r="AM3" s="491"/>
      <c r="AN3" s="491"/>
    </row>
    <row r="4" spans="1:40" ht="14" x14ac:dyDescent="0.3">
      <c r="A4" s="300" t="s">
        <v>423</v>
      </c>
      <c r="B4" s="301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3"/>
      <c r="AB4" s="491"/>
      <c r="AC4" s="491"/>
      <c r="AD4" s="491"/>
      <c r="AE4" s="491"/>
      <c r="AF4" s="491"/>
      <c r="AG4" s="491"/>
      <c r="AH4" s="491"/>
      <c r="AI4" s="491"/>
      <c r="AJ4" s="491"/>
      <c r="AK4" s="491"/>
      <c r="AL4" s="491"/>
      <c r="AM4" s="491"/>
      <c r="AN4" s="491"/>
    </row>
    <row r="5" spans="1:40" ht="14" x14ac:dyDescent="0.3">
      <c r="A5" s="304" t="s">
        <v>662</v>
      </c>
      <c r="B5" s="493"/>
      <c r="C5" s="494">
        <v>4000</v>
      </c>
      <c r="D5" s="360"/>
      <c r="E5" s="493"/>
      <c r="F5" s="493"/>
      <c r="G5" s="493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308"/>
      <c r="AB5" s="491"/>
      <c r="AC5" s="491"/>
      <c r="AD5" s="491"/>
      <c r="AE5" s="491"/>
      <c r="AF5" s="491"/>
      <c r="AG5" s="491"/>
      <c r="AH5" s="491"/>
      <c r="AI5" s="491"/>
      <c r="AJ5" s="491"/>
      <c r="AK5" s="491"/>
      <c r="AL5" s="491"/>
      <c r="AM5" s="491"/>
      <c r="AN5" s="491"/>
    </row>
    <row r="6" spans="1:40" ht="14" x14ac:dyDescent="0.3">
      <c r="A6" s="304"/>
      <c r="B6" s="493"/>
      <c r="C6" s="493"/>
      <c r="D6" s="493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308"/>
      <c r="AB6" s="491"/>
      <c r="AC6" s="491"/>
      <c r="AD6" s="491"/>
      <c r="AE6" s="491"/>
      <c r="AF6" s="491"/>
      <c r="AG6" s="491"/>
      <c r="AH6" s="491"/>
      <c r="AI6" s="491"/>
      <c r="AJ6" s="491"/>
      <c r="AK6" s="491"/>
      <c r="AL6" s="491"/>
      <c r="AM6" s="491"/>
      <c r="AN6" s="491"/>
    </row>
    <row r="7" spans="1:40" ht="70" x14ac:dyDescent="0.3">
      <c r="A7" s="330" t="s">
        <v>267</v>
      </c>
      <c r="B7" s="331" t="s">
        <v>424</v>
      </c>
      <c r="C7" s="332" t="s">
        <v>351</v>
      </c>
      <c r="D7" s="332" t="s">
        <v>352</v>
      </c>
      <c r="E7" s="332" t="s">
        <v>425</v>
      </c>
      <c r="F7" s="332" t="s">
        <v>426</v>
      </c>
      <c r="G7" s="332" t="s">
        <v>471</v>
      </c>
      <c r="H7" s="332" t="s">
        <v>398</v>
      </c>
      <c r="I7" s="332" t="s">
        <v>399</v>
      </c>
      <c r="J7" s="332" t="s">
        <v>427</v>
      </c>
      <c r="K7" s="332" t="s">
        <v>120</v>
      </c>
      <c r="L7" s="368" t="s">
        <v>401</v>
      </c>
      <c r="M7" s="369" t="s">
        <v>402</v>
      </c>
      <c r="N7" s="333" t="s">
        <v>437</v>
      </c>
      <c r="O7" s="334" t="s">
        <v>403</v>
      </c>
      <c r="P7" s="335" t="s">
        <v>404</v>
      </c>
      <c r="Q7" s="335" t="s">
        <v>405</v>
      </c>
      <c r="R7" s="335" t="s">
        <v>406</v>
      </c>
      <c r="S7" s="336" t="s">
        <v>658</v>
      </c>
      <c r="T7" s="336" t="s">
        <v>659</v>
      </c>
      <c r="U7" s="337" t="s">
        <v>53</v>
      </c>
      <c r="V7" s="337" t="s">
        <v>0</v>
      </c>
      <c r="W7" s="389" t="s">
        <v>419</v>
      </c>
      <c r="X7" s="389" t="s">
        <v>420</v>
      </c>
      <c r="Y7" s="335" t="s">
        <v>421</v>
      </c>
      <c r="Z7" s="335" t="s">
        <v>422</v>
      </c>
      <c r="AA7" s="396" t="s">
        <v>438</v>
      </c>
      <c r="AB7" s="491"/>
      <c r="AC7" s="491"/>
      <c r="AD7" s="491"/>
      <c r="AE7" s="491"/>
      <c r="AF7" s="491"/>
      <c r="AG7" s="491"/>
      <c r="AH7" s="491"/>
      <c r="AI7" s="491"/>
      <c r="AJ7" s="491"/>
      <c r="AK7" s="491"/>
      <c r="AL7" s="491"/>
      <c r="AM7" s="491"/>
      <c r="AN7" s="491"/>
    </row>
    <row r="8" spans="1:40" ht="25" customHeight="1" x14ac:dyDescent="0.3">
      <c r="A8" s="309" t="str">
        <f>'Tariffs 2021'!F2</f>
        <v>AGL</v>
      </c>
      <c r="B8" s="360" t="str">
        <f>'Tariffs 2021'!D2</f>
        <v>Jemena Coastal Network</v>
      </c>
      <c r="C8" s="360" t="str">
        <f>'Tariffs 2021'!G2</f>
        <v>Super Saver</v>
      </c>
      <c r="D8" s="361">
        <f>60*'Tariffs 2021'!H2/100</f>
        <v>33.954545454545453</v>
      </c>
      <c r="E8" s="361">
        <f>IF('Tariffs 2021'!K2="",$C$5*'Tariffs 2021'!W2/100,IF($C$5&gt;='Tariffs 2021'!L2,('Tariffs 2021'!L2*'Tariffs 2021'!W2/100),($C$5*'Tariffs 2021'!W2/100)))</f>
        <v>32.509090909090908</v>
      </c>
      <c r="F8" s="361">
        <f>IF(AND('Tariffs 2021'!L2&gt;0,'Tariffs 2021'!M2&gt;0),IF($C$5&lt;'Tariffs 2021'!L2,0,IF(($C$5-'Tariffs 2021'!L2)&lt;=('Tariffs 2021'!M2+'Tariffs 2021'!L2),(($C$5-'Tariffs 2021'!L2)*'Tariffs 2021'!X2/100),(('Tariffs 2021'!M2)*'Tariffs 2021'!X2/100))),0)</f>
        <v>28.36363636363636</v>
      </c>
      <c r="G8" s="361">
        <f>IF(AND('Tariffs 2021'!M2&gt;0,'Tariffs 2021'!N2&gt;0),IF($C$5&lt;('Tariffs 2021'!L2+'Tariffs 2021'!M2),0,IF(($C$5-'Tariffs 2021'!L2+'Tariffs 2021'!M2)&lt;=('Tariffs 2021'!L2+'Tariffs 2021'!M2+'Tariffs 2021'!N2),(($C$5-('Tariffs 2021'!L2+'Tariffs 2021'!M2))*'Tariffs 2021'!Y2/100),('Tariffs 2021'!N2*'Tariffs 2021'!Y2/100))),0)</f>
        <v>36.072727272727271</v>
      </c>
      <c r="H8" s="361">
        <f>IF(AND('Tariffs 2021'!N2&gt;0,'Tariffs 2021'!O2&gt;0),IF($C$5&lt;('Tariffs 2021'!L2+'Tariffs 2021'!M2+'Tariffs 2021'!N2),0,IF(($C$5-'Tariffs 2021'!L2+'Tariffs 2021'!M2+'Tariffs 2021'!N2)&lt;=('Tariffs 2021'!L2+'Tariffs 2021'!M2+'Tariffs 2021'!N2+'Tariffs 2021'!O2),(($C$5-('Tariffs 2021'!L2+'Tariffs 2021'!M2+'Tariffs 2021'!N2))*'Tariffs 2021'!Z2/100),('Tariffs 2021'!O2*'Tariffs 2021'!Z2/100))),0)</f>
        <v>0</v>
      </c>
      <c r="I8" s="361">
        <f>IF(AND('Tariffs 2021'!O2&gt;0,'Tariffs 2021'!P2&gt;0),IF($C$5&lt;('Tariffs 2021'!L2+'Tariffs 2021'!M2+'Tariffs 2021'!N2+'Tariffs 2021'!O2),0,IF(($C$5-'Tariffs 2021'!L2+'Tariffs 2021'!M2+'Tariffs 2021'!N2+'Tariffs 2021'!O2)&lt;=('Tariffs 2021'!L2+'Tariffs 2021'!M2+'Tariffs 2021'!N2+'Tariffs 2021'!O2+'Tariffs 2021'!P2),(($C$5-('Tariffs 2021'!L2+'Tariffs 2021'!M2+'Tariffs 2021'!N2+'Tariffs 2021'!O2))*'Tariffs 2021'!AA2/100),('Tariffs 2021'!P2*'Tariffs 2021'!AA2/100))),0)</f>
        <v>0</v>
      </c>
      <c r="J8" s="361">
        <f>IF(AND('Tariffs 2021'!P2&gt;0,'Tariffs 2021'!O2&gt;0),IF(($C$5&lt;SUM('Tariffs 2021'!L2:P2)),(0),($C$5-SUM('Tariffs 2021'!L2:P2))*'Tariffs 2021'!AB2/100),IF(AND('Tariffs 2021'!O2&gt;0,'Tariffs 2021'!P2=""),IF(($C$5&lt; SUM('Tariffs 2021'!L2:O2)),(0),($C$5-SUM('Tariffs 2021'!L2:O2))*'Tariffs 2021'!AA2/100),IF(AND('Tariffs 2021'!N2&gt;0,'Tariffs 2021'!O2=""),IF(($C$5&lt; SUM('Tariffs 2021'!L2:N2)),(0),($C$5-SUM('Tariffs 2021'!L2:N2))*'Tariffs 2021'!Z2/100),IF(AND('Tariffs 2021'!M2&gt;0,'Tariffs 2021'!N2=""),IF(($C$5&lt;'Tariffs 2021'!M2+'Tariffs 2021'!L2),(0),(($C$5-('Tariffs 2021'!M2+'Tariffs 2021'!L2))*'Tariffs 2021'!Y2/100)),IF(AND('Tariffs 2021'!L2&gt;0,'Tariffs 2021'!M2=""&gt;0),IF(($C$5&lt;'Tariffs 2021'!L2),(0),($C$5-'Tariffs 2021'!L2)*'Tariffs 2021'!X2/100),0)))))</f>
        <v>0</v>
      </c>
      <c r="K8" s="361">
        <f t="shared" ref="K8:K36" si="0">SUM(D8:J8)</f>
        <v>130.9</v>
      </c>
      <c r="L8" s="378">
        <f>(K8*6)-(D8*6)</f>
        <v>581.67272727272734</v>
      </c>
      <c r="M8" s="379">
        <f>K8*6</f>
        <v>785.40000000000009</v>
      </c>
      <c r="N8" s="488">
        <f>M8*1.1</f>
        <v>863.94000000000017</v>
      </c>
      <c r="O8" s="360">
        <f>'Tariffs 2021'!AT2</f>
        <v>0</v>
      </c>
      <c r="P8" s="360">
        <f>'Tariffs 2021'!AU2</f>
        <v>0</v>
      </c>
      <c r="Q8" s="360">
        <f>'Tariffs 2021'!AV2</f>
        <v>0</v>
      </c>
      <c r="R8" s="360">
        <f>'Tariffs 2021'!AW2</f>
        <v>0</v>
      </c>
      <c r="S8" s="312" t="str">
        <f t="shared" ref="S8" si="1">IF(SUM(O8:R8)=0,"No discount",IF(O8&gt;0,"Guaranteed off bill",IF(P8&gt;0,"Guaranteed off usage",IF(Q8&gt;0,"Pay-on-time off bill","Pay-on-time off usage"))))</f>
        <v>No discount</v>
      </c>
      <c r="T8" s="312" t="str">
        <f t="shared" ref="T8:T36" si="2">IF(OR(A8="Origin Energy",A8="Red Energy",A8="Powershop"),"Inclusive","Exclusive")</f>
        <v>Exclusive</v>
      </c>
      <c r="U8" s="386">
        <f t="shared" ref="U8:U36" si="3">IF(AND(S8="Guaranteed off bill",T8="Inclusive"),((M8*1.1)-((M8*1.1)*O8/100))/1.1,IF(AND(S8="Guaranteed off usage",T8="Inclusive"),((M8*1.1)-((L8*1.1)*P8/100))/1.1,IF(AND(S8="Guaranteed off bill",T8="Exclusive"),M8-(M8*O8/100),IF(AND(S8="Guaranteed off usage",T8="Exclusive"),M8-(L8*P8/100),IF(T8="Inclusive",((M8*1.1))/1.1,M8)))))</f>
        <v>785.40000000000009</v>
      </c>
      <c r="V8" s="386">
        <f t="shared" ref="V8:V36" si="4">IF(AND(S8="Pay-on-time off bill",T8="Inclusive"),((U8*1.1)-((U8*1.1)*Q8/100))/1.1,IF(AND(S8="Pay-on-time off usage",T8="Inclusive"),((U8*1.1)-((L8*1.1)*R8/100))/1.1,IF(AND(S8="Pay-on-time off bill",T8="Exclusive"),U8-(U8*Q8/100),IF(AND(S8="Pay-on-time off usage",T8="Exclusive"),U8-(L8*R8/100),IF(T8="Inclusive",((U8*1.1))/1.1,U8)))))</f>
        <v>785.40000000000009</v>
      </c>
      <c r="W8" s="390">
        <f t="shared" ref="W8:X23" si="5">U8*1.1</f>
        <v>863.94000000000017</v>
      </c>
      <c r="X8" s="390">
        <f t="shared" si="5"/>
        <v>863.94000000000017</v>
      </c>
      <c r="Y8" s="363">
        <f>'Tariffs 2021'!BF2</f>
        <v>0</v>
      </c>
      <c r="Z8" s="363" t="str">
        <f>'Tariffs 2021'!BG2</f>
        <v>n</v>
      </c>
      <c r="AA8" s="314" t="s">
        <v>288</v>
      </c>
      <c r="AB8" s="491"/>
      <c r="AC8" s="491"/>
      <c r="AD8" s="491"/>
      <c r="AE8" s="491"/>
      <c r="AF8" s="491"/>
      <c r="AG8" s="491"/>
      <c r="AH8" s="491"/>
      <c r="AI8" s="491"/>
      <c r="AJ8" s="491"/>
      <c r="AK8" s="491"/>
      <c r="AL8" s="491"/>
      <c r="AM8" s="491"/>
      <c r="AN8" s="491"/>
    </row>
    <row r="9" spans="1:40" ht="25" customHeight="1" x14ac:dyDescent="0.3">
      <c r="A9" s="309" t="str">
        <f>'Tariffs 2021'!F3</f>
        <v>Alinta Energy</v>
      </c>
      <c r="B9" s="360" t="str">
        <f>'Tariffs 2021'!D3</f>
        <v>Jemena Coastal Network</v>
      </c>
      <c r="C9" s="360" t="str">
        <f>'Tariffs 2021'!G3</f>
        <v>Home Deal</v>
      </c>
      <c r="D9" s="361">
        <f>60*'Tariffs 2021'!H3/100</f>
        <v>25.5</v>
      </c>
      <c r="E9" s="361">
        <f>IF('Tariffs 2021'!K3="",$C$5*'Tariffs 2021'!W3/100,IF($C$5&gt;='Tariffs 2021'!L3,('Tariffs 2021'!L3*'Tariffs 2021'!W3/100),($C$5*'Tariffs 2021'!W3/100)))</f>
        <v>33.272727272727273</v>
      </c>
      <c r="F9" s="361">
        <f>IF(AND('Tariffs 2021'!L3&gt;0,'Tariffs 2021'!M3&gt;0),IF($C$5&lt;'Tariffs 2021'!L3,0,IF(($C$5-'Tariffs 2021'!L3)&lt;=('Tariffs 2021'!M3+'Tariffs 2021'!L3),(($C$5-'Tariffs 2021'!L3)*'Tariffs 2021'!X3/100),(('Tariffs 2021'!M3)*'Tariffs 2021'!X3/100))),0)</f>
        <v>21.927272727272726</v>
      </c>
      <c r="G9" s="361">
        <f>IF(AND('Tariffs 2021'!M3&gt;0,'Tariffs 2021'!N3&gt;0),IF($C$5&lt;('Tariffs 2021'!L3+'Tariffs 2021'!M3),0,IF(($C$5-'Tariffs 2021'!L3+'Tariffs 2021'!M3)&lt;=('Tariffs 2021'!L3+'Tariffs 2021'!M3+'Tariffs 2021'!N3),(($C$5-('Tariffs 2021'!L3+'Tariffs 2021'!M3))*'Tariffs 2021'!Y3/100),('Tariffs 2021'!N3*'Tariffs 2021'!Y3/100))),0)</f>
        <v>27.490909090909089</v>
      </c>
      <c r="H9" s="361">
        <f>IF(AND('Tariffs 2021'!N3&gt;0,'Tariffs 2021'!O3&gt;0),IF($C$5&lt;('Tariffs 2021'!L3+'Tariffs 2021'!M3+'Tariffs 2021'!N3),0,IF(($C$5-'Tariffs 2021'!L3+'Tariffs 2021'!M3+'Tariffs 2021'!N3)&lt;=('Tariffs 2021'!L3+'Tariffs 2021'!M3+'Tariffs 2021'!N3+'Tariffs 2021'!O3),(($C$5-('Tariffs 2021'!L3+'Tariffs 2021'!M3+'Tariffs 2021'!N3))*'Tariffs 2021'!Z3/100),('Tariffs 2021'!O3*'Tariffs 2021'!Z3/100))),0)</f>
        <v>0</v>
      </c>
      <c r="I9" s="361">
        <f>IF(AND('Tariffs 2021'!O3&gt;0,'Tariffs 2021'!P3&gt;0),IF($C$5&lt;('Tariffs 2021'!L3+'Tariffs 2021'!M3+'Tariffs 2021'!N3+'Tariffs 2021'!O3),0,IF(($C$5-'Tariffs 2021'!L3+'Tariffs 2021'!M3+'Tariffs 2021'!N3+'Tariffs 2021'!O3)&lt;=('Tariffs 2021'!L3+'Tariffs 2021'!M3+'Tariffs 2021'!N3+'Tariffs 2021'!O3+'Tariffs 2021'!P3),(($C$5-('Tariffs 2021'!L3+'Tariffs 2021'!M3+'Tariffs 2021'!N3+'Tariffs 2021'!O3))*'Tariffs 2021'!AA3/100),('Tariffs 2021'!P3*'Tariffs 2021'!AA3/100))),0)</f>
        <v>0</v>
      </c>
      <c r="J9" s="361">
        <f>IF(AND('Tariffs 2021'!P3&gt;0,'Tariffs 2021'!O3&gt;0),IF(($C$5&lt;SUM('Tariffs 2021'!L3:P3)),(0),($C$5-SUM('Tariffs 2021'!L3:P3))*'Tariffs 2021'!AB3/100),IF(AND('Tariffs 2021'!O3&gt;0,'Tariffs 2021'!P3=""),IF(($C$5&lt; SUM('Tariffs 2021'!L3:O3)),(0),($C$5-SUM('Tariffs 2021'!L3:O3))*'Tariffs 2021'!AA3/100),IF(AND('Tariffs 2021'!N3&gt;0,'Tariffs 2021'!O3=""),IF(($C$5&lt; SUM('Tariffs 2021'!L3:N3)),(0),($C$5-SUM('Tariffs 2021'!L3:N3))*'Tariffs 2021'!Z3/100),IF(AND('Tariffs 2021'!M3&gt;0,'Tariffs 2021'!N3=""),IF(($C$5&lt;'Tariffs 2021'!M3+'Tariffs 2021'!L3),(0),(($C$5-('Tariffs 2021'!M3+'Tariffs 2021'!L3))*'Tariffs 2021'!Y3/100)),IF(AND('Tariffs 2021'!L3&gt;0,'Tariffs 2021'!M3=""&gt;0),IF(($C$5&lt;'Tariffs 2021'!L3),(0),($C$5-'Tariffs 2021'!L3)*'Tariffs 2021'!X3/100),0)))))</f>
        <v>0</v>
      </c>
      <c r="K9" s="361">
        <f t="shared" si="0"/>
        <v>108.19090909090909</v>
      </c>
      <c r="L9" s="378">
        <f t="shared" ref="L9:L36" si="6">(K9*6)-(D9*6)</f>
        <v>496.14545454545453</v>
      </c>
      <c r="M9" s="379">
        <f t="shared" ref="M9:M36" si="7">K9*6</f>
        <v>649.14545454545453</v>
      </c>
      <c r="N9" s="488">
        <f t="shared" ref="N9:N36" si="8">M9*1.1</f>
        <v>714.06000000000006</v>
      </c>
      <c r="O9" s="360">
        <f>'Tariffs 2021'!AT3</f>
        <v>0</v>
      </c>
      <c r="P9" s="360">
        <f>'Tariffs 2021'!AU3</f>
        <v>0</v>
      </c>
      <c r="Q9" s="360">
        <f>'Tariffs 2021'!AV3</f>
        <v>0</v>
      </c>
      <c r="R9" s="360">
        <f>'Tariffs 2021'!AW3</f>
        <v>0</v>
      </c>
      <c r="S9" s="312" t="str">
        <f t="shared" ref="S9:S14" si="9">IF(SUM(O9:R9)=0,"No discount",IF(O9&gt;0,"Guaranteed off bill",IF(P9&gt;0,"Guaranteed off usage",IF(Q9&gt;0,"Pay-on-time off bill","Pay-on-time off usage"))))</f>
        <v>No discount</v>
      </c>
      <c r="T9" s="312" t="str">
        <f t="shared" si="2"/>
        <v>Exclusive</v>
      </c>
      <c r="U9" s="386">
        <f t="shared" si="3"/>
        <v>649.14545454545453</v>
      </c>
      <c r="V9" s="386">
        <f t="shared" si="4"/>
        <v>649.14545454545453</v>
      </c>
      <c r="W9" s="391">
        <f t="shared" si="5"/>
        <v>714.06000000000006</v>
      </c>
      <c r="X9" s="391">
        <f t="shared" si="5"/>
        <v>714.06000000000006</v>
      </c>
      <c r="Y9" s="363">
        <f>'Tariffs 2021'!BF3</f>
        <v>0</v>
      </c>
      <c r="Z9" s="363" t="str">
        <f>'Tariffs 2021'!BG3</f>
        <v>n</v>
      </c>
      <c r="AA9" s="314" t="s">
        <v>288</v>
      </c>
      <c r="AB9" s="491"/>
      <c r="AC9" s="491"/>
      <c r="AD9" s="491"/>
      <c r="AE9" s="491"/>
      <c r="AF9" s="491"/>
      <c r="AG9" s="491"/>
      <c r="AH9" s="491"/>
      <c r="AI9" s="491"/>
      <c r="AJ9" s="491"/>
      <c r="AK9" s="491"/>
      <c r="AL9" s="491"/>
      <c r="AM9" s="491"/>
      <c r="AN9" s="491"/>
    </row>
    <row r="10" spans="1:40" ht="25" customHeight="1" x14ac:dyDescent="0.3">
      <c r="A10" s="309" t="str">
        <f>'Tariffs 2021'!F4</f>
        <v>EnergyAustralia</v>
      </c>
      <c r="B10" s="360" t="str">
        <f>'Tariffs 2021'!D4</f>
        <v>Jemena Coastal Network</v>
      </c>
      <c r="C10" s="360" t="str">
        <f>'Tariffs 2021'!G4</f>
        <v>Total Plan</v>
      </c>
      <c r="D10" s="361">
        <f>60*'Tariffs 2021'!H4/100</f>
        <v>36.239999999999995</v>
      </c>
      <c r="E10" s="361">
        <f>IF('Tariffs 2021'!K4="",$C$5*'Tariffs 2021'!W4/100,IF($C$5&gt;='Tariffs 2021'!L4,('Tariffs 2021'!L4*'Tariffs 2021'!W4/100),($C$5*'Tariffs 2021'!W4/100)))</f>
        <v>46.997410909090917</v>
      </c>
      <c r="F10" s="361">
        <f>IF(AND('Tariffs 2021'!L4&gt;0,'Tariffs 2021'!M4&gt;0),IF($C$5&lt;'Tariffs 2021'!L4,0,IF(($C$5-'Tariffs 2021'!L4)&lt;=('Tariffs 2021'!M4+'Tariffs 2021'!L4),(($C$5-'Tariffs 2021'!L4)*'Tariffs 2021'!X4/100),(('Tariffs 2021'!M4)*'Tariffs 2021'!X4/100))),0)</f>
        <v>32.243781818181816</v>
      </c>
      <c r="G10" s="361">
        <f>IF(AND('Tariffs 2021'!M4&gt;0,'Tariffs 2021'!N4&gt;0),IF($C$5&lt;('Tariffs 2021'!L4+'Tariffs 2021'!M4),0,IF(($C$5-'Tariffs 2021'!L4+'Tariffs 2021'!M4)&lt;=('Tariffs 2021'!L4+'Tariffs 2021'!M4+'Tariffs 2021'!N4),(($C$5-('Tariffs 2021'!L4+'Tariffs 2021'!M4))*'Tariffs 2021'!Y4/100),('Tariffs 2021'!N4*'Tariffs 2021'!Y4/100))),0)</f>
        <v>38.634952727272719</v>
      </c>
      <c r="H10" s="361">
        <f>IF(AND('Tariffs 2021'!N4&gt;0,'Tariffs 2021'!O4&gt;0),IF($C$5&lt;('Tariffs 2021'!L4+'Tariffs 2021'!M4+'Tariffs 2021'!N4),0,IF(($C$5-'Tariffs 2021'!L4+'Tariffs 2021'!M4+'Tariffs 2021'!N4)&lt;=('Tariffs 2021'!L4+'Tariffs 2021'!M4+'Tariffs 2021'!N4+'Tariffs 2021'!O4),(($C$5-('Tariffs 2021'!L4+'Tariffs 2021'!M4+'Tariffs 2021'!N4))*'Tariffs 2021'!Z4/100),('Tariffs 2021'!O4*'Tariffs 2021'!Z4/100))),0)</f>
        <v>0</v>
      </c>
      <c r="I10" s="361">
        <f>IF(AND('Tariffs 2021'!O4&gt;0,'Tariffs 2021'!P4&gt;0),IF($C$5&lt;('Tariffs 2021'!L4+'Tariffs 2021'!M4+'Tariffs 2021'!N4+'Tariffs 2021'!O4),0,IF(($C$5-'Tariffs 2021'!L4+'Tariffs 2021'!M4+'Tariffs 2021'!N4+'Tariffs 2021'!O4)&lt;=('Tariffs 2021'!L4+'Tariffs 2021'!M4+'Tariffs 2021'!N4+'Tariffs 2021'!O4+'Tariffs 2021'!P4),(($C$5-('Tariffs 2021'!L4+'Tariffs 2021'!M4+'Tariffs 2021'!N4+'Tariffs 2021'!O4))*'Tariffs 2021'!AA4/100),('Tariffs 2021'!P4*'Tariffs 2021'!AA4/100))),0)</f>
        <v>0</v>
      </c>
      <c r="J10" s="361">
        <f>IF(AND('Tariffs 2021'!P4&gt;0,'Tariffs 2021'!O4&gt;0),IF(($C$5&lt;SUM('Tariffs 2021'!L4:P4)),(0),($C$5-SUM('Tariffs 2021'!L4:P4))*'Tariffs 2021'!AB4/100),IF(AND('Tariffs 2021'!O4&gt;0,'Tariffs 2021'!P4=""),IF(($C$5&lt; SUM('Tariffs 2021'!L4:O4)),(0),($C$5-SUM('Tariffs 2021'!L4:O4))*'Tariffs 2021'!AA4/100),IF(AND('Tariffs 2021'!N4&gt;0,'Tariffs 2021'!O4=""),IF(($C$5&lt; SUM('Tariffs 2021'!L4:N4)),(0),($C$5-SUM('Tariffs 2021'!L4:N4))*'Tariffs 2021'!Z4/100),IF(AND('Tariffs 2021'!M4&gt;0,'Tariffs 2021'!N4=""),IF(($C$5&lt;'Tariffs 2021'!M4+'Tariffs 2021'!L4),(0),(($C$5-('Tariffs 2021'!M4+'Tariffs 2021'!L4))*'Tariffs 2021'!Y4/100)),IF(AND('Tariffs 2021'!L4&gt;0,'Tariffs 2021'!M4=""&gt;0),IF(($C$5&lt;'Tariffs 2021'!L4),(0),($C$5-'Tariffs 2021'!L4)*'Tariffs 2021'!X4/100),0)))))</f>
        <v>0</v>
      </c>
      <c r="K10" s="361">
        <f t="shared" si="0"/>
        <v>154.11614545454546</v>
      </c>
      <c r="L10" s="378">
        <f t="shared" si="6"/>
        <v>707.25687272727282</v>
      </c>
      <c r="M10" s="379">
        <f t="shared" si="7"/>
        <v>924.69687272727276</v>
      </c>
      <c r="N10" s="488">
        <f t="shared" si="8"/>
        <v>1017.1665600000001</v>
      </c>
      <c r="O10" s="360">
        <f>'Tariffs 2021'!AT4</f>
        <v>16</v>
      </c>
      <c r="P10" s="360">
        <f>'Tariffs 2021'!AU4</f>
        <v>0</v>
      </c>
      <c r="Q10" s="360">
        <f>'Tariffs 2021'!AV4</f>
        <v>0</v>
      </c>
      <c r="R10" s="360">
        <f>'Tariffs 2021'!AW4</f>
        <v>0</v>
      </c>
      <c r="S10" s="312" t="str">
        <f t="shared" si="9"/>
        <v>Guaranteed off bill</v>
      </c>
      <c r="T10" s="312" t="str">
        <f t="shared" si="2"/>
        <v>Exclusive</v>
      </c>
      <c r="U10" s="386">
        <f t="shared" si="3"/>
        <v>776.74537309090908</v>
      </c>
      <c r="V10" s="386">
        <f t="shared" si="4"/>
        <v>776.74537309090908</v>
      </c>
      <c r="W10" s="391">
        <f t="shared" si="5"/>
        <v>854.41991040000005</v>
      </c>
      <c r="X10" s="391">
        <f t="shared" si="5"/>
        <v>854.41991040000005</v>
      </c>
      <c r="Y10" s="363">
        <f>'Tariffs 2021'!BF4</f>
        <v>0</v>
      </c>
      <c r="Z10" s="363" t="str">
        <f>'Tariffs 2021'!BG4</f>
        <v>n</v>
      </c>
      <c r="AA10" s="314" t="s">
        <v>400</v>
      </c>
      <c r="AB10" s="491"/>
      <c r="AC10" s="491"/>
      <c r="AD10" s="491"/>
      <c r="AE10" s="491"/>
      <c r="AF10" s="491"/>
      <c r="AG10" s="491"/>
      <c r="AH10" s="491"/>
      <c r="AI10" s="491"/>
      <c r="AJ10" s="491"/>
      <c r="AK10" s="491"/>
      <c r="AL10" s="491"/>
      <c r="AM10" s="491"/>
      <c r="AN10" s="491"/>
    </row>
    <row r="11" spans="1:40" ht="25" customHeight="1" x14ac:dyDescent="0.3">
      <c r="A11" s="309" t="str">
        <f>'Tariffs 2021'!F5</f>
        <v>Origin Energy</v>
      </c>
      <c r="B11" s="360" t="str">
        <f>'Tariffs 2021'!D5</f>
        <v>Jemena Coastal Network</v>
      </c>
      <c r="C11" s="360" t="str">
        <f>'Tariffs 2021'!G5</f>
        <v>Go</v>
      </c>
      <c r="D11" s="361">
        <f>60*'Tariffs 2021'!H5/100</f>
        <v>33.507272727272728</v>
      </c>
      <c r="E11" s="361">
        <f>IF('Tariffs 2021'!K5="",$C$5*'Tariffs 2021'!W5/100,IF($C$5&gt;='Tariffs 2021'!L5,('Tariffs 2021'!L5*'Tariffs 2021'!W5/100),($C$5*'Tariffs 2021'!W5/100)))</f>
        <v>42.002181818181818</v>
      </c>
      <c r="F11" s="361">
        <f>IF(AND('Tariffs 2021'!L5&gt;0,'Tariffs 2021'!M5&gt;0),IF($C$5&lt;'Tariffs 2021'!L5,0,IF(($C$5-'Tariffs 2021'!L5)&lt;=('Tariffs 2021'!M5+'Tariffs 2021'!L5),(($C$5-'Tariffs 2021'!L5)*'Tariffs 2021'!X5/100),(('Tariffs 2021'!M5)*'Tariffs 2021'!X5/100))),0)</f>
        <v>61.428181818181812</v>
      </c>
      <c r="G11" s="361">
        <f>IF(AND('Tariffs 2021'!M5&gt;0,'Tariffs 2021'!N5&gt;0),IF($C$5&lt;('Tariffs 2021'!L5+'Tariffs 2021'!M5),0,IF(($C$5-'Tariffs 2021'!L5+'Tariffs 2021'!M5)&lt;=('Tariffs 2021'!L5+'Tariffs 2021'!M5+'Tariffs 2021'!N5),(($C$5-('Tariffs 2021'!L5+'Tariffs 2021'!M5))*'Tariffs 2021'!Y5/100),('Tariffs 2021'!N5*'Tariffs 2021'!Y5/100))),0)</f>
        <v>0</v>
      </c>
      <c r="H11" s="361">
        <f>IF(AND('Tariffs 2021'!N5&gt;0,'Tariffs 2021'!O5&gt;0),IF($C$5&lt;('Tariffs 2021'!L5+'Tariffs 2021'!M5+'Tariffs 2021'!N5),0,IF(($C$5-'Tariffs 2021'!L5+'Tariffs 2021'!M5+'Tariffs 2021'!N5)&lt;=('Tariffs 2021'!L5+'Tariffs 2021'!M5+'Tariffs 2021'!N5+'Tariffs 2021'!O5),(($C$5-('Tariffs 2021'!L5+'Tariffs 2021'!M5+'Tariffs 2021'!N5))*'Tariffs 2021'!Z5/100),('Tariffs 2021'!O5*'Tariffs 2021'!Z5/100))),0)</f>
        <v>0</v>
      </c>
      <c r="I11" s="361">
        <f>IF(AND('Tariffs 2021'!O5&gt;0,'Tariffs 2021'!P5&gt;0),IF($C$5&lt;('Tariffs 2021'!L5+'Tariffs 2021'!M5+'Tariffs 2021'!N5+'Tariffs 2021'!O5),0,IF(($C$5-'Tariffs 2021'!L5+'Tariffs 2021'!M5+'Tariffs 2021'!N5+'Tariffs 2021'!O5)&lt;=('Tariffs 2021'!L5+'Tariffs 2021'!M5+'Tariffs 2021'!N5+'Tariffs 2021'!O5+'Tariffs 2021'!P5),(($C$5-('Tariffs 2021'!L5+'Tariffs 2021'!M5+'Tariffs 2021'!N5+'Tariffs 2021'!O5))*'Tariffs 2021'!AA5/100),('Tariffs 2021'!P5*'Tariffs 2021'!AA5/100))),0)</f>
        <v>0</v>
      </c>
      <c r="J11" s="361">
        <f>IF(AND('Tariffs 2021'!P5&gt;0,'Tariffs 2021'!O5&gt;0),IF(($C$5&lt;SUM('Tariffs 2021'!L5:P5)),(0),($C$5-SUM('Tariffs 2021'!L5:P5))*'Tariffs 2021'!AB5/100),IF(AND('Tariffs 2021'!O5&gt;0,'Tariffs 2021'!P5=""),IF(($C$5&lt; SUM('Tariffs 2021'!L5:O5)),(0),($C$5-SUM('Tariffs 2021'!L5:O5))*'Tariffs 2021'!AA5/100),IF(AND('Tariffs 2021'!N5&gt;0,'Tariffs 2021'!O5=""),IF(($C$5&lt; SUM('Tariffs 2021'!L5:N5)),(0),($C$5-SUM('Tariffs 2021'!L5:N5))*'Tariffs 2021'!Z5/100),IF(AND('Tariffs 2021'!M5&gt;0,'Tariffs 2021'!N5=""),IF(($C$5&lt;'Tariffs 2021'!M5+'Tariffs 2021'!L5),(0),(($C$5-('Tariffs 2021'!M5+'Tariffs 2021'!L5))*'Tariffs 2021'!Y5/100)),IF(AND('Tariffs 2021'!L5&gt;0,'Tariffs 2021'!M5=""&gt;0),IF(($C$5&lt;'Tariffs 2021'!L5),(0),($C$5-'Tariffs 2021'!L5)*'Tariffs 2021'!X5/100),0)))))</f>
        <v>0</v>
      </c>
      <c r="K11" s="361">
        <f t="shared" si="0"/>
        <v>136.93763636363636</v>
      </c>
      <c r="L11" s="378">
        <f t="shared" si="6"/>
        <v>620.58218181818188</v>
      </c>
      <c r="M11" s="379">
        <f t="shared" si="7"/>
        <v>821.6258181818182</v>
      </c>
      <c r="N11" s="488">
        <f t="shared" si="8"/>
        <v>903.78840000000014</v>
      </c>
      <c r="O11" s="360">
        <f>'Tariffs 2021'!AT5</f>
        <v>0</v>
      </c>
      <c r="P11" s="360">
        <f>'Tariffs 2021'!AU5</f>
        <v>0</v>
      </c>
      <c r="Q11" s="360">
        <f>'Tariffs 2021'!AV5</f>
        <v>0</v>
      </c>
      <c r="R11" s="360">
        <f>'Tariffs 2021'!AW5</f>
        <v>0</v>
      </c>
      <c r="S11" s="312" t="str">
        <f t="shared" si="9"/>
        <v>No discount</v>
      </c>
      <c r="T11" s="312" t="str">
        <f t="shared" si="2"/>
        <v>Inclusive</v>
      </c>
      <c r="U11" s="386">
        <f t="shared" si="3"/>
        <v>821.6258181818182</v>
      </c>
      <c r="V11" s="386">
        <f t="shared" si="4"/>
        <v>821.6258181818182</v>
      </c>
      <c r="W11" s="391">
        <f t="shared" si="5"/>
        <v>903.78840000000014</v>
      </c>
      <c r="X11" s="391">
        <f t="shared" si="5"/>
        <v>903.78840000000014</v>
      </c>
      <c r="Y11" s="363">
        <f>'Tariffs 2021'!BF5</f>
        <v>0</v>
      </c>
      <c r="Z11" s="363" t="str">
        <f>'Tariffs 2021'!BG5</f>
        <v>n</v>
      </c>
      <c r="AA11" s="314" t="s">
        <v>288</v>
      </c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</row>
    <row r="12" spans="1:40" ht="25" customHeight="1" x14ac:dyDescent="0.3">
      <c r="A12" s="309" t="str">
        <f>'Tariffs 2021'!F6</f>
        <v>Red Energy</v>
      </c>
      <c r="B12" s="360" t="str">
        <f>'Tariffs 2021'!D6</f>
        <v>Jemena Coastal Network</v>
      </c>
      <c r="C12" s="360" t="str">
        <f>'Tariffs 2021'!G6</f>
        <v>Living Energy Saver</v>
      </c>
      <c r="D12" s="361">
        <f>60*'Tariffs 2021'!H6/100</f>
        <v>35.994545454545452</v>
      </c>
      <c r="E12" s="361">
        <f>IF('Tariffs 2021'!K6="",$C$5*'Tariffs 2021'!W6/100,IF($C$5&gt;='Tariffs 2021'!L6,('Tariffs 2021'!L6*'Tariffs 2021'!W6/100),($C$5*'Tariffs 2021'!W6/100)))</f>
        <v>37.147090909090906</v>
      </c>
      <c r="F12" s="361">
        <f>IF(AND('Tariffs 2021'!L6&gt;0,'Tariffs 2021'!M6&gt;0),IF($C$5&lt;'Tariffs 2021'!L6,0,IF(($C$5-'Tariffs 2021'!L6)&lt;=('Tariffs 2021'!M6+'Tariffs 2021'!L6),(($C$5-'Tariffs 2021'!L6)*'Tariffs 2021'!X6/100),(('Tariffs 2021'!M6)*'Tariffs 2021'!X6/100))),0)</f>
        <v>29.105818181818179</v>
      </c>
      <c r="G12" s="361">
        <f>IF(AND('Tariffs 2021'!M6&gt;0,'Tariffs 2021'!N6&gt;0),IF($C$5&lt;('Tariffs 2021'!L6+'Tariffs 2021'!M6),0,IF(($C$5-'Tariffs 2021'!L6+'Tariffs 2021'!M6)&lt;=('Tariffs 2021'!L6+'Tariffs 2021'!M6+'Tariffs 2021'!N6),(($C$5-('Tariffs 2021'!L6+'Tariffs 2021'!M6))*'Tariffs 2021'!Y6/100),('Tariffs 2021'!N6*'Tariffs 2021'!Y6/100))),0)</f>
        <v>33.512727272727268</v>
      </c>
      <c r="H12" s="361">
        <f>IF(AND('Tariffs 2021'!N6&gt;0,'Tariffs 2021'!O6&gt;0),IF($C$5&lt;('Tariffs 2021'!L6+'Tariffs 2021'!M6+'Tariffs 2021'!N6),0,IF(($C$5-'Tariffs 2021'!L6+'Tariffs 2021'!M6+'Tariffs 2021'!N6)&lt;=('Tariffs 2021'!L6+'Tariffs 2021'!M6+'Tariffs 2021'!N6+'Tariffs 2021'!O6),(($C$5-('Tariffs 2021'!L6+'Tariffs 2021'!M6+'Tariffs 2021'!N6))*'Tariffs 2021'!Z6/100),('Tariffs 2021'!O6*'Tariffs 2021'!Z6/100))),0)</f>
        <v>0</v>
      </c>
      <c r="I12" s="361">
        <f>IF(AND('Tariffs 2021'!O6&gt;0,'Tariffs 2021'!P6&gt;0),IF($C$5&lt;('Tariffs 2021'!L6+'Tariffs 2021'!M6+'Tariffs 2021'!N6+'Tariffs 2021'!O6),0,IF(($C$5-'Tariffs 2021'!L6+'Tariffs 2021'!M6+'Tariffs 2021'!N6+'Tariffs 2021'!O6)&lt;=('Tariffs 2021'!L6+'Tariffs 2021'!M6+'Tariffs 2021'!N6+'Tariffs 2021'!O6+'Tariffs 2021'!P6),(($C$5-('Tariffs 2021'!L6+'Tariffs 2021'!M6+'Tariffs 2021'!N6+'Tariffs 2021'!O6))*'Tariffs 2021'!AA6/100),('Tariffs 2021'!P6*'Tariffs 2021'!AA6/100))),0)</f>
        <v>0</v>
      </c>
      <c r="J12" s="361">
        <f>IF(AND('Tariffs 2021'!P6&gt;0,'Tariffs 2021'!O6&gt;0),IF(($C$5&lt;SUM('Tariffs 2021'!L6:P6)),(0),($C$5-SUM('Tariffs 2021'!L6:P6))*'Tariffs 2021'!AB6/100),IF(AND('Tariffs 2021'!O6&gt;0,'Tariffs 2021'!P6=""),IF(($C$5&lt; SUM('Tariffs 2021'!L6:O6)),(0),($C$5-SUM('Tariffs 2021'!L6:O6))*'Tariffs 2021'!AA6/100),IF(AND('Tariffs 2021'!N6&gt;0,'Tariffs 2021'!O6=""),IF(($C$5&lt; SUM('Tariffs 2021'!L6:N6)),(0),($C$5-SUM('Tariffs 2021'!L6:N6))*'Tariffs 2021'!Z6/100),IF(AND('Tariffs 2021'!M6&gt;0,'Tariffs 2021'!N6=""),IF(($C$5&lt;'Tariffs 2021'!M6+'Tariffs 2021'!L6),(0),(($C$5-('Tariffs 2021'!M6+'Tariffs 2021'!L6))*'Tariffs 2021'!Y6/100)),IF(AND('Tariffs 2021'!L6&gt;0,'Tariffs 2021'!M6=""&gt;0),IF(($C$5&lt;'Tariffs 2021'!L6),(0),($C$5-'Tariffs 2021'!L6)*'Tariffs 2021'!X6/100),0)))))</f>
        <v>0</v>
      </c>
      <c r="K12" s="361">
        <f t="shared" si="0"/>
        <v>135.76018181818182</v>
      </c>
      <c r="L12" s="378">
        <f t="shared" si="6"/>
        <v>598.59381818181828</v>
      </c>
      <c r="M12" s="379">
        <f t="shared" si="7"/>
        <v>814.56109090909092</v>
      </c>
      <c r="N12" s="488">
        <f t="shared" si="8"/>
        <v>896.01720000000012</v>
      </c>
      <c r="O12" s="360">
        <f>'Tariffs 2021'!AT6</f>
        <v>0</v>
      </c>
      <c r="P12" s="360">
        <f>'Tariffs 2021'!AU6</f>
        <v>0</v>
      </c>
      <c r="Q12" s="360">
        <f>'Tariffs 2021'!AV6</f>
        <v>0</v>
      </c>
      <c r="R12" s="360">
        <f>'Tariffs 2021'!AW6</f>
        <v>0</v>
      </c>
      <c r="S12" s="312" t="str">
        <f t="shared" si="9"/>
        <v>No discount</v>
      </c>
      <c r="T12" s="312" t="str">
        <f t="shared" si="2"/>
        <v>Inclusive</v>
      </c>
      <c r="U12" s="386">
        <f t="shared" si="3"/>
        <v>814.56109090909092</v>
      </c>
      <c r="V12" s="386">
        <f t="shared" si="4"/>
        <v>814.56109090909092</v>
      </c>
      <c r="W12" s="391">
        <f t="shared" si="5"/>
        <v>896.01720000000012</v>
      </c>
      <c r="X12" s="391">
        <f t="shared" si="5"/>
        <v>896.01720000000012</v>
      </c>
      <c r="Y12" s="363">
        <f>'Tariffs 2021'!BF6</f>
        <v>0</v>
      </c>
      <c r="Z12" s="364" t="str">
        <f>'Tariffs 2021'!BG6</f>
        <v>n</v>
      </c>
      <c r="AA12" s="314" t="s">
        <v>288</v>
      </c>
      <c r="AB12" s="491"/>
      <c r="AC12" s="491"/>
      <c r="AD12" s="491"/>
      <c r="AE12" s="491"/>
      <c r="AF12" s="491"/>
      <c r="AG12" s="491"/>
      <c r="AH12" s="491"/>
      <c r="AI12" s="491"/>
      <c r="AJ12" s="491"/>
      <c r="AK12" s="491"/>
      <c r="AL12" s="491"/>
      <c r="AM12" s="491"/>
      <c r="AN12" s="491"/>
    </row>
    <row r="13" spans="1:40" ht="25" customHeight="1" x14ac:dyDescent="0.3">
      <c r="A13" s="309" t="str">
        <f>'Tariffs 2021'!F7</f>
        <v>Simply Energy</v>
      </c>
      <c r="B13" s="360" t="str">
        <f>'Tariffs 2021'!D7</f>
        <v>Jemena Coastal Network</v>
      </c>
      <c r="C13" s="360" t="str">
        <f>'Tariffs 2021'!G7</f>
        <v>Saver</v>
      </c>
      <c r="D13" s="361">
        <f>60*'Tariffs 2021'!H7/100</f>
        <v>31.799999999999997</v>
      </c>
      <c r="E13" s="361">
        <f>IF('Tariffs 2021'!K7="",$C$5*'Tariffs 2021'!W7/100,IF($C$5&gt;='Tariffs 2021'!L7,('Tariffs 2021'!L7*'Tariffs 2021'!W7/100),($C$5*'Tariffs 2021'!W7/100)))</f>
        <v>42.272727272727273</v>
      </c>
      <c r="F13" s="361">
        <f>IF(AND('Tariffs 2021'!L7&gt;0,'Tariffs 2021'!M7&gt;0),IF($C$5&lt;'Tariffs 2021'!L7,0,IF(($C$5-'Tariffs 2021'!L7)&lt;=('Tariffs 2021'!M7+'Tariffs 2021'!L7),(($C$5-'Tariffs 2021'!L7)*'Tariffs 2021'!X7/100),(('Tariffs 2021'!M7)*'Tariffs 2021'!X7/100))),0)</f>
        <v>27.727272727272727</v>
      </c>
      <c r="G13" s="361">
        <f>IF(AND('Tariffs 2021'!M7&gt;0,'Tariffs 2021'!N7&gt;0),IF($C$5&lt;('Tariffs 2021'!L7+'Tariffs 2021'!M7),0,IF(($C$5-'Tariffs 2021'!L7+'Tariffs 2021'!M7)&lt;=('Tariffs 2021'!L7+'Tariffs 2021'!M7+'Tariffs 2021'!N7),(($C$5-('Tariffs 2021'!L7+'Tariffs 2021'!M7))*'Tariffs 2021'!Y7/100),('Tariffs 2021'!N7*'Tariffs 2021'!Y7/100))),0)</f>
        <v>32.340000000000003</v>
      </c>
      <c r="H13" s="361">
        <f>IF(AND('Tariffs 2021'!N7&gt;0,'Tariffs 2021'!O7&gt;0),IF($C$5&lt;('Tariffs 2021'!L7+'Tariffs 2021'!M7+'Tariffs 2021'!N7),0,IF(($C$5-'Tariffs 2021'!L7+'Tariffs 2021'!M7+'Tariffs 2021'!N7)&lt;=('Tariffs 2021'!L7+'Tariffs 2021'!M7+'Tariffs 2021'!N7+'Tariffs 2021'!O7),(($C$5-('Tariffs 2021'!L7+'Tariffs 2021'!M7+'Tariffs 2021'!N7))*'Tariffs 2021'!Z7/100),('Tariffs 2021'!O7*'Tariffs 2021'!Z7/100))),0)</f>
        <v>0</v>
      </c>
      <c r="I13" s="361">
        <f>IF(AND('Tariffs 2021'!O7&gt;0,'Tariffs 2021'!P7&gt;0),IF($C$5&lt;('Tariffs 2021'!L7+'Tariffs 2021'!M7+'Tariffs 2021'!N7+'Tariffs 2021'!O7),0,IF(($C$5-'Tariffs 2021'!L7+'Tariffs 2021'!M7+'Tariffs 2021'!N7+'Tariffs 2021'!O7)&lt;=('Tariffs 2021'!L7+'Tariffs 2021'!M7+'Tariffs 2021'!N7+'Tariffs 2021'!O7+'Tariffs 2021'!P7),(($C$5-('Tariffs 2021'!L7+'Tariffs 2021'!M7+'Tariffs 2021'!N7+'Tariffs 2021'!O7))*'Tariffs 2021'!AA7/100),('Tariffs 2021'!P7*'Tariffs 2021'!AA7/100))),0)</f>
        <v>0</v>
      </c>
      <c r="J13" s="361">
        <f>IF(AND('Tariffs 2021'!P7&gt;0,'Tariffs 2021'!O7&gt;0),IF(($C$5&lt;SUM('Tariffs 2021'!L7:P7)),(0),($C$5-SUM('Tariffs 2021'!L7:P7))*'Tariffs 2021'!AB7/100),IF(AND('Tariffs 2021'!O7&gt;0,'Tariffs 2021'!P7=""),IF(($C$5&lt; SUM('Tariffs 2021'!L7:O7)),(0),($C$5-SUM('Tariffs 2021'!L7:O7))*'Tariffs 2021'!AA7/100),IF(AND('Tariffs 2021'!N7&gt;0,'Tariffs 2021'!O7=""),IF(($C$5&lt; SUM('Tariffs 2021'!L7:N7)),(0),($C$5-SUM('Tariffs 2021'!L7:N7))*'Tariffs 2021'!Z7/100),IF(AND('Tariffs 2021'!M7&gt;0,'Tariffs 2021'!N7=""),IF(($C$5&lt;'Tariffs 2021'!M7+'Tariffs 2021'!L7),(0),(($C$5-('Tariffs 2021'!M7+'Tariffs 2021'!L7))*'Tariffs 2021'!Y7/100)),IF(AND('Tariffs 2021'!L7&gt;0,'Tariffs 2021'!M7=""&gt;0),IF(($C$5&lt;'Tariffs 2021'!L7),(0),($C$5-'Tariffs 2021'!L7)*'Tariffs 2021'!X7/100),0)))))</f>
        <v>0</v>
      </c>
      <c r="K13" s="361">
        <f t="shared" si="0"/>
        <v>134.13999999999999</v>
      </c>
      <c r="L13" s="378">
        <f t="shared" si="6"/>
        <v>614.04</v>
      </c>
      <c r="M13" s="379">
        <f t="shared" si="7"/>
        <v>804.83999999999992</v>
      </c>
      <c r="N13" s="488">
        <f t="shared" si="8"/>
        <v>885.32399999999996</v>
      </c>
      <c r="O13" s="360">
        <f>'Tariffs 2021'!AT7</f>
        <v>17</v>
      </c>
      <c r="P13" s="360">
        <f>'Tariffs 2021'!AU7</f>
        <v>0</v>
      </c>
      <c r="Q13" s="360">
        <f>'Tariffs 2021'!AV7</f>
        <v>0</v>
      </c>
      <c r="R13" s="360">
        <f>'Tariffs 2021'!AW7</f>
        <v>0</v>
      </c>
      <c r="S13" s="312" t="str">
        <f t="shared" si="9"/>
        <v>Guaranteed off bill</v>
      </c>
      <c r="T13" s="312" t="str">
        <f t="shared" si="2"/>
        <v>Exclusive</v>
      </c>
      <c r="U13" s="386">
        <f t="shared" si="3"/>
        <v>668.01719999999989</v>
      </c>
      <c r="V13" s="386">
        <f t="shared" si="4"/>
        <v>668.01719999999989</v>
      </c>
      <c r="W13" s="391">
        <f t="shared" si="5"/>
        <v>734.81891999999993</v>
      </c>
      <c r="X13" s="391">
        <f t="shared" si="5"/>
        <v>734.81891999999993</v>
      </c>
      <c r="Y13" s="363">
        <f>'Tariffs 2021'!BF7</f>
        <v>0</v>
      </c>
      <c r="Z13" s="363" t="str">
        <f>'Tariffs 2021'!BG7</f>
        <v>n</v>
      </c>
      <c r="AA13" s="314" t="s">
        <v>400</v>
      </c>
      <c r="AB13" s="491"/>
      <c r="AC13" s="491"/>
      <c r="AD13" s="491"/>
      <c r="AE13" s="491"/>
      <c r="AF13" s="491"/>
      <c r="AG13" s="491"/>
      <c r="AH13" s="491"/>
      <c r="AI13" s="491"/>
      <c r="AJ13" s="491"/>
      <c r="AK13" s="491"/>
      <c r="AL13" s="491"/>
      <c r="AM13" s="491"/>
      <c r="AN13" s="491"/>
    </row>
    <row r="14" spans="1:40" ht="25" customHeight="1" x14ac:dyDescent="0.3">
      <c r="A14" s="309" t="str">
        <f>'Tariffs 2021'!F8</f>
        <v>GloBird Energy</v>
      </c>
      <c r="B14" s="360" t="str">
        <f>'Tariffs 2021'!D8</f>
        <v>Jemena Coastal Network</v>
      </c>
      <c r="C14" s="360" t="str">
        <f>'Tariffs 2021'!G8</f>
        <v>UltraSave</v>
      </c>
      <c r="D14" s="361">
        <f>60*'Tariffs 2021'!H8/100</f>
        <v>27.6</v>
      </c>
      <c r="E14" s="361">
        <f>IF('Tariffs 2021'!K8="",$C$5*'Tariffs 2021'!W8/100,IF($C$5&gt;='Tariffs 2021'!L8,('Tariffs 2021'!L8*'Tariffs 2021'!W8/100),($C$5*'Tariffs 2021'!W8/100)))</f>
        <v>35</v>
      </c>
      <c r="F14" s="361">
        <f>IF(AND('Tariffs 2021'!L8&gt;0,'Tariffs 2021'!M8&gt;0),IF($C$5&lt;'Tariffs 2021'!L8,0,IF(($C$5-'Tariffs 2021'!L8)&lt;=('Tariffs 2021'!M8+'Tariffs 2021'!L8),(($C$5-'Tariffs 2021'!L8)*'Tariffs 2021'!X8/100),(('Tariffs 2021'!M8)*'Tariffs 2021'!X8/100))),0)</f>
        <v>0</v>
      </c>
      <c r="G14" s="361">
        <f>IF(AND('Tariffs 2021'!M8&gt;0,'Tariffs 2021'!N8&gt;0),IF($C$5&lt;('Tariffs 2021'!L8+'Tariffs 2021'!M8),0,IF(($C$5-'Tariffs 2021'!L8+'Tariffs 2021'!M8)&lt;=('Tariffs 2021'!L8+'Tariffs 2021'!M8+'Tariffs 2021'!N8),(($C$5-('Tariffs 2021'!L8+'Tariffs 2021'!M8))*'Tariffs 2021'!Y8/100),('Tariffs 2021'!N8*'Tariffs 2021'!Y8/100))),0)</f>
        <v>0</v>
      </c>
      <c r="H14" s="361">
        <f>IF(AND('Tariffs 2021'!N8&gt;0,'Tariffs 2021'!O8&gt;0),IF($C$5&lt;('Tariffs 2021'!L8+'Tariffs 2021'!M8+'Tariffs 2021'!N8),0,IF(($C$5-'Tariffs 2021'!L8+'Tariffs 2021'!M8+'Tariffs 2021'!N8)&lt;=('Tariffs 2021'!L8+'Tariffs 2021'!M8+'Tariffs 2021'!N8+'Tariffs 2021'!O8),(($C$5-('Tariffs 2021'!L8+'Tariffs 2021'!M8+'Tariffs 2021'!N8))*'Tariffs 2021'!Z8/100),('Tariffs 2021'!O8*'Tariffs 2021'!Z8/100))),0)</f>
        <v>0</v>
      </c>
      <c r="I14" s="361">
        <f>IF(AND('Tariffs 2021'!O8&gt;0,'Tariffs 2021'!P8&gt;0),IF($C$5&lt;('Tariffs 2021'!L8+'Tariffs 2021'!M8+'Tariffs 2021'!N8+'Tariffs 2021'!O8),0,IF(($C$5-'Tariffs 2021'!L8+'Tariffs 2021'!M8+'Tariffs 2021'!N8+'Tariffs 2021'!O8)&lt;=('Tariffs 2021'!L8+'Tariffs 2021'!M8+'Tariffs 2021'!N8+'Tariffs 2021'!O8+'Tariffs 2021'!P8),(($C$5-('Tariffs 2021'!L8+'Tariffs 2021'!M8+'Tariffs 2021'!N8+'Tariffs 2021'!O8))*'Tariffs 2021'!AA8/100),('Tariffs 2021'!P8*'Tariffs 2021'!AA8/100))),0)</f>
        <v>0</v>
      </c>
      <c r="J14" s="361">
        <f>IF(AND('Tariffs 2021'!P8&gt;0,'Tariffs 2021'!O8&gt;0),IF(($C$5&lt;SUM('Tariffs 2021'!L8:P8)),(0),($C$5-SUM('Tariffs 2021'!L8:P8))*'Tariffs 2021'!AB8/100),IF(AND('Tariffs 2021'!O8&gt;0,'Tariffs 2021'!P8=""),IF(($C$5&lt; SUM('Tariffs 2021'!L8:O8)),(0),($C$5-SUM('Tariffs 2021'!L8:O8))*'Tariffs 2021'!AA8/100),IF(AND('Tariffs 2021'!N8&gt;0,'Tariffs 2021'!O8=""),IF(($C$5&lt; SUM('Tariffs 2021'!L8:N8)),(0),($C$5-SUM('Tariffs 2021'!L8:N8))*'Tariffs 2021'!Z8/100),IF(AND('Tariffs 2021'!M8&gt;0,'Tariffs 2021'!N8=""),IF(($C$5&lt;'Tariffs 2021'!M8+'Tariffs 2021'!L8),(0),(($C$5-('Tariffs 2021'!M8+'Tariffs 2021'!L8))*'Tariffs 2021'!Y8/100)),IF(AND('Tariffs 2021'!L8&gt;0,'Tariffs 2021'!M8=""&gt;0),IF(($C$5&lt;'Tariffs 2021'!L8),(0),($C$5-'Tariffs 2021'!L8)*'Tariffs 2021'!X8/100),0)))))</f>
        <v>52.249999999999993</v>
      </c>
      <c r="K14" s="361">
        <f t="shared" si="0"/>
        <v>114.85</v>
      </c>
      <c r="L14" s="378">
        <f t="shared" si="6"/>
        <v>523.49999999999989</v>
      </c>
      <c r="M14" s="379">
        <f t="shared" si="7"/>
        <v>689.09999999999991</v>
      </c>
      <c r="N14" s="488">
        <f t="shared" si="8"/>
        <v>758.01</v>
      </c>
      <c r="O14" s="360">
        <f>'Tariffs 2021'!AT8</f>
        <v>0</v>
      </c>
      <c r="P14" s="360">
        <f>'Tariffs 2021'!AU8</f>
        <v>0</v>
      </c>
      <c r="Q14" s="360">
        <f>'Tariffs 2021'!AV8</f>
        <v>7</v>
      </c>
      <c r="R14" s="360">
        <f>'Tariffs 2021'!AW8</f>
        <v>0</v>
      </c>
      <c r="S14" s="489" t="str">
        <f t="shared" si="9"/>
        <v>Pay-on-time off bill</v>
      </c>
      <c r="T14" s="489" t="str">
        <f t="shared" si="2"/>
        <v>Exclusive</v>
      </c>
      <c r="U14" s="386">
        <f t="shared" si="3"/>
        <v>689.09999999999991</v>
      </c>
      <c r="V14" s="386">
        <f t="shared" si="4"/>
        <v>640.86299999999994</v>
      </c>
      <c r="W14" s="391">
        <f t="shared" si="5"/>
        <v>758.01</v>
      </c>
      <c r="X14" s="391">
        <f t="shared" si="5"/>
        <v>704.94929999999999</v>
      </c>
      <c r="Y14" s="363">
        <f>'Tariffs 2021'!BF8</f>
        <v>0</v>
      </c>
      <c r="Z14" s="363" t="str">
        <f>'Tariffs 2021'!BG8</f>
        <v>n</v>
      </c>
      <c r="AA14" s="314" t="s">
        <v>400</v>
      </c>
      <c r="AB14" s="491"/>
      <c r="AC14" s="491"/>
      <c r="AD14" s="491"/>
      <c r="AE14" s="491"/>
      <c r="AF14" s="491"/>
      <c r="AG14" s="491"/>
      <c r="AH14" s="491"/>
      <c r="AI14" s="491"/>
      <c r="AJ14" s="491"/>
      <c r="AK14" s="491"/>
      <c r="AL14" s="491"/>
      <c r="AM14" s="491"/>
      <c r="AN14" s="491"/>
    </row>
    <row r="15" spans="1:40" ht="25" customHeight="1" x14ac:dyDescent="0.3">
      <c r="A15" s="309" t="str">
        <f>'Tariffs 2021'!F9</f>
        <v>Covau</v>
      </c>
      <c r="B15" s="360" t="str">
        <f>'Tariffs 2021'!D9</f>
        <v>Jemena Coastal Network</v>
      </c>
      <c r="C15" s="360" t="str">
        <f>'Tariffs 2021'!G9</f>
        <v>Freedom Plus</v>
      </c>
      <c r="D15" s="361">
        <f>60*'Tariffs 2021'!H9/100</f>
        <v>47.7</v>
      </c>
      <c r="E15" s="361">
        <f>IF('Tariffs 2021'!K9="",$C$5*'Tariffs 2021'!W9/100,IF($C$5&gt;='Tariffs 2021'!L9,('Tariffs 2021'!L9*'Tariffs 2021'!W9/100),($C$5*'Tariffs 2021'!W9/100)))</f>
        <v>47.223359999999992</v>
      </c>
      <c r="F15" s="361">
        <f>IF(AND('Tariffs 2021'!L9&gt;0,'Tariffs 2021'!M9&gt;0),IF($C$5&lt;'Tariffs 2021'!L9,0,IF(($C$5-'Tariffs 2021'!L9)&lt;=('Tariffs 2021'!M9+'Tariffs 2021'!L9),(($C$5-'Tariffs 2021'!L9)*'Tariffs 2021'!X9/100),(('Tariffs 2021'!M9)*'Tariffs 2021'!X9/100))),0)</f>
        <v>29.019403636363631</v>
      </c>
      <c r="G15" s="361">
        <f>IF(AND('Tariffs 2021'!M9&gt;0,'Tariffs 2021'!N9&gt;0),IF($C$5&lt;('Tariffs 2021'!L9+'Tariffs 2021'!M9),0,IF(($C$5-'Tariffs 2021'!L9+'Tariffs 2021'!M9)&lt;=('Tariffs 2021'!L9+'Tariffs 2021'!M9+'Tariffs 2021'!N9),(($C$5-('Tariffs 2021'!L9+'Tariffs 2021'!M9))*'Tariffs 2021'!Y9/100),('Tariffs 2021'!N9*'Tariffs 2021'!Y9/100))),0)</f>
        <v>35.845425454545442</v>
      </c>
      <c r="H15" s="361">
        <f>IF(AND('Tariffs 2021'!N9&gt;0,'Tariffs 2021'!O9&gt;0),IF($C$5&lt;('Tariffs 2021'!L9+'Tariffs 2021'!M9+'Tariffs 2021'!N9),0,IF(($C$5-'Tariffs 2021'!L9+'Tariffs 2021'!M9+'Tariffs 2021'!N9)&lt;=('Tariffs 2021'!L9+'Tariffs 2021'!M9+'Tariffs 2021'!N9+'Tariffs 2021'!O9),(($C$5-('Tariffs 2021'!L9+'Tariffs 2021'!M9+'Tariffs 2021'!N9))*'Tariffs 2021'!Z9/100),('Tariffs 2021'!O9*'Tariffs 2021'!Z9/100))),0)</f>
        <v>0</v>
      </c>
      <c r="I15" s="361">
        <f>IF(AND('Tariffs 2021'!O9&gt;0,'Tariffs 2021'!P9&gt;0),IF($C$5&lt;('Tariffs 2021'!L9+'Tariffs 2021'!M9+'Tariffs 2021'!N9+'Tariffs 2021'!O9),0,IF(($C$5-'Tariffs 2021'!L9+'Tariffs 2021'!M9+'Tariffs 2021'!N9+'Tariffs 2021'!O9)&lt;=('Tariffs 2021'!L9+'Tariffs 2021'!M9+'Tariffs 2021'!N9+'Tariffs 2021'!O9+'Tariffs 2021'!P9),(($C$5-('Tariffs 2021'!L9+'Tariffs 2021'!M9+'Tariffs 2021'!N9+'Tariffs 2021'!O9))*'Tariffs 2021'!AA9/100),('Tariffs 2021'!P9*'Tariffs 2021'!AA9/100))),0)</f>
        <v>0</v>
      </c>
      <c r="J15" s="361">
        <f>IF(AND('Tariffs 2021'!P9&gt;0,'Tariffs 2021'!O9&gt;0),IF(($C$5&lt;SUM('Tariffs 2021'!L9:P9)),(0),($C$5-SUM('Tariffs 2021'!L9:P9))*'Tariffs 2021'!AB9/100),IF(AND('Tariffs 2021'!O9&gt;0,'Tariffs 2021'!P9=""),IF(($C$5&lt; SUM('Tariffs 2021'!L9:O9)),(0),($C$5-SUM('Tariffs 2021'!L9:O9))*'Tariffs 2021'!AA9/100),IF(AND('Tariffs 2021'!N9&gt;0,'Tariffs 2021'!O9=""),IF(($C$5&lt; SUM('Tariffs 2021'!L9:N9)),(0),($C$5-SUM('Tariffs 2021'!L9:N9))*'Tariffs 2021'!Z9/100),IF(AND('Tariffs 2021'!M9&gt;0,'Tariffs 2021'!N9=""),IF(($C$5&lt;'Tariffs 2021'!M9+'Tariffs 2021'!L9),(0),(($C$5-('Tariffs 2021'!M9+'Tariffs 2021'!L9))*'Tariffs 2021'!Y9/100)),IF(AND('Tariffs 2021'!L9&gt;0,'Tariffs 2021'!M9=""&gt;0),IF(($C$5&lt;'Tariffs 2021'!L9),(0),($C$5-'Tariffs 2021'!L9)*'Tariffs 2021'!X9/100),0)))))</f>
        <v>0</v>
      </c>
      <c r="K15" s="361">
        <f t="shared" ref="K15:K16" si="10">SUM(D15:J15)</f>
        <v>159.78818909090907</v>
      </c>
      <c r="L15" s="378">
        <f t="shared" ref="L15:L16" si="11">(K15*6)-(D15*6)</f>
        <v>672.52913454545433</v>
      </c>
      <c r="M15" s="379">
        <f t="shared" ref="M15:M16" si="12">K15*6</f>
        <v>958.72913454545437</v>
      </c>
      <c r="N15" s="488">
        <f t="shared" ref="N15:N16" si="13">M15*1.1</f>
        <v>1054.602048</v>
      </c>
      <c r="O15" s="360">
        <f>'Tariffs 2021'!AT9</f>
        <v>20</v>
      </c>
      <c r="P15" s="360">
        <f>'Tariffs 2021'!AU9</f>
        <v>0</v>
      </c>
      <c r="Q15" s="360">
        <f>'Tariffs 2021'!AV9</f>
        <v>0</v>
      </c>
      <c r="R15" s="360">
        <f>'Tariffs 2021'!AW9</f>
        <v>0</v>
      </c>
      <c r="S15" s="312" t="str">
        <f t="shared" ref="S15:S16" si="14">IF(SUM(O15:R15)=0,"No discount",IF(O15&gt;0,"Guaranteed off bill",IF(P15&gt;0,"Guaranteed off usage",IF(Q15&gt;0,"Pay-on-time off bill","Pay-on-time off usage"))))</f>
        <v>Guaranteed off bill</v>
      </c>
      <c r="T15" s="312" t="str">
        <f t="shared" ref="T15:T16" si="15">IF(OR(A15="Origin Energy",A15="Red Energy",A15="Powershop"),"Inclusive","Exclusive")</f>
        <v>Exclusive</v>
      </c>
      <c r="U15" s="386">
        <f t="shared" ref="U15:U16" si="16">IF(AND(S15="Guaranteed off bill",T15="Inclusive"),((M15*1.1)-((M15*1.1)*O15/100))/1.1,IF(AND(S15="Guaranteed off usage",T15="Inclusive"),((M15*1.1)-((L15*1.1)*P15/100))/1.1,IF(AND(S15="Guaranteed off bill",T15="Exclusive"),M15-(M15*O15/100),IF(AND(S15="Guaranteed off usage",T15="Exclusive"),M15-(L15*P15/100),IF(T15="Inclusive",((M15*1.1))/1.1,M15)))))</f>
        <v>766.98330763636352</v>
      </c>
      <c r="V15" s="386">
        <f t="shared" ref="V15:V16" si="17">IF(AND(S15="Pay-on-time off bill",T15="Inclusive"),((U15*1.1)-((U15*1.1)*Q15/100))/1.1,IF(AND(S15="Pay-on-time off usage",T15="Inclusive"),((U15*1.1)-((L15*1.1)*R15/100))/1.1,IF(AND(S15="Pay-on-time off bill",T15="Exclusive"),U15-(U15*Q15/100),IF(AND(S15="Pay-on-time off usage",T15="Exclusive"),U15-(L15*R15/100),IF(T15="Inclusive",((U15*1.1))/1.1,U15)))))</f>
        <v>766.98330763636352</v>
      </c>
      <c r="W15" s="391">
        <f t="shared" ref="W15:W16" si="18">U15*1.1</f>
        <v>843.68163839999988</v>
      </c>
      <c r="X15" s="391">
        <f t="shared" ref="X15:X16" si="19">V15*1.1</f>
        <v>843.68163839999988</v>
      </c>
      <c r="Y15" s="363">
        <f>'Tariffs 2021'!BF9</f>
        <v>0</v>
      </c>
      <c r="Z15" s="363" t="str">
        <f>'Tariffs 2021'!BG9</f>
        <v>n</v>
      </c>
      <c r="AA15" s="314" t="s">
        <v>400</v>
      </c>
      <c r="AB15" s="491"/>
      <c r="AC15" s="491"/>
      <c r="AD15" s="491"/>
      <c r="AE15" s="491"/>
      <c r="AF15" s="491"/>
      <c r="AG15" s="491"/>
      <c r="AH15" s="491"/>
      <c r="AI15" s="491"/>
      <c r="AJ15" s="491"/>
      <c r="AK15" s="491"/>
      <c r="AL15" s="491"/>
      <c r="AM15" s="491"/>
      <c r="AN15" s="491"/>
    </row>
    <row r="16" spans="1:40" ht="25" customHeight="1" thickBot="1" x14ac:dyDescent="0.35">
      <c r="A16" s="345" t="str">
        <f>'Tariffs 2021'!F10</f>
        <v>Sumo Power</v>
      </c>
      <c r="B16" s="346" t="str">
        <f>'Tariffs 2021'!D10</f>
        <v>Jemena Coastal Network</v>
      </c>
      <c r="C16" s="346" t="str">
        <f>'Tariffs 2021'!G10</f>
        <v>Assure</v>
      </c>
      <c r="D16" s="347">
        <f>60*'Tariffs 2021'!H10/100</f>
        <v>33.6</v>
      </c>
      <c r="E16" s="347">
        <f>IF('Tariffs 2021'!K10="",$C$5*'Tariffs 2021'!W10/100,IF($C$5&gt;='Tariffs 2021'!L10,('Tariffs 2021'!L10*'Tariffs 2021'!W10/100),($C$5*'Tariffs 2021'!W10/100)))</f>
        <v>31.676363636363632</v>
      </c>
      <c r="F16" s="347">
        <f>IF(AND('Tariffs 2021'!L10&gt;0,'Tariffs 2021'!M10&gt;0),IF($C$5&lt;'Tariffs 2021'!L10,0,IF(($C$5-'Tariffs 2021'!L10)&lt;=('Tariffs 2021'!M10+'Tariffs 2021'!L10),(($C$5-'Tariffs 2021'!L10)*'Tariffs 2021'!X10/100),(('Tariffs 2021'!M10)*'Tariffs 2021'!X10/100))),0)</f>
        <v>20.74</v>
      </c>
      <c r="G16" s="347">
        <f>IF(AND('Tariffs 2021'!M10&gt;0,'Tariffs 2021'!N10&gt;0),IF($C$5&lt;('Tariffs 2021'!L10+'Tariffs 2021'!M10),0,IF(($C$5-'Tariffs 2021'!L10+'Tariffs 2021'!M10)&lt;=('Tariffs 2021'!L10+'Tariffs 2021'!M10+'Tariffs 2021'!N10),(($C$5-('Tariffs 2021'!L10+'Tariffs 2021'!M10))*'Tariffs 2021'!Y10/100),('Tariffs 2021'!N10*'Tariffs 2021'!Y10/100))),0)</f>
        <v>25.899999999999995</v>
      </c>
      <c r="H16" s="347">
        <f>IF(AND('Tariffs 2021'!N10&gt;0,'Tariffs 2021'!O10&gt;0),IF($C$5&lt;('Tariffs 2021'!L10+'Tariffs 2021'!M10+'Tariffs 2021'!N10),0,IF(($C$5-'Tariffs 2021'!L10+'Tariffs 2021'!M10+'Tariffs 2021'!N10)&lt;=('Tariffs 2021'!L10+'Tariffs 2021'!M10+'Tariffs 2021'!N10+'Tariffs 2021'!O10),(($C$5-('Tariffs 2021'!L10+'Tariffs 2021'!M10+'Tariffs 2021'!N10))*'Tariffs 2021'!Z10/100),('Tariffs 2021'!O10*'Tariffs 2021'!Z10/100))),0)</f>
        <v>0</v>
      </c>
      <c r="I16" s="347">
        <f>IF(AND('Tariffs 2021'!O10&gt;0,'Tariffs 2021'!P10&gt;0),IF($C$5&lt;('Tariffs 2021'!L10+'Tariffs 2021'!M10+'Tariffs 2021'!N10+'Tariffs 2021'!O10),0,IF(($C$5-'Tariffs 2021'!L10+'Tariffs 2021'!M10+'Tariffs 2021'!N10+'Tariffs 2021'!O10)&lt;=('Tariffs 2021'!L10+'Tariffs 2021'!M10+'Tariffs 2021'!N10+'Tariffs 2021'!O10+'Tariffs 2021'!P10),(($C$5-('Tariffs 2021'!L10+'Tariffs 2021'!M10+'Tariffs 2021'!N10+'Tariffs 2021'!O10))*'Tariffs 2021'!AA10/100),('Tariffs 2021'!P10*'Tariffs 2021'!AA10/100))),0)</f>
        <v>0</v>
      </c>
      <c r="J16" s="347">
        <f>IF(AND('Tariffs 2021'!P10&gt;0,'Tariffs 2021'!O10&gt;0),IF(($C$5&lt;SUM('Tariffs 2021'!L10:P10)),(0),($C$5-SUM('Tariffs 2021'!L10:P10))*'Tariffs 2021'!AB10/100),IF(AND('Tariffs 2021'!O10&gt;0,'Tariffs 2021'!P10=""),IF(($C$5&lt; SUM('Tariffs 2021'!L10:O10)),(0),($C$5-SUM('Tariffs 2021'!L10:O10))*'Tariffs 2021'!AA10/100),IF(AND('Tariffs 2021'!N10&gt;0,'Tariffs 2021'!O10=""),IF(($C$5&lt; SUM('Tariffs 2021'!L10:N10)),(0),($C$5-SUM('Tariffs 2021'!L10:N10))*'Tariffs 2021'!Z10/100),IF(AND('Tariffs 2021'!M10&gt;0,'Tariffs 2021'!N10=""),IF(($C$5&lt;'Tariffs 2021'!M10+'Tariffs 2021'!L10),(0),(($C$5-('Tariffs 2021'!M10+'Tariffs 2021'!L10))*'Tariffs 2021'!Y10/100)),IF(AND('Tariffs 2021'!L10&gt;0,'Tariffs 2021'!M10=""&gt;0),IF(($C$5&lt;'Tariffs 2021'!L10),(0),($C$5-'Tariffs 2021'!L10)*'Tariffs 2021'!X10/100),0)))))</f>
        <v>0</v>
      </c>
      <c r="K16" s="347">
        <f t="shared" si="10"/>
        <v>111.91636363636363</v>
      </c>
      <c r="L16" s="374">
        <f t="shared" si="11"/>
        <v>469.8981818181818</v>
      </c>
      <c r="M16" s="375">
        <f t="shared" si="12"/>
        <v>671.49818181818182</v>
      </c>
      <c r="N16" s="348">
        <f t="shared" si="13"/>
        <v>738.64800000000002</v>
      </c>
      <c r="O16" s="346">
        <f>'Tariffs 2021'!AT10</f>
        <v>0</v>
      </c>
      <c r="P16" s="346">
        <f>'Tariffs 2021'!AU10</f>
        <v>0</v>
      </c>
      <c r="Q16" s="346">
        <f>'Tariffs 2021'!AV10</f>
        <v>0</v>
      </c>
      <c r="R16" s="346">
        <f>'Tariffs 2021'!AW10</f>
        <v>0</v>
      </c>
      <c r="S16" s="490" t="str">
        <f t="shared" si="14"/>
        <v>No discount</v>
      </c>
      <c r="T16" s="490" t="str">
        <f t="shared" si="15"/>
        <v>Exclusive</v>
      </c>
      <c r="U16" s="384">
        <f t="shared" si="16"/>
        <v>671.49818181818182</v>
      </c>
      <c r="V16" s="384">
        <f t="shared" si="17"/>
        <v>671.49818181818182</v>
      </c>
      <c r="W16" s="393">
        <f t="shared" si="18"/>
        <v>738.64800000000002</v>
      </c>
      <c r="X16" s="393">
        <f t="shared" si="19"/>
        <v>738.64800000000002</v>
      </c>
      <c r="Y16" s="350">
        <f>'Tariffs 2021'!BF10</f>
        <v>0</v>
      </c>
      <c r="Z16" s="350" t="str">
        <f>'Tariffs 2021'!BG10</f>
        <v>n</v>
      </c>
      <c r="AA16" s="351" t="s">
        <v>400</v>
      </c>
      <c r="AB16" s="491"/>
      <c r="AC16" s="491"/>
      <c r="AD16" s="491"/>
      <c r="AE16" s="491"/>
      <c r="AF16" s="491"/>
      <c r="AG16" s="491"/>
      <c r="AH16" s="491"/>
      <c r="AI16" s="491"/>
      <c r="AJ16" s="491"/>
      <c r="AK16" s="491"/>
      <c r="AL16" s="491"/>
      <c r="AM16" s="491"/>
      <c r="AN16" s="491"/>
    </row>
    <row r="17" spans="1:40" ht="25" customHeight="1" thickTop="1" x14ac:dyDescent="0.3">
      <c r="A17" s="309" t="str">
        <f>'Tariffs 2021'!F11</f>
        <v>EnergyAustralia</v>
      </c>
      <c r="B17" s="360" t="str">
        <f>'Tariffs 2021'!D11</f>
        <v>Jemena Capital Region</v>
      </c>
      <c r="C17" s="360" t="str">
        <f>'Tariffs 2021'!G11</f>
        <v>Total Plan</v>
      </c>
      <c r="D17" s="361">
        <f>60*'Tariffs 2021'!H11/100</f>
        <v>36.239999999999995</v>
      </c>
      <c r="E17" s="361">
        <f>IF('Tariffs 2021'!K11="",$C$5*'Tariffs 2021'!W11/100,IF($C$5&gt;='Tariffs 2021'!L11,('Tariffs 2021'!L11*'Tariffs 2021'!W11/100),($C$5*'Tariffs 2021'!W11/100)))</f>
        <v>46.997410909090917</v>
      </c>
      <c r="F17" s="361">
        <f>IF(AND('Tariffs 2021'!L11&gt;0,'Tariffs 2021'!M11&gt;0),IF($C$5&lt;'Tariffs 2021'!L11,0,IF(($C$5-'Tariffs 2021'!L11)&lt;=('Tariffs 2021'!M11+'Tariffs 2021'!L11),(($C$5-'Tariffs 2021'!L11)*'Tariffs 2021'!X11/100),(('Tariffs 2021'!M11)*'Tariffs 2021'!X11/100))),0)</f>
        <v>32.243781818181816</v>
      </c>
      <c r="G17" s="361">
        <f>IF(AND('Tariffs 2021'!M11&gt;0,'Tariffs 2021'!N11&gt;0),IF($C$5&lt;('Tariffs 2021'!L11+'Tariffs 2021'!M11),0,IF(($C$5-'Tariffs 2021'!L11+'Tariffs 2021'!M11)&lt;=('Tariffs 2021'!L11+'Tariffs 2021'!M11+'Tariffs 2021'!N11),(($C$5-('Tariffs 2021'!L11+'Tariffs 2021'!M11))*'Tariffs 2021'!Y11/100),('Tariffs 2021'!N11*'Tariffs 2021'!Y11/100))),0)</f>
        <v>38.634952727272719</v>
      </c>
      <c r="H17" s="361">
        <f>IF(AND('Tariffs 2021'!N11&gt;0,'Tariffs 2021'!O11&gt;0),IF($C$5&lt;('Tariffs 2021'!L11+'Tariffs 2021'!M11+'Tariffs 2021'!N11),0,IF(($C$5-'Tariffs 2021'!L11+'Tariffs 2021'!M11+'Tariffs 2021'!N11)&lt;=('Tariffs 2021'!L11+'Tariffs 2021'!M11+'Tariffs 2021'!N11+'Tariffs 2021'!O11),(($C$5-('Tariffs 2021'!L11+'Tariffs 2021'!M11+'Tariffs 2021'!N11))*'Tariffs 2021'!Z11/100),('Tariffs 2021'!O11*'Tariffs 2021'!Z11/100))),0)</f>
        <v>0</v>
      </c>
      <c r="I17" s="361">
        <f>IF(AND('Tariffs 2021'!O11&gt;0,'Tariffs 2021'!P11&gt;0),IF($C$5&lt;('Tariffs 2021'!L11+'Tariffs 2021'!M11+'Tariffs 2021'!N11+'Tariffs 2021'!O11),0,IF(($C$5-'Tariffs 2021'!L11+'Tariffs 2021'!M11+'Tariffs 2021'!N11+'Tariffs 2021'!O11)&lt;=('Tariffs 2021'!L11+'Tariffs 2021'!M11+'Tariffs 2021'!N11+'Tariffs 2021'!O11+'Tariffs 2021'!P11),(($C$5-('Tariffs 2021'!L11+'Tariffs 2021'!M11+'Tariffs 2021'!N11+'Tariffs 2021'!O11))*'Tariffs 2021'!AA11/100),('Tariffs 2021'!P11*'Tariffs 2021'!AA11/100))),0)</f>
        <v>0</v>
      </c>
      <c r="J17" s="361">
        <f>IF(AND('Tariffs 2021'!P11&gt;0,'Tariffs 2021'!O11&gt;0),IF(($C$5&lt;SUM('Tariffs 2021'!L11:P11)),(0),($C$5-SUM('Tariffs 2021'!L11:P11))*'Tariffs 2021'!AB11/100),IF(AND('Tariffs 2021'!O11&gt;0,'Tariffs 2021'!P11=""),IF(($C$5&lt; SUM('Tariffs 2021'!L11:O11)),(0),($C$5-SUM('Tariffs 2021'!L11:O11))*'Tariffs 2021'!AA11/100),IF(AND('Tariffs 2021'!N11&gt;0,'Tariffs 2021'!O11=""),IF(($C$5&lt; SUM('Tariffs 2021'!L11:N11)),(0),($C$5-SUM('Tariffs 2021'!L11:N11))*'Tariffs 2021'!Z11/100),IF(AND('Tariffs 2021'!M11&gt;0,'Tariffs 2021'!N11=""),IF(($C$5&lt;'Tariffs 2021'!M11+'Tariffs 2021'!L11),(0),(($C$5-('Tariffs 2021'!M11+'Tariffs 2021'!L11))*'Tariffs 2021'!Y11/100)),IF(AND('Tariffs 2021'!L11&gt;0,'Tariffs 2021'!M11=""&gt;0),IF(($C$5&lt;'Tariffs 2021'!L11),(0),($C$5-'Tariffs 2021'!L11)*'Tariffs 2021'!X11/100),0)))))</f>
        <v>0</v>
      </c>
      <c r="K17" s="361">
        <f t="shared" si="0"/>
        <v>154.11614545454546</v>
      </c>
      <c r="L17" s="378">
        <f t="shared" si="6"/>
        <v>707.25687272727282</v>
      </c>
      <c r="M17" s="379">
        <f t="shared" si="7"/>
        <v>924.69687272727276</v>
      </c>
      <c r="N17" s="488">
        <f t="shared" si="8"/>
        <v>1017.1665600000001</v>
      </c>
      <c r="O17" s="360">
        <f>'Tariffs 2021'!AT11</f>
        <v>16</v>
      </c>
      <c r="P17" s="360">
        <f>'Tariffs 2021'!AU11</f>
        <v>0</v>
      </c>
      <c r="Q17" s="360">
        <f>'Tariffs 2021'!AV11</f>
        <v>0</v>
      </c>
      <c r="R17" s="360">
        <f>'Tariffs 2021'!AW11</f>
        <v>0</v>
      </c>
      <c r="S17" s="312" t="str">
        <f t="shared" ref="S17:S18" si="20">IF(SUM(O17:R17)=0,"No discount",IF(O17&gt;0,"Guaranteed off bill",IF(P17&gt;0,"Guaranteed off usage",IF(Q17&gt;0,"Pay-on-time off bill","Pay-on-time off usage"))))</f>
        <v>Guaranteed off bill</v>
      </c>
      <c r="T17" s="312" t="str">
        <f t="shared" si="2"/>
        <v>Exclusive</v>
      </c>
      <c r="U17" s="386">
        <f t="shared" si="3"/>
        <v>776.74537309090908</v>
      </c>
      <c r="V17" s="386">
        <f t="shared" si="4"/>
        <v>776.74537309090908</v>
      </c>
      <c r="W17" s="391">
        <f t="shared" si="5"/>
        <v>854.41991040000005</v>
      </c>
      <c r="X17" s="391">
        <f t="shared" si="5"/>
        <v>854.41991040000005</v>
      </c>
      <c r="Y17" s="363">
        <f>'Tariffs 2021'!BF11</f>
        <v>0</v>
      </c>
      <c r="Z17" s="363" t="str">
        <f>'Tariffs 2021'!BG11</f>
        <v>n</v>
      </c>
      <c r="AA17" s="314" t="s">
        <v>288</v>
      </c>
      <c r="AB17" s="491"/>
      <c r="AC17" s="491"/>
      <c r="AD17" s="491"/>
      <c r="AE17" s="491"/>
      <c r="AF17" s="491"/>
      <c r="AG17" s="491"/>
      <c r="AH17" s="491"/>
      <c r="AI17" s="491"/>
      <c r="AJ17" s="491"/>
      <c r="AK17" s="491"/>
      <c r="AL17" s="491"/>
      <c r="AM17" s="491"/>
      <c r="AN17" s="491"/>
    </row>
    <row r="18" spans="1:40" ht="25" customHeight="1" thickBot="1" x14ac:dyDescent="0.35">
      <c r="A18" s="309" t="str">
        <f>'Tariffs 2021'!F12</f>
        <v>ActewAGL</v>
      </c>
      <c r="B18" s="360" t="str">
        <f>'Tariffs 2021'!D12</f>
        <v>Jemena Capital Region</v>
      </c>
      <c r="C18" s="360" t="str">
        <f>'Tariffs 2021'!G12</f>
        <v>Reward</v>
      </c>
      <c r="D18" s="361">
        <f>60*'Tariffs 2021'!H12/100</f>
        <v>35.249999999999993</v>
      </c>
      <c r="E18" s="361">
        <f>IF('Tariffs 2021'!K12="",$C$5*'Tariffs 2021'!W12/100,IF($C$5&gt;='Tariffs 2021'!L12,('Tariffs 2021'!L12*'Tariffs 2021'!W12/100),($C$5*'Tariffs 2021'!W12/100)))</f>
        <v>48.342508200000005</v>
      </c>
      <c r="F18" s="361">
        <f>IF(AND('Tariffs 2021'!L12&gt;0,'Tariffs 2021'!M12&gt;0),IF($C$5&lt;'Tariffs 2021'!L12,0,IF(($C$5-'Tariffs 2021'!L12)&lt;=('Tariffs 2021'!M12+'Tariffs 2021'!L12),(($C$5-'Tariffs 2021'!L12)*'Tariffs 2021'!X12/100),(('Tariffs 2021'!M12)*'Tariffs 2021'!X12/100))),0)</f>
        <v>31.553812799999999</v>
      </c>
      <c r="G18" s="361">
        <f>IF(AND('Tariffs 2021'!M12&gt;0,'Tariffs 2021'!N12&gt;0),IF($C$5&lt;('Tariffs 2021'!L12+'Tariffs 2021'!M12),0,IF(($C$5-'Tariffs 2021'!L12+'Tariffs 2021'!M12)&lt;=('Tariffs 2021'!L12+'Tariffs 2021'!M12+'Tariffs 2021'!N12),(($C$5-('Tariffs 2021'!L12+'Tariffs 2021'!M12))*'Tariffs 2021'!Y12/100),('Tariffs 2021'!N12*'Tariffs 2021'!Y12/100))),0)</f>
        <v>39.123272999999998</v>
      </c>
      <c r="H18" s="361">
        <f>IF(AND('Tariffs 2021'!N12&gt;0,'Tariffs 2021'!O12&gt;0),IF($C$5&lt;('Tariffs 2021'!L12+'Tariffs 2021'!M12+'Tariffs 2021'!N12),0,IF(($C$5-'Tariffs 2021'!L12+'Tariffs 2021'!M12+'Tariffs 2021'!N12)&lt;=('Tariffs 2021'!L12+'Tariffs 2021'!M12+'Tariffs 2021'!N12+'Tariffs 2021'!O12),(($C$5-('Tariffs 2021'!L12+'Tariffs 2021'!M12+'Tariffs 2021'!N12))*'Tariffs 2021'!Z12/100),('Tariffs 2021'!O12*'Tariffs 2021'!Z12/100))),0)</f>
        <v>0</v>
      </c>
      <c r="I18" s="361">
        <f>IF(AND('Tariffs 2021'!O12&gt;0,'Tariffs 2021'!P12&gt;0),IF($C$5&lt;('Tariffs 2021'!L12+'Tariffs 2021'!M12+'Tariffs 2021'!N12+'Tariffs 2021'!O12),0,IF(($C$5-'Tariffs 2021'!L12+'Tariffs 2021'!M12+'Tariffs 2021'!N12+'Tariffs 2021'!O12)&lt;=('Tariffs 2021'!L12+'Tariffs 2021'!M12+'Tariffs 2021'!N12+'Tariffs 2021'!O12+'Tariffs 2021'!P12),(($C$5-('Tariffs 2021'!L12+'Tariffs 2021'!M12+'Tariffs 2021'!N12+'Tariffs 2021'!O12))*'Tariffs 2021'!AA12/100),('Tariffs 2021'!P12*'Tariffs 2021'!AA12/100))),0)</f>
        <v>0</v>
      </c>
      <c r="J18" s="361">
        <f>IF(AND('Tariffs 2021'!P12&gt;0,'Tariffs 2021'!O12&gt;0),IF(($C$5&lt;SUM('Tariffs 2021'!L12:P12)),(0),($C$5-SUM('Tariffs 2021'!L12:P12))*'Tariffs 2021'!AB12/100),IF(AND('Tariffs 2021'!O12&gt;0,'Tariffs 2021'!P12=""),IF(($C$5&lt; SUM('Tariffs 2021'!L12:O12)),(0),($C$5-SUM('Tariffs 2021'!L12:O12))*'Tariffs 2021'!AA12/100),IF(AND('Tariffs 2021'!N12&gt;0,'Tariffs 2021'!O12=""),IF(($C$5&lt; SUM('Tariffs 2021'!L12:N12)),(0),($C$5-SUM('Tariffs 2021'!L12:N12))*'Tariffs 2021'!Z12/100),IF(AND('Tariffs 2021'!M12&gt;0,'Tariffs 2021'!N12=""),IF(($C$5&lt;'Tariffs 2021'!M12+'Tariffs 2021'!L12),(0),(($C$5-('Tariffs 2021'!M12+'Tariffs 2021'!L12))*'Tariffs 2021'!Y12/100)),IF(AND('Tariffs 2021'!L12&gt;0,'Tariffs 2021'!M12=""&gt;0),IF(($C$5&lt;'Tariffs 2021'!L12),(0),($C$5-'Tariffs 2021'!L12)*'Tariffs 2021'!X12/100),0)))))</f>
        <v>0</v>
      </c>
      <c r="K18" s="361">
        <f t="shared" si="0"/>
        <v>154.26959399999998</v>
      </c>
      <c r="L18" s="378">
        <f t="shared" si="6"/>
        <v>714.1175639999999</v>
      </c>
      <c r="M18" s="379">
        <f t="shared" si="7"/>
        <v>925.6175639999999</v>
      </c>
      <c r="N18" s="488">
        <f t="shared" si="8"/>
        <v>1018.1793203999999</v>
      </c>
      <c r="O18" s="360">
        <f>'Tariffs 2021'!AT12</f>
        <v>11</v>
      </c>
      <c r="P18" s="360">
        <f>'Tariffs 2021'!AU12</f>
        <v>0</v>
      </c>
      <c r="Q18" s="360">
        <f>'Tariffs 2021'!AV12</f>
        <v>0</v>
      </c>
      <c r="R18" s="360">
        <f>'Tariffs 2021'!AW12</f>
        <v>0</v>
      </c>
      <c r="S18" s="312" t="str">
        <f t="shared" si="20"/>
        <v>Guaranteed off bill</v>
      </c>
      <c r="T18" s="312" t="str">
        <f t="shared" si="2"/>
        <v>Exclusive</v>
      </c>
      <c r="U18" s="386">
        <f t="shared" si="3"/>
        <v>823.79963195999994</v>
      </c>
      <c r="V18" s="386">
        <f t="shared" si="4"/>
        <v>823.79963195999994</v>
      </c>
      <c r="W18" s="391">
        <f t="shared" si="5"/>
        <v>906.179595156</v>
      </c>
      <c r="X18" s="391">
        <f t="shared" si="5"/>
        <v>906.179595156</v>
      </c>
      <c r="Y18" s="363">
        <f>'Tariffs 2021'!BF12</f>
        <v>12</v>
      </c>
      <c r="Z18" s="363" t="str">
        <f>'Tariffs 2021'!BG12</f>
        <v>n</v>
      </c>
      <c r="AA18" s="314" t="s">
        <v>288</v>
      </c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1"/>
      <c r="AM18" s="491"/>
      <c r="AN18" s="491"/>
    </row>
    <row r="19" spans="1:40" ht="25" customHeight="1" thickTop="1" x14ac:dyDescent="0.3">
      <c r="A19" s="338" t="str">
        <f>'Tariffs 2021'!F13</f>
        <v>EnergyAustralia</v>
      </c>
      <c r="B19" s="339" t="str">
        <f>'Tariffs 2021'!D13</f>
        <v xml:space="preserve">Evoenergy Queanbeyan </v>
      </c>
      <c r="C19" s="339" t="str">
        <f>'Tariffs 2021'!G13</f>
        <v>Total Plan</v>
      </c>
      <c r="D19" s="340">
        <f>60*'Tariffs 2021'!H13/100</f>
        <v>43.919999999999987</v>
      </c>
      <c r="E19" s="340">
        <f>IF('Tariffs 2021'!K13="",$C$5*'Tariffs 2021'!W13/100,IF($C$5&gt;='Tariffs 2021'!L13,('Tariffs 2021'!L13*'Tariffs 2021'!W13/100),($C$5*'Tariffs 2021'!W13/100)))</f>
        <v>74.869439999999983</v>
      </c>
      <c r="F19" s="340">
        <f>IF(AND('Tariffs 2021'!L13&gt;0,'Tariffs 2021'!M13&gt;0),IF($C$5&lt;'Tariffs 2021'!L13,0,IF(($C$5-'Tariffs 2021'!L13)&lt;=('Tariffs 2021'!M13+'Tariffs 2021'!L13),(($C$5-'Tariffs 2021'!L13)*'Tariffs 2021'!X13/100),(('Tariffs 2021'!M13)*'Tariffs 2021'!X13/100))),0)</f>
        <v>42.400814545454551</v>
      </c>
      <c r="G19" s="340">
        <f>IF(AND('Tariffs 2021'!M13&gt;0,'Tariffs 2021'!N13&gt;0),IF($C$5&lt;('Tariffs 2021'!L13+'Tariffs 2021'!M13),0,IF(($C$5-'Tariffs 2021'!L13+'Tariffs 2021'!M13)&lt;=('Tariffs 2021'!L13+'Tariffs 2021'!M13+'Tariffs 2021'!N13),(($C$5-('Tariffs 2021'!L13+'Tariffs 2021'!M13))*'Tariffs 2021'!Y13/100),('Tariffs 2021'!N13*'Tariffs 2021'!Y13/100))),0)</f>
        <v>0</v>
      </c>
      <c r="H19" s="340">
        <f>IF(AND('Tariffs 2021'!N13&gt;0,'Tariffs 2021'!O13&gt;0),IF($C$5&lt;('Tariffs 2021'!L13+'Tariffs 2021'!M13+'Tariffs 2021'!N13),0,IF(($C$5-'Tariffs 2021'!L13+'Tariffs 2021'!M13+'Tariffs 2021'!N13)&lt;=('Tariffs 2021'!L13+'Tariffs 2021'!M13+'Tariffs 2021'!N13+'Tariffs 2021'!O13),(($C$5-('Tariffs 2021'!L13+'Tariffs 2021'!M13+'Tariffs 2021'!N13))*'Tariffs 2021'!Z13/100),('Tariffs 2021'!O13*'Tariffs 2021'!Z13/100))),0)</f>
        <v>0</v>
      </c>
      <c r="I19" s="340">
        <f>IF(AND('Tariffs 2021'!O13&gt;0,'Tariffs 2021'!P13&gt;0),IF($C$5&lt;('Tariffs 2021'!L13+'Tariffs 2021'!M13+'Tariffs 2021'!N13+'Tariffs 2021'!O13),0,IF(($C$5-'Tariffs 2021'!L13+'Tariffs 2021'!M13+'Tariffs 2021'!N13+'Tariffs 2021'!O13)&lt;=('Tariffs 2021'!L13+'Tariffs 2021'!M13+'Tariffs 2021'!N13+'Tariffs 2021'!O13+'Tariffs 2021'!P13),(($C$5-('Tariffs 2021'!L13+'Tariffs 2021'!M13+'Tariffs 2021'!N13+'Tariffs 2021'!O13))*'Tariffs 2021'!AA13/100),('Tariffs 2021'!P13*'Tariffs 2021'!AA13/100))),0)</f>
        <v>0</v>
      </c>
      <c r="J19" s="340">
        <f>IF(AND('Tariffs 2021'!P13&gt;0,'Tariffs 2021'!O13&gt;0),IF(($C$5&lt;SUM('Tariffs 2021'!L13:P13)),(0),($C$5-SUM('Tariffs 2021'!L13:P13))*'Tariffs 2021'!AB13/100),IF(AND('Tariffs 2021'!O13&gt;0,'Tariffs 2021'!P13=""),IF(($C$5&lt; SUM('Tariffs 2021'!L13:O13)),(0),($C$5-SUM('Tariffs 2021'!L13:O13))*'Tariffs 2021'!AA13/100),IF(AND('Tariffs 2021'!N13&gt;0,'Tariffs 2021'!O13=""),IF(($C$5&lt; SUM('Tariffs 2021'!L13:N13)),(0),($C$5-SUM('Tariffs 2021'!L13:N13))*'Tariffs 2021'!Z13/100),IF(AND('Tariffs 2021'!M13&gt;0,'Tariffs 2021'!N13=""),IF(($C$5&lt;'Tariffs 2021'!M13+'Tariffs 2021'!L13),(0),(($C$5-('Tariffs 2021'!M13+'Tariffs 2021'!L13))*'Tariffs 2021'!Y13/100)),IF(AND('Tariffs 2021'!L13&gt;0,'Tariffs 2021'!M13=""&gt;0),IF(($C$5&lt;'Tariffs 2021'!L13),(0),($C$5-'Tariffs 2021'!L13)*'Tariffs 2021'!X13/100),0)))))</f>
        <v>0</v>
      </c>
      <c r="K19" s="340">
        <f t="shared" ref="K19:K21" si="21">SUM(D19:J19)</f>
        <v>161.19025454545454</v>
      </c>
      <c r="L19" s="372">
        <f t="shared" si="6"/>
        <v>703.62152727272723</v>
      </c>
      <c r="M19" s="373">
        <f t="shared" si="7"/>
        <v>967.14152727272722</v>
      </c>
      <c r="N19" s="341">
        <f t="shared" si="8"/>
        <v>1063.8556800000001</v>
      </c>
      <c r="O19" s="339">
        <f>'Tariffs 2021'!AT13</f>
        <v>16</v>
      </c>
      <c r="P19" s="339">
        <f>'Tariffs 2021'!AU13</f>
        <v>0</v>
      </c>
      <c r="Q19" s="339">
        <f>'Tariffs 2021'!AV13</f>
        <v>0</v>
      </c>
      <c r="R19" s="339">
        <f>'Tariffs 2021'!AW13</f>
        <v>0</v>
      </c>
      <c r="S19" s="342" t="str">
        <f t="shared" ref="S19:S20" si="22">IF(SUM(O19:R19)=0,"No discount",IF(O19&gt;0,"Guaranteed off bill",IF(P19&gt;0,"Guaranteed off usage",IF(Q19&gt;0,"Pay-on-time off bill","Pay-on-time off usage"))))</f>
        <v>Guaranteed off bill</v>
      </c>
      <c r="T19" s="342" t="str">
        <f t="shared" si="2"/>
        <v>Exclusive</v>
      </c>
      <c r="U19" s="383">
        <f t="shared" si="3"/>
        <v>812.39888290909084</v>
      </c>
      <c r="V19" s="383">
        <f t="shared" si="4"/>
        <v>812.39888290909084</v>
      </c>
      <c r="W19" s="392">
        <f t="shared" si="5"/>
        <v>893.63877119999995</v>
      </c>
      <c r="X19" s="392">
        <f t="shared" si="5"/>
        <v>893.63877119999995</v>
      </c>
      <c r="Y19" s="343">
        <f>'Tariffs 2021'!BF13</f>
        <v>0</v>
      </c>
      <c r="Z19" s="343" t="str">
        <f>'Tariffs 2021'!BG13</f>
        <v>n</v>
      </c>
      <c r="AA19" s="344" t="s">
        <v>288</v>
      </c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1"/>
      <c r="AM19" s="491"/>
      <c r="AN19" s="491"/>
    </row>
    <row r="20" spans="1:40" ht="25" customHeight="1" thickBot="1" x14ac:dyDescent="0.35">
      <c r="A20" s="345" t="str">
        <f>'Tariffs 2021'!F14</f>
        <v>ActewAGL</v>
      </c>
      <c r="B20" s="346" t="str">
        <f>'Tariffs 2021'!D14</f>
        <v xml:space="preserve">Evoenergy Queanbeyan </v>
      </c>
      <c r="C20" s="346" t="str">
        <f>'Tariffs 2021'!G14</f>
        <v>Reward</v>
      </c>
      <c r="D20" s="347">
        <f>60*'Tariffs 2021'!H14/100</f>
        <v>45.599999999999994</v>
      </c>
      <c r="E20" s="347">
        <f>IF('Tariffs 2021'!K14="",$C$5*'Tariffs 2021'!W14/100,IF($C$5&gt;='Tariffs 2021'!L14,('Tariffs 2021'!L14*'Tariffs 2021'!W14/100),($C$5*'Tariffs 2021'!W14/100)))</f>
        <v>78.410977199999991</v>
      </c>
      <c r="F20" s="347">
        <f>IF(AND('Tariffs 2021'!L14&gt;0,'Tariffs 2021'!M14&gt;0),IF($C$5&lt;'Tariffs 2021'!L14,0,IF(($C$5-'Tariffs 2021'!L14)&lt;=('Tariffs 2021'!M14+'Tariffs 2021'!L14),(($C$5-'Tariffs 2021'!L14)*'Tariffs 2021'!X14/100),(('Tariffs 2021'!M14)*'Tariffs 2021'!X14/100))),0)</f>
        <v>40.350669799999999</v>
      </c>
      <c r="G20" s="347">
        <f>IF(AND('Tariffs 2021'!M14&gt;0,'Tariffs 2021'!N14&gt;0),IF($C$5&lt;('Tariffs 2021'!L14+'Tariffs 2021'!M14),0,IF(($C$5-'Tariffs 2021'!L14+'Tariffs 2021'!M14)&lt;=('Tariffs 2021'!L14+'Tariffs 2021'!M14+'Tariffs 2021'!N14),(($C$5-('Tariffs 2021'!L14+'Tariffs 2021'!M14))*'Tariffs 2021'!Y14/100),('Tariffs 2021'!N14*'Tariffs 2021'!Y14/100))),0)</f>
        <v>0</v>
      </c>
      <c r="H20" s="347">
        <f>IF(AND('Tariffs 2021'!N14&gt;0,'Tariffs 2021'!O14&gt;0),IF($C$5&lt;('Tariffs 2021'!L14+'Tariffs 2021'!M14+'Tariffs 2021'!N14),0,IF(($C$5-'Tariffs 2021'!L14+'Tariffs 2021'!M14+'Tariffs 2021'!N14)&lt;=('Tariffs 2021'!L14+'Tariffs 2021'!M14+'Tariffs 2021'!N14+'Tariffs 2021'!O14),(($C$5-('Tariffs 2021'!L14+'Tariffs 2021'!M14+'Tariffs 2021'!N14))*'Tariffs 2021'!Z14/100),('Tariffs 2021'!O14*'Tariffs 2021'!Z14/100))),0)</f>
        <v>0</v>
      </c>
      <c r="I20" s="347">
        <f>IF(AND('Tariffs 2021'!O14&gt;0,'Tariffs 2021'!P14&gt;0),IF($C$5&lt;('Tariffs 2021'!L14+'Tariffs 2021'!M14+'Tariffs 2021'!N14+'Tariffs 2021'!O14),0,IF(($C$5-'Tariffs 2021'!L14+'Tariffs 2021'!M14+'Tariffs 2021'!N14+'Tariffs 2021'!O14)&lt;=('Tariffs 2021'!L14+'Tariffs 2021'!M14+'Tariffs 2021'!N14+'Tariffs 2021'!O14+'Tariffs 2021'!P14),(($C$5-('Tariffs 2021'!L14+'Tariffs 2021'!M14+'Tariffs 2021'!N14+'Tariffs 2021'!O14))*'Tariffs 2021'!AA14/100),('Tariffs 2021'!P14*'Tariffs 2021'!AA14/100))),0)</f>
        <v>0</v>
      </c>
      <c r="J20" s="347">
        <f>IF(AND('Tariffs 2021'!P14&gt;0,'Tariffs 2021'!O14&gt;0),IF(($C$5&lt;SUM('Tariffs 2021'!L14:P14)),(0),($C$5-SUM('Tariffs 2021'!L14:P14))*'Tariffs 2021'!AB14/100),IF(AND('Tariffs 2021'!O14&gt;0,'Tariffs 2021'!P14=""),IF(($C$5&lt; SUM('Tariffs 2021'!L14:O14)),(0),($C$5-SUM('Tariffs 2021'!L14:O14))*'Tariffs 2021'!AA14/100),IF(AND('Tariffs 2021'!N14&gt;0,'Tariffs 2021'!O14=""),IF(($C$5&lt; SUM('Tariffs 2021'!L14:N14)),(0),($C$5-SUM('Tariffs 2021'!L14:N14))*'Tariffs 2021'!Z14/100),IF(AND('Tariffs 2021'!M14&gt;0,'Tariffs 2021'!N14=""),IF(($C$5&lt;'Tariffs 2021'!M14+'Tariffs 2021'!L14),(0),(($C$5-('Tariffs 2021'!M14+'Tariffs 2021'!L14))*'Tariffs 2021'!Y14/100)),IF(AND('Tariffs 2021'!L14&gt;0,'Tariffs 2021'!M14=""&gt;0),IF(($C$5&lt;'Tariffs 2021'!L14),(0),($C$5-'Tariffs 2021'!L14)*'Tariffs 2021'!X14/100),0)))))</f>
        <v>0</v>
      </c>
      <c r="K20" s="347">
        <f t="shared" si="21"/>
        <v>164.36164699999998</v>
      </c>
      <c r="L20" s="374">
        <f t="shared" si="6"/>
        <v>712.56988200000001</v>
      </c>
      <c r="M20" s="375">
        <f t="shared" si="7"/>
        <v>986.16988199999992</v>
      </c>
      <c r="N20" s="348">
        <f t="shared" si="8"/>
        <v>1084.7868702000001</v>
      </c>
      <c r="O20" s="346">
        <f>'Tariffs 2021'!AT14</f>
        <v>11</v>
      </c>
      <c r="P20" s="346">
        <f>'Tariffs 2021'!AU14</f>
        <v>0</v>
      </c>
      <c r="Q20" s="346">
        <f>'Tariffs 2021'!AV14</f>
        <v>0</v>
      </c>
      <c r="R20" s="346">
        <f>'Tariffs 2021'!AW14</f>
        <v>0</v>
      </c>
      <c r="S20" s="349" t="str">
        <f t="shared" si="22"/>
        <v>Guaranteed off bill</v>
      </c>
      <c r="T20" s="349" t="str">
        <f t="shared" si="2"/>
        <v>Exclusive</v>
      </c>
      <c r="U20" s="384">
        <f t="shared" si="3"/>
        <v>877.69119497999986</v>
      </c>
      <c r="V20" s="384">
        <f t="shared" si="4"/>
        <v>877.69119497999986</v>
      </c>
      <c r="W20" s="393">
        <f t="shared" si="5"/>
        <v>965.46031447799987</v>
      </c>
      <c r="X20" s="393">
        <f t="shared" si="5"/>
        <v>965.46031447799987</v>
      </c>
      <c r="Y20" s="350">
        <f>'Tariffs 2021'!BF14</f>
        <v>0</v>
      </c>
      <c r="Z20" s="350" t="str">
        <f>'Tariffs 2021'!BG14</f>
        <v>n</v>
      </c>
      <c r="AA20" s="351" t="s">
        <v>288</v>
      </c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</row>
    <row r="21" spans="1:40" ht="25" customHeight="1" thickTop="1" thickBot="1" x14ac:dyDescent="0.35">
      <c r="A21" s="352" t="str">
        <f>'Tariffs 2021'!F15</f>
        <v>ActewAGL</v>
      </c>
      <c r="B21" s="353" t="str">
        <f>'Tariffs 2021'!D15</f>
        <v>Evoenergy Shoalhaven</v>
      </c>
      <c r="C21" s="353" t="str">
        <f>'Tariffs 2021'!G15</f>
        <v>Reward</v>
      </c>
      <c r="D21" s="354">
        <f>60*'Tariffs 2021'!H15/100</f>
        <v>53.58</v>
      </c>
      <c r="E21" s="354">
        <f>IF('Tariffs 2021'!K15="",$C$5*'Tariffs 2021'!W15/100,IF($C$5&gt;='Tariffs 2021'!L15,('Tariffs 2021'!L15*'Tariffs 2021'!W15/100),($C$5*'Tariffs 2021'!W15/100)))</f>
        <v>117.19999999999999</v>
      </c>
      <c r="F21" s="354">
        <f>IF(AND('Tariffs 2021'!L15&gt;0,'Tariffs 2021'!M15&gt;0),IF($C$5&lt;'Tariffs 2021'!L15,0,IF(($C$5-'Tariffs 2021'!L15)&lt;=('Tariffs 2021'!M15+'Tariffs 2021'!L15),(($C$5-'Tariffs 2021'!L15)*'Tariffs 2021'!X15/100),(('Tariffs 2021'!M15)*'Tariffs 2021'!X15/100))),0)</f>
        <v>0</v>
      </c>
      <c r="G21" s="354">
        <f>IF(AND('Tariffs 2021'!M15&gt;0,'Tariffs 2021'!N15&gt;0),IF($C$5&lt;('Tariffs 2021'!L15+'Tariffs 2021'!M15),0,IF(($C$5-'Tariffs 2021'!L15+'Tariffs 2021'!M15)&lt;=('Tariffs 2021'!L15+'Tariffs 2021'!M15+'Tariffs 2021'!N15),(($C$5-('Tariffs 2021'!L15+'Tariffs 2021'!M15))*'Tariffs 2021'!Y15/100),('Tariffs 2021'!N15*'Tariffs 2021'!Y15/100))),0)</f>
        <v>0</v>
      </c>
      <c r="H21" s="354">
        <f>IF(AND('Tariffs 2021'!N15&gt;0,'Tariffs 2021'!O15&gt;0),IF($C$5&lt;('Tariffs 2021'!L15+'Tariffs 2021'!M15+'Tariffs 2021'!N15),0,IF(($C$5-'Tariffs 2021'!L15+'Tariffs 2021'!M15+'Tariffs 2021'!N15)&lt;=('Tariffs 2021'!L15+'Tariffs 2021'!M15+'Tariffs 2021'!N15+'Tariffs 2021'!O15),(($C$5-('Tariffs 2021'!L15+'Tariffs 2021'!M15+'Tariffs 2021'!N15))*'Tariffs 2021'!Z15/100),('Tariffs 2021'!O15*'Tariffs 2021'!Z15/100))),0)</f>
        <v>0</v>
      </c>
      <c r="I21" s="354">
        <f>IF(AND('Tariffs 2021'!O15&gt;0,'Tariffs 2021'!P15&gt;0),IF($C$5&lt;('Tariffs 2021'!L15+'Tariffs 2021'!M15+'Tariffs 2021'!N15+'Tariffs 2021'!O15),0,IF(($C$5-'Tariffs 2021'!L15+'Tariffs 2021'!M15+'Tariffs 2021'!N15+'Tariffs 2021'!O15)&lt;=('Tariffs 2021'!L15+'Tariffs 2021'!M15+'Tariffs 2021'!N15+'Tariffs 2021'!O15+'Tariffs 2021'!P15),(($C$5-('Tariffs 2021'!L15+'Tariffs 2021'!M15+'Tariffs 2021'!N15+'Tariffs 2021'!O15))*'Tariffs 2021'!AA15/100),('Tariffs 2021'!P15*'Tariffs 2021'!AA15/100))),0)</f>
        <v>0</v>
      </c>
      <c r="J21" s="354">
        <f>IF(AND('Tariffs 2021'!P15&gt;0,'Tariffs 2021'!O15&gt;0),IF(($C$5&lt;SUM('Tariffs 2021'!L15:P15)),(0),($C$5-SUM('Tariffs 2021'!L15:P15))*'Tariffs 2021'!AB15/100),IF(AND('Tariffs 2021'!O15&gt;0,'Tariffs 2021'!P15=""),IF(($C$5&lt; SUM('Tariffs 2021'!L15:O15)),(0),($C$5-SUM('Tariffs 2021'!L15:O15))*'Tariffs 2021'!AA15/100),IF(AND('Tariffs 2021'!N15&gt;0,'Tariffs 2021'!O15=""),IF(($C$5&lt; SUM('Tariffs 2021'!L15:N15)),(0),($C$5-SUM('Tariffs 2021'!L15:N15))*'Tariffs 2021'!Z15/100),IF(AND('Tariffs 2021'!M15&gt;0,'Tariffs 2021'!N15=""),IF(($C$5&lt;'Tariffs 2021'!M15+'Tariffs 2021'!L15),(0),(($C$5-('Tariffs 2021'!M15+'Tariffs 2021'!L15))*'Tariffs 2021'!Y15/100)),IF(AND('Tariffs 2021'!L15&gt;0,'Tariffs 2021'!M15=""&gt;0),IF(($C$5&lt;'Tariffs 2021'!L15),(0),($C$5-'Tariffs 2021'!L15)*'Tariffs 2021'!X15/100),0)))))</f>
        <v>0</v>
      </c>
      <c r="K21" s="354">
        <f t="shared" si="21"/>
        <v>170.77999999999997</v>
      </c>
      <c r="L21" s="376">
        <f t="shared" si="6"/>
        <v>703.19999999999982</v>
      </c>
      <c r="M21" s="377">
        <f t="shared" si="7"/>
        <v>1024.6799999999998</v>
      </c>
      <c r="N21" s="355">
        <f t="shared" si="8"/>
        <v>1127.1479999999999</v>
      </c>
      <c r="O21" s="353">
        <f>'Tariffs 2021'!AT15</f>
        <v>6</v>
      </c>
      <c r="P21" s="353">
        <f>'Tariffs 2021'!AU15</f>
        <v>0</v>
      </c>
      <c r="Q21" s="353">
        <f>'Tariffs 2021'!AV15</f>
        <v>0</v>
      </c>
      <c r="R21" s="353">
        <f>'Tariffs 2021'!AW15</f>
        <v>0</v>
      </c>
      <c r="S21" s="356" t="str">
        <f t="shared" ref="S21:S36" si="23">IF(SUM(O21:R21)=0,"No discount",IF(O21&gt;0,"Guaranteed off bill",IF(P21&gt;0,"Guaranteed off usage",IF(Q21&gt;0,"Pay-on-time off bill","Pay-on-time off usage"))))</f>
        <v>Guaranteed off bill</v>
      </c>
      <c r="T21" s="356" t="str">
        <f t="shared" si="2"/>
        <v>Exclusive</v>
      </c>
      <c r="U21" s="385">
        <f t="shared" si="3"/>
        <v>963.19919999999979</v>
      </c>
      <c r="V21" s="385">
        <f t="shared" si="4"/>
        <v>963.19919999999979</v>
      </c>
      <c r="W21" s="394">
        <f t="shared" si="5"/>
        <v>1059.5191199999999</v>
      </c>
      <c r="X21" s="394">
        <f t="shared" si="5"/>
        <v>1059.5191199999999</v>
      </c>
      <c r="Y21" s="357">
        <f>'Tariffs 2021'!BF15</f>
        <v>0</v>
      </c>
      <c r="Z21" s="357" t="str">
        <f>'Tariffs 2021'!BG15</f>
        <v>n</v>
      </c>
      <c r="AA21" s="358" t="s">
        <v>288</v>
      </c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</row>
    <row r="22" spans="1:40" ht="25" customHeight="1" thickTop="1" x14ac:dyDescent="0.3">
      <c r="A22" s="338" t="str">
        <f>'Tariffs 2021'!F16</f>
        <v>AGL</v>
      </c>
      <c r="B22" s="339" t="str">
        <f>'Tariffs 2021'!D16</f>
        <v>AGN Albury</v>
      </c>
      <c r="C22" s="339" t="str">
        <f>'Tariffs 2021'!G16</f>
        <v>Super Saver</v>
      </c>
      <c r="D22" s="340">
        <f>60*'Tariffs 2021'!H16/100</f>
        <v>33.11454545454545</v>
      </c>
      <c r="E22" s="340">
        <f>IF('Tariffs 2021'!K16="",$C$5*'Tariffs 2021'!W16/100,IF($C$5&gt;='Tariffs 2021'!L16,('Tariffs 2021'!L16*'Tariffs 2021'!W16/100),($C$5*'Tariffs 2021'!W16/100)))</f>
        <v>31.385454545454547</v>
      </c>
      <c r="F22" s="340">
        <f>IF(AND('Tariffs 2021'!L16&gt;0,'Tariffs 2021'!M16&gt;0),IF($C$5&lt;'Tariffs 2021'!L16,0,IF(($C$5-'Tariffs 2021'!L16)&lt;=('Tariffs 2021'!M16+'Tariffs 2021'!L16),(($C$5-'Tariffs 2021'!L16)*'Tariffs 2021'!X16/100),(('Tariffs 2021'!M16)*'Tariffs 2021'!X16/100))),0)</f>
        <v>40.480363636363634</v>
      </c>
      <c r="G22" s="340">
        <f>IF(AND('Tariffs 2021'!M16&gt;0,'Tariffs 2021'!N16&gt;0),IF($C$5&lt;('Tariffs 2021'!L16+'Tariffs 2021'!M16),0,IF(($C$5-'Tariffs 2021'!L16+'Tariffs 2021'!M16)&lt;=('Tariffs 2021'!L16+'Tariffs 2021'!M16+'Tariffs 2021'!N16),(($C$5-('Tariffs 2021'!L16+'Tariffs 2021'!M16))*'Tariffs 2021'!Y16/100),('Tariffs 2021'!N16*'Tariffs 2021'!Y16/100))),0)</f>
        <v>0</v>
      </c>
      <c r="H22" s="340">
        <f>IF(AND('Tariffs 2021'!N16&gt;0,'Tariffs 2021'!O16&gt;0),IF($C$5&lt;('Tariffs 2021'!L16+'Tariffs 2021'!M16+'Tariffs 2021'!N16),0,IF(($C$5-'Tariffs 2021'!L16+'Tariffs 2021'!M16+'Tariffs 2021'!N16)&lt;=('Tariffs 2021'!L16+'Tariffs 2021'!M16+'Tariffs 2021'!N16+'Tariffs 2021'!O16),(($C$5-('Tariffs 2021'!L16+'Tariffs 2021'!M16+'Tariffs 2021'!N16))*'Tariffs 2021'!Z16/100),('Tariffs 2021'!O16*'Tariffs 2021'!Z16/100))),0)</f>
        <v>0</v>
      </c>
      <c r="I22" s="340">
        <f>IF(AND('Tariffs 2021'!O16&gt;0,'Tariffs 2021'!P16&gt;0),IF($C$5&lt;('Tariffs 2021'!L16+'Tariffs 2021'!M16+'Tariffs 2021'!N16+'Tariffs 2021'!O16),0,IF(($C$5-'Tariffs 2021'!L16+'Tariffs 2021'!M16+'Tariffs 2021'!N16+'Tariffs 2021'!O16)&lt;=('Tariffs 2021'!L16+'Tariffs 2021'!M16+'Tariffs 2021'!N16+'Tariffs 2021'!O16+'Tariffs 2021'!P16),(($C$5-('Tariffs 2021'!L16+'Tariffs 2021'!M16+'Tariffs 2021'!N16+'Tariffs 2021'!O16))*'Tariffs 2021'!AA16/100),('Tariffs 2021'!P16*'Tariffs 2021'!AA16/100))),0)</f>
        <v>0</v>
      </c>
      <c r="J22" s="340">
        <f>IF(AND('Tariffs 2021'!P16&gt;0,'Tariffs 2021'!O16&gt;0),IF(($C$5&lt;SUM('Tariffs 2021'!L16:P16)),(0),($C$5-SUM('Tariffs 2021'!L16:P16))*'Tariffs 2021'!AB16/100),IF(AND('Tariffs 2021'!O16&gt;0,'Tariffs 2021'!P16=""),IF(($C$5&lt; SUM('Tariffs 2021'!L16:O16)),(0),($C$5-SUM('Tariffs 2021'!L16:O16))*'Tariffs 2021'!AA16/100),IF(AND('Tariffs 2021'!N16&gt;0,'Tariffs 2021'!O16=""),IF(($C$5&lt; SUM('Tariffs 2021'!L16:N16)),(0),($C$5-SUM('Tariffs 2021'!L16:N16))*'Tariffs 2021'!Z16/100),IF(AND('Tariffs 2021'!M16&gt;0,'Tariffs 2021'!N16=""),IF(($C$5&lt;'Tariffs 2021'!M16+'Tariffs 2021'!L16),(0),(($C$5-('Tariffs 2021'!M16+'Tariffs 2021'!L16))*'Tariffs 2021'!Y16/100)),IF(AND('Tariffs 2021'!L16&gt;0,'Tariffs 2021'!M16=""&gt;0),IF(($C$5&lt;'Tariffs 2021'!L16),(0),($C$5-'Tariffs 2021'!L16)*'Tariffs 2021'!X16/100),0)))))</f>
        <v>16.956181818181818</v>
      </c>
      <c r="K22" s="340">
        <f t="shared" si="0"/>
        <v>121.93654545454545</v>
      </c>
      <c r="L22" s="372">
        <f t="shared" si="6"/>
        <v>532.93200000000002</v>
      </c>
      <c r="M22" s="373">
        <f t="shared" si="7"/>
        <v>731.61927272727269</v>
      </c>
      <c r="N22" s="359">
        <f t="shared" si="8"/>
        <v>804.78120000000001</v>
      </c>
      <c r="O22" s="339">
        <f>'Tariffs 2021'!AT16</f>
        <v>0</v>
      </c>
      <c r="P22" s="339">
        <f>'Tariffs 2021'!AU16</f>
        <v>0</v>
      </c>
      <c r="Q22" s="339">
        <f>'Tariffs 2021'!AV16</f>
        <v>0</v>
      </c>
      <c r="R22" s="339">
        <f>'Tariffs 2021'!AW16</f>
        <v>0</v>
      </c>
      <c r="S22" s="342" t="str">
        <f t="shared" si="23"/>
        <v>No discount</v>
      </c>
      <c r="T22" s="342" t="str">
        <f t="shared" si="2"/>
        <v>Exclusive</v>
      </c>
      <c r="U22" s="383">
        <f t="shared" si="3"/>
        <v>731.61927272727269</v>
      </c>
      <c r="V22" s="383">
        <f t="shared" si="4"/>
        <v>731.61927272727269</v>
      </c>
      <c r="W22" s="392">
        <f t="shared" si="5"/>
        <v>804.78120000000001</v>
      </c>
      <c r="X22" s="392">
        <f t="shared" si="5"/>
        <v>804.78120000000001</v>
      </c>
      <c r="Y22" s="343">
        <f>'Tariffs 2021'!BF16</f>
        <v>0</v>
      </c>
      <c r="Z22" s="343" t="str">
        <f>'Tariffs 2021'!BG16</f>
        <v>n</v>
      </c>
      <c r="AA22" s="344" t="s">
        <v>288</v>
      </c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</row>
    <row r="23" spans="1:40" ht="25" customHeight="1" x14ac:dyDescent="0.3">
      <c r="A23" s="309" t="str">
        <f>'Tariffs 2021'!F17</f>
        <v>EnergyAustralia</v>
      </c>
      <c r="B23" s="360" t="str">
        <f>'Tariffs 2021'!D17</f>
        <v>AGN Albury</v>
      </c>
      <c r="C23" s="360" t="str">
        <f>'Tariffs 2021'!G17</f>
        <v>Total Plan</v>
      </c>
      <c r="D23" s="361">
        <f>60*'Tariffs 2021'!H17/100</f>
        <v>47.76</v>
      </c>
      <c r="E23" s="361">
        <f>IF('Tariffs 2021'!K17="",$C$5*'Tariffs 2021'!W17/100,IF($C$5&gt;='Tariffs 2021'!L17,('Tariffs 2021'!L17*'Tariffs 2021'!W17/100),($C$5*'Tariffs 2021'!W17/100)))</f>
        <v>100</v>
      </c>
      <c r="F23" s="361">
        <f>IF(AND('Tariffs 2021'!L17&gt;0,'Tariffs 2021'!M17&gt;0),IF($C$5&lt;'Tariffs 2021'!L17,0,IF(($C$5-'Tariffs 2021'!L17)&lt;=('Tariffs 2021'!M17+'Tariffs 2021'!L17),(($C$5-'Tariffs 2021'!L17)*'Tariffs 2021'!X17/100),(('Tariffs 2021'!M17)*'Tariffs 2021'!X17/100))),0)</f>
        <v>0</v>
      </c>
      <c r="G23" s="361">
        <f>IF(AND('Tariffs 2021'!M17&gt;0,'Tariffs 2021'!N17&gt;0),IF($C$5&lt;('Tariffs 2021'!L17+'Tariffs 2021'!M17),0,IF(($C$5-'Tariffs 2021'!L17+'Tariffs 2021'!M17)&lt;=('Tariffs 2021'!L17+'Tariffs 2021'!M17+'Tariffs 2021'!N17),(($C$5-('Tariffs 2021'!L17+'Tariffs 2021'!M17))*'Tariffs 2021'!Y17/100),('Tariffs 2021'!N17*'Tariffs 2021'!Y17/100))),0)</f>
        <v>0</v>
      </c>
      <c r="H23" s="361">
        <f>IF(AND('Tariffs 2021'!N17&gt;0,'Tariffs 2021'!O17&gt;0),IF($C$5&lt;('Tariffs 2021'!L17+'Tariffs 2021'!M17+'Tariffs 2021'!N17),0,IF(($C$5-'Tariffs 2021'!L17+'Tariffs 2021'!M17+'Tariffs 2021'!N17)&lt;=('Tariffs 2021'!L17+'Tariffs 2021'!M17+'Tariffs 2021'!N17+'Tariffs 2021'!O17),(($C$5-('Tariffs 2021'!L17+'Tariffs 2021'!M17+'Tariffs 2021'!N17))*'Tariffs 2021'!Z17/100),('Tariffs 2021'!O17*'Tariffs 2021'!Z17/100))),0)</f>
        <v>0</v>
      </c>
      <c r="I23" s="361">
        <f>IF(AND('Tariffs 2021'!O17&gt;0,'Tariffs 2021'!P17&gt;0),IF($C$5&lt;('Tariffs 2021'!L17+'Tariffs 2021'!M17+'Tariffs 2021'!N17+'Tariffs 2021'!O17),0,IF(($C$5-'Tariffs 2021'!L17+'Tariffs 2021'!M17+'Tariffs 2021'!N17+'Tariffs 2021'!O17)&lt;=('Tariffs 2021'!L17+'Tariffs 2021'!M17+'Tariffs 2021'!N17+'Tariffs 2021'!O17+'Tariffs 2021'!P17),(($C$5-('Tariffs 2021'!L17+'Tariffs 2021'!M17+'Tariffs 2021'!N17+'Tariffs 2021'!O17))*'Tariffs 2021'!AA17/100),('Tariffs 2021'!P17*'Tariffs 2021'!AA17/100))),0)</f>
        <v>0</v>
      </c>
      <c r="J23" s="361">
        <f>IF(AND('Tariffs 2021'!P17&gt;0,'Tariffs 2021'!O17&gt;0),IF(($C$5&lt;SUM('Tariffs 2021'!L17:P17)),(0),($C$5-SUM('Tariffs 2021'!L17:P17))*'Tariffs 2021'!AB17/100),IF(AND('Tariffs 2021'!O17&gt;0,'Tariffs 2021'!P17=""),IF(($C$5&lt; SUM('Tariffs 2021'!L17:O17)),(0),($C$5-SUM('Tariffs 2021'!L17:O17))*'Tariffs 2021'!AA17/100),IF(AND('Tariffs 2021'!N17&gt;0,'Tariffs 2021'!O17=""),IF(($C$5&lt; SUM('Tariffs 2021'!L17:N17)),(0),($C$5-SUM('Tariffs 2021'!L17:N17))*'Tariffs 2021'!Z17/100),IF(AND('Tariffs 2021'!M17&gt;0,'Tariffs 2021'!N17=""),IF(($C$5&lt;'Tariffs 2021'!M17+'Tariffs 2021'!L17),(0),(($C$5-('Tariffs 2021'!M17+'Tariffs 2021'!L17))*'Tariffs 2021'!Y17/100)),IF(AND('Tariffs 2021'!L17&gt;0,'Tariffs 2021'!M17=""&gt;0),IF(($C$5&lt;'Tariffs 2021'!L17),(0),($C$5-'Tariffs 2021'!L17)*'Tariffs 2021'!X17/100),0)))))</f>
        <v>0</v>
      </c>
      <c r="K23" s="361">
        <f t="shared" si="0"/>
        <v>147.76</v>
      </c>
      <c r="L23" s="378">
        <f t="shared" si="6"/>
        <v>600</v>
      </c>
      <c r="M23" s="379">
        <f t="shared" si="7"/>
        <v>886.56</v>
      </c>
      <c r="N23" s="362">
        <f t="shared" si="8"/>
        <v>975.21600000000001</v>
      </c>
      <c r="O23" s="360">
        <f>'Tariffs 2021'!AT17</f>
        <v>16</v>
      </c>
      <c r="P23" s="360">
        <f>'Tariffs 2021'!AU17</f>
        <v>0</v>
      </c>
      <c r="Q23" s="360">
        <f>'Tariffs 2021'!AV17</f>
        <v>0</v>
      </c>
      <c r="R23" s="360">
        <f>'Tariffs 2021'!AW17</f>
        <v>0</v>
      </c>
      <c r="S23" s="312" t="str">
        <f t="shared" si="23"/>
        <v>Guaranteed off bill</v>
      </c>
      <c r="T23" s="312" t="str">
        <f t="shared" si="2"/>
        <v>Exclusive</v>
      </c>
      <c r="U23" s="386">
        <f t="shared" si="3"/>
        <v>744.71039999999994</v>
      </c>
      <c r="V23" s="386">
        <f t="shared" si="4"/>
        <v>744.71039999999994</v>
      </c>
      <c r="W23" s="391">
        <f t="shared" si="5"/>
        <v>819.18143999999995</v>
      </c>
      <c r="X23" s="391">
        <f t="shared" si="5"/>
        <v>819.18143999999995</v>
      </c>
      <c r="Y23" s="363">
        <f>'Tariffs 2021'!BF17</f>
        <v>0</v>
      </c>
      <c r="Z23" s="364" t="str">
        <f>'Tariffs 2021'!BG17</f>
        <v>n</v>
      </c>
      <c r="AA23" s="314" t="s">
        <v>288</v>
      </c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</row>
    <row r="24" spans="1:40" ht="25" customHeight="1" thickBot="1" x14ac:dyDescent="0.35">
      <c r="A24" s="345" t="str">
        <f>'Tariffs 2021'!F18</f>
        <v>Origin Energy</v>
      </c>
      <c r="B24" s="346" t="str">
        <f>'Tariffs 2021'!D18</f>
        <v>AGN Albury</v>
      </c>
      <c r="C24" s="346" t="str">
        <f>'Tariffs 2021'!G18</f>
        <v>Go</v>
      </c>
      <c r="D24" s="347">
        <f>60*'Tariffs 2021'!H18/100</f>
        <v>31.761818181818182</v>
      </c>
      <c r="E24" s="347">
        <f>IF('Tariffs 2021'!K18="",$C$5*'Tariffs 2021'!W18/100,IF($C$5&gt;='Tariffs 2021'!L18,('Tariffs 2021'!L18*'Tariffs 2021'!W18/100),($C$5*'Tariffs 2021'!W18/100)))</f>
        <v>35.869090909090907</v>
      </c>
      <c r="F24" s="347">
        <f>IF(AND('Tariffs 2021'!L18&gt;0,'Tariffs 2021'!M18&gt;0),IF($C$5&lt;'Tariffs 2021'!L18,0,IF(($C$5-'Tariffs 2021'!L18)&lt;=('Tariffs 2021'!M18+'Tariffs 2021'!L18),(($C$5-'Tariffs 2021'!L18)*'Tariffs 2021'!X18/100),(('Tariffs 2021'!M18)*'Tariffs 2021'!X18/100))),0)</f>
        <v>0</v>
      </c>
      <c r="G24" s="347">
        <f>IF(AND('Tariffs 2021'!M18&gt;0,'Tariffs 2021'!N18&gt;0),IF($C$5&lt;('Tariffs 2021'!L18+'Tariffs 2021'!M18),0,IF(($C$5-'Tariffs 2021'!L18+'Tariffs 2021'!M18)&lt;=('Tariffs 2021'!L18+'Tariffs 2021'!M18+'Tariffs 2021'!N18),(($C$5-('Tariffs 2021'!L18+'Tariffs 2021'!M18))*'Tariffs 2021'!Y18/100),('Tariffs 2021'!N18*'Tariffs 2021'!Y18/100))),0)</f>
        <v>0</v>
      </c>
      <c r="H24" s="347">
        <f>IF(AND('Tariffs 2021'!N18&gt;0,'Tariffs 2021'!O18&gt;0),IF($C$5&lt;('Tariffs 2021'!L18+'Tariffs 2021'!M18+'Tariffs 2021'!N18),0,IF(($C$5-'Tariffs 2021'!L18+'Tariffs 2021'!M18+'Tariffs 2021'!N18)&lt;=('Tariffs 2021'!L18+'Tariffs 2021'!M18+'Tariffs 2021'!N18+'Tariffs 2021'!O18),(($C$5-('Tariffs 2021'!L18+'Tariffs 2021'!M18+'Tariffs 2021'!N18))*'Tariffs 2021'!Z18/100),('Tariffs 2021'!O18*'Tariffs 2021'!Z18/100))),0)</f>
        <v>0</v>
      </c>
      <c r="I24" s="347">
        <f>IF(AND('Tariffs 2021'!O18&gt;0,'Tariffs 2021'!P18&gt;0),IF($C$5&lt;('Tariffs 2021'!L18+'Tariffs 2021'!M18+'Tariffs 2021'!N18+'Tariffs 2021'!O18),0,IF(($C$5-'Tariffs 2021'!L18+'Tariffs 2021'!M18+'Tariffs 2021'!N18+'Tariffs 2021'!O18)&lt;=('Tariffs 2021'!L18+'Tariffs 2021'!M18+'Tariffs 2021'!N18+'Tariffs 2021'!O18+'Tariffs 2021'!P18),(($C$5-('Tariffs 2021'!L18+'Tariffs 2021'!M18+'Tariffs 2021'!N18+'Tariffs 2021'!O18))*'Tariffs 2021'!AA18/100),('Tariffs 2021'!P18*'Tariffs 2021'!AA18/100))),0)</f>
        <v>0</v>
      </c>
      <c r="J24" s="347">
        <f>IF(AND('Tariffs 2021'!P18&gt;0,'Tariffs 2021'!O18&gt;0),IF(($C$5&lt;SUM('Tariffs 2021'!L18:P18)),(0),($C$5-SUM('Tariffs 2021'!L18:P18))*'Tariffs 2021'!AB18/100),IF(AND('Tariffs 2021'!O18&gt;0,'Tariffs 2021'!P18=""),IF(($C$5&lt; SUM('Tariffs 2021'!L18:O18)),(0),($C$5-SUM('Tariffs 2021'!L18:O18))*'Tariffs 2021'!AA18/100),IF(AND('Tariffs 2021'!N18&gt;0,'Tariffs 2021'!O18=""),IF(($C$5&lt; SUM('Tariffs 2021'!L18:N18)),(0),($C$5-SUM('Tariffs 2021'!L18:N18))*'Tariffs 2021'!Z18/100),IF(AND('Tariffs 2021'!M18&gt;0,'Tariffs 2021'!N18=""),IF(($C$5&lt;'Tariffs 2021'!M18+'Tariffs 2021'!L18),(0),(($C$5-('Tariffs 2021'!M18+'Tariffs 2021'!L18))*'Tariffs 2021'!Y18/100)),IF(AND('Tariffs 2021'!L18&gt;0,'Tariffs 2021'!M18=""&gt;0),IF(($C$5&lt;'Tariffs 2021'!L18),(0),($C$5-'Tariffs 2021'!L18)*'Tariffs 2021'!X18/100),0)))))</f>
        <v>44.549818181818182</v>
      </c>
      <c r="K24" s="347">
        <f t="shared" si="0"/>
        <v>112.18072727272727</v>
      </c>
      <c r="L24" s="374">
        <f t="shared" si="6"/>
        <v>482.51345454545452</v>
      </c>
      <c r="M24" s="375">
        <f t="shared" si="7"/>
        <v>673.08436363636361</v>
      </c>
      <c r="N24" s="366">
        <f t="shared" si="8"/>
        <v>740.39280000000008</v>
      </c>
      <c r="O24" s="346">
        <f>'Tariffs 2021'!AT18</f>
        <v>0</v>
      </c>
      <c r="P24" s="346">
        <f>'Tariffs 2021'!AU18</f>
        <v>0</v>
      </c>
      <c r="Q24" s="346">
        <f>'Tariffs 2021'!AV18</f>
        <v>0</v>
      </c>
      <c r="R24" s="346">
        <f>'Tariffs 2021'!AW18</f>
        <v>0</v>
      </c>
      <c r="S24" s="349" t="str">
        <f t="shared" si="23"/>
        <v>No discount</v>
      </c>
      <c r="T24" s="349" t="str">
        <f t="shared" si="2"/>
        <v>Inclusive</v>
      </c>
      <c r="U24" s="384">
        <f t="shared" si="3"/>
        <v>673.08436363636361</v>
      </c>
      <c r="V24" s="384">
        <f t="shared" si="4"/>
        <v>673.08436363636361</v>
      </c>
      <c r="W24" s="393">
        <f t="shared" ref="W24:X36" si="24">U24*1.1</f>
        <v>740.39280000000008</v>
      </c>
      <c r="X24" s="393">
        <f t="shared" si="24"/>
        <v>740.39280000000008</v>
      </c>
      <c r="Y24" s="350">
        <f>'Tariffs 2021'!BF18</f>
        <v>0</v>
      </c>
      <c r="Z24" s="350" t="str">
        <f>'Tariffs 2021'!BG18</f>
        <v>n</v>
      </c>
      <c r="AA24" s="351" t="s">
        <v>288</v>
      </c>
      <c r="AB24" s="491"/>
      <c r="AC24" s="491"/>
      <c r="AD24" s="491"/>
      <c r="AE24" s="491"/>
      <c r="AF24" s="491"/>
      <c r="AG24" s="491"/>
      <c r="AH24" s="491"/>
      <c r="AI24" s="491"/>
      <c r="AJ24" s="491"/>
      <c r="AK24" s="491"/>
      <c r="AL24" s="491"/>
      <c r="AM24" s="491"/>
      <c r="AN24" s="491"/>
    </row>
    <row r="25" spans="1:40" ht="25" customHeight="1" thickTop="1" x14ac:dyDescent="0.3">
      <c r="A25" s="338" t="str">
        <f>'Tariffs 2021'!F19</f>
        <v>AGL</v>
      </c>
      <c r="B25" s="339" t="str">
        <f>'Tariffs 2021'!D19</f>
        <v>AGN Murray Valley</v>
      </c>
      <c r="C25" s="339" t="str">
        <f>'Tariffs 2021'!G19</f>
        <v>Super Saver</v>
      </c>
      <c r="D25" s="340">
        <f>60*'Tariffs 2021'!H19/100</f>
        <v>37.919999999999987</v>
      </c>
      <c r="E25" s="340">
        <f>IF('Tariffs 2021'!K19="",$C$5*'Tariffs 2021'!W19/100,IF($C$5&gt;='Tariffs 2021'!L19,('Tariffs 2021'!L19*'Tariffs 2021'!W19/100),($C$5*'Tariffs 2021'!W19/100)))</f>
        <v>49.170545454545454</v>
      </c>
      <c r="F25" s="340">
        <f>IF(AND('Tariffs 2021'!L19&gt;0,'Tariffs 2021'!M19&gt;0),IF($C$5&lt;'Tariffs 2021'!L19,0,IF(($C$5-'Tariffs 2021'!L19)&lt;=('Tariffs 2021'!M19+'Tariffs 2021'!L19),(($C$5-'Tariffs 2021'!L19)*'Tariffs 2021'!X19/100),(('Tariffs 2021'!M19)*'Tariffs 2021'!X19/100))),0)</f>
        <v>64.25454545454545</v>
      </c>
      <c r="G25" s="340">
        <f>IF(AND('Tariffs 2021'!M19&gt;0,'Tariffs 2021'!N19&gt;0),IF($C$5&lt;('Tariffs 2021'!L19+'Tariffs 2021'!M19),0,IF(($C$5-'Tariffs 2021'!L19+'Tariffs 2021'!M19)&lt;=('Tariffs 2021'!L19+'Tariffs 2021'!M19+'Tariffs 2021'!N19),(($C$5-('Tariffs 2021'!L19+'Tariffs 2021'!M19))*'Tariffs 2021'!Y19/100),('Tariffs 2021'!N19*'Tariffs 2021'!Y19/100))),0)</f>
        <v>0</v>
      </c>
      <c r="H25" s="340">
        <f>IF(AND('Tariffs 2021'!N19&gt;0,'Tariffs 2021'!O19&gt;0),IF($C$5&lt;('Tariffs 2021'!L19+'Tariffs 2021'!M19+'Tariffs 2021'!N19),0,IF(($C$5-'Tariffs 2021'!L19+'Tariffs 2021'!M19+'Tariffs 2021'!N19)&lt;=('Tariffs 2021'!L19+'Tariffs 2021'!M19+'Tariffs 2021'!N19+'Tariffs 2021'!O19),(($C$5-('Tariffs 2021'!L19+'Tariffs 2021'!M19+'Tariffs 2021'!N19))*'Tariffs 2021'!Z19/100),('Tariffs 2021'!O19*'Tariffs 2021'!Z19/100))),0)</f>
        <v>0</v>
      </c>
      <c r="I25" s="340">
        <f>IF(AND('Tariffs 2021'!O19&gt;0,'Tariffs 2021'!P19&gt;0),IF($C$5&lt;('Tariffs 2021'!L19+'Tariffs 2021'!M19+'Tariffs 2021'!N19+'Tariffs 2021'!O19),0,IF(($C$5-'Tariffs 2021'!L19+'Tariffs 2021'!M19+'Tariffs 2021'!N19+'Tariffs 2021'!O19)&lt;=('Tariffs 2021'!L19+'Tariffs 2021'!M19+'Tariffs 2021'!N19+'Tariffs 2021'!O19+'Tariffs 2021'!P19),(($C$5-('Tariffs 2021'!L19+'Tariffs 2021'!M19+'Tariffs 2021'!N19+'Tariffs 2021'!O19))*'Tariffs 2021'!AA19/100),('Tariffs 2021'!P19*'Tariffs 2021'!AA19/100))),0)</f>
        <v>0</v>
      </c>
      <c r="J25" s="340">
        <f>IF(AND('Tariffs 2021'!P19&gt;0,'Tariffs 2021'!O19&gt;0),IF(($C$5&lt;SUM('Tariffs 2021'!L19:P19)),(0),($C$5-SUM('Tariffs 2021'!L19:P19))*'Tariffs 2021'!AB19/100),IF(AND('Tariffs 2021'!O19&gt;0,'Tariffs 2021'!P19=""),IF(($C$5&lt; SUM('Tariffs 2021'!L19:O19)),(0),($C$5-SUM('Tariffs 2021'!L19:O19))*'Tariffs 2021'!AA19/100),IF(AND('Tariffs 2021'!N19&gt;0,'Tariffs 2021'!O19=""),IF(($C$5&lt; SUM('Tariffs 2021'!L19:N19)),(0),($C$5-SUM('Tariffs 2021'!L19:N19))*'Tariffs 2021'!Z19/100),IF(AND('Tariffs 2021'!M19&gt;0,'Tariffs 2021'!N19=""),IF(($C$5&lt;'Tariffs 2021'!M19+'Tariffs 2021'!L19),(0),(($C$5-('Tariffs 2021'!M19+'Tariffs 2021'!L19))*'Tariffs 2021'!Y19/100)),IF(AND('Tariffs 2021'!L19&gt;0,'Tariffs 2021'!M19=""&gt;0),IF(($C$5&lt;'Tariffs 2021'!L19),(0),($C$5-'Tariffs 2021'!L19)*'Tariffs 2021'!X19/100),0)))))</f>
        <v>22.639818181818182</v>
      </c>
      <c r="K25" s="340">
        <f t="shared" si="0"/>
        <v>173.98490909090907</v>
      </c>
      <c r="L25" s="372">
        <f t="shared" si="6"/>
        <v>816.38945454545456</v>
      </c>
      <c r="M25" s="373">
        <f t="shared" si="7"/>
        <v>1043.9094545454545</v>
      </c>
      <c r="N25" s="359">
        <f t="shared" si="8"/>
        <v>1148.3004000000001</v>
      </c>
      <c r="O25" s="339">
        <f>'Tariffs 2021'!AT19</f>
        <v>0</v>
      </c>
      <c r="P25" s="339">
        <f>'Tariffs 2021'!AU19</f>
        <v>0</v>
      </c>
      <c r="Q25" s="339">
        <f>'Tariffs 2021'!AV19</f>
        <v>0</v>
      </c>
      <c r="R25" s="339">
        <f>'Tariffs 2021'!AW19</f>
        <v>0</v>
      </c>
      <c r="S25" s="342" t="str">
        <f t="shared" si="23"/>
        <v>No discount</v>
      </c>
      <c r="T25" s="342" t="str">
        <f t="shared" si="2"/>
        <v>Exclusive</v>
      </c>
      <c r="U25" s="383">
        <f t="shared" si="3"/>
        <v>1043.9094545454545</v>
      </c>
      <c r="V25" s="383">
        <f t="shared" si="4"/>
        <v>1043.9094545454545</v>
      </c>
      <c r="W25" s="392">
        <f t="shared" si="24"/>
        <v>1148.3004000000001</v>
      </c>
      <c r="X25" s="392">
        <f t="shared" si="24"/>
        <v>1148.3004000000001</v>
      </c>
      <c r="Y25" s="343">
        <f>'Tariffs 2021'!BF19</f>
        <v>0</v>
      </c>
      <c r="Z25" s="343" t="str">
        <f>'Tariffs 2021'!BG19</f>
        <v>n</v>
      </c>
      <c r="AA25" s="344" t="s">
        <v>288</v>
      </c>
      <c r="AB25" s="491"/>
      <c r="AC25" s="491"/>
      <c r="AD25" s="491"/>
      <c r="AE25" s="491"/>
      <c r="AF25" s="491"/>
      <c r="AG25" s="491"/>
      <c r="AH25" s="491"/>
      <c r="AI25" s="491"/>
      <c r="AJ25" s="491"/>
      <c r="AK25" s="491"/>
      <c r="AL25" s="491"/>
      <c r="AM25" s="491"/>
      <c r="AN25" s="491"/>
    </row>
    <row r="26" spans="1:40" ht="25" customHeight="1" x14ac:dyDescent="0.3">
      <c r="A26" s="309" t="str">
        <f>'Tariffs 2021'!F20</f>
        <v>EnergyAustralia</v>
      </c>
      <c r="B26" s="360" t="str">
        <f>'Tariffs 2021'!D20</f>
        <v>AGN Murray Valley</v>
      </c>
      <c r="C26" s="360" t="str">
        <f>'Tariffs 2021'!G20</f>
        <v>Total Plan</v>
      </c>
      <c r="D26" s="361">
        <f>60*'Tariffs 2021'!H20/100</f>
        <v>45.84</v>
      </c>
      <c r="E26" s="361">
        <f>IF('Tariffs 2021'!K20="",$C$5*'Tariffs 2021'!W20/100,IF($C$5&gt;='Tariffs 2021'!L20,('Tariffs 2021'!L20*'Tariffs 2021'!W20/100),($C$5*'Tariffs 2021'!W20/100)))</f>
        <v>145.45454545454544</v>
      </c>
      <c r="F26" s="361">
        <f>IF(AND('Tariffs 2021'!L20&gt;0,'Tariffs 2021'!M20&gt;0),IF($C$5&lt;'Tariffs 2021'!L20,0,IF(($C$5-'Tariffs 2021'!L20)&lt;=('Tariffs 2021'!M20+'Tariffs 2021'!L20),(($C$5-'Tariffs 2021'!L20)*'Tariffs 2021'!X20/100),(('Tariffs 2021'!M20)*'Tariffs 2021'!X20/100))),0)</f>
        <v>0</v>
      </c>
      <c r="G26" s="361">
        <f>IF(AND('Tariffs 2021'!M20&gt;0,'Tariffs 2021'!N20&gt;0),IF($C$5&lt;('Tariffs 2021'!L20+'Tariffs 2021'!M20),0,IF(($C$5-'Tariffs 2021'!L20+'Tariffs 2021'!M20)&lt;=('Tariffs 2021'!L20+'Tariffs 2021'!M20+'Tariffs 2021'!N20),(($C$5-('Tariffs 2021'!L20+'Tariffs 2021'!M20))*'Tariffs 2021'!Y20/100),('Tariffs 2021'!N20*'Tariffs 2021'!Y20/100))),0)</f>
        <v>0</v>
      </c>
      <c r="H26" s="361">
        <f>IF(AND('Tariffs 2021'!N20&gt;0,'Tariffs 2021'!O20&gt;0),IF($C$5&lt;('Tariffs 2021'!L20+'Tariffs 2021'!M20+'Tariffs 2021'!N20),0,IF(($C$5-'Tariffs 2021'!L20+'Tariffs 2021'!M20+'Tariffs 2021'!N20)&lt;=('Tariffs 2021'!L20+'Tariffs 2021'!M20+'Tariffs 2021'!N20+'Tariffs 2021'!O20),(($C$5-('Tariffs 2021'!L20+'Tariffs 2021'!M20+'Tariffs 2021'!N20))*'Tariffs 2021'!Z20/100),('Tariffs 2021'!O20*'Tariffs 2021'!Z20/100))),0)</f>
        <v>0</v>
      </c>
      <c r="I26" s="361">
        <f>IF(AND('Tariffs 2021'!O20&gt;0,'Tariffs 2021'!P20&gt;0),IF($C$5&lt;('Tariffs 2021'!L20+'Tariffs 2021'!M20+'Tariffs 2021'!N20+'Tariffs 2021'!O20),0,IF(($C$5-'Tariffs 2021'!L20+'Tariffs 2021'!M20+'Tariffs 2021'!N20+'Tariffs 2021'!O20)&lt;=('Tariffs 2021'!L20+'Tariffs 2021'!M20+'Tariffs 2021'!N20+'Tariffs 2021'!O20+'Tariffs 2021'!P20),(($C$5-('Tariffs 2021'!L20+'Tariffs 2021'!M20+'Tariffs 2021'!N20+'Tariffs 2021'!O20))*'Tariffs 2021'!AA20/100),('Tariffs 2021'!P20*'Tariffs 2021'!AA20/100))),0)</f>
        <v>0</v>
      </c>
      <c r="J26" s="361">
        <f>IF(AND('Tariffs 2021'!P20&gt;0,'Tariffs 2021'!O20&gt;0),IF(($C$5&lt;SUM('Tariffs 2021'!L20:P20)),(0),($C$5-SUM('Tariffs 2021'!L20:P20))*'Tariffs 2021'!AB20/100),IF(AND('Tariffs 2021'!O20&gt;0,'Tariffs 2021'!P20=""),IF(($C$5&lt; SUM('Tariffs 2021'!L20:O20)),(0),($C$5-SUM('Tariffs 2021'!L20:O20))*'Tariffs 2021'!AA20/100),IF(AND('Tariffs 2021'!N20&gt;0,'Tariffs 2021'!O20=""),IF(($C$5&lt; SUM('Tariffs 2021'!L20:N20)),(0),($C$5-SUM('Tariffs 2021'!L20:N20))*'Tariffs 2021'!Z20/100),IF(AND('Tariffs 2021'!M20&gt;0,'Tariffs 2021'!N20=""),IF(($C$5&lt;'Tariffs 2021'!M20+'Tariffs 2021'!L20),(0),(($C$5-('Tariffs 2021'!M20+'Tariffs 2021'!L20))*'Tariffs 2021'!Y20/100)),IF(AND('Tariffs 2021'!L20&gt;0,'Tariffs 2021'!M20=""&gt;0),IF(($C$5&lt;'Tariffs 2021'!L20),(0),($C$5-'Tariffs 2021'!L20)*'Tariffs 2021'!X20/100),0)))))</f>
        <v>0</v>
      </c>
      <c r="K26" s="361">
        <f t="shared" si="0"/>
        <v>191.29454545454544</v>
      </c>
      <c r="L26" s="378">
        <f t="shared" si="6"/>
        <v>872.72727272727275</v>
      </c>
      <c r="M26" s="379">
        <f t="shared" si="7"/>
        <v>1147.7672727272727</v>
      </c>
      <c r="N26" s="362">
        <f t="shared" si="8"/>
        <v>1262.5440000000001</v>
      </c>
      <c r="O26" s="360">
        <f>'Tariffs 2021'!AT20</f>
        <v>16</v>
      </c>
      <c r="P26" s="360">
        <f>'Tariffs 2021'!AU20</f>
        <v>0</v>
      </c>
      <c r="Q26" s="360">
        <f>'Tariffs 2021'!AV20</f>
        <v>0</v>
      </c>
      <c r="R26" s="360">
        <f>'Tariffs 2021'!AW20</f>
        <v>0</v>
      </c>
      <c r="S26" s="312" t="str">
        <f t="shared" si="23"/>
        <v>Guaranteed off bill</v>
      </c>
      <c r="T26" s="312" t="str">
        <f t="shared" si="2"/>
        <v>Exclusive</v>
      </c>
      <c r="U26" s="386">
        <f t="shared" si="3"/>
        <v>964.1245090909091</v>
      </c>
      <c r="V26" s="386">
        <f t="shared" si="4"/>
        <v>964.1245090909091</v>
      </c>
      <c r="W26" s="391">
        <f t="shared" si="24"/>
        <v>1060.5369600000001</v>
      </c>
      <c r="X26" s="391">
        <f t="shared" si="24"/>
        <v>1060.5369600000001</v>
      </c>
      <c r="Y26" s="363">
        <f>'Tariffs 2021'!BF20</f>
        <v>0</v>
      </c>
      <c r="Z26" s="364" t="str">
        <f>'Tariffs 2021'!BG20</f>
        <v>n</v>
      </c>
      <c r="AA26" s="314" t="s">
        <v>288</v>
      </c>
      <c r="AB26" s="491"/>
      <c r="AC26" s="491"/>
      <c r="AD26" s="491"/>
      <c r="AE26" s="491"/>
      <c r="AF26" s="491"/>
      <c r="AG26" s="491"/>
      <c r="AH26" s="491"/>
      <c r="AI26" s="491"/>
      <c r="AJ26" s="491"/>
      <c r="AK26" s="491"/>
      <c r="AL26" s="491"/>
      <c r="AM26" s="491"/>
      <c r="AN26" s="491"/>
    </row>
    <row r="27" spans="1:40" ht="25" customHeight="1" thickBot="1" x14ac:dyDescent="0.35">
      <c r="A27" s="345" t="str">
        <f>'Tariffs 2021'!F21</f>
        <v>Origin Energy</v>
      </c>
      <c r="B27" s="346" t="str">
        <f>'Tariffs 2021'!D21</f>
        <v>AGN Murray Valley</v>
      </c>
      <c r="C27" s="346" t="str">
        <f>'Tariffs 2021'!G21</f>
        <v>Go</v>
      </c>
      <c r="D27" s="347">
        <f>60*'Tariffs 2021'!H21/100</f>
        <v>33.730909090909087</v>
      </c>
      <c r="E27" s="347">
        <f>IF('Tariffs 2021'!K21="",$C$5*'Tariffs 2021'!W21/100,IF($C$5&gt;='Tariffs 2021'!L21,('Tariffs 2021'!L21*'Tariffs 2021'!W21/100),($C$5*'Tariffs 2021'!W21/100)))</f>
        <v>53.056363636363628</v>
      </c>
      <c r="F27" s="347">
        <f>IF(AND('Tariffs 2021'!L21&gt;0,'Tariffs 2021'!M21&gt;0),IF($C$5&lt;'Tariffs 2021'!L21,0,IF(($C$5-'Tariffs 2021'!L21)&lt;=('Tariffs 2021'!M21+'Tariffs 2021'!L21),(($C$5-'Tariffs 2021'!L21)*'Tariffs 2021'!X21/100),(('Tariffs 2021'!M21)*'Tariffs 2021'!X21/100))),0)</f>
        <v>0</v>
      </c>
      <c r="G27" s="347">
        <f>IF(AND('Tariffs 2021'!M21&gt;0,'Tariffs 2021'!N21&gt;0),IF($C$5&lt;('Tariffs 2021'!L21+'Tariffs 2021'!M21),0,IF(($C$5-'Tariffs 2021'!L21+'Tariffs 2021'!M21)&lt;=('Tariffs 2021'!L21+'Tariffs 2021'!M21+'Tariffs 2021'!N21),(($C$5-('Tariffs 2021'!L21+'Tariffs 2021'!M21))*'Tariffs 2021'!Y21/100),('Tariffs 2021'!N21*'Tariffs 2021'!Y21/100))),0)</f>
        <v>0</v>
      </c>
      <c r="H27" s="347">
        <f>IF(AND('Tariffs 2021'!N21&gt;0,'Tariffs 2021'!O21&gt;0),IF($C$5&lt;('Tariffs 2021'!L21+'Tariffs 2021'!M21+'Tariffs 2021'!N21),0,IF(($C$5-'Tariffs 2021'!L21+'Tariffs 2021'!M21+'Tariffs 2021'!N21)&lt;=('Tariffs 2021'!L21+'Tariffs 2021'!M21+'Tariffs 2021'!N21+'Tariffs 2021'!O21),(($C$5-('Tariffs 2021'!L21+'Tariffs 2021'!M21+'Tariffs 2021'!N21))*'Tariffs 2021'!Z21/100),('Tariffs 2021'!O21*'Tariffs 2021'!Z21/100))),0)</f>
        <v>0</v>
      </c>
      <c r="I27" s="347">
        <f>IF(AND('Tariffs 2021'!O21&gt;0,'Tariffs 2021'!P21&gt;0),IF($C$5&lt;('Tariffs 2021'!L21+'Tariffs 2021'!M21+'Tariffs 2021'!N21+'Tariffs 2021'!O21),0,IF(($C$5-'Tariffs 2021'!L21+'Tariffs 2021'!M21+'Tariffs 2021'!N21+'Tariffs 2021'!O21)&lt;=('Tariffs 2021'!L21+'Tariffs 2021'!M21+'Tariffs 2021'!N21+'Tariffs 2021'!O21+'Tariffs 2021'!P21),(($C$5-('Tariffs 2021'!L21+'Tariffs 2021'!M21+'Tariffs 2021'!N21+'Tariffs 2021'!O21))*'Tariffs 2021'!AA21/100),('Tariffs 2021'!P21*'Tariffs 2021'!AA21/100))),0)</f>
        <v>0</v>
      </c>
      <c r="J27" s="347">
        <f>IF(AND('Tariffs 2021'!P21&gt;0,'Tariffs 2021'!O21&gt;0),IF(($C$5&lt;SUM('Tariffs 2021'!L21:P21)),(0),($C$5-SUM('Tariffs 2021'!L21:P21))*'Tariffs 2021'!AB21/100),IF(AND('Tariffs 2021'!O21&gt;0,'Tariffs 2021'!P21=""),IF(($C$5&lt; SUM('Tariffs 2021'!L21:O21)),(0),($C$5-SUM('Tariffs 2021'!L21:O21))*'Tariffs 2021'!AA21/100),IF(AND('Tariffs 2021'!N21&gt;0,'Tariffs 2021'!O21=""),IF(($C$5&lt; SUM('Tariffs 2021'!L21:N21)),(0),($C$5-SUM('Tariffs 2021'!L21:N21))*'Tariffs 2021'!Z21/100),IF(AND('Tariffs 2021'!M21&gt;0,'Tariffs 2021'!N21=""),IF(($C$5&lt;'Tariffs 2021'!M21+'Tariffs 2021'!L21),(0),(($C$5-('Tariffs 2021'!M21+'Tariffs 2021'!L21))*'Tariffs 2021'!Y21/100)),IF(AND('Tariffs 2021'!L21&gt;0,'Tariffs 2021'!M21=""&gt;0),IF(($C$5&lt;'Tariffs 2021'!L21),(0),($C$5-'Tariffs 2021'!L21)*'Tariffs 2021'!X21/100),0)))))</f>
        <v>58.25745454545455</v>
      </c>
      <c r="K27" s="347">
        <f t="shared" si="0"/>
        <v>145.04472727272727</v>
      </c>
      <c r="L27" s="374">
        <f t="shared" si="6"/>
        <v>667.88290909090904</v>
      </c>
      <c r="M27" s="375">
        <f t="shared" si="7"/>
        <v>870.26836363636357</v>
      </c>
      <c r="N27" s="366">
        <f t="shared" si="8"/>
        <v>957.29520000000002</v>
      </c>
      <c r="O27" s="346">
        <f>'Tariffs 2021'!AT21</f>
        <v>0</v>
      </c>
      <c r="P27" s="346">
        <f>'Tariffs 2021'!AU21</f>
        <v>0</v>
      </c>
      <c r="Q27" s="346">
        <f>'Tariffs 2021'!AV21</f>
        <v>0</v>
      </c>
      <c r="R27" s="346">
        <f>'Tariffs 2021'!AW21</f>
        <v>0</v>
      </c>
      <c r="S27" s="349" t="str">
        <f t="shared" si="23"/>
        <v>No discount</v>
      </c>
      <c r="T27" s="349" t="str">
        <f t="shared" si="2"/>
        <v>Inclusive</v>
      </c>
      <c r="U27" s="384">
        <f t="shared" si="3"/>
        <v>870.26836363636357</v>
      </c>
      <c r="V27" s="384">
        <f t="shared" si="4"/>
        <v>870.26836363636357</v>
      </c>
      <c r="W27" s="393">
        <f t="shared" si="24"/>
        <v>957.29520000000002</v>
      </c>
      <c r="X27" s="393">
        <f t="shared" si="24"/>
        <v>957.29520000000002</v>
      </c>
      <c r="Y27" s="350">
        <f>'Tariffs 2021'!BF21</f>
        <v>0</v>
      </c>
      <c r="Z27" s="350" t="str">
        <f>'Tariffs 2021'!BG21</f>
        <v>n</v>
      </c>
      <c r="AA27" s="351" t="s">
        <v>288</v>
      </c>
      <c r="AB27" s="491"/>
      <c r="AC27" s="491"/>
      <c r="AD27" s="491"/>
      <c r="AE27" s="491"/>
      <c r="AF27" s="491"/>
      <c r="AG27" s="491"/>
      <c r="AH27" s="491"/>
      <c r="AI27" s="491"/>
      <c r="AJ27" s="491"/>
      <c r="AK27" s="491"/>
      <c r="AL27" s="491"/>
      <c r="AM27" s="491"/>
      <c r="AN27" s="491"/>
    </row>
    <row r="28" spans="1:40" ht="25" customHeight="1" thickTop="1" x14ac:dyDescent="0.3">
      <c r="A28" s="338" t="str">
        <f>'Tariffs 2021'!F22</f>
        <v>Origin Energy</v>
      </c>
      <c r="B28" s="339" t="str">
        <f>'Tariffs 2021'!D22</f>
        <v>AGN Cooma</v>
      </c>
      <c r="C28" s="339" t="str">
        <f>'Tariffs 2021'!G22</f>
        <v>Go</v>
      </c>
      <c r="D28" s="340">
        <f>60*'Tariffs 2021'!H22/100</f>
        <v>38.459999999999994</v>
      </c>
      <c r="E28" s="340">
        <f>IF('Tariffs 2021'!K22="",$C$5*'Tariffs 2021'!W22/100,IF($C$5&gt;='Tariffs 2021'!L22,('Tariffs 2021'!L22*'Tariffs 2021'!W22/100),($C$5*'Tariffs 2021'!W22/100)))</f>
        <v>110.54545454545452</v>
      </c>
      <c r="F28" s="340">
        <f>IF(AND('Tariffs 2021'!L22&gt;0,'Tariffs 2021'!M22&gt;0),IF($C$5&lt;'Tariffs 2021'!L22,0,IF(($C$5-'Tariffs 2021'!L22)&lt;=('Tariffs 2021'!M22+'Tariffs 2021'!L22),(($C$5-'Tariffs 2021'!L22)*'Tariffs 2021'!X22/100),(('Tariffs 2021'!M22)*'Tariffs 2021'!X22/100))),0)</f>
        <v>0</v>
      </c>
      <c r="G28" s="340">
        <f>IF(AND('Tariffs 2021'!M22&gt;0,'Tariffs 2021'!N22&gt;0),IF($C$5&lt;('Tariffs 2021'!L22+'Tariffs 2021'!M22),0,IF(($C$5-'Tariffs 2021'!L22+'Tariffs 2021'!M22)&lt;=('Tariffs 2021'!L22+'Tariffs 2021'!M22+'Tariffs 2021'!N22),(($C$5-('Tariffs 2021'!L22+'Tariffs 2021'!M22))*'Tariffs 2021'!Y22/100),('Tariffs 2021'!N22*'Tariffs 2021'!Y22/100))),0)</f>
        <v>0</v>
      </c>
      <c r="H28" s="340">
        <f>IF(AND('Tariffs 2021'!N22&gt;0,'Tariffs 2021'!O22&gt;0),IF($C$5&lt;('Tariffs 2021'!L22+'Tariffs 2021'!M22+'Tariffs 2021'!N22),0,IF(($C$5-'Tariffs 2021'!L22+'Tariffs 2021'!M22+'Tariffs 2021'!N22)&lt;=('Tariffs 2021'!L22+'Tariffs 2021'!M22+'Tariffs 2021'!N22+'Tariffs 2021'!O22),(($C$5-('Tariffs 2021'!L22+'Tariffs 2021'!M22+'Tariffs 2021'!N22))*'Tariffs 2021'!Z22/100),('Tariffs 2021'!O22*'Tariffs 2021'!Z22/100))),0)</f>
        <v>0</v>
      </c>
      <c r="I28" s="340">
        <f>IF(AND('Tariffs 2021'!O22&gt;0,'Tariffs 2021'!P22&gt;0),IF($C$5&lt;('Tariffs 2021'!L22+'Tariffs 2021'!M22+'Tariffs 2021'!N22+'Tariffs 2021'!O22),0,IF(($C$5-'Tariffs 2021'!L22+'Tariffs 2021'!M22+'Tariffs 2021'!N22+'Tariffs 2021'!O22)&lt;=('Tariffs 2021'!L22+'Tariffs 2021'!M22+'Tariffs 2021'!N22+'Tariffs 2021'!O22+'Tariffs 2021'!P22),(($C$5-('Tariffs 2021'!L22+'Tariffs 2021'!M22+'Tariffs 2021'!N22+'Tariffs 2021'!O22))*'Tariffs 2021'!AA22/100),('Tariffs 2021'!P22*'Tariffs 2021'!AA22/100))),0)</f>
        <v>0</v>
      </c>
      <c r="J28" s="340">
        <f>IF(AND('Tariffs 2021'!P22&gt;0,'Tariffs 2021'!O22&gt;0),IF(($C$5&lt;SUM('Tariffs 2021'!L22:P22)),(0),($C$5-SUM('Tariffs 2021'!L22:P22))*'Tariffs 2021'!AB22/100),IF(AND('Tariffs 2021'!O22&gt;0,'Tariffs 2021'!P22=""),IF(($C$5&lt; SUM('Tariffs 2021'!L22:O22)),(0),($C$5-SUM('Tariffs 2021'!L22:O22))*'Tariffs 2021'!AA22/100),IF(AND('Tariffs 2021'!N22&gt;0,'Tariffs 2021'!O22=""),IF(($C$5&lt; SUM('Tariffs 2021'!L22:N22)),(0),($C$5-SUM('Tariffs 2021'!L22:N22))*'Tariffs 2021'!Z22/100),IF(AND('Tariffs 2021'!M22&gt;0,'Tariffs 2021'!N22=""),IF(($C$5&lt;'Tariffs 2021'!M22+'Tariffs 2021'!L22),(0),(($C$5-('Tariffs 2021'!M22+'Tariffs 2021'!L22))*'Tariffs 2021'!Y22/100)),IF(AND('Tariffs 2021'!L22&gt;0,'Tariffs 2021'!M22=""&gt;0),IF(($C$5&lt;'Tariffs 2021'!L22),(0),($C$5-'Tariffs 2021'!L22)*'Tariffs 2021'!X22/100),0)))))</f>
        <v>0</v>
      </c>
      <c r="K28" s="340">
        <f t="shared" si="0"/>
        <v>149.00545454545451</v>
      </c>
      <c r="L28" s="372">
        <f t="shared" si="6"/>
        <v>663.27272727272702</v>
      </c>
      <c r="M28" s="373">
        <f t="shared" si="7"/>
        <v>894.03272727272702</v>
      </c>
      <c r="N28" s="341">
        <f t="shared" si="8"/>
        <v>983.43599999999981</v>
      </c>
      <c r="O28" s="339">
        <f>'Tariffs 2021'!AT22</f>
        <v>0</v>
      </c>
      <c r="P28" s="339">
        <f>'Tariffs 2021'!AU22</f>
        <v>0</v>
      </c>
      <c r="Q28" s="339">
        <f>'Tariffs 2021'!AV22</f>
        <v>0</v>
      </c>
      <c r="R28" s="339">
        <f>'Tariffs 2021'!AW22</f>
        <v>0</v>
      </c>
      <c r="S28" s="342" t="str">
        <f t="shared" si="23"/>
        <v>No discount</v>
      </c>
      <c r="T28" s="342" t="str">
        <f t="shared" si="2"/>
        <v>Inclusive</v>
      </c>
      <c r="U28" s="383">
        <f t="shared" si="3"/>
        <v>894.03272727272702</v>
      </c>
      <c r="V28" s="383">
        <f t="shared" si="4"/>
        <v>894.03272727272702</v>
      </c>
      <c r="W28" s="392">
        <f t="shared" si="24"/>
        <v>983.43599999999981</v>
      </c>
      <c r="X28" s="392">
        <f t="shared" si="24"/>
        <v>983.43599999999981</v>
      </c>
      <c r="Y28" s="343">
        <f>'Tariffs 2021'!BF22</f>
        <v>0</v>
      </c>
      <c r="Z28" s="367" t="str">
        <f>'Tariffs 2021'!BG22</f>
        <v>n</v>
      </c>
      <c r="AA28" s="344" t="s">
        <v>288</v>
      </c>
      <c r="AB28" s="491"/>
      <c r="AC28" s="491"/>
      <c r="AD28" s="491"/>
      <c r="AE28" s="491"/>
      <c r="AF28" s="491"/>
      <c r="AG28" s="491"/>
      <c r="AH28" s="491"/>
      <c r="AI28" s="491"/>
      <c r="AJ28" s="491"/>
      <c r="AK28" s="491"/>
      <c r="AL28" s="491"/>
      <c r="AM28" s="491"/>
      <c r="AN28" s="491"/>
    </row>
    <row r="29" spans="1:40" ht="25" customHeight="1" thickBot="1" x14ac:dyDescent="0.35">
      <c r="A29" s="345" t="str">
        <f>'Tariffs 2021'!F23</f>
        <v>Red Energy</v>
      </c>
      <c r="B29" s="346" t="str">
        <f>'Tariffs 2021'!D23</f>
        <v>AGN Cooma</v>
      </c>
      <c r="C29" s="346" t="str">
        <f>'Tariffs 2021'!G23</f>
        <v>Living Energy Saver</v>
      </c>
      <c r="D29" s="347">
        <f>60*'Tariffs 2021'!H23/100</f>
        <v>41.394545454545451</v>
      </c>
      <c r="E29" s="347">
        <f>IF('Tariffs 2021'!K23="",$C$5*'Tariffs 2021'!W23/100,IF($C$5&gt;='Tariffs 2021'!L23,('Tariffs 2021'!L23*'Tariffs 2021'!W23/100),($C$5*'Tariffs 2021'!W23/100)))</f>
        <v>107.63636363636363</v>
      </c>
      <c r="F29" s="347">
        <f>IF(AND('Tariffs 2021'!L23&gt;0,'Tariffs 2021'!M23&gt;0),IF($C$5&lt;'Tariffs 2021'!L23,0,IF(($C$5-'Tariffs 2021'!L23)&lt;=('Tariffs 2021'!M23+'Tariffs 2021'!L23),(($C$5-'Tariffs 2021'!L23)*'Tariffs 2021'!X23/100),(('Tariffs 2021'!M23)*'Tariffs 2021'!X23/100))),0)</f>
        <v>0</v>
      </c>
      <c r="G29" s="347">
        <f>IF(AND('Tariffs 2021'!M23&gt;0,'Tariffs 2021'!N23&gt;0),IF($C$5&lt;('Tariffs 2021'!L23+'Tariffs 2021'!M23),0,IF(($C$5-'Tariffs 2021'!L23+'Tariffs 2021'!M23)&lt;=('Tariffs 2021'!L23+'Tariffs 2021'!M23+'Tariffs 2021'!N23),(($C$5-('Tariffs 2021'!L23+'Tariffs 2021'!M23))*'Tariffs 2021'!Y23/100),('Tariffs 2021'!N23*'Tariffs 2021'!Y23/100))),0)</f>
        <v>0</v>
      </c>
      <c r="H29" s="347">
        <f>IF(AND('Tariffs 2021'!N23&gt;0,'Tariffs 2021'!O23&gt;0),IF($C$5&lt;('Tariffs 2021'!L23+'Tariffs 2021'!M23+'Tariffs 2021'!N23),0,IF(($C$5-'Tariffs 2021'!L23+'Tariffs 2021'!M23+'Tariffs 2021'!N23)&lt;=('Tariffs 2021'!L23+'Tariffs 2021'!M23+'Tariffs 2021'!N23+'Tariffs 2021'!O23),(($C$5-('Tariffs 2021'!L23+'Tariffs 2021'!M23+'Tariffs 2021'!N23))*'Tariffs 2021'!Z23/100),('Tariffs 2021'!O23*'Tariffs 2021'!Z23/100))),0)</f>
        <v>0</v>
      </c>
      <c r="I29" s="347">
        <f>IF(AND('Tariffs 2021'!O23&gt;0,'Tariffs 2021'!P23&gt;0),IF($C$5&lt;('Tariffs 2021'!L23+'Tariffs 2021'!M23+'Tariffs 2021'!N23+'Tariffs 2021'!O23),0,IF(($C$5-'Tariffs 2021'!L23+'Tariffs 2021'!M23+'Tariffs 2021'!N23+'Tariffs 2021'!O23)&lt;=('Tariffs 2021'!L23+'Tariffs 2021'!M23+'Tariffs 2021'!N23+'Tariffs 2021'!O23+'Tariffs 2021'!P23),(($C$5-('Tariffs 2021'!L23+'Tariffs 2021'!M23+'Tariffs 2021'!N23+'Tariffs 2021'!O23))*'Tariffs 2021'!AA23/100),('Tariffs 2021'!P23*'Tariffs 2021'!AA23/100))),0)</f>
        <v>0</v>
      </c>
      <c r="J29" s="347">
        <f>IF(AND('Tariffs 2021'!P23&gt;0,'Tariffs 2021'!O23&gt;0),IF(($C$5&lt;SUM('Tariffs 2021'!L23:P23)),(0),($C$5-SUM('Tariffs 2021'!L23:P23))*'Tariffs 2021'!AB23/100),IF(AND('Tariffs 2021'!O23&gt;0,'Tariffs 2021'!P23=""),IF(($C$5&lt; SUM('Tariffs 2021'!L23:O23)),(0),($C$5-SUM('Tariffs 2021'!L23:O23))*'Tariffs 2021'!AA23/100),IF(AND('Tariffs 2021'!N23&gt;0,'Tariffs 2021'!O23=""),IF(($C$5&lt; SUM('Tariffs 2021'!L23:N23)),(0),($C$5-SUM('Tariffs 2021'!L23:N23))*'Tariffs 2021'!Z23/100),IF(AND('Tariffs 2021'!M23&gt;0,'Tariffs 2021'!N23=""),IF(($C$5&lt;'Tariffs 2021'!M23+'Tariffs 2021'!L23),(0),(($C$5-('Tariffs 2021'!M23+'Tariffs 2021'!L23))*'Tariffs 2021'!Y23/100)),IF(AND('Tariffs 2021'!L23&gt;0,'Tariffs 2021'!M23=""&gt;0),IF(($C$5&lt;'Tariffs 2021'!L23),(0),($C$5-'Tariffs 2021'!L23)*'Tariffs 2021'!X23/100),0)))))</f>
        <v>0</v>
      </c>
      <c r="K29" s="347">
        <f t="shared" si="0"/>
        <v>149.03090909090906</v>
      </c>
      <c r="L29" s="374">
        <f t="shared" si="6"/>
        <v>645.81818181818164</v>
      </c>
      <c r="M29" s="375">
        <f t="shared" si="7"/>
        <v>894.18545454545438</v>
      </c>
      <c r="N29" s="348">
        <f t="shared" si="8"/>
        <v>983.60399999999993</v>
      </c>
      <c r="O29" s="346">
        <f>'Tariffs 2021'!AT23</f>
        <v>0</v>
      </c>
      <c r="P29" s="346">
        <f>'Tariffs 2021'!AU23</f>
        <v>0</v>
      </c>
      <c r="Q29" s="346">
        <f>'Tariffs 2021'!AV23</f>
        <v>0</v>
      </c>
      <c r="R29" s="346">
        <f>'Tariffs 2021'!AW23</f>
        <v>0</v>
      </c>
      <c r="S29" s="349" t="str">
        <f t="shared" si="23"/>
        <v>No discount</v>
      </c>
      <c r="T29" s="349" t="str">
        <f t="shared" si="2"/>
        <v>Inclusive</v>
      </c>
      <c r="U29" s="384">
        <f t="shared" si="3"/>
        <v>894.18545454545438</v>
      </c>
      <c r="V29" s="384">
        <f t="shared" si="4"/>
        <v>894.18545454545438</v>
      </c>
      <c r="W29" s="393">
        <f t="shared" si="24"/>
        <v>983.60399999999993</v>
      </c>
      <c r="X29" s="393">
        <f t="shared" si="24"/>
        <v>983.60399999999993</v>
      </c>
      <c r="Y29" s="350">
        <f>'Tariffs 2021'!BF23</f>
        <v>0</v>
      </c>
      <c r="Z29" s="350" t="str">
        <f>'Tariffs 2021'!BG23</f>
        <v>n</v>
      </c>
      <c r="AA29" s="351" t="s">
        <v>400</v>
      </c>
      <c r="AB29" s="491"/>
      <c r="AC29" s="491"/>
      <c r="AD29" s="491"/>
      <c r="AE29" s="491"/>
      <c r="AF29" s="491"/>
      <c r="AG29" s="491"/>
      <c r="AH29" s="491"/>
      <c r="AI29" s="491"/>
      <c r="AJ29" s="491"/>
      <c r="AK29" s="491"/>
      <c r="AL29" s="491"/>
      <c r="AM29" s="491"/>
      <c r="AN29" s="491"/>
    </row>
    <row r="30" spans="1:40" ht="25" customHeight="1" thickTop="1" x14ac:dyDescent="0.3">
      <c r="A30" s="338" t="str">
        <f>'Tariffs 2021'!F24</f>
        <v>AGL</v>
      </c>
      <c r="B30" s="339" t="str">
        <f>'Tariffs 2021'!D24</f>
        <v>AGN Temora</v>
      </c>
      <c r="C30" s="339" t="str">
        <f>'Tariffs 2021'!G24</f>
        <v>Super Saver</v>
      </c>
      <c r="D30" s="340">
        <f>60*'Tariffs 2021'!H24/100</f>
        <v>45.398181818181811</v>
      </c>
      <c r="E30" s="340">
        <f>IF('Tariffs 2021'!K24="",$C$5*'Tariffs 2021'!W24/100,IF($C$5&gt;='Tariffs 2021'!L24,('Tariffs 2021'!L24*'Tariffs 2021'!W24/100),($C$5*'Tariffs 2021'!W24/100)))</f>
        <v>101.45454545454544</v>
      </c>
      <c r="F30" s="340">
        <f>IF(AND('Tariffs 2021'!L24&gt;0,'Tariffs 2021'!M24&gt;0),IF($C$5&lt;'Tariffs 2021'!L24,0,IF(($C$5-'Tariffs 2021'!L24)&lt;=('Tariffs 2021'!M24+'Tariffs 2021'!L24),(($C$5-'Tariffs 2021'!L24)*'Tariffs 2021'!X24/100),(('Tariffs 2021'!M24)*'Tariffs 2021'!X24/100))),0)</f>
        <v>0</v>
      </c>
      <c r="G30" s="340">
        <f>IF(AND('Tariffs 2021'!M24&gt;0,'Tariffs 2021'!N24&gt;0),IF($C$5&lt;('Tariffs 2021'!L24+'Tariffs 2021'!M24),0,IF(($C$5-'Tariffs 2021'!L24+'Tariffs 2021'!M24)&lt;=('Tariffs 2021'!L24+'Tariffs 2021'!M24+'Tariffs 2021'!N24),(($C$5-('Tariffs 2021'!L24+'Tariffs 2021'!M24))*'Tariffs 2021'!Y24/100),('Tariffs 2021'!N24*'Tariffs 2021'!Y24/100))),0)</f>
        <v>0</v>
      </c>
      <c r="H30" s="340">
        <f>IF(AND('Tariffs 2021'!N24&gt;0,'Tariffs 2021'!O24&gt;0),IF($C$5&lt;('Tariffs 2021'!L24+'Tariffs 2021'!M24+'Tariffs 2021'!N24),0,IF(($C$5-'Tariffs 2021'!L24+'Tariffs 2021'!M24+'Tariffs 2021'!N24)&lt;=('Tariffs 2021'!L24+'Tariffs 2021'!M24+'Tariffs 2021'!N24+'Tariffs 2021'!O24),(($C$5-('Tariffs 2021'!L24+'Tariffs 2021'!M24+'Tariffs 2021'!N24))*'Tariffs 2021'!Z24/100),('Tariffs 2021'!O24*'Tariffs 2021'!Z24/100))),0)</f>
        <v>0</v>
      </c>
      <c r="I30" s="340">
        <f>IF(AND('Tariffs 2021'!O24&gt;0,'Tariffs 2021'!P24&gt;0),IF($C$5&lt;('Tariffs 2021'!L24+'Tariffs 2021'!M24+'Tariffs 2021'!N24+'Tariffs 2021'!O24),0,IF(($C$5-'Tariffs 2021'!L24+'Tariffs 2021'!M24+'Tariffs 2021'!N24+'Tariffs 2021'!O24)&lt;=('Tariffs 2021'!L24+'Tariffs 2021'!M24+'Tariffs 2021'!N24+'Tariffs 2021'!O24+'Tariffs 2021'!P24),(($C$5-('Tariffs 2021'!L24+'Tariffs 2021'!M24+'Tariffs 2021'!N24+'Tariffs 2021'!O24))*'Tariffs 2021'!AA24/100),('Tariffs 2021'!P24*'Tariffs 2021'!AA24/100))),0)</f>
        <v>0</v>
      </c>
      <c r="J30" s="340">
        <f>IF(AND('Tariffs 2021'!P24&gt;0,'Tariffs 2021'!O24&gt;0),IF(($C$5&lt;SUM('Tariffs 2021'!L24:P24)),(0),($C$5-SUM('Tariffs 2021'!L24:P24))*'Tariffs 2021'!AB24/100),IF(AND('Tariffs 2021'!O24&gt;0,'Tariffs 2021'!P24=""),IF(($C$5&lt; SUM('Tariffs 2021'!L24:O24)),(0),($C$5-SUM('Tariffs 2021'!L24:O24))*'Tariffs 2021'!AA24/100),IF(AND('Tariffs 2021'!N24&gt;0,'Tariffs 2021'!O24=""),IF(($C$5&lt; SUM('Tariffs 2021'!L24:N24)),(0),($C$5-SUM('Tariffs 2021'!L24:N24))*'Tariffs 2021'!Z24/100),IF(AND('Tariffs 2021'!M24&gt;0,'Tariffs 2021'!N24=""),IF(($C$5&lt;'Tariffs 2021'!M24+'Tariffs 2021'!L24),(0),(($C$5-('Tariffs 2021'!M24+'Tariffs 2021'!L24))*'Tariffs 2021'!Y24/100)),IF(AND('Tariffs 2021'!L24&gt;0,'Tariffs 2021'!M24=""&gt;0),IF(($C$5&lt;'Tariffs 2021'!L24),(0),($C$5-'Tariffs 2021'!L24)*'Tariffs 2021'!X24/100),0)))))</f>
        <v>0</v>
      </c>
      <c r="K30" s="340">
        <f t="shared" si="0"/>
        <v>146.85272727272724</v>
      </c>
      <c r="L30" s="372">
        <f t="shared" si="6"/>
        <v>608.72727272727252</v>
      </c>
      <c r="M30" s="373">
        <f t="shared" si="7"/>
        <v>881.11636363636342</v>
      </c>
      <c r="N30" s="341">
        <f t="shared" si="8"/>
        <v>969.22799999999984</v>
      </c>
      <c r="O30" s="339">
        <f>'Tariffs 2021'!AT24</f>
        <v>0</v>
      </c>
      <c r="P30" s="339">
        <f>'Tariffs 2021'!AU24</f>
        <v>0</v>
      </c>
      <c r="Q30" s="339">
        <f>'Tariffs 2021'!AV24</f>
        <v>0</v>
      </c>
      <c r="R30" s="339">
        <f>'Tariffs 2021'!AW24</f>
        <v>0</v>
      </c>
      <c r="S30" s="342" t="str">
        <f t="shared" si="23"/>
        <v>No discount</v>
      </c>
      <c r="T30" s="342" t="str">
        <f t="shared" si="2"/>
        <v>Exclusive</v>
      </c>
      <c r="U30" s="383">
        <f t="shared" si="3"/>
        <v>881.11636363636342</v>
      </c>
      <c r="V30" s="383">
        <f t="shared" si="4"/>
        <v>881.11636363636342</v>
      </c>
      <c r="W30" s="392">
        <f t="shared" si="24"/>
        <v>969.22799999999984</v>
      </c>
      <c r="X30" s="392">
        <f t="shared" si="24"/>
        <v>969.22799999999984</v>
      </c>
      <c r="Y30" s="343">
        <f>'Tariffs 2021'!BF24</f>
        <v>0</v>
      </c>
      <c r="Z30" s="367" t="str">
        <f>'Tariffs 2021'!BG24</f>
        <v>n</v>
      </c>
      <c r="AA30" s="344" t="s">
        <v>288</v>
      </c>
      <c r="AB30" s="491"/>
      <c r="AC30" s="491"/>
      <c r="AD30" s="491"/>
      <c r="AE30" s="491"/>
      <c r="AF30" s="491"/>
      <c r="AG30" s="491"/>
      <c r="AH30" s="491"/>
      <c r="AI30" s="491"/>
      <c r="AJ30" s="491"/>
      <c r="AK30" s="491"/>
      <c r="AL30" s="491"/>
      <c r="AM30" s="491"/>
      <c r="AN30" s="491"/>
    </row>
    <row r="31" spans="1:40" ht="25" customHeight="1" thickBot="1" x14ac:dyDescent="0.35">
      <c r="A31" s="345" t="str">
        <f>'Tariffs 2021'!F25</f>
        <v>Origin Energy</v>
      </c>
      <c r="B31" s="346" t="str">
        <f>'Tariffs 2021'!D25</f>
        <v>AGN Temora</v>
      </c>
      <c r="C31" s="346" t="str">
        <f>'Tariffs 2021'!G25</f>
        <v>Go</v>
      </c>
      <c r="D31" s="347">
        <f>60*'Tariffs 2021'!H25/100</f>
        <v>41.165454545454551</v>
      </c>
      <c r="E31" s="347">
        <f>IF('Tariffs 2021'!K25="",$C$5*'Tariffs 2021'!W25/100,IF($C$5&gt;='Tariffs 2021'!L25,('Tariffs 2021'!L25*'Tariffs 2021'!W25/100),($C$5*'Tariffs 2021'!W25/100)))</f>
        <v>110.54545454545452</v>
      </c>
      <c r="F31" s="347">
        <f>IF(AND('Tariffs 2021'!L25&gt;0,'Tariffs 2021'!M25&gt;0),IF($C$5&lt;'Tariffs 2021'!L25,0,IF(($C$5-'Tariffs 2021'!L25)&lt;=('Tariffs 2021'!M25+'Tariffs 2021'!L25),(($C$5-'Tariffs 2021'!L25)*'Tariffs 2021'!X25/100),(('Tariffs 2021'!M25)*'Tariffs 2021'!X25/100))),0)</f>
        <v>0</v>
      </c>
      <c r="G31" s="347">
        <f>IF(AND('Tariffs 2021'!M25&gt;0,'Tariffs 2021'!N25&gt;0),IF($C$5&lt;('Tariffs 2021'!L25+'Tariffs 2021'!M25),0,IF(($C$5-'Tariffs 2021'!L25+'Tariffs 2021'!M25)&lt;=('Tariffs 2021'!L25+'Tariffs 2021'!M25+'Tariffs 2021'!N25),(($C$5-('Tariffs 2021'!L25+'Tariffs 2021'!M25))*'Tariffs 2021'!Y25/100),('Tariffs 2021'!N25*'Tariffs 2021'!Y25/100))),0)</f>
        <v>0</v>
      </c>
      <c r="H31" s="347">
        <f>IF(AND('Tariffs 2021'!N25&gt;0,'Tariffs 2021'!O25&gt;0),IF($C$5&lt;('Tariffs 2021'!L25+'Tariffs 2021'!M25+'Tariffs 2021'!N25),0,IF(($C$5-'Tariffs 2021'!L25+'Tariffs 2021'!M25+'Tariffs 2021'!N25)&lt;=('Tariffs 2021'!L25+'Tariffs 2021'!M25+'Tariffs 2021'!N25+'Tariffs 2021'!O25),(($C$5-('Tariffs 2021'!L25+'Tariffs 2021'!M25+'Tariffs 2021'!N25))*'Tariffs 2021'!Z25/100),('Tariffs 2021'!O25*'Tariffs 2021'!Z25/100))),0)</f>
        <v>0</v>
      </c>
      <c r="I31" s="347">
        <f>IF(AND('Tariffs 2021'!O25&gt;0,'Tariffs 2021'!P25&gt;0),IF($C$5&lt;('Tariffs 2021'!L25+'Tariffs 2021'!M25+'Tariffs 2021'!N25+'Tariffs 2021'!O25),0,IF(($C$5-'Tariffs 2021'!L25+'Tariffs 2021'!M25+'Tariffs 2021'!N25+'Tariffs 2021'!O25)&lt;=('Tariffs 2021'!L25+'Tariffs 2021'!M25+'Tariffs 2021'!N25+'Tariffs 2021'!O25+'Tariffs 2021'!P25),(($C$5-('Tariffs 2021'!L25+'Tariffs 2021'!M25+'Tariffs 2021'!N25+'Tariffs 2021'!O25))*'Tariffs 2021'!AA25/100),('Tariffs 2021'!P25*'Tariffs 2021'!AA25/100))),0)</f>
        <v>0</v>
      </c>
      <c r="J31" s="347">
        <f>IF(AND('Tariffs 2021'!P25&gt;0,'Tariffs 2021'!O25&gt;0),IF(($C$5&lt;SUM('Tariffs 2021'!L25:P25)),(0),($C$5-SUM('Tariffs 2021'!L25:P25))*'Tariffs 2021'!AB25/100),IF(AND('Tariffs 2021'!O25&gt;0,'Tariffs 2021'!P25=""),IF(($C$5&lt; SUM('Tariffs 2021'!L25:O25)),(0),($C$5-SUM('Tariffs 2021'!L25:O25))*'Tariffs 2021'!AA25/100),IF(AND('Tariffs 2021'!N25&gt;0,'Tariffs 2021'!O25=""),IF(($C$5&lt; SUM('Tariffs 2021'!L25:N25)),(0),($C$5-SUM('Tariffs 2021'!L25:N25))*'Tariffs 2021'!Z25/100),IF(AND('Tariffs 2021'!M25&gt;0,'Tariffs 2021'!N25=""),IF(($C$5&lt;'Tariffs 2021'!M25+'Tariffs 2021'!L25),(0),(($C$5-('Tariffs 2021'!M25+'Tariffs 2021'!L25))*'Tariffs 2021'!Y25/100)),IF(AND('Tariffs 2021'!L25&gt;0,'Tariffs 2021'!M25=""&gt;0),IF(($C$5&lt;'Tariffs 2021'!L25),(0),($C$5-'Tariffs 2021'!L25)*'Tariffs 2021'!X25/100),0)))))</f>
        <v>0</v>
      </c>
      <c r="K31" s="347">
        <f t="shared" ref="K31" si="25">SUM(D31:J31)</f>
        <v>151.71090909090907</v>
      </c>
      <c r="L31" s="374">
        <f t="shared" si="6"/>
        <v>663.27272727272714</v>
      </c>
      <c r="M31" s="375">
        <f t="shared" si="7"/>
        <v>910.26545454545442</v>
      </c>
      <c r="N31" s="348">
        <f t="shared" si="8"/>
        <v>1001.2919999999999</v>
      </c>
      <c r="O31" s="346">
        <f>'Tariffs 2021'!AT25</f>
        <v>0</v>
      </c>
      <c r="P31" s="346">
        <f>'Tariffs 2021'!AU25</f>
        <v>0</v>
      </c>
      <c r="Q31" s="346">
        <f>'Tariffs 2021'!AV25</f>
        <v>0</v>
      </c>
      <c r="R31" s="346">
        <f>'Tariffs 2021'!AW25</f>
        <v>0</v>
      </c>
      <c r="S31" s="349" t="str">
        <f t="shared" si="23"/>
        <v>No discount</v>
      </c>
      <c r="T31" s="349" t="str">
        <f t="shared" si="2"/>
        <v>Inclusive</v>
      </c>
      <c r="U31" s="384">
        <f t="shared" si="3"/>
        <v>910.26545454545442</v>
      </c>
      <c r="V31" s="384">
        <f t="shared" si="4"/>
        <v>910.26545454545442</v>
      </c>
      <c r="W31" s="393">
        <f t="shared" si="24"/>
        <v>1001.2919999999999</v>
      </c>
      <c r="X31" s="393">
        <f t="shared" si="24"/>
        <v>1001.2919999999999</v>
      </c>
      <c r="Y31" s="350">
        <f>'Tariffs 2021'!BF25</f>
        <v>0</v>
      </c>
      <c r="Z31" s="350" t="str">
        <f>'Tariffs 2021'!BG25</f>
        <v>n</v>
      </c>
      <c r="AA31" s="351" t="s">
        <v>288</v>
      </c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  <c r="AN31" s="491"/>
    </row>
    <row r="32" spans="1:40" ht="25" customHeight="1" thickTop="1" x14ac:dyDescent="0.3">
      <c r="A32" s="338" t="str">
        <f>'Tariffs 2021'!F26</f>
        <v>Origin Energy</v>
      </c>
      <c r="B32" s="339" t="str">
        <f>'Tariffs 2021'!D26</f>
        <v>AGN Tumut</v>
      </c>
      <c r="C32" s="339" t="str">
        <f>'Tariffs 2021'!G26</f>
        <v>Go</v>
      </c>
      <c r="D32" s="340">
        <f>60*'Tariffs 2021'!H26/100</f>
        <v>44.214545454545451</v>
      </c>
      <c r="E32" s="340">
        <f>IF('Tariffs 2021'!K26="",$C$5*'Tariffs 2021'!W26/100,IF($C$5&gt;='Tariffs 2021'!L26,('Tariffs 2021'!L26*'Tariffs 2021'!W26/100),($C$5*'Tariffs 2021'!W26/100)))</f>
        <v>110.54545454545452</v>
      </c>
      <c r="F32" s="340">
        <f>IF(AND('Tariffs 2021'!L26&gt;0,'Tariffs 2021'!M26&gt;0),IF($C$5&lt;'Tariffs 2021'!L26,0,IF(($C$5-'Tariffs 2021'!L26)&lt;=('Tariffs 2021'!M26+'Tariffs 2021'!L26),(($C$5-'Tariffs 2021'!L26)*'Tariffs 2021'!X26/100),(('Tariffs 2021'!M26)*'Tariffs 2021'!X26/100))),0)</f>
        <v>0</v>
      </c>
      <c r="G32" s="340">
        <f>IF(AND('Tariffs 2021'!M26&gt;0,'Tariffs 2021'!N26&gt;0),IF($C$5&lt;('Tariffs 2021'!L26+'Tariffs 2021'!M26),0,IF(($C$5-'Tariffs 2021'!L26+'Tariffs 2021'!M26)&lt;=('Tariffs 2021'!L26+'Tariffs 2021'!M26+'Tariffs 2021'!N26),(($C$5-('Tariffs 2021'!L26+'Tariffs 2021'!M26))*'Tariffs 2021'!Y26/100),('Tariffs 2021'!N26*'Tariffs 2021'!Y26/100))),0)</f>
        <v>0</v>
      </c>
      <c r="H32" s="340">
        <f>IF(AND('Tariffs 2021'!N26&gt;0,'Tariffs 2021'!O26&gt;0),IF($C$5&lt;('Tariffs 2021'!L26+'Tariffs 2021'!M26+'Tariffs 2021'!N26),0,IF(($C$5-'Tariffs 2021'!L26+'Tariffs 2021'!M26+'Tariffs 2021'!N26)&lt;=('Tariffs 2021'!L26+'Tariffs 2021'!M26+'Tariffs 2021'!N26+'Tariffs 2021'!O26),(($C$5-('Tariffs 2021'!L26+'Tariffs 2021'!M26+'Tariffs 2021'!N26))*'Tariffs 2021'!Z26/100),('Tariffs 2021'!O26*'Tariffs 2021'!Z26/100))),0)</f>
        <v>0</v>
      </c>
      <c r="I32" s="340">
        <f>IF(AND('Tariffs 2021'!O26&gt;0,'Tariffs 2021'!P26&gt;0),IF($C$5&lt;('Tariffs 2021'!L26+'Tariffs 2021'!M26+'Tariffs 2021'!N26+'Tariffs 2021'!O26),0,IF(($C$5-'Tariffs 2021'!L26+'Tariffs 2021'!M26+'Tariffs 2021'!N26+'Tariffs 2021'!O26)&lt;=('Tariffs 2021'!L26+'Tariffs 2021'!M26+'Tariffs 2021'!N26+'Tariffs 2021'!O26+'Tariffs 2021'!P26),(($C$5-('Tariffs 2021'!L26+'Tariffs 2021'!M26+'Tariffs 2021'!N26+'Tariffs 2021'!O26))*'Tariffs 2021'!AA26/100),('Tariffs 2021'!P26*'Tariffs 2021'!AA26/100))),0)</f>
        <v>0</v>
      </c>
      <c r="J32" s="340">
        <f>IF(AND('Tariffs 2021'!P26&gt;0,'Tariffs 2021'!O26&gt;0),IF(($C$5&lt;SUM('Tariffs 2021'!L26:P26)),(0),($C$5-SUM('Tariffs 2021'!L26:P26))*'Tariffs 2021'!AB26/100),IF(AND('Tariffs 2021'!O26&gt;0,'Tariffs 2021'!P26=""),IF(($C$5&lt; SUM('Tariffs 2021'!L26:O26)),(0),($C$5-SUM('Tariffs 2021'!L26:O26))*'Tariffs 2021'!AA26/100),IF(AND('Tariffs 2021'!N26&gt;0,'Tariffs 2021'!O26=""),IF(($C$5&lt; SUM('Tariffs 2021'!L26:N26)),(0),($C$5-SUM('Tariffs 2021'!L26:N26))*'Tariffs 2021'!Z26/100),IF(AND('Tariffs 2021'!M26&gt;0,'Tariffs 2021'!N26=""),IF(($C$5&lt;'Tariffs 2021'!M26+'Tariffs 2021'!L26),(0),(($C$5-('Tariffs 2021'!M26+'Tariffs 2021'!L26))*'Tariffs 2021'!Y26/100)),IF(AND('Tariffs 2021'!L26&gt;0,'Tariffs 2021'!M26=""&gt;0),IF(($C$5&lt;'Tariffs 2021'!L26),(0),($C$5-'Tariffs 2021'!L26)*'Tariffs 2021'!X26/100),0)))))</f>
        <v>0</v>
      </c>
      <c r="K32" s="340">
        <f t="shared" si="0"/>
        <v>154.75999999999996</v>
      </c>
      <c r="L32" s="372">
        <f t="shared" si="6"/>
        <v>663.27272727272702</v>
      </c>
      <c r="M32" s="373">
        <f t="shared" si="7"/>
        <v>928.55999999999972</v>
      </c>
      <c r="N32" s="341">
        <f t="shared" si="8"/>
        <v>1021.4159999999998</v>
      </c>
      <c r="O32" s="339">
        <f>'Tariffs 2021'!AT26</f>
        <v>0</v>
      </c>
      <c r="P32" s="339">
        <f>'Tariffs 2021'!AU26</f>
        <v>0</v>
      </c>
      <c r="Q32" s="339">
        <f>'Tariffs 2021'!AV26</f>
        <v>0</v>
      </c>
      <c r="R32" s="339">
        <f>'Tariffs 2021'!AW26</f>
        <v>0</v>
      </c>
      <c r="S32" s="342" t="str">
        <f t="shared" si="23"/>
        <v>No discount</v>
      </c>
      <c r="T32" s="342" t="str">
        <f t="shared" si="2"/>
        <v>Inclusive</v>
      </c>
      <c r="U32" s="383">
        <f t="shared" si="3"/>
        <v>928.55999999999972</v>
      </c>
      <c r="V32" s="383">
        <f t="shared" si="4"/>
        <v>928.55999999999972</v>
      </c>
      <c r="W32" s="392">
        <f t="shared" si="24"/>
        <v>1021.4159999999998</v>
      </c>
      <c r="X32" s="392">
        <f t="shared" si="24"/>
        <v>1021.4159999999998</v>
      </c>
      <c r="Y32" s="343">
        <f>'Tariffs 2021'!BF26</f>
        <v>0</v>
      </c>
      <c r="Z32" s="367" t="str">
        <f>'Tariffs 2021'!BG26</f>
        <v>n</v>
      </c>
      <c r="AA32" s="344" t="s">
        <v>288</v>
      </c>
      <c r="AB32" s="491"/>
      <c r="AC32" s="491"/>
      <c r="AD32" s="491"/>
      <c r="AE32" s="491"/>
      <c r="AF32" s="491"/>
      <c r="AG32" s="491"/>
      <c r="AH32" s="491"/>
      <c r="AI32" s="491"/>
      <c r="AJ32" s="491"/>
      <c r="AK32" s="491"/>
      <c r="AL32" s="491"/>
      <c r="AM32" s="491"/>
      <c r="AN32" s="491"/>
    </row>
    <row r="33" spans="1:40" ht="25" customHeight="1" thickBot="1" x14ac:dyDescent="0.35">
      <c r="A33" s="345" t="str">
        <f>'Tariffs 2021'!F27</f>
        <v>Red Energy</v>
      </c>
      <c r="B33" s="346" t="str">
        <f>'Tariffs 2021'!D27</f>
        <v>AGN Tumut</v>
      </c>
      <c r="C33" s="346" t="str">
        <f>'Tariffs 2021'!G27</f>
        <v>Living Energy Saver</v>
      </c>
      <c r="D33" s="347">
        <f>60*'Tariffs 2021'!H27/100</f>
        <v>44.4</v>
      </c>
      <c r="E33" s="347">
        <f>IF('Tariffs 2021'!K27="",$C$5*'Tariffs 2021'!W27/100,IF($C$5&gt;='Tariffs 2021'!L27,('Tariffs 2021'!L27*'Tariffs 2021'!W27/100),($C$5*'Tariffs 2021'!W27/100)))</f>
        <v>108</v>
      </c>
      <c r="F33" s="347">
        <f>IF(AND('Tariffs 2021'!L27&gt;0,'Tariffs 2021'!M27&gt;0),IF($C$5&lt;'Tariffs 2021'!L27,0,IF(($C$5-'Tariffs 2021'!L27)&lt;=('Tariffs 2021'!M27+'Tariffs 2021'!L27),(($C$5-'Tariffs 2021'!L27)*'Tariffs 2021'!X27/100),(('Tariffs 2021'!M27)*'Tariffs 2021'!X27/100))),0)</f>
        <v>0</v>
      </c>
      <c r="G33" s="347">
        <f>IF(AND('Tariffs 2021'!M27&gt;0,'Tariffs 2021'!N27&gt;0),IF($C$5&lt;('Tariffs 2021'!L27+'Tariffs 2021'!M27),0,IF(($C$5-'Tariffs 2021'!L27+'Tariffs 2021'!M27)&lt;=('Tariffs 2021'!L27+'Tariffs 2021'!M27+'Tariffs 2021'!N27),(($C$5-('Tariffs 2021'!L27+'Tariffs 2021'!M27))*'Tariffs 2021'!Y27/100),('Tariffs 2021'!N27*'Tariffs 2021'!Y27/100))),0)</f>
        <v>0</v>
      </c>
      <c r="H33" s="347">
        <f>IF(AND('Tariffs 2021'!N27&gt;0,'Tariffs 2021'!O27&gt;0),IF($C$5&lt;('Tariffs 2021'!L27+'Tariffs 2021'!M27+'Tariffs 2021'!N27),0,IF(($C$5-'Tariffs 2021'!L27+'Tariffs 2021'!M27+'Tariffs 2021'!N27)&lt;=('Tariffs 2021'!L27+'Tariffs 2021'!M27+'Tariffs 2021'!N27+'Tariffs 2021'!O27),(($C$5-('Tariffs 2021'!L27+'Tariffs 2021'!M27+'Tariffs 2021'!N27))*'Tariffs 2021'!Z27/100),('Tariffs 2021'!O27*'Tariffs 2021'!Z27/100))),0)</f>
        <v>0</v>
      </c>
      <c r="I33" s="347">
        <f>IF(AND('Tariffs 2021'!O27&gt;0,'Tariffs 2021'!P27&gt;0),IF($C$5&lt;('Tariffs 2021'!L27+'Tariffs 2021'!M27+'Tariffs 2021'!N27+'Tariffs 2021'!O27),0,IF(($C$5-'Tariffs 2021'!L27+'Tariffs 2021'!M27+'Tariffs 2021'!N27+'Tariffs 2021'!O27)&lt;=('Tariffs 2021'!L27+'Tariffs 2021'!M27+'Tariffs 2021'!N27+'Tariffs 2021'!O27+'Tariffs 2021'!P27),(($C$5-('Tariffs 2021'!L27+'Tariffs 2021'!M27+'Tariffs 2021'!N27+'Tariffs 2021'!O27))*'Tariffs 2021'!AA27/100),('Tariffs 2021'!P27*'Tariffs 2021'!AA27/100))),0)</f>
        <v>0</v>
      </c>
      <c r="J33" s="347">
        <f>IF(AND('Tariffs 2021'!P27&gt;0,'Tariffs 2021'!O27&gt;0),IF(($C$5&lt;SUM('Tariffs 2021'!L27:P27)),(0),($C$5-SUM('Tariffs 2021'!L27:P27))*'Tariffs 2021'!AB27/100),IF(AND('Tariffs 2021'!O27&gt;0,'Tariffs 2021'!P27=""),IF(($C$5&lt; SUM('Tariffs 2021'!L27:O27)),(0),($C$5-SUM('Tariffs 2021'!L27:O27))*'Tariffs 2021'!AA27/100),IF(AND('Tariffs 2021'!N27&gt;0,'Tariffs 2021'!O27=""),IF(($C$5&lt; SUM('Tariffs 2021'!L27:N27)),(0),($C$5-SUM('Tariffs 2021'!L27:N27))*'Tariffs 2021'!Z27/100),IF(AND('Tariffs 2021'!M27&gt;0,'Tariffs 2021'!N27=""),IF(($C$5&lt;'Tariffs 2021'!M27+'Tariffs 2021'!L27),(0),(($C$5-('Tariffs 2021'!M27+'Tariffs 2021'!L27))*'Tariffs 2021'!Y27/100)),IF(AND('Tariffs 2021'!L27&gt;0,'Tariffs 2021'!M27=""&gt;0),IF(($C$5&lt;'Tariffs 2021'!L27),(0),($C$5-'Tariffs 2021'!L27)*'Tariffs 2021'!X27/100),0)))))</f>
        <v>0</v>
      </c>
      <c r="K33" s="347">
        <f t="shared" si="0"/>
        <v>152.4</v>
      </c>
      <c r="L33" s="374">
        <f t="shared" si="6"/>
        <v>648.00000000000011</v>
      </c>
      <c r="M33" s="375">
        <f t="shared" si="7"/>
        <v>914.40000000000009</v>
      </c>
      <c r="N33" s="348">
        <f t="shared" si="8"/>
        <v>1005.8400000000001</v>
      </c>
      <c r="O33" s="346">
        <f>'Tariffs 2021'!AT27</f>
        <v>0</v>
      </c>
      <c r="P33" s="346">
        <f>'Tariffs 2021'!AU27</f>
        <v>0</v>
      </c>
      <c r="Q33" s="346">
        <f>'Tariffs 2021'!AV27</f>
        <v>0</v>
      </c>
      <c r="R33" s="346">
        <f>'Tariffs 2021'!AW27</f>
        <v>0</v>
      </c>
      <c r="S33" s="349" t="str">
        <f t="shared" si="23"/>
        <v>No discount</v>
      </c>
      <c r="T33" s="349" t="str">
        <f t="shared" si="2"/>
        <v>Inclusive</v>
      </c>
      <c r="U33" s="384">
        <f t="shared" si="3"/>
        <v>914.40000000000009</v>
      </c>
      <c r="V33" s="384">
        <f t="shared" si="4"/>
        <v>914.40000000000009</v>
      </c>
      <c r="W33" s="393">
        <f t="shared" si="24"/>
        <v>1005.8400000000001</v>
      </c>
      <c r="X33" s="393">
        <f t="shared" si="24"/>
        <v>1005.8400000000001</v>
      </c>
      <c r="Y33" s="350">
        <f>'Tariffs 2021'!BF27</f>
        <v>0</v>
      </c>
      <c r="Z33" s="350" t="str">
        <f>'Tariffs 2021'!BG27</f>
        <v>n</v>
      </c>
      <c r="AA33" s="351" t="s">
        <v>400</v>
      </c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1"/>
      <c r="AM33" s="491"/>
      <c r="AN33" s="491"/>
    </row>
    <row r="34" spans="1:40" ht="25" customHeight="1" thickTop="1" x14ac:dyDescent="0.3">
      <c r="A34" s="338" t="str">
        <f>'Tariffs 2021'!F28</f>
        <v>AGL</v>
      </c>
      <c r="B34" s="339" t="str">
        <f>'Tariffs 2021'!D28</f>
        <v>AGN Wagga Wagga</v>
      </c>
      <c r="C34" s="339" t="str">
        <f>'Tariffs 2021'!G28</f>
        <v>Super Saver</v>
      </c>
      <c r="D34" s="340">
        <f>60*'Tariffs 2021'!H28/100</f>
        <v>51.272727272727273</v>
      </c>
      <c r="E34" s="340">
        <f>IF('Tariffs 2021'!K28="",$C$5*'Tariffs 2021'!W28/100,IF($C$5&gt;='Tariffs 2021'!L28,('Tariffs 2021'!L28*'Tariffs 2021'!W28/100),($C$5*'Tariffs 2021'!W28/100)))</f>
        <v>83.272727272727266</v>
      </c>
      <c r="F34" s="340">
        <f>IF(AND('Tariffs 2021'!L28&gt;0,'Tariffs 2021'!M28&gt;0),IF($C$5&lt;'Tariffs 2021'!L28,0,IF(($C$5-'Tariffs 2021'!L28)&lt;=('Tariffs 2021'!M28+'Tariffs 2021'!L28),(($C$5-'Tariffs 2021'!L28)*'Tariffs 2021'!X28/100),(('Tariffs 2021'!M28)*'Tariffs 2021'!X28/100))),0)</f>
        <v>0</v>
      </c>
      <c r="G34" s="340">
        <f>IF(AND('Tariffs 2021'!M28&gt;0,'Tariffs 2021'!N28&gt;0),IF($C$5&lt;('Tariffs 2021'!L28+'Tariffs 2021'!M28),0,IF(($C$5-'Tariffs 2021'!L28+'Tariffs 2021'!M28)&lt;=('Tariffs 2021'!L28+'Tariffs 2021'!M28+'Tariffs 2021'!N28),(($C$5-('Tariffs 2021'!L28+'Tariffs 2021'!M28))*'Tariffs 2021'!Y28/100),('Tariffs 2021'!N28*'Tariffs 2021'!Y28/100))),0)</f>
        <v>0</v>
      </c>
      <c r="H34" s="340">
        <f>IF(AND('Tariffs 2021'!N28&gt;0,'Tariffs 2021'!O28&gt;0),IF($C$5&lt;('Tariffs 2021'!L28+'Tariffs 2021'!M28+'Tariffs 2021'!N28),0,IF(($C$5-'Tariffs 2021'!L28+'Tariffs 2021'!M28+'Tariffs 2021'!N28)&lt;=('Tariffs 2021'!L28+'Tariffs 2021'!M28+'Tariffs 2021'!N28+'Tariffs 2021'!O28),(($C$5-('Tariffs 2021'!L28+'Tariffs 2021'!M28+'Tariffs 2021'!N28))*'Tariffs 2021'!Z28/100),('Tariffs 2021'!O28*'Tariffs 2021'!Z28/100))),0)</f>
        <v>0</v>
      </c>
      <c r="I34" s="340">
        <f>IF(AND('Tariffs 2021'!O28&gt;0,'Tariffs 2021'!P28&gt;0),IF($C$5&lt;('Tariffs 2021'!L28+'Tariffs 2021'!M28+'Tariffs 2021'!N28+'Tariffs 2021'!O28),0,IF(($C$5-'Tariffs 2021'!L28+'Tariffs 2021'!M28+'Tariffs 2021'!N28+'Tariffs 2021'!O28)&lt;=('Tariffs 2021'!L28+'Tariffs 2021'!M28+'Tariffs 2021'!N28+'Tariffs 2021'!O28+'Tariffs 2021'!P28),(($C$5-('Tariffs 2021'!L28+'Tariffs 2021'!M28+'Tariffs 2021'!N28+'Tariffs 2021'!O28))*'Tariffs 2021'!AA28/100),('Tariffs 2021'!P28*'Tariffs 2021'!AA28/100))),0)</f>
        <v>0</v>
      </c>
      <c r="J34" s="340">
        <f>IF(AND('Tariffs 2021'!P28&gt;0,'Tariffs 2021'!O28&gt;0),IF(($C$5&lt;SUM('Tariffs 2021'!L28:P28)),(0),($C$5-SUM('Tariffs 2021'!L28:P28))*'Tariffs 2021'!AB28/100),IF(AND('Tariffs 2021'!O28&gt;0,'Tariffs 2021'!P28=""),IF(($C$5&lt; SUM('Tariffs 2021'!L28:O28)),(0),($C$5-SUM('Tariffs 2021'!L28:O28))*'Tariffs 2021'!AA28/100),IF(AND('Tariffs 2021'!N28&gt;0,'Tariffs 2021'!O28=""),IF(($C$5&lt; SUM('Tariffs 2021'!L28:N28)),(0),($C$5-SUM('Tariffs 2021'!L28:N28))*'Tariffs 2021'!Z28/100),IF(AND('Tariffs 2021'!M28&gt;0,'Tariffs 2021'!N28=""),IF(($C$5&lt;'Tariffs 2021'!M28+'Tariffs 2021'!L28),(0),(($C$5-('Tariffs 2021'!M28+'Tariffs 2021'!L28))*'Tariffs 2021'!Y28/100)),IF(AND('Tariffs 2021'!L28&gt;0,'Tariffs 2021'!M28=""&gt;0),IF(($C$5&lt;'Tariffs 2021'!L28),(0),($C$5-'Tariffs 2021'!L28)*'Tariffs 2021'!X28/100),0)))))</f>
        <v>0</v>
      </c>
      <c r="K34" s="340">
        <f t="shared" si="0"/>
        <v>134.54545454545453</v>
      </c>
      <c r="L34" s="372">
        <f t="shared" si="6"/>
        <v>499.63636363636363</v>
      </c>
      <c r="M34" s="373">
        <f t="shared" si="7"/>
        <v>807.27272727272725</v>
      </c>
      <c r="N34" s="341">
        <f t="shared" si="8"/>
        <v>888</v>
      </c>
      <c r="O34" s="339">
        <f>'Tariffs 2021'!AT28</f>
        <v>0</v>
      </c>
      <c r="P34" s="339">
        <f>'Tariffs 2021'!AU28</f>
        <v>0</v>
      </c>
      <c r="Q34" s="339">
        <f>'Tariffs 2021'!AV28</f>
        <v>0</v>
      </c>
      <c r="R34" s="339">
        <f>'Tariffs 2021'!AW28</f>
        <v>0</v>
      </c>
      <c r="S34" s="342" t="str">
        <f t="shared" si="23"/>
        <v>No discount</v>
      </c>
      <c r="T34" s="342" t="str">
        <f t="shared" si="2"/>
        <v>Exclusive</v>
      </c>
      <c r="U34" s="383">
        <f t="shared" si="3"/>
        <v>807.27272727272725</v>
      </c>
      <c r="V34" s="383">
        <f t="shared" si="4"/>
        <v>807.27272727272725</v>
      </c>
      <c r="W34" s="392">
        <f t="shared" si="24"/>
        <v>888</v>
      </c>
      <c r="X34" s="392">
        <f t="shared" si="24"/>
        <v>888</v>
      </c>
      <c r="Y34" s="343">
        <f>'Tariffs 2021'!BF28</f>
        <v>0</v>
      </c>
      <c r="Z34" s="367" t="str">
        <f>'Tariffs 2021'!BG28</f>
        <v>n</v>
      </c>
      <c r="AA34" s="344" t="s">
        <v>288</v>
      </c>
      <c r="AB34" s="491"/>
      <c r="AC34" s="491"/>
      <c r="AD34" s="491"/>
      <c r="AE34" s="491"/>
      <c r="AF34" s="491"/>
      <c r="AG34" s="491"/>
      <c r="AH34" s="491"/>
      <c r="AI34" s="491"/>
      <c r="AJ34" s="491"/>
      <c r="AK34" s="491"/>
      <c r="AL34" s="491"/>
      <c r="AM34" s="491"/>
      <c r="AN34" s="491"/>
    </row>
    <row r="35" spans="1:40" ht="25" customHeight="1" thickBot="1" x14ac:dyDescent="0.35">
      <c r="A35" s="345" t="str">
        <f>'Tariffs 2021'!F29</f>
        <v>Origin Energy</v>
      </c>
      <c r="B35" s="346" t="str">
        <f>'Tariffs 2021'!D29</f>
        <v>AGN Wagga Wagga</v>
      </c>
      <c r="C35" s="346" t="str">
        <f>'Tariffs 2021'!G29</f>
        <v>Go</v>
      </c>
      <c r="D35" s="347">
        <f>60*'Tariffs 2021'!H29/100</f>
        <v>46.941818181818178</v>
      </c>
      <c r="E35" s="347">
        <f>IF('Tariffs 2021'!K29="",$C$5*'Tariffs 2021'!W29/100,IF($C$5&gt;='Tariffs 2021'!L29,('Tariffs 2021'!L29*'Tariffs 2021'!W29/100),($C$5*'Tariffs 2021'!W29/100)))</f>
        <v>93.454545454545439</v>
      </c>
      <c r="F35" s="347">
        <f>IF(AND('Tariffs 2021'!L29&gt;0,'Tariffs 2021'!M29&gt;0),IF($C$5&lt;'Tariffs 2021'!L29,0,IF(($C$5-'Tariffs 2021'!L29)&lt;=('Tariffs 2021'!M29+'Tariffs 2021'!L29),(($C$5-'Tariffs 2021'!L29)*'Tariffs 2021'!X29/100),(('Tariffs 2021'!M29)*'Tariffs 2021'!X29/100))),0)</f>
        <v>0</v>
      </c>
      <c r="G35" s="347">
        <f>IF(AND('Tariffs 2021'!M29&gt;0,'Tariffs 2021'!N29&gt;0),IF($C$5&lt;('Tariffs 2021'!L29+'Tariffs 2021'!M29),0,IF(($C$5-'Tariffs 2021'!L29+'Tariffs 2021'!M29)&lt;=('Tariffs 2021'!L29+'Tariffs 2021'!M29+'Tariffs 2021'!N29),(($C$5-('Tariffs 2021'!L29+'Tariffs 2021'!M29))*'Tariffs 2021'!Y29/100),('Tariffs 2021'!N29*'Tariffs 2021'!Y29/100))),0)</f>
        <v>0</v>
      </c>
      <c r="H35" s="347">
        <f>IF(AND('Tariffs 2021'!N29&gt;0,'Tariffs 2021'!O29&gt;0),IF($C$5&lt;('Tariffs 2021'!L29+'Tariffs 2021'!M29+'Tariffs 2021'!N29),0,IF(($C$5-'Tariffs 2021'!L29+'Tariffs 2021'!M29+'Tariffs 2021'!N29)&lt;=('Tariffs 2021'!L29+'Tariffs 2021'!M29+'Tariffs 2021'!N29+'Tariffs 2021'!O29),(($C$5-('Tariffs 2021'!L29+'Tariffs 2021'!M29+'Tariffs 2021'!N29))*'Tariffs 2021'!Z29/100),('Tariffs 2021'!O29*'Tariffs 2021'!Z29/100))),0)</f>
        <v>0</v>
      </c>
      <c r="I35" s="347">
        <f>IF(AND('Tariffs 2021'!O29&gt;0,'Tariffs 2021'!P29&gt;0),IF($C$5&lt;('Tariffs 2021'!L29+'Tariffs 2021'!M29+'Tariffs 2021'!N29+'Tariffs 2021'!O29),0,IF(($C$5-'Tariffs 2021'!L29+'Tariffs 2021'!M29+'Tariffs 2021'!N29+'Tariffs 2021'!O29)&lt;=('Tariffs 2021'!L29+'Tariffs 2021'!M29+'Tariffs 2021'!N29+'Tariffs 2021'!O29+'Tariffs 2021'!P29),(($C$5-('Tariffs 2021'!L29+'Tariffs 2021'!M29+'Tariffs 2021'!N29+'Tariffs 2021'!O29))*'Tariffs 2021'!AA29/100),('Tariffs 2021'!P29*'Tariffs 2021'!AA29/100))),0)</f>
        <v>0</v>
      </c>
      <c r="J35" s="347">
        <f>IF(AND('Tariffs 2021'!P29&gt;0,'Tariffs 2021'!O29&gt;0),IF(($C$5&lt;SUM('Tariffs 2021'!L29:P29)),(0),($C$5-SUM('Tariffs 2021'!L29:P29))*'Tariffs 2021'!AB29/100),IF(AND('Tariffs 2021'!O29&gt;0,'Tariffs 2021'!P29=""),IF(($C$5&lt; SUM('Tariffs 2021'!L29:O29)),(0),($C$5-SUM('Tariffs 2021'!L29:O29))*'Tariffs 2021'!AA29/100),IF(AND('Tariffs 2021'!N29&gt;0,'Tariffs 2021'!O29=""),IF(($C$5&lt; SUM('Tariffs 2021'!L29:N29)),(0),($C$5-SUM('Tariffs 2021'!L29:N29))*'Tariffs 2021'!Z29/100),IF(AND('Tariffs 2021'!M29&gt;0,'Tariffs 2021'!N29=""),IF(($C$5&lt;'Tariffs 2021'!M29+'Tariffs 2021'!L29),(0),(($C$5-('Tariffs 2021'!M29+'Tariffs 2021'!L29))*'Tariffs 2021'!Y29/100)),IF(AND('Tariffs 2021'!L29&gt;0,'Tariffs 2021'!M29=""&gt;0),IF(($C$5&lt;'Tariffs 2021'!L29),(0),($C$5-'Tariffs 2021'!L29)*'Tariffs 2021'!X29/100),0)))))</f>
        <v>0</v>
      </c>
      <c r="K35" s="347">
        <f t="shared" ref="K35" si="26">SUM(D35:J35)</f>
        <v>140.39636363636362</v>
      </c>
      <c r="L35" s="374">
        <f t="shared" si="6"/>
        <v>560.72727272727263</v>
      </c>
      <c r="M35" s="375">
        <f t="shared" si="7"/>
        <v>842.3781818181817</v>
      </c>
      <c r="N35" s="348">
        <f t="shared" si="8"/>
        <v>926.61599999999999</v>
      </c>
      <c r="O35" s="346">
        <f>'Tariffs 2021'!AT29</f>
        <v>0</v>
      </c>
      <c r="P35" s="346">
        <f>'Tariffs 2021'!AU29</f>
        <v>0</v>
      </c>
      <c r="Q35" s="346">
        <f>'Tariffs 2021'!AV29</f>
        <v>0</v>
      </c>
      <c r="R35" s="346">
        <f>'Tariffs 2021'!AW29</f>
        <v>0</v>
      </c>
      <c r="S35" s="349" t="str">
        <f t="shared" si="23"/>
        <v>No discount</v>
      </c>
      <c r="T35" s="349" t="str">
        <f t="shared" si="2"/>
        <v>Inclusive</v>
      </c>
      <c r="U35" s="384">
        <f t="shared" si="3"/>
        <v>842.3781818181817</v>
      </c>
      <c r="V35" s="384">
        <f t="shared" si="4"/>
        <v>842.3781818181817</v>
      </c>
      <c r="W35" s="393">
        <f t="shared" si="24"/>
        <v>926.61599999999999</v>
      </c>
      <c r="X35" s="393">
        <f t="shared" si="24"/>
        <v>926.61599999999999</v>
      </c>
      <c r="Y35" s="350">
        <f>'Tariffs 2021'!BF29</f>
        <v>0</v>
      </c>
      <c r="Z35" s="350" t="str">
        <f>'Tariffs 2021'!BG29</f>
        <v>n</v>
      </c>
      <c r="AA35" s="351" t="s">
        <v>288</v>
      </c>
      <c r="AB35" s="491"/>
      <c r="AC35" s="491"/>
      <c r="AD35" s="491"/>
      <c r="AE35" s="491"/>
      <c r="AF35" s="491"/>
      <c r="AG35" s="491"/>
      <c r="AH35" s="491"/>
      <c r="AI35" s="491"/>
      <c r="AJ35" s="491"/>
      <c r="AK35" s="491"/>
      <c r="AL35" s="491"/>
      <c r="AM35" s="491"/>
      <c r="AN35" s="491"/>
    </row>
    <row r="36" spans="1:40" ht="25" customHeight="1" thickTop="1" thickBot="1" x14ac:dyDescent="0.35">
      <c r="A36" s="315" t="str">
        <f>'Tariffs 2021'!F30</f>
        <v>Origin Energy</v>
      </c>
      <c r="B36" s="316" t="str">
        <f>'Tariffs 2021'!D30</f>
        <v>Central Ranges Pipeline Tamworth</v>
      </c>
      <c r="C36" s="316" t="str">
        <f>'Tariffs 2021'!G30</f>
        <v>Go</v>
      </c>
      <c r="D36" s="317">
        <f>60*'Tariffs 2021'!H30/100</f>
        <v>34.36363636363636</v>
      </c>
      <c r="E36" s="317">
        <f>IF('Tariffs 2021'!K30="",$C$5*'Tariffs 2021'!W30/100,IF($C$5&gt;='Tariffs 2021'!L30,('Tariffs 2021'!L30*'Tariffs 2021'!W30/100),($C$5*'Tariffs 2021'!W30/100)))</f>
        <v>152.72727272727272</v>
      </c>
      <c r="F36" s="317">
        <f>IF(AND('Tariffs 2021'!L30&gt;0,'Tariffs 2021'!M30&gt;0),IF($C$5&lt;'Tariffs 2021'!L30,0,IF(($C$5-'Tariffs 2021'!L30)&lt;=('Tariffs 2021'!M30+'Tariffs 2021'!L30),(($C$5-'Tariffs 2021'!L30)*'Tariffs 2021'!X30/100),(('Tariffs 2021'!M30)*'Tariffs 2021'!X30/100))),0)</f>
        <v>0</v>
      </c>
      <c r="G36" s="317">
        <f>IF(AND('Tariffs 2021'!M30&gt;0,'Tariffs 2021'!N30&gt;0),IF($C$5&lt;('Tariffs 2021'!L30+'Tariffs 2021'!M30),0,IF(($C$5-'Tariffs 2021'!L30+'Tariffs 2021'!M30)&lt;=('Tariffs 2021'!L30+'Tariffs 2021'!M30+'Tariffs 2021'!N30),(($C$5-('Tariffs 2021'!L30+'Tariffs 2021'!M30))*'Tariffs 2021'!Y30/100),('Tariffs 2021'!N30*'Tariffs 2021'!Y30/100))),0)</f>
        <v>0</v>
      </c>
      <c r="H36" s="317">
        <f>IF(AND('Tariffs 2021'!N30&gt;0,'Tariffs 2021'!O30&gt;0),IF($C$5&lt;('Tariffs 2021'!L30+'Tariffs 2021'!M30+'Tariffs 2021'!N30),0,IF(($C$5-'Tariffs 2021'!L30+'Tariffs 2021'!M30+'Tariffs 2021'!N30)&lt;=('Tariffs 2021'!L30+'Tariffs 2021'!M30+'Tariffs 2021'!N30+'Tariffs 2021'!O30),(($C$5-('Tariffs 2021'!L30+'Tariffs 2021'!M30+'Tariffs 2021'!N30))*'Tariffs 2021'!Z30/100),('Tariffs 2021'!O30*'Tariffs 2021'!Z30/100))),0)</f>
        <v>0</v>
      </c>
      <c r="I36" s="317">
        <f>IF(AND('Tariffs 2021'!O30&gt;0,'Tariffs 2021'!P30&gt;0),IF($C$5&lt;('Tariffs 2021'!L30+'Tariffs 2021'!M30+'Tariffs 2021'!N30+'Tariffs 2021'!O30),0,IF(($C$5-'Tariffs 2021'!L30+'Tariffs 2021'!M30+'Tariffs 2021'!N30+'Tariffs 2021'!O30)&lt;=('Tariffs 2021'!L30+'Tariffs 2021'!M30+'Tariffs 2021'!N30+'Tariffs 2021'!O30+'Tariffs 2021'!P30),(($C$5-('Tariffs 2021'!L30+'Tariffs 2021'!M30+'Tariffs 2021'!N30+'Tariffs 2021'!O30))*'Tariffs 2021'!AA30/100),('Tariffs 2021'!P30*'Tariffs 2021'!AA30/100))),0)</f>
        <v>0</v>
      </c>
      <c r="J36" s="317">
        <f>IF(AND('Tariffs 2021'!P30&gt;0,'Tariffs 2021'!O30&gt;0),IF(($C$5&lt;SUM('Tariffs 2021'!L30:P30)),(0),($C$5-SUM('Tariffs 2021'!L30:P30))*'Tariffs 2021'!AB30/100),IF(AND('Tariffs 2021'!O30&gt;0,'Tariffs 2021'!P30=""),IF(($C$5&lt; SUM('Tariffs 2021'!L30:O30)),(0),($C$5-SUM('Tariffs 2021'!L30:O30))*'Tariffs 2021'!AA30/100),IF(AND('Tariffs 2021'!N30&gt;0,'Tariffs 2021'!O30=""),IF(($C$5&lt; SUM('Tariffs 2021'!L30:N30)),(0),($C$5-SUM('Tariffs 2021'!L30:N30))*'Tariffs 2021'!Z30/100),IF(AND('Tariffs 2021'!M30&gt;0,'Tariffs 2021'!N30=""),IF(($C$5&lt;'Tariffs 2021'!M30+'Tariffs 2021'!L30),(0),(($C$5-('Tariffs 2021'!M30+'Tariffs 2021'!L30))*'Tariffs 2021'!Y30/100)),IF(AND('Tariffs 2021'!L30&gt;0,'Tariffs 2021'!M30=""&gt;0),IF(($C$5&lt;'Tariffs 2021'!L30),(0),($C$5-'Tariffs 2021'!L30)*'Tariffs 2021'!X30/100),0)))))</f>
        <v>0</v>
      </c>
      <c r="K36" s="317">
        <f t="shared" si="0"/>
        <v>187.09090909090907</v>
      </c>
      <c r="L36" s="380">
        <f t="shared" si="6"/>
        <v>916.36363636363637</v>
      </c>
      <c r="M36" s="381">
        <f t="shared" si="7"/>
        <v>1122.5454545454545</v>
      </c>
      <c r="N36" s="318">
        <f t="shared" si="8"/>
        <v>1234.8</v>
      </c>
      <c r="O36" s="316">
        <f>'Tariffs 2021'!AT30</f>
        <v>0</v>
      </c>
      <c r="P36" s="316">
        <f>'Tariffs 2021'!AU30</f>
        <v>0</v>
      </c>
      <c r="Q36" s="316">
        <f>'Tariffs 2021'!AV30</f>
        <v>0</v>
      </c>
      <c r="R36" s="316">
        <f>'Tariffs 2021'!AW30</f>
        <v>0</v>
      </c>
      <c r="S36" s="319" t="str">
        <f t="shared" si="23"/>
        <v>No discount</v>
      </c>
      <c r="T36" s="319" t="str">
        <f t="shared" si="2"/>
        <v>Inclusive</v>
      </c>
      <c r="U36" s="387">
        <f t="shared" si="3"/>
        <v>1122.5454545454545</v>
      </c>
      <c r="V36" s="388">
        <f t="shared" si="4"/>
        <v>1122.5454545454545</v>
      </c>
      <c r="W36" s="395">
        <f t="shared" si="24"/>
        <v>1234.8</v>
      </c>
      <c r="X36" s="395">
        <f t="shared" si="24"/>
        <v>1234.8</v>
      </c>
      <c r="Y36" s="320">
        <f>'Tariffs 2021'!BF30</f>
        <v>0</v>
      </c>
      <c r="Z36" s="323" t="str">
        <f>'Tariffs 2021'!BG30</f>
        <v>n</v>
      </c>
      <c r="AA36" s="321" t="s">
        <v>288</v>
      </c>
      <c r="AB36" s="491"/>
      <c r="AC36" s="491"/>
      <c r="AD36" s="491"/>
      <c r="AE36" s="491"/>
      <c r="AF36" s="491"/>
      <c r="AG36" s="491"/>
      <c r="AH36" s="491"/>
      <c r="AI36" s="491"/>
      <c r="AJ36" s="491"/>
      <c r="AK36" s="491"/>
      <c r="AL36" s="491"/>
      <c r="AM36" s="491"/>
      <c r="AN36" s="491"/>
    </row>
    <row r="37" spans="1:40" customFormat="1" x14ac:dyDescent="0.3">
      <c r="A37" s="491"/>
      <c r="B37" s="491"/>
      <c r="C37" s="491"/>
      <c r="D37" s="491"/>
      <c r="E37" s="491"/>
      <c r="F37" s="491"/>
      <c r="G37" s="491"/>
      <c r="H37" s="491"/>
      <c r="I37" s="491"/>
      <c r="J37" s="491"/>
      <c r="K37" s="491"/>
      <c r="L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1"/>
      <c r="AI37" s="491"/>
      <c r="AJ37" s="491"/>
      <c r="AK37" s="491"/>
      <c r="AL37" s="491"/>
      <c r="AM37" s="491"/>
      <c r="AN37" s="491"/>
    </row>
    <row r="38" spans="1:40" customFormat="1" x14ac:dyDescent="0.3">
      <c r="A38" s="492"/>
      <c r="B38" s="491"/>
      <c r="C38" s="491"/>
      <c r="D38" s="491"/>
      <c r="E38" s="491"/>
      <c r="F38" s="491"/>
      <c r="G38" s="491"/>
      <c r="H38" s="491"/>
      <c r="I38" s="491"/>
      <c r="J38" s="491"/>
      <c r="K38" s="491"/>
      <c r="L38" s="491"/>
      <c r="M38" s="491"/>
      <c r="N38" s="491"/>
      <c r="O38" s="491"/>
      <c r="P38" s="491"/>
      <c r="Q38" s="491"/>
      <c r="R38" s="491"/>
      <c r="S38" s="491"/>
      <c r="T38" s="491"/>
      <c r="U38" s="491"/>
      <c r="V38" s="491"/>
      <c r="W38" s="491"/>
      <c r="X38" s="491"/>
      <c r="Y38" s="491"/>
      <c r="Z38" s="491"/>
      <c r="AA38" s="491"/>
      <c r="AB38" s="491"/>
      <c r="AC38" s="491"/>
      <c r="AD38" s="491"/>
      <c r="AE38" s="491"/>
      <c r="AF38" s="491"/>
      <c r="AG38" s="491"/>
      <c r="AH38" s="491"/>
      <c r="AI38" s="491"/>
      <c r="AJ38" s="491"/>
      <c r="AK38" s="491"/>
      <c r="AL38" s="491"/>
      <c r="AM38" s="491"/>
      <c r="AN38" s="491"/>
    </row>
    <row r="39" spans="1:40" customFormat="1" x14ac:dyDescent="0.3">
      <c r="A39" s="491"/>
      <c r="B39" s="491"/>
      <c r="C39" s="491"/>
      <c r="D39" s="491"/>
      <c r="E39" s="491"/>
      <c r="F39" s="491"/>
      <c r="G39" s="491"/>
      <c r="H39" s="491"/>
      <c r="I39" s="491"/>
      <c r="J39" s="491"/>
      <c r="K39" s="491"/>
      <c r="L39" s="491"/>
      <c r="M39" s="491"/>
      <c r="N39" s="491"/>
      <c r="O39" s="491"/>
      <c r="P39" s="491"/>
      <c r="Q39" s="491"/>
      <c r="R39" s="491"/>
      <c r="S39" s="491"/>
      <c r="T39" s="491"/>
      <c r="U39" s="491"/>
      <c r="V39" s="491"/>
      <c r="W39" s="491"/>
      <c r="X39" s="491"/>
      <c r="Y39" s="491"/>
      <c r="Z39" s="491"/>
      <c r="AA39" s="491"/>
      <c r="AB39" s="491"/>
      <c r="AC39" s="491"/>
      <c r="AD39" s="491"/>
      <c r="AE39" s="491"/>
      <c r="AF39" s="491"/>
      <c r="AG39" s="491"/>
      <c r="AH39" s="491"/>
      <c r="AI39" s="491"/>
      <c r="AJ39" s="491"/>
      <c r="AK39" s="491"/>
      <c r="AL39" s="491"/>
      <c r="AM39" s="491"/>
      <c r="AN39" s="491"/>
    </row>
    <row r="40" spans="1:40" customFormat="1" x14ac:dyDescent="0.3">
      <c r="A40" s="491"/>
      <c r="B40" s="491"/>
      <c r="C40" s="491"/>
      <c r="D40" s="491"/>
      <c r="E40" s="491"/>
      <c r="F40" s="491"/>
      <c r="G40" s="491"/>
      <c r="H40" s="491"/>
      <c r="I40" s="491"/>
      <c r="J40" s="491"/>
      <c r="K40" s="491"/>
      <c r="L40" s="491"/>
      <c r="M40" s="491"/>
      <c r="N40" s="491"/>
      <c r="O40" s="491"/>
      <c r="P40" s="491"/>
      <c r="Q40" s="491"/>
      <c r="R40" s="491"/>
      <c r="S40" s="491"/>
      <c r="T40" s="491"/>
      <c r="U40" s="491"/>
      <c r="V40" s="491"/>
      <c r="W40" s="491"/>
      <c r="X40" s="491"/>
      <c r="Y40" s="491"/>
      <c r="Z40" s="491"/>
      <c r="AA40" s="491"/>
      <c r="AB40" s="491"/>
      <c r="AC40" s="491"/>
      <c r="AD40" s="491"/>
      <c r="AE40" s="491"/>
      <c r="AF40" s="491"/>
      <c r="AG40" s="491"/>
      <c r="AH40" s="491"/>
      <c r="AI40" s="491"/>
      <c r="AJ40" s="491"/>
      <c r="AK40" s="491"/>
      <c r="AL40" s="491"/>
      <c r="AM40" s="491"/>
      <c r="AN40" s="491"/>
    </row>
    <row r="41" spans="1:40" customFormat="1" x14ac:dyDescent="0.3">
      <c r="A41" s="491"/>
      <c r="B41" s="491"/>
      <c r="C41" s="491"/>
      <c r="D41" s="491"/>
      <c r="E41" s="491"/>
      <c r="F41" s="491"/>
      <c r="G41" s="491"/>
      <c r="H41" s="491"/>
      <c r="I41" s="491"/>
      <c r="J41" s="491"/>
      <c r="K41" s="491"/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1"/>
      <c r="Z41" s="491"/>
      <c r="AA41" s="491"/>
      <c r="AB41" s="491"/>
      <c r="AC41" s="491"/>
      <c r="AD41" s="491"/>
      <c r="AE41" s="491"/>
      <c r="AF41" s="491"/>
      <c r="AG41" s="491"/>
      <c r="AH41" s="491"/>
      <c r="AI41" s="491"/>
      <c r="AJ41" s="491"/>
      <c r="AK41" s="491"/>
      <c r="AL41" s="491"/>
      <c r="AM41" s="491"/>
      <c r="AN41" s="491"/>
    </row>
    <row r="42" spans="1:40" customFormat="1" x14ac:dyDescent="0.3">
      <c r="A42" s="491"/>
      <c r="B42" s="491"/>
      <c r="C42" s="491"/>
      <c r="D42" s="491"/>
      <c r="E42" s="491"/>
      <c r="F42" s="491"/>
      <c r="G42" s="491"/>
      <c r="H42" s="491"/>
      <c r="I42" s="491"/>
      <c r="J42" s="491"/>
      <c r="K42" s="491"/>
      <c r="L42" s="491"/>
      <c r="M42" s="491"/>
      <c r="N42" s="491"/>
      <c r="O42" s="491"/>
      <c r="P42" s="491"/>
      <c r="Q42" s="491"/>
      <c r="R42" s="491"/>
      <c r="S42" s="491"/>
      <c r="T42" s="491"/>
      <c r="U42" s="491"/>
      <c r="V42" s="491"/>
      <c r="W42" s="491"/>
      <c r="X42" s="491"/>
      <c r="Y42" s="491"/>
      <c r="Z42" s="491"/>
      <c r="AA42" s="491"/>
      <c r="AB42" s="491"/>
      <c r="AC42" s="491"/>
      <c r="AD42" s="491"/>
      <c r="AE42" s="491"/>
      <c r="AF42" s="491"/>
      <c r="AG42" s="491"/>
      <c r="AH42" s="491"/>
      <c r="AI42" s="491"/>
      <c r="AJ42" s="491"/>
      <c r="AK42" s="491"/>
      <c r="AL42" s="491"/>
      <c r="AM42" s="491"/>
      <c r="AN42" s="491"/>
    </row>
    <row r="43" spans="1:40" customFormat="1" x14ac:dyDescent="0.3">
      <c r="A43" s="491"/>
      <c r="B43" s="491"/>
      <c r="C43" s="491"/>
      <c r="D43" s="491"/>
      <c r="E43" s="491"/>
      <c r="F43" s="491"/>
      <c r="G43" s="491"/>
      <c r="H43" s="491"/>
      <c r="I43" s="491"/>
      <c r="J43" s="491"/>
      <c r="K43" s="491"/>
      <c r="L43" s="491"/>
      <c r="M43" s="491"/>
      <c r="N43" s="491"/>
      <c r="O43" s="491"/>
      <c r="P43" s="491"/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91"/>
      <c r="AB43" s="491"/>
      <c r="AC43" s="491"/>
      <c r="AD43" s="491"/>
      <c r="AE43" s="491"/>
      <c r="AF43" s="491"/>
      <c r="AG43" s="491"/>
      <c r="AH43" s="491"/>
      <c r="AI43" s="491"/>
      <c r="AJ43" s="491"/>
      <c r="AK43" s="491"/>
      <c r="AL43" s="491"/>
      <c r="AM43" s="491"/>
      <c r="AN43" s="491"/>
    </row>
    <row r="44" spans="1:40" customFormat="1" x14ac:dyDescent="0.3">
      <c r="A44" s="491"/>
      <c r="B44" s="491"/>
      <c r="C44" s="491"/>
      <c r="D44" s="491"/>
      <c r="E44" s="491"/>
      <c r="F44" s="491"/>
      <c r="G44" s="491"/>
      <c r="H44" s="491"/>
      <c r="I44" s="491"/>
      <c r="J44" s="491"/>
      <c r="K44" s="491"/>
      <c r="L44" s="491"/>
      <c r="M44" s="491"/>
      <c r="N44" s="491"/>
      <c r="O44" s="491"/>
      <c r="P44" s="491"/>
      <c r="Q44" s="491"/>
      <c r="R44" s="491"/>
      <c r="S44" s="491"/>
      <c r="T44" s="491"/>
      <c r="U44" s="491"/>
      <c r="V44" s="491"/>
      <c r="W44" s="491"/>
      <c r="X44" s="491"/>
      <c r="Y44" s="491"/>
      <c r="Z44" s="491"/>
      <c r="AA44" s="491"/>
      <c r="AB44" s="491"/>
      <c r="AC44" s="491"/>
      <c r="AD44" s="491"/>
      <c r="AE44" s="491"/>
      <c r="AF44" s="491"/>
      <c r="AG44" s="491"/>
      <c r="AH44" s="491"/>
      <c r="AI44" s="491"/>
      <c r="AJ44" s="491"/>
      <c r="AK44" s="491"/>
      <c r="AL44" s="491"/>
      <c r="AM44" s="491"/>
      <c r="AN44" s="491"/>
    </row>
    <row r="45" spans="1:40" customFormat="1" x14ac:dyDescent="0.3">
      <c r="A45" s="491"/>
      <c r="B45" s="491"/>
      <c r="C45" s="491"/>
      <c r="D45" s="491"/>
      <c r="E45" s="491"/>
      <c r="F45" s="491"/>
      <c r="G45" s="491"/>
      <c r="H45" s="491"/>
      <c r="I45" s="491"/>
      <c r="J45" s="491"/>
      <c r="K45" s="491"/>
      <c r="L45" s="491"/>
      <c r="M45" s="491"/>
      <c r="N45" s="491"/>
      <c r="O45" s="491"/>
      <c r="P45" s="491"/>
      <c r="Q45" s="491"/>
      <c r="R45" s="491"/>
      <c r="S45" s="491"/>
      <c r="T45" s="491"/>
      <c r="U45" s="491"/>
      <c r="V45" s="491"/>
      <c r="W45" s="491"/>
      <c r="X45" s="491"/>
      <c r="Y45" s="491"/>
      <c r="Z45" s="491"/>
      <c r="AA45" s="491"/>
      <c r="AB45" s="491"/>
      <c r="AC45" s="491"/>
      <c r="AD45" s="491"/>
      <c r="AE45" s="491"/>
      <c r="AF45" s="491"/>
      <c r="AG45" s="491"/>
      <c r="AH45" s="491"/>
      <c r="AI45" s="491"/>
      <c r="AJ45" s="491"/>
      <c r="AK45" s="491"/>
      <c r="AL45" s="491"/>
      <c r="AM45" s="491"/>
      <c r="AN45" s="491"/>
    </row>
    <row r="46" spans="1:40" customFormat="1" x14ac:dyDescent="0.3">
      <c r="A46" s="491"/>
      <c r="B46" s="491"/>
      <c r="C46" s="491"/>
      <c r="D46" s="491"/>
      <c r="E46" s="491"/>
      <c r="F46" s="491"/>
      <c r="G46" s="491"/>
      <c r="H46" s="491"/>
      <c r="I46" s="491"/>
      <c r="J46" s="491"/>
      <c r="K46" s="491"/>
      <c r="L46" s="491"/>
      <c r="M46" s="491"/>
      <c r="N46" s="491"/>
      <c r="O46" s="491"/>
      <c r="P46" s="491"/>
      <c r="Q46" s="491"/>
      <c r="R46" s="491"/>
      <c r="S46" s="491"/>
      <c r="T46" s="491"/>
      <c r="U46" s="491"/>
      <c r="V46" s="491"/>
      <c r="W46" s="491"/>
      <c r="X46" s="491"/>
      <c r="Y46" s="491"/>
      <c r="Z46" s="491"/>
      <c r="AA46" s="491"/>
      <c r="AB46" s="491"/>
      <c r="AC46" s="491"/>
      <c r="AD46" s="491"/>
      <c r="AE46" s="491"/>
      <c r="AF46" s="491"/>
      <c r="AG46" s="491"/>
      <c r="AH46" s="491"/>
      <c r="AI46" s="491"/>
      <c r="AJ46" s="491"/>
      <c r="AK46" s="491"/>
      <c r="AL46" s="491"/>
      <c r="AM46" s="491"/>
      <c r="AN46" s="491"/>
    </row>
    <row r="47" spans="1:40" customFormat="1" x14ac:dyDescent="0.3">
      <c r="A47" s="491"/>
      <c r="B47" s="491"/>
      <c r="C47" s="491"/>
      <c r="D47" s="491"/>
      <c r="E47" s="491"/>
      <c r="F47" s="491"/>
      <c r="G47" s="491"/>
      <c r="H47" s="491"/>
      <c r="I47" s="491"/>
      <c r="J47" s="491"/>
      <c r="K47" s="491"/>
      <c r="L47" s="491"/>
      <c r="M47" s="491"/>
      <c r="N47" s="491"/>
      <c r="O47" s="491"/>
      <c r="P47" s="491"/>
      <c r="Q47" s="491"/>
      <c r="R47" s="491"/>
      <c r="S47" s="491"/>
      <c r="T47" s="491"/>
      <c r="U47" s="491"/>
      <c r="V47" s="491"/>
      <c r="W47" s="491"/>
      <c r="X47" s="491"/>
      <c r="Y47" s="491"/>
      <c r="Z47" s="491"/>
      <c r="AA47" s="491"/>
      <c r="AB47" s="491"/>
      <c r="AC47" s="491"/>
      <c r="AD47" s="491"/>
      <c r="AE47" s="491"/>
      <c r="AF47" s="491"/>
      <c r="AG47" s="491"/>
      <c r="AH47" s="491"/>
      <c r="AI47" s="491"/>
      <c r="AJ47" s="491"/>
      <c r="AK47" s="491"/>
      <c r="AL47" s="491"/>
      <c r="AM47" s="491"/>
      <c r="AN47" s="491"/>
    </row>
    <row r="48" spans="1:40" customFormat="1" x14ac:dyDescent="0.3">
      <c r="A48" s="491"/>
      <c r="B48" s="491"/>
      <c r="C48" s="491"/>
      <c r="D48" s="491"/>
      <c r="E48" s="491"/>
      <c r="F48" s="491"/>
      <c r="G48" s="491"/>
      <c r="H48" s="491"/>
      <c r="I48" s="491"/>
      <c r="J48" s="491"/>
      <c r="K48" s="491"/>
      <c r="L48" s="491"/>
      <c r="M48" s="491"/>
      <c r="N48" s="491"/>
      <c r="O48" s="491"/>
      <c r="P48" s="491"/>
      <c r="Q48" s="491"/>
      <c r="R48" s="491"/>
      <c r="S48" s="491"/>
      <c r="T48" s="491"/>
      <c r="U48" s="491"/>
      <c r="V48" s="491"/>
      <c r="W48" s="491"/>
      <c r="X48" s="491"/>
      <c r="Y48" s="491"/>
      <c r="Z48" s="491"/>
      <c r="AA48" s="491"/>
      <c r="AB48" s="491"/>
      <c r="AC48" s="491"/>
      <c r="AD48" s="491"/>
      <c r="AE48" s="491"/>
      <c r="AF48" s="491"/>
      <c r="AG48" s="491"/>
      <c r="AH48" s="491"/>
      <c r="AI48" s="491"/>
      <c r="AJ48" s="491"/>
      <c r="AK48" s="491"/>
      <c r="AL48" s="491"/>
      <c r="AM48" s="491"/>
      <c r="AN48" s="491"/>
    </row>
    <row r="49" spans="1:40" customFormat="1" x14ac:dyDescent="0.3">
      <c r="A49" s="491"/>
      <c r="B49" s="491"/>
      <c r="C49" s="491"/>
      <c r="D49" s="491"/>
      <c r="E49" s="491"/>
      <c r="F49" s="491"/>
      <c r="G49" s="491"/>
      <c r="H49" s="491"/>
      <c r="I49" s="491"/>
      <c r="J49" s="491"/>
      <c r="K49" s="491"/>
      <c r="L49" s="491"/>
      <c r="M49" s="491"/>
      <c r="N49" s="491"/>
      <c r="O49" s="491"/>
      <c r="P49" s="491"/>
      <c r="Q49" s="491"/>
      <c r="R49" s="491"/>
      <c r="S49" s="491"/>
      <c r="T49" s="491"/>
      <c r="U49" s="491"/>
      <c r="V49" s="491"/>
      <c r="W49" s="491"/>
      <c r="X49" s="491"/>
      <c r="Y49" s="491"/>
      <c r="Z49" s="491"/>
      <c r="AA49" s="491"/>
      <c r="AB49" s="491"/>
      <c r="AC49" s="491"/>
      <c r="AD49" s="491"/>
      <c r="AE49" s="491"/>
      <c r="AF49" s="491"/>
      <c r="AG49" s="491"/>
      <c r="AH49" s="491"/>
      <c r="AI49" s="491"/>
      <c r="AJ49" s="491"/>
      <c r="AK49" s="491"/>
      <c r="AL49" s="491"/>
      <c r="AM49" s="491"/>
      <c r="AN49" s="491"/>
    </row>
    <row r="50" spans="1:40" customFormat="1" x14ac:dyDescent="0.3">
      <c r="A50" s="491"/>
      <c r="B50" s="491"/>
      <c r="C50" s="491"/>
      <c r="D50" s="491"/>
      <c r="E50" s="491"/>
      <c r="F50" s="491"/>
      <c r="G50" s="491"/>
      <c r="H50" s="491"/>
      <c r="I50" s="491"/>
      <c r="J50" s="491"/>
      <c r="K50" s="491"/>
      <c r="L50" s="491"/>
      <c r="M50" s="491"/>
      <c r="N50" s="491"/>
      <c r="O50" s="491"/>
      <c r="P50" s="491"/>
      <c r="Q50" s="491"/>
      <c r="R50" s="491"/>
      <c r="S50" s="491"/>
      <c r="T50" s="491"/>
      <c r="U50" s="491"/>
      <c r="V50" s="491"/>
      <c r="W50" s="491"/>
      <c r="X50" s="491"/>
      <c r="Y50" s="491"/>
      <c r="Z50" s="491"/>
      <c r="AA50" s="491"/>
      <c r="AB50" s="491"/>
      <c r="AC50" s="491"/>
      <c r="AD50" s="491"/>
      <c r="AE50" s="491"/>
      <c r="AF50" s="491"/>
      <c r="AG50" s="491"/>
      <c r="AH50" s="491"/>
      <c r="AI50" s="491"/>
      <c r="AJ50" s="491"/>
      <c r="AK50" s="491"/>
      <c r="AL50" s="491"/>
      <c r="AM50" s="491"/>
      <c r="AN50" s="491"/>
    </row>
    <row r="51" spans="1:40" customFormat="1" x14ac:dyDescent="0.3">
      <c r="A51" s="491"/>
      <c r="B51" s="491"/>
      <c r="C51" s="491"/>
      <c r="D51" s="491"/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91"/>
      <c r="Q51" s="491"/>
      <c r="R51" s="491"/>
      <c r="S51" s="491"/>
      <c r="T51" s="491"/>
      <c r="U51" s="491"/>
      <c r="V51" s="491"/>
      <c r="W51" s="491"/>
      <c r="X51" s="491"/>
      <c r="Y51" s="491"/>
      <c r="Z51" s="491"/>
      <c r="AA51" s="491"/>
      <c r="AB51" s="491"/>
      <c r="AC51" s="491"/>
      <c r="AD51" s="491"/>
      <c r="AE51" s="491"/>
      <c r="AF51" s="491"/>
      <c r="AG51" s="491"/>
      <c r="AH51" s="491"/>
      <c r="AI51" s="491"/>
      <c r="AJ51" s="491"/>
      <c r="AK51" s="491"/>
      <c r="AL51" s="491"/>
      <c r="AM51" s="491"/>
      <c r="AN51" s="491"/>
    </row>
    <row r="52" spans="1:40" customFormat="1" x14ac:dyDescent="0.3">
      <c r="A52" s="491"/>
      <c r="B52" s="491"/>
      <c r="C52" s="491"/>
      <c r="D52" s="491"/>
      <c r="E52" s="491"/>
      <c r="F52" s="491"/>
      <c r="G52" s="491"/>
      <c r="H52" s="491"/>
      <c r="I52" s="491"/>
      <c r="J52" s="491"/>
      <c r="K52" s="491"/>
      <c r="L52" s="491"/>
      <c r="M52" s="491"/>
      <c r="N52" s="491"/>
      <c r="O52" s="491"/>
      <c r="P52" s="491"/>
      <c r="Q52" s="491"/>
      <c r="R52" s="491"/>
      <c r="S52" s="491"/>
      <c r="T52" s="491"/>
      <c r="U52" s="491"/>
      <c r="V52" s="491"/>
      <c r="W52" s="491"/>
      <c r="X52" s="491"/>
      <c r="Y52" s="491"/>
      <c r="Z52" s="491"/>
      <c r="AA52" s="491"/>
      <c r="AB52" s="491"/>
      <c r="AC52" s="491"/>
      <c r="AD52" s="491"/>
      <c r="AE52" s="491"/>
      <c r="AF52" s="491"/>
      <c r="AG52" s="491"/>
      <c r="AH52" s="491"/>
      <c r="AI52" s="491"/>
      <c r="AJ52" s="491"/>
      <c r="AK52" s="491"/>
      <c r="AL52" s="491"/>
      <c r="AM52" s="491"/>
      <c r="AN52" s="491"/>
    </row>
    <row r="53" spans="1:40" customFormat="1" x14ac:dyDescent="0.3">
      <c r="A53" s="491"/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Z53" s="491"/>
      <c r="AA53" s="491"/>
      <c r="AB53" s="491"/>
      <c r="AC53" s="491"/>
      <c r="AD53" s="491"/>
      <c r="AE53" s="491"/>
      <c r="AF53" s="491"/>
      <c r="AG53" s="491"/>
      <c r="AH53" s="491"/>
      <c r="AI53" s="491"/>
      <c r="AJ53" s="491"/>
      <c r="AK53" s="491"/>
      <c r="AL53" s="491"/>
      <c r="AM53" s="491"/>
      <c r="AN53" s="491"/>
    </row>
    <row r="54" spans="1:40" customFormat="1" x14ac:dyDescent="0.3">
      <c r="A54" s="491"/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Z54" s="491"/>
      <c r="AA54" s="491"/>
      <c r="AB54" s="491"/>
      <c r="AC54" s="491"/>
      <c r="AD54" s="491"/>
      <c r="AE54" s="491"/>
      <c r="AF54" s="491"/>
      <c r="AG54" s="491"/>
      <c r="AH54" s="491"/>
      <c r="AI54" s="491"/>
      <c r="AJ54" s="491"/>
      <c r="AK54" s="491"/>
      <c r="AL54" s="491"/>
      <c r="AM54" s="491"/>
      <c r="AN54" s="491"/>
    </row>
    <row r="55" spans="1:40" customFormat="1" x14ac:dyDescent="0.3">
      <c r="A55" s="491"/>
      <c r="B55" s="491"/>
      <c r="C55" s="491"/>
      <c r="D55" s="491"/>
      <c r="E55" s="491"/>
      <c r="F55" s="491"/>
      <c r="G55" s="491"/>
      <c r="H55" s="491"/>
      <c r="I55" s="491"/>
      <c r="J55" s="491"/>
      <c r="K55" s="491"/>
      <c r="L55" s="491"/>
      <c r="M55" s="491"/>
      <c r="N55" s="491"/>
      <c r="O55" s="491"/>
      <c r="P55" s="491"/>
      <c r="Q55" s="491"/>
      <c r="R55" s="491"/>
      <c r="S55" s="491"/>
      <c r="T55" s="491"/>
      <c r="U55" s="491"/>
      <c r="V55" s="491"/>
      <c r="W55" s="491"/>
      <c r="X55" s="491"/>
      <c r="Y55" s="491"/>
      <c r="Z55" s="491"/>
      <c r="AA55" s="491"/>
      <c r="AB55" s="491"/>
      <c r="AC55" s="491"/>
      <c r="AD55" s="491"/>
      <c r="AE55" s="491"/>
      <c r="AF55" s="491"/>
      <c r="AG55" s="491"/>
      <c r="AH55" s="491"/>
      <c r="AI55" s="491"/>
      <c r="AJ55" s="491"/>
      <c r="AK55" s="491"/>
      <c r="AL55" s="491"/>
      <c r="AM55" s="491"/>
      <c r="AN55" s="491"/>
    </row>
    <row r="56" spans="1:40" customFormat="1" x14ac:dyDescent="0.3">
      <c r="A56" s="491"/>
      <c r="B56" s="491"/>
      <c r="C56" s="491"/>
      <c r="D56" s="491"/>
      <c r="E56" s="491"/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</row>
    <row r="57" spans="1:40" customFormat="1" x14ac:dyDescent="0.3">
      <c r="A57" s="491"/>
      <c r="B57" s="491"/>
      <c r="C57" s="491"/>
      <c r="D57" s="491"/>
      <c r="E57" s="491"/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</row>
    <row r="58" spans="1:40" customFormat="1" x14ac:dyDescent="0.3">
      <c r="A58" s="491"/>
      <c r="B58" s="491"/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91"/>
      <c r="AB58" s="491"/>
      <c r="AC58" s="491"/>
      <c r="AD58" s="491"/>
      <c r="AE58" s="491"/>
      <c r="AF58" s="491"/>
      <c r="AG58" s="491"/>
      <c r="AH58" s="491"/>
      <c r="AI58" s="491"/>
      <c r="AJ58" s="491"/>
      <c r="AK58" s="491"/>
      <c r="AL58" s="491"/>
      <c r="AM58" s="491"/>
      <c r="AN58" s="491"/>
    </row>
    <row r="59" spans="1:40" customFormat="1" x14ac:dyDescent="0.3">
      <c r="A59" s="491"/>
      <c r="B59" s="491"/>
      <c r="C59" s="491"/>
      <c r="D59" s="491"/>
      <c r="E59" s="491"/>
      <c r="F59" s="491"/>
      <c r="G59" s="491"/>
      <c r="H59" s="49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91"/>
      <c r="AB59" s="491"/>
      <c r="AC59" s="491"/>
      <c r="AD59" s="491"/>
      <c r="AE59" s="491"/>
      <c r="AF59" s="491"/>
      <c r="AG59" s="491"/>
      <c r="AH59" s="491"/>
      <c r="AI59" s="491"/>
      <c r="AJ59" s="491"/>
      <c r="AK59" s="491"/>
      <c r="AL59" s="491"/>
      <c r="AM59" s="491"/>
      <c r="AN59" s="491"/>
    </row>
    <row r="60" spans="1:40" customFormat="1" x14ac:dyDescent="0.3">
      <c r="A60" s="491"/>
      <c r="B60" s="491"/>
      <c r="C60" s="491"/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91"/>
      <c r="AB60" s="491"/>
      <c r="AC60" s="491"/>
      <c r="AD60" s="491"/>
      <c r="AE60" s="491"/>
      <c r="AF60" s="491"/>
      <c r="AG60" s="491"/>
      <c r="AH60" s="491"/>
      <c r="AI60" s="491"/>
      <c r="AJ60" s="491"/>
      <c r="AK60" s="491"/>
      <c r="AL60" s="491"/>
      <c r="AM60" s="491"/>
      <c r="AN60" s="491"/>
    </row>
    <row r="61" spans="1:40" customFormat="1" x14ac:dyDescent="0.3">
      <c r="A61" s="491"/>
      <c r="B61" s="491"/>
      <c r="C61" s="491"/>
      <c r="D61" s="491"/>
      <c r="E61" s="491"/>
      <c r="F61" s="491"/>
      <c r="G61" s="491"/>
      <c r="H61" s="491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91"/>
      <c r="AB61" s="491"/>
      <c r="AC61" s="491"/>
      <c r="AD61" s="491"/>
      <c r="AE61" s="491"/>
      <c r="AF61" s="491"/>
      <c r="AG61" s="491"/>
      <c r="AH61" s="491"/>
      <c r="AI61" s="491"/>
      <c r="AJ61" s="491"/>
      <c r="AK61" s="491"/>
      <c r="AL61" s="491"/>
      <c r="AM61" s="491"/>
      <c r="AN61" s="491"/>
    </row>
    <row r="62" spans="1:40" customFormat="1" x14ac:dyDescent="0.3">
      <c r="A62" s="491"/>
      <c r="B62" s="491"/>
      <c r="C62" s="491"/>
      <c r="D62" s="491"/>
      <c r="E62" s="491"/>
      <c r="F62" s="491"/>
      <c r="G62" s="491"/>
      <c r="H62" s="491"/>
      <c r="I62" s="491"/>
      <c r="J62" s="491"/>
      <c r="K62" s="491"/>
      <c r="L62" s="491"/>
      <c r="M62" s="491"/>
      <c r="N62" s="491"/>
      <c r="O62" s="491"/>
      <c r="P62" s="491"/>
      <c r="Q62" s="491"/>
      <c r="R62" s="491"/>
      <c r="S62" s="491"/>
      <c r="T62" s="491"/>
      <c r="U62" s="491"/>
      <c r="V62" s="491"/>
      <c r="W62" s="491"/>
      <c r="X62" s="491"/>
      <c r="Y62" s="491"/>
      <c r="Z62" s="491"/>
      <c r="AA62" s="491"/>
      <c r="AB62" s="491"/>
      <c r="AC62" s="491"/>
      <c r="AD62" s="491"/>
      <c r="AE62" s="491"/>
      <c r="AF62" s="491"/>
      <c r="AG62" s="491"/>
      <c r="AH62" s="491"/>
      <c r="AI62" s="491"/>
      <c r="AJ62" s="491"/>
      <c r="AK62" s="491"/>
      <c r="AL62" s="491"/>
      <c r="AM62" s="491"/>
      <c r="AN62" s="491"/>
    </row>
    <row r="63" spans="1:40" customFormat="1" x14ac:dyDescent="0.3">
      <c r="A63" s="491"/>
      <c r="B63" s="491"/>
      <c r="C63" s="491"/>
      <c r="D63" s="491"/>
      <c r="E63" s="491"/>
      <c r="F63" s="491"/>
      <c r="G63" s="491"/>
      <c r="H63" s="491"/>
      <c r="I63" s="491"/>
      <c r="J63" s="491"/>
      <c r="K63" s="491"/>
      <c r="L63" s="491"/>
      <c r="M63" s="491"/>
      <c r="N63" s="491"/>
      <c r="O63" s="491"/>
      <c r="P63" s="491"/>
      <c r="Q63" s="491"/>
      <c r="R63" s="491"/>
      <c r="S63" s="491"/>
      <c r="T63" s="491"/>
      <c r="U63" s="491"/>
      <c r="V63" s="491"/>
      <c r="W63" s="491"/>
      <c r="X63" s="491"/>
      <c r="Y63" s="491"/>
      <c r="Z63" s="491"/>
      <c r="AA63" s="491"/>
      <c r="AB63" s="491"/>
      <c r="AC63" s="491"/>
      <c r="AD63" s="491"/>
      <c r="AE63" s="491"/>
      <c r="AF63" s="491"/>
      <c r="AG63" s="491"/>
      <c r="AH63" s="491"/>
      <c r="AI63" s="491"/>
      <c r="AJ63" s="491"/>
      <c r="AK63" s="491"/>
      <c r="AL63" s="491"/>
      <c r="AM63" s="491"/>
      <c r="AN63" s="491"/>
    </row>
    <row r="64" spans="1:40" customFormat="1" x14ac:dyDescent="0.3">
      <c r="A64" s="491"/>
      <c r="B64" s="491"/>
      <c r="C64" s="491"/>
      <c r="D64" s="491"/>
      <c r="E64" s="491"/>
      <c r="F64" s="491"/>
      <c r="G64" s="491"/>
      <c r="H64" s="491"/>
      <c r="I64" s="491"/>
      <c r="J64" s="491"/>
      <c r="K64" s="491"/>
      <c r="L64" s="491"/>
      <c r="M64" s="491"/>
      <c r="N64" s="491"/>
      <c r="O64" s="491"/>
      <c r="P64" s="491"/>
      <c r="Q64" s="491"/>
      <c r="R64" s="491"/>
      <c r="S64" s="491"/>
      <c r="T64" s="491"/>
      <c r="U64" s="491"/>
      <c r="V64" s="491"/>
      <c r="W64" s="491"/>
      <c r="X64" s="491"/>
      <c r="Y64" s="491"/>
      <c r="Z64" s="491"/>
      <c r="AA64" s="491"/>
      <c r="AB64" s="491"/>
      <c r="AC64" s="491"/>
      <c r="AD64" s="491"/>
      <c r="AE64" s="491"/>
      <c r="AF64" s="491"/>
      <c r="AG64" s="491"/>
      <c r="AH64" s="491"/>
      <c r="AI64" s="491"/>
      <c r="AJ64" s="491"/>
      <c r="AK64" s="491"/>
      <c r="AL64" s="491"/>
      <c r="AM64" s="491"/>
      <c r="AN64" s="491"/>
    </row>
    <row r="65" spans="1:40" customFormat="1" x14ac:dyDescent="0.3">
      <c r="A65" s="491"/>
      <c r="B65" s="491"/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1"/>
      <c r="X65" s="491"/>
      <c r="Y65" s="491"/>
      <c r="Z65" s="491"/>
      <c r="AA65" s="491"/>
      <c r="AB65" s="491"/>
      <c r="AC65" s="491"/>
      <c r="AD65" s="491"/>
      <c r="AE65" s="491"/>
      <c r="AF65" s="491"/>
      <c r="AG65" s="491"/>
      <c r="AH65" s="491"/>
      <c r="AI65" s="491"/>
      <c r="AJ65" s="491"/>
      <c r="AK65" s="491"/>
      <c r="AL65" s="491"/>
      <c r="AM65" s="491"/>
      <c r="AN65" s="491"/>
    </row>
    <row r="66" spans="1:40" customFormat="1" x14ac:dyDescent="0.3">
      <c r="A66" s="491"/>
      <c r="B66" s="491"/>
      <c r="C66" s="491"/>
      <c r="D66" s="491"/>
      <c r="E66" s="491"/>
      <c r="F66" s="491"/>
      <c r="G66" s="491"/>
      <c r="H66" s="491"/>
      <c r="I66" s="491"/>
      <c r="J66" s="491"/>
      <c r="K66" s="491"/>
      <c r="L66" s="491"/>
      <c r="M66" s="491"/>
      <c r="N66" s="491"/>
      <c r="O66" s="491"/>
      <c r="P66" s="491"/>
      <c r="Q66" s="491"/>
      <c r="R66" s="491"/>
      <c r="S66" s="491"/>
      <c r="T66" s="491"/>
      <c r="U66" s="491"/>
      <c r="V66" s="491"/>
      <c r="W66" s="491"/>
      <c r="X66" s="491"/>
      <c r="Y66" s="491"/>
      <c r="Z66" s="491"/>
      <c r="AA66" s="491"/>
      <c r="AB66" s="491"/>
      <c r="AC66" s="491"/>
      <c r="AD66" s="491"/>
      <c r="AE66" s="491"/>
      <c r="AF66" s="491"/>
      <c r="AG66" s="491"/>
      <c r="AH66" s="491"/>
      <c r="AI66" s="491"/>
      <c r="AJ66" s="491"/>
      <c r="AK66" s="491"/>
      <c r="AL66" s="491"/>
      <c r="AM66" s="491"/>
      <c r="AN66" s="491"/>
    </row>
    <row r="67" spans="1:40" customFormat="1" x14ac:dyDescent="0.3">
      <c r="A67" s="491"/>
      <c r="B67" s="491"/>
      <c r="C67" s="491"/>
      <c r="D67" s="491"/>
      <c r="E67" s="491"/>
      <c r="F67" s="491"/>
      <c r="G67" s="491"/>
      <c r="H67" s="491"/>
      <c r="I67" s="491"/>
      <c r="J67" s="491"/>
      <c r="K67" s="491"/>
      <c r="L67" s="491"/>
      <c r="M67" s="491"/>
      <c r="N67" s="491"/>
      <c r="O67" s="491"/>
      <c r="P67" s="491"/>
      <c r="Q67" s="491"/>
      <c r="R67" s="491"/>
      <c r="S67" s="491"/>
      <c r="T67" s="491"/>
      <c r="U67" s="491"/>
      <c r="V67" s="491"/>
      <c r="W67" s="491"/>
      <c r="X67" s="491"/>
      <c r="Y67" s="491"/>
      <c r="Z67" s="491"/>
      <c r="AA67" s="491"/>
      <c r="AB67" s="491"/>
      <c r="AC67" s="491"/>
      <c r="AD67" s="491"/>
      <c r="AE67" s="491"/>
      <c r="AF67" s="491"/>
      <c r="AG67" s="491"/>
      <c r="AH67" s="491"/>
      <c r="AI67" s="491"/>
      <c r="AJ67" s="491"/>
      <c r="AK67" s="491"/>
      <c r="AL67" s="491"/>
      <c r="AM67" s="491"/>
      <c r="AN67" s="491"/>
    </row>
    <row r="68" spans="1:40" customFormat="1" x14ac:dyDescent="0.3">
      <c r="A68" s="491"/>
      <c r="B68" s="491"/>
      <c r="C68" s="491"/>
      <c r="D68" s="491"/>
      <c r="E68" s="491"/>
      <c r="F68" s="491"/>
      <c r="G68" s="491"/>
      <c r="H68" s="491"/>
      <c r="I68" s="491"/>
      <c r="J68" s="491"/>
      <c r="K68" s="491"/>
      <c r="L68" s="491"/>
      <c r="M68" s="491"/>
      <c r="N68" s="491"/>
      <c r="O68" s="491"/>
      <c r="P68" s="491"/>
      <c r="Q68" s="491"/>
      <c r="R68" s="491"/>
      <c r="S68" s="491"/>
      <c r="T68" s="491"/>
      <c r="U68" s="491"/>
      <c r="V68" s="491"/>
      <c r="W68" s="491"/>
      <c r="X68" s="491"/>
      <c r="Y68" s="491"/>
      <c r="Z68" s="491"/>
      <c r="AA68" s="491"/>
      <c r="AB68" s="491"/>
      <c r="AC68" s="491"/>
      <c r="AD68" s="491"/>
      <c r="AE68" s="491"/>
      <c r="AF68" s="491"/>
      <c r="AG68" s="491"/>
      <c r="AH68" s="491"/>
      <c r="AI68" s="491"/>
      <c r="AJ68" s="491"/>
      <c r="AK68" s="491"/>
      <c r="AL68" s="491"/>
      <c r="AM68" s="491"/>
      <c r="AN68" s="491"/>
    </row>
    <row r="69" spans="1:40" customFormat="1" x14ac:dyDescent="0.3">
      <c r="A69" s="491"/>
      <c r="B69" s="491"/>
      <c r="C69" s="491"/>
      <c r="D69" s="491"/>
      <c r="E69" s="491"/>
      <c r="F69" s="491"/>
      <c r="G69" s="491"/>
      <c r="H69" s="491"/>
      <c r="I69" s="491"/>
      <c r="J69" s="491"/>
      <c r="K69" s="491"/>
      <c r="L69" s="491"/>
      <c r="M69" s="491"/>
      <c r="N69" s="491"/>
      <c r="O69" s="491"/>
      <c r="P69" s="491"/>
      <c r="Q69" s="491"/>
      <c r="R69" s="491"/>
      <c r="S69" s="491"/>
      <c r="T69" s="491"/>
      <c r="U69" s="491"/>
      <c r="V69" s="491"/>
      <c r="W69" s="491"/>
      <c r="X69" s="491"/>
      <c r="Y69" s="491"/>
      <c r="Z69" s="491"/>
      <c r="AA69" s="491"/>
      <c r="AB69" s="491"/>
      <c r="AC69" s="491"/>
      <c r="AD69" s="491"/>
      <c r="AE69" s="491"/>
      <c r="AF69" s="491"/>
      <c r="AG69" s="491"/>
      <c r="AH69" s="491"/>
      <c r="AI69" s="491"/>
      <c r="AJ69" s="491"/>
      <c r="AK69" s="491"/>
      <c r="AL69" s="491"/>
      <c r="AM69" s="491"/>
      <c r="AN69" s="491"/>
    </row>
    <row r="70" spans="1:40" customFormat="1" x14ac:dyDescent="0.3">
      <c r="A70" s="491"/>
      <c r="B70" s="491"/>
      <c r="C70" s="491"/>
      <c r="D70" s="491"/>
      <c r="E70" s="491"/>
      <c r="F70" s="491"/>
      <c r="G70" s="491"/>
      <c r="H70" s="491"/>
      <c r="I70" s="491"/>
      <c r="J70" s="491"/>
      <c r="K70" s="491"/>
      <c r="L70" s="491"/>
      <c r="M70" s="491"/>
      <c r="N70" s="491"/>
      <c r="O70" s="491"/>
      <c r="P70" s="491"/>
      <c r="Q70" s="491"/>
      <c r="R70" s="491"/>
      <c r="S70" s="491"/>
      <c r="T70" s="491"/>
      <c r="U70" s="491"/>
      <c r="V70" s="491"/>
      <c r="W70" s="491"/>
      <c r="X70" s="491"/>
      <c r="Y70" s="491"/>
      <c r="Z70" s="491"/>
      <c r="AA70" s="491"/>
      <c r="AB70" s="491"/>
      <c r="AC70" s="491"/>
      <c r="AD70" s="491"/>
      <c r="AE70" s="491"/>
      <c r="AF70" s="491"/>
      <c r="AG70" s="491"/>
      <c r="AH70" s="491"/>
      <c r="AI70" s="491"/>
      <c r="AJ70" s="491"/>
      <c r="AK70" s="491"/>
      <c r="AL70" s="491"/>
      <c r="AM70" s="491"/>
      <c r="AN70" s="491"/>
    </row>
    <row r="71" spans="1:40" customFormat="1" x14ac:dyDescent="0.3">
      <c r="A71" s="491"/>
      <c r="B71" s="491"/>
      <c r="C71" s="491"/>
      <c r="D71" s="491"/>
      <c r="E71" s="491"/>
      <c r="F71" s="491"/>
      <c r="G71" s="491"/>
      <c r="H71" s="491"/>
      <c r="I71" s="491"/>
      <c r="J71" s="491"/>
      <c r="K71" s="491"/>
      <c r="L71" s="491"/>
      <c r="M71" s="491"/>
      <c r="N71" s="491"/>
      <c r="O71" s="491"/>
      <c r="P71" s="491"/>
      <c r="Q71" s="491"/>
      <c r="R71" s="491"/>
      <c r="S71" s="491"/>
      <c r="T71" s="491"/>
      <c r="U71" s="491"/>
      <c r="V71" s="491"/>
      <c r="W71" s="491"/>
      <c r="X71" s="491"/>
      <c r="Y71" s="491"/>
      <c r="Z71" s="491"/>
      <c r="AA71" s="491"/>
      <c r="AB71" s="491"/>
      <c r="AC71" s="491"/>
      <c r="AD71" s="491"/>
      <c r="AE71" s="491"/>
      <c r="AF71" s="491"/>
      <c r="AG71" s="491"/>
      <c r="AH71" s="491"/>
      <c r="AI71" s="491"/>
      <c r="AJ71" s="491"/>
      <c r="AK71" s="491"/>
      <c r="AL71" s="491"/>
      <c r="AM71" s="491"/>
      <c r="AN71" s="491"/>
    </row>
    <row r="72" spans="1:40" customFormat="1" x14ac:dyDescent="0.3">
      <c r="A72" s="491"/>
      <c r="B72" s="491"/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1"/>
      <c r="AA72" s="491"/>
      <c r="AB72" s="491"/>
      <c r="AC72" s="491"/>
      <c r="AD72" s="491"/>
      <c r="AE72" s="491"/>
      <c r="AF72" s="491"/>
      <c r="AG72" s="491"/>
      <c r="AH72" s="491"/>
      <c r="AI72" s="491"/>
      <c r="AJ72" s="491"/>
      <c r="AK72" s="491"/>
      <c r="AL72" s="491"/>
      <c r="AM72" s="491"/>
      <c r="AN72" s="491"/>
    </row>
    <row r="73" spans="1:40" customFormat="1" x14ac:dyDescent="0.3">
      <c r="A73" s="491"/>
      <c r="B73" s="491"/>
      <c r="C73" s="491"/>
      <c r="D73" s="491"/>
      <c r="E73" s="491"/>
      <c r="F73" s="491"/>
      <c r="G73" s="491"/>
      <c r="H73" s="491"/>
      <c r="I73" s="491"/>
      <c r="J73" s="491"/>
      <c r="K73" s="491"/>
      <c r="L73" s="491"/>
      <c r="M73" s="491"/>
      <c r="N73" s="491"/>
      <c r="O73" s="491"/>
      <c r="P73" s="491"/>
      <c r="Q73" s="491"/>
      <c r="R73" s="491"/>
      <c r="S73" s="491"/>
      <c r="T73" s="491"/>
      <c r="U73" s="491"/>
      <c r="V73" s="491"/>
      <c r="W73" s="491"/>
      <c r="X73" s="491"/>
      <c r="Y73" s="491"/>
      <c r="Z73" s="491"/>
      <c r="AA73" s="491"/>
      <c r="AB73" s="491"/>
      <c r="AC73" s="491"/>
      <c r="AD73" s="491"/>
      <c r="AE73" s="491"/>
      <c r="AF73" s="491"/>
      <c r="AG73" s="491"/>
      <c r="AH73" s="491"/>
      <c r="AI73" s="491"/>
      <c r="AJ73" s="491"/>
      <c r="AK73" s="491"/>
      <c r="AL73" s="491"/>
      <c r="AM73" s="491"/>
      <c r="AN73" s="491"/>
    </row>
    <row r="74" spans="1:40" customFormat="1" x14ac:dyDescent="0.3">
      <c r="A74" s="491"/>
      <c r="B74" s="491"/>
      <c r="C74" s="491"/>
      <c r="D74" s="491"/>
      <c r="E74" s="491"/>
      <c r="F74" s="491"/>
      <c r="G74" s="491"/>
      <c r="H74" s="491"/>
      <c r="I74" s="491"/>
      <c r="J74" s="491"/>
      <c r="K74" s="491"/>
      <c r="L74" s="491"/>
      <c r="M74" s="491"/>
      <c r="N74" s="491"/>
      <c r="O74" s="491"/>
      <c r="P74" s="491"/>
      <c r="Q74" s="491"/>
      <c r="R74" s="491"/>
      <c r="S74" s="491"/>
      <c r="T74" s="491"/>
      <c r="U74" s="491"/>
      <c r="V74" s="491"/>
      <c r="W74" s="491"/>
      <c r="X74" s="491"/>
      <c r="Y74" s="491"/>
      <c r="Z74" s="491"/>
      <c r="AA74" s="491"/>
      <c r="AB74" s="491"/>
      <c r="AC74" s="491"/>
      <c r="AD74" s="491"/>
      <c r="AE74" s="491"/>
      <c r="AF74" s="491"/>
      <c r="AG74" s="491"/>
      <c r="AH74" s="491"/>
      <c r="AI74" s="491"/>
      <c r="AJ74" s="491"/>
      <c r="AK74" s="491"/>
      <c r="AL74" s="491"/>
      <c r="AM74" s="491"/>
      <c r="AN74" s="491"/>
    </row>
    <row r="75" spans="1:40" customFormat="1" x14ac:dyDescent="0.3">
      <c r="A75" s="491"/>
      <c r="B75" s="491"/>
      <c r="C75" s="491"/>
      <c r="D75" s="491"/>
      <c r="E75" s="491"/>
      <c r="F75" s="491"/>
      <c r="G75" s="491"/>
      <c r="H75" s="491"/>
      <c r="I75" s="491"/>
      <c r="J75" s="491"/>
      <c r="K75" s="491"/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1"/>
      <c r="Y75" s="491"/>
      <c r="Z75" s="491"/>
      <c r="AA75" s="491"/>
      <c r="AB75" s="491"/>
      <c r="AC75" s="491"/>
      <c r="AD75" s="491"/>
      <c r="AE75" s="491"/>
      <c r="AF75" s="491"/>
      <c r="AG75" s="491"/>
      <c r="AH75" s="491"/>
      <c r="AI75" s="491"/>
      <c r="AJ75" s="491"/>
      <c r="AK75" s="491"/>
      <c r="AL75" s="491"/>
      <c r="AM75" s="491"/>
      <c r="AN75" s="491"/>
    </row>
    <row r="76" spans="1:40" customFormat="1" x14ac:dyDescent="0.3">
      <c r="A76" s="491"/>
      <c r="B76" s="491"/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91"/>
      <c r="AC76" s="491"/>
      <c r="AD76" s="491"/>
      <c r="AE76" s="491"/>
      <c r="AF76" s="491"/>
      <c r="AG76" s="491"/>
      <c r="AH76" s="491"/>
      <c r="AI76" s="491"/>
      <c r="AJ76" s="491"/>
      <c r="AK76" s="491"/>
      <c r="AL76" s="491"/>
      <c r="AM76" s="491"/>
      <c r="AN76" s="491"/>
    </row>
    <row r="77" spans="1:40" customFormat="1" x14ac:dyDescent="0.3">
      <c r="A77" s="491"/>
      <c r="B77" s="491"/>
      <c r="C77" s="491"/>
      <c r="D77" s="491"/>
      <c r="E77" s="491"/>
      <c r="F77" s="491"/>
      <c r="G77" s="491"/>
      <c r="H77" s="491"/>
      <c r="I77" s="491"/>
      <c r="J77" s="491"/>
      <c r="K77" s="491"/>
      <c r="L77" s="491"/>
      <c r="M77" s="491"/>
      <c r="N77" s="491"/>
      <c r="O77" s="491"/>
      <c r="P77" s="491"/>
      <c r="Q77" s="491"/>
      <c r="R77" s="491"/>
      <c r="S77" s="491"/>
      <c r="T77" s="491"/>
      <c r="U77" s="491"/>
      <c r="V77" s="491"/>
      <c r="W77" s="491"/>
      <c r="X77" s="491"/>
      <c r="Y77" s="491"/>
      <c r="Z77" s="491"/>
      <c r="AA77" s="491"/>
      <c r="AB77" s="491"/>
      <c r="AC77" s="491"/>
      <c r="AD77" s="491"/>
      <c r="AE77" s="491"/>
      <c r="AF77" s="491"/>
      <c r="AG77" s="491"/>
      <c r="AH77" s="491"/>
      <c r="AI77" s="491"/>
      <c r="AJ77" s="491"/>
      <c r="AK77" s="491"/>
      <c r="AL77" s="491"/>
      <c r="AM77" s="491"/>
      <c r="AN77" s="491"/>
    </row>
    <row r="78" spans="1:40" customFormat="1" x14ac:dyDescent="0.3">
      <c r="A78" s="491"/>
      <c r="B78" s="491"/>
      <c r="C78" s="491"/>
      <c r="D78" s="491"/>
      <c r="E78" s="491"/>
      <c r="F78" s="491"/>
      <c r="G78" s="491"/>
      <c r="H78" s="491"/>
      <c r="I78" s="491"/>
      <c r="J78" s="491"/>
      <c r="K78" s="491"/>
      <c r="L78" s="491"/>
      <c r="M78" s="491"/>
      <c r="N78" s="491"/>
      <c r="O78" s="491"/>
      <c r="P78" s="491"/>
      <c r="Q78" s="491"/>
      <c r="R78" s="491"/>
      <c r="S78" s="491"/>
      <c r="T78" s="491"/>
      <c r="U78" s="491"/>
      <c r="V78" s="491"/>
      <c r="W78" s="491"/>
      <c r="X78" s="491"/>
      <c r="Y78" s="491"/>
      <c r="Z78" s="491"/>
      <c r="AA78" s="491"/>
      <c r="AB78" s="491"/>
      <c r="AC78" s="491"/>
      <c r="AD78" s="491"/>
      <c r="AE78" s="491"/>
      <c r="AF78" s="491"/>
      <c r="AG78" s="491"/>
      <c r="AH78" s="491"/>
      <c r="AI78" s="491"/>
      <c r="AJ78" s="491"/>
      <c r="AK78" s="491"/>
      <c r="AL78" s="491"/>
      <c r="AM78" s="491"/>
      <c r="AN78" s="491"/>
    </row>
    <row r="79" spans="1:40" customFormat="1" x14ac:dyDescent="0.3">
      <c r="A79" s="491"/>
      <c r="B79" s="491"/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91"/>
      <c r="AC79" s="491"/>
      <c r="AD79" s="491"/>
      <c r="AE79" s="491"/>
      <c r="AF79" s="491"/>
      <c r="AG79" s="491"/>
      <c r="AH79" s="491"/>
      <c r="AI79" s="491"/>
      <c r="AJ79" s="491"/>
      <c r="AK79" s="491"/>
      <c r="AL79" s="491"/>
      <c r="AM79" s="491"/>
      <c r="AN79" s="491"/>
    </row>
    <row r="80" spans="1:40" customFormat="1" x14ac:dyDescent="0.3">
      <c r="A80" s="491"/>
      <c r="B80" s="491"/>
      <c r="C80" s="491"/>
      <c r="D80" s="491"/>
      <c r="E80" s="491"/>
      <c r="F80" s="491"/>
      <c r="G80" s="491"/>
      <c r="H80" s="491"/>
      <c r="I80" s="491"/>
      <c r="J80" s="491"/>
      <c r="K80" s="491"/>
      <c r="L80" s="491"/>
      <c r="M80" s="491"/>
      <c r="N80" s="491"/>
      <c r="O80" s="491"/>
      <c r="P80" s="491"/>
      <c r="Q80" s="491"/>
      <c r="R80" s="491"/>
      <c r="S80" s="491"/>
      <c r="T80" s="491"/>
      <c r="U80" s="491"/>
      <c r="V80" s="491"/>
      <c r="W80" s="491"/>
      <c r="X80" s="491"/>
      <c r="Y80" s="491"/>
      <c r="Z80" s="491"/>
      <c r="AA80" s="491"/>
      <c r="AB80" s="491"/>
      <c r="AC80" s="491"/>
      <c r="AD80" s="491"/>
      <c r="AE80" s="491"/>
      <c r="AF80" s="491"/>
      <c r="AG80" s="491"/>
      <c r="AH80" s="491"/>
      <c r="AI80" s="491"/>
      <c r="AJ80" s="491"/>
      <c r="AK80" s="491"/>
      <c r="AL80" s="491"/>
      <c r="AM80" s="491"/>
      <c r="AN80" s="491"/>
    </row>
    <row r="81" spans="1:40" customFormat="1" x14ac:dyDescent="0.3">
      <c r="A81" s="491"/>
      <c r="B81" s="491"/>
      <c r="C81" s="491"/>
      <c r="D81" s="491"/>
      <c r="E81" s="491"/>
      <c r="F81" s="491"/>
      <c r="G81" s="491"/>
      <c r="H81" s="491"/>
      <c r="I81" s="491"/>
      <c r="J81" s="491"/>
      <c r="K81" s="491"/>
      <c r="L81" s="491"/>
      <c r="M81" s="491"/>
      <c r="N81" s="491"/>
      <c r="O81" s="491"/>
      <c r="P81" s="491"/>
      <c r="Q81" s="491"/>
      <c r="R81" s="491"/>
      <c r="S81" s="491"/>
      <c r="T81" s="491"/>
      <c r="U81" s="491"/>
      <c r="V81" s="491"/>
      <c r="W81" s="491"/>
      <c r="X81" s="491"/>
      <c r="Y81" s="491"/>
      <c r="Z81" s="491"/>
      <c r="AA81" s="491"/>
      <c r="AB81" s="491"/>
      <c r="AC81" s="491"/>
      <c r="AD81" s="491"/>
      <c r="AE81" s="491"/>
      <c r="AF81" s="491"/>
      <c r="AG81" s="491"/>
      <c r="AH81" s="491"/>
      <c r="AI81" s="491"/>
      <c r="AJ81" s="491"/>
      <c r="AK81" s="491"/>
      <c r="AL81" s="491"/>
      <c r="AM81" s="491"/>
      <c r="AN81" s="491"/>
    </row>
    <row r="82" spans="1:40" customFormat="1" x14ac:dyDescent="0.3">
      <c r="A82" s="491"/>
      <c r="B82" s="491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91"/>
      <c r="U82" s="491"/>
      <c r="V82" s="491"/>
      <c r="W82" s="491"/>
      <c r="X82" s="491"/>
      <c r="Y82" s="491"/>
      <c r="Z82" s="491"/>
      <c r="AA82" s="491"/>
      <c r="AB82" s="491"/>
      <c r="AC82" s="491"/>
      <c r="AD82" s="491"/>
      <c r="AE82" s="491"/>
      <c r="AF82" s="491"/>
      <c r="AG82" s="491"/>
      <c r="AH82" s="491"/>
      <c r="AI82" s="491"/>
      <c r="AJ82" s="491"/>
      <c r="AK82" s="491"/>
      <c r="AL82" s="491"/>
      <c r="AM82" s="491"/>
      <c r="AN82" s="491"/>
    </row>
    <row r="83" spans="1:40" customFormat="1" x14ac:dyDescent="0.3">
      <c r="A83" s="491"/>
      <c r="B83" s="491"/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1"/>
      <c r="X83" s="491"/>
      <c r="Y83" s="491"/>
      <c r="Z83" s="491"/>
      <c r="AA83" s="491"/>
      <c r="AB83" s="491"/>
      <c r="AC83" s="491"/>
      <c r="AD83" s="491"/>
      <c r="AE83" s="491"/>
      <c r="AF83" s="491"/>
      <c r="AG83" s="491"/>
      <c r="AH83" s="491"/>
      <c r="AI83" s="491"/>
      <c r="AJ83" s="491"/>
      <c r="AK83" s="491"/>
      <c r="AL83" s="491"/>
      <c r="AM83" s="491"/>
      <c r="AN83" s="491"/>
    </row>
    <row r="84" spans="1:40" customFormat="1" x14ac:dyDescent="0.3">
      <c r="A84" s="491"/>
      <c r="B84" s="491"/>
      <c r="C84" s="491"/>
      <c r="D84" s="491"/>
      <c r="E84" s="491"/>
      <c r="F84" s="491"/>
      <c r="G84" s="491"/>
      <c r="H84" s="491"/>
      <c r="I84" s="491"/>
      <c r="J84" s="491"/>
      <c r="K84" s="491"/>
      <c r="L84" s="491"/>
      <c r="M84" s="491"/>
      <c r="N84" s="491"/>
      <c r="O84" s="491"/>
      <c r="P84" s="491"/>
      <c r="Q84" s="491"/>
      <c r="R84" s="491"/>
      <c r="S84" s="491"/>
      <c r="T84" s="491"/>
      <c r="U84" s="491"/>
      <c r="V84" s="491"/>
      <c r="W84" s="491"/>
      <c r="X84" s="491"/>
      <c r="Y84" s="491"/>
      <c r="Z84" s="491"/>
      <c r="AA84" s="491"/>
      <c r="AB84" s="491"/>
      <c r="AC84" s="491"/>
      <c r="AD84" s="491"/>
      <c r="AE84" s="491"/>
      <c r="AF84" s="491"/>
      <c r="AG84" s="491"/>
      <c r="AH84" s="491"/>
      <c r="AI84" s="491"/>
      <c r="AJ84" s="491"/>
      <c r="AK84" s="491"/>
      <c r="AL84" s="491"/>
      <c r="AM84" s="491"/>
      <c r="AN84" s="491"/>
    </row>
    <row r="85" spans="1:40" customFormat="1" x14ac:dyDescent="0.3">
      <c r="A85" s="491"/>
      <c r="B85" s="491"/>
      <c r="C85" s="49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491"/>
      <c r="V85" s="491"/>
      <c r="W85" s="491"/>
      <c r="X85" s="491"/>
      <c r="Y85" s="491"/>
      <c r="Z85" s="491"/>
      <c r="AA85" s="491"/>
      <c r="AB85" s="491"/>
      <c r="AC85" s="491"/>
      <c r="AD85" s="491"/>
      <c r="AE85" s="491"/>
      <c r="AF85" s="491"/>
      <c r="AG85" s="491"/>
      <c r="AH85" s="491"/>
      <c r="AI85" s="491"/>
      <c r="AJ85" s="491"/>
      <c r="AK85" s="491"/>
      <c r="AL85" s="491"/>
      <c r="AM85" s="491"/>
      <c r="AN85" s="491"/>
    </row>
    <row r="86" spans="1:40" customFormat="1" x14ac:dyDescent="0.3">
      <c r="A86" s="491"/>
      <c r="B86" s="491"/>
      <c r="C86" s="49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491"/>
      <c r="V86" s="491"/>
      <c r="W86" s="491"/>
      <c r="X86" s="491"/>
      <c r="Y86" s="491"/>
      <c r="Z86" s="491"/>
      <c r="AA86" s="491"/>
      <c r="AB86" s="491"/>
      <c r="AC86" s="491"/>
      <c r="AD86" s="491"/>
      <c r="AE86" s="491"/>
      <c r="AF86" s="491"/>
      <c r="AG86" s="491"/>
      <c r="AH86" s="491"/>
      <c r="AI86" s="491"/>
      <c r="AJ86" s="491"/>
      <c r="AK86" s="491"/>
      <c r="AL86" s="491"/>
      <c r="AM86" s="491"/>
      <c r="AN86" s="491"/>
    </row>
    <row r="87" spans="1:40" customFormat="1" x14ac:dyDescent="0.3">
      <c r="A87" s="491"/>
      <c r="B87" s="491"/>
      <c r="C87" s="49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491"/>
      <c r="V87" s="491"/>
      <c r="W87" s="491"/>
      <c r="X87" s="491"/>
      <c r="Y87" s="491"/>
      <c r="Z87" s="491"/>
      <c r="AA87" s="491"/>
      <c r="AB87" s="491"/>
      <c r="AC87" s="491"/>
      <c r="AD87" s="491"/>
      <c r="AE87" s="491"/>
      <c r="AF87" s="491"/>
      <c r="AG87" s="491"/>
      <c r="AH87" s="491"/>
      <c r="AI87" s="491"/>
      <c r="AJ87" s="491"/>
      <c r="AK87" s="491"/>
      <c r="AL87" s="491"/>
      <c r="AM87" s="491"/>
      <c r="AN87" s="491"/>
    </row>
    <row r="88" spans="1:40" customFormat="1" x14ac:dyDescent="0.3">
      <c r="A88" s="491"/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  <c r="Z88" s="491"/>
      <c r="AA88" s="491"/>
      <c r="AB88" s="491"/>
      <c r="AC88" s="491"/>
      <c r="AD88" s="491"/>
      <c r="AE88" s="491"/>
      <c r="AF88" s="491"/>
      <c r="AG88" s="491"/>
      <c r="AH88" s="491"/>
      <c r="AI88" s="491"/>
      <c r="AJ88" s="491"/>
      <c r="AK88" s="491"/>
      <c r="AL88" s="491"/>
      <c r="AM88" s="491"/>
      <c r="AN88" s="491"/>
    </row>
    <row r="89" spans="1:40" customFormat="1" x14ac:dyDescent="0.3">
      <c r="A89" s="491"/>
      <c r="B89" s="491"/>
      <c r="C89" s="49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491"/>
      <c r="V89" s="491"/>
      <c r="W89" s="491"/>
      <c r="X89" s="491"/>
      <c r="Y89" s="491"/>
      <c r="Z89" s="491"/>
      <c r="AA89" s="491"/>
      <c r="AB89" s="491"/>
      <c r="AC89" s="491"/>
      <c r="AD89" s="491"/>
      <c r="AE89" s="491"/>
      <c r="AF89" s="491"/>
      <c r="AG89" s="491"/>
      <c r="AH89" s="491"/>
      <c r="AI89" s="491"/>
      <c r="AJ89" s="491"/>
      <c r="AK89" s="491"/>
      <c r="AL89" s="491"/>
      <c r="AM89" s="491"/>
      <c r="AN89" s="491"/>
    </row>
    <row r="90" spans="1:40" customFormat="1" x14ac:dyDescent="0.3">
      <c r="A90" s="491"/>
      <c r="B90" s="491"/>
      <c r="C90" s="49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491"/>
      <c r="V90" s="491"/>
      <c r="W90" s="491"/>
      <c r="X90" s="491"/>
      <c r="Y90" s="491"/>
      <c r="Z90" s="491"/>
      <c r="AA90" s="491"/>
      <c r="AB90" s="491"/>
      <c r="AC90" s="491"/>
      <c r="AD90" s="491"/>
      <c r="AE90" s="491"/>
      <c r="AF90" s="491"/>
      <c r="AG90" s="491"/>
      <c r="AH90" s="491"/>
      <c r="AI90" s="491"/>
      <c r="AJ90" s="491"/>
      <c r="AK90" s="491"/>
      <c r="AL90" s="491"/>
      <c r="AM90" s="491"/>
      <c r="AN90" s="491"/>
    </row>
    <row r="91" spans="1:40" customFormat="1" x14ac:dyDescent="0.3">
      <c r="A91" s="491"/>
      <c r="B91" s="491"/>
      <c r="C91" s="49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491"/>
      <c r="V91" s="491"/>
      <c r="W91" s="491"/>
      <c r="X91" s="491"/>
      <c r="Y91" s="491"/>
      <c r="Z91" s="491"/>
      <c r="AA91" s="491"/>
      <c r="AB91" s="491"/>
      <c r="AC91" s="491"/>
      <c r="AD91" s="491"/>
      <c r="AE91" s="491"/>
      <c r="AF91" s="491"/>
      <c r="AG91" s="491"/>
      <c r="AH91" s="491"/>
      <c r="AI91" s="491"/>
      <c r="AJ91" s="491"/>
      <c r="AK91" s="491"/>
      <c r="AL91" s="491"/>
      <c r="AM91" s="491"/>
      <c r="AN91" s="491"/>
    </row>
    <row r="92" spans="1:40" customFormat="1" x14ac:dyDescent="0.3">
      <c r="A92" s="491"/>
      <c r="B92" s="491"/>
      <c r="C92" s="491"/>
      <c r="D92" s="491"/>
      <c r="E92" s="491"/>
      <c r="F92" s="491"/>
      <c r="G92" s="491"/>
      <c r="H92" s="491"/>
      <c r="I92" s="491"/>
      <c r="J92" s="491"/>
      <c r="K92" s="491"/>
      <c r="L92" s="491"/>
      <c r="M92" s="491"/>
      <c r="N92" s="491"/>
      <c r="O92" s="491"/>
      <c r="P92" s="491"/>
      <c r="Q92" s="491"/>
      <c r="R92" s="491"/>
      <c r="S92" s="491"/>
      <c r="T92" s="491"/>
      <c r="U92" s="491"/>
      <c r="V92" s="491"/>
      <c r="W92" s="491"/>
      <c r="X92" s="491"/>
      <c r="Y92" s="491"/>
      <c r="Z92" s="491"/>
      <c r="AA92" s="491"/>
      <c r="AB92" s="491"/>
      <c r="AC92" s="491"/>
      <c r="AD92" s="491"/>
      <c r="AE92" s="491"/>
      <c r="AF92" s="491"/>
      <c r="AG92" s="491"/>
      <c r="AH92" s="491"/>
      <c r="AI92" s="491"/>
      <c r="AJ92" s="491"/>
      <c r="AK92" s="491"/>
      <c r="AL92" s="491"/>
      <c r="AM92" s="491"/>
      <c r="AN92" s="491"/>
    </row>
    <row r="93" spans="1:40" customFormat="1" x14ac:dyDescent="0.3">
      <c r="A93" s="491"/>
      <c r="B93" s="491"/>
      <c r="C93" s="491"/>
      <c r="D93" s="491"/>
      <c r="E93" s="491"/>
      <c r="F93" s="491"/>
      <c r="G93" s="491"/>
      <c r="H93" s="491"/>
      <c r="I93" s="491"/>
      <c r="J93" s="491"/>
      <c r="K93" s="491"/>
      <c r="L93" s="491"/>
      <c r="M93" s="491"/>
      <c r="N93" s="491"/>
      <c r="O93" s="491"/>
      <c r="P93" s="491"/>
      <c r="Q93" s="491"/>
      <c r="R93" s="491"/>
      <c r="S93" s="491"/>
      <c r="T93" s="491"/>
      <c r="U93" s="491"/>
      <c r="V93" s="491"/>
      <c r="W93" s="491"/>
      <c r="X93" s="491"/>
      <c r="Y93" s="491"/>
      <c r="Z93" s="491"/>
      <c r="AA93" s="491"/>
      <c r="AB93" s="491"/>
      <c r="AC93" s="491"/>
      <c r="AD93" s="491"/>
      <c r="AE93" s="491"/>
      <c r="AF93" s="491"/>
      <c r="AG93" s="491"/>
      <c r="AH93" s="491"/>
      <c r="AI93" s="491"/>
      <c r="AJ93" s="491"/>
      <c r="AK93" s="491"/>
      <c r="AL93" s="491"/>
      <c r="AM93" s="491"/>
      <c r="AN93" s="491"/>
    </row>
    <row r="94" spans="1:40" customFormat="1" x14ac:dyDescent="0.3">
      <c r="A94" s="491"/>
      <c r="B94" s="491"/>
      <c r="C94" s="491"/>
      <c r="D94" s="491"/>
      <c r="E94" s="491"/>
      <c r="F94" s="491"/>
      <c r="G94" s="491"/>
      <c r="H94" s="491"/>
      <c r="I94" s="491"/>
      <c r="J94" s="491"/>
      <c r="K94" s="491"/>
      <c r="L94" s="491"/>
      <c r="M94" s="491"/>
      <c r="N94" s="491"/>
      <c r="O94" s="491"/>
      <c r="P94" s="491"/>
      <c r="Q94" s="491"/>
      <c r="R94" s="491"/>
      <c r="S94" s="491"/>
      <c r="T94" s="491"/>
      <c r="U94" s="491"/>
      <c r="V94" s="491"/>
      <c r="W94" s="491"/>
      <c r="X94" s="491"/>
      <c r="Y94" s="491"/>
      <c r="Z94" s="491"/>
      <c r="AA94" s="491"/>
      <c r="AB94" s="491"/>
      <c r="AC94" s="491"/>
      <c r="AD94" s="491"/>
      <c r="AE94" s="491"/>
      <c r="AF94" s="491"/>
      <c r="AG94" s="491"/>
      <c r="AH94" s="491"/>
      <c r="AI94" s="491"/>
      <c r="AJ94" s="491"/>
      <c r="AK94" s="491"/>
      <c r="AL94" s="491"/>
      <c r="AM94" s="491"/>
      <c r="AN94" s="491"/>
    </row>
    <row r="95" spans="1:40" customFormat="1" x14ac:dyDescent="0.3">
      <c r="A95" s="491"/>
      <c r="B95" s="491"/>
      <c r="C95" s="491"/>
      <c r="D95" s="491"/>
      <c r="E95" s="491"/>
      <c r="F95" s="491"/>
      <c r="G95" s="491"/>
      <c r="H95" s="491"/>
      <c r="I95" s="491"/>
      <c r="J95" s="491"/>
      <c r="K95" s="491"/>
      <c r="L95" s="491"/>
      <c r="M95" s="491"/>
      <c r="N95" s="491"/>
      <c r="O95" s="491"/>
      <c r="P95" s="491"/>
      <c r="Q95" s="491"/>
      <c r="R95" s="491"/>
      <c r="S95" s="491"/>
      <c r="T95" s="491"/>
      <c r="U95" s="491"/>
      <c r="V95" s="491"/>
      <c r="W95" s="491"/>
      <c r="X95" s="491"/>
      <c r="Y95" s="491"/>
      <c r="Z95" s="491"/>
      <c r="AA95" s="491"/>
      <c r="AB95" s="491"/>
      <c r="AC95" s="491"/>
      <c r="AD95" s="491"/>
      <c r="AE95" s="491"/>
      <c r="AF95" s="491"/>
      <c r="AG95" s="491"/>
      <c r="AH95" s="491"/>
      <c r="AI95" s="491"/>
      <c r="AJ95" s="491"/>
      <c r="AK95" s="491"/>
      <c r="AL95" s="491"/>
      <c r="AM95" s="491"/>
      <c r="AN95" s="491"/>
    </row>
    <row r="96" spans="1:40" customFormat="1" x14ac:dyDescent="0.3">
      <c r="A96" s="491"/>
      <c r="B96" s="491"/>
      <c r="C96" s="491"/>
      <c r="D96" s="491"/>
      <c r="E96" s="491"/>
      <c r="F96" s="491"/>
      <c r="G96" s="491"/>
      <c r="H96" s="491"/>
      <c r="I96" s="491"/>
      <c r="J96" s="491"/>
      <c r="K96" s="491"/>
      <c r="L96" s="491"/>
      <c r="M96" s="491"/>
      <c r="N96" s="491"/>
      <c r="O96" s="491"/>
      <c r="P96" s="491"/>
      <c r="Q96" s="491"/>
      <c r="R96" s="491"/>
      <c r="S96" s="491"/>
      <c r="T96" s="491"/>
      <c r="U96" s="491"/>
      <c r="V96" s="491"/>
      <c r="W96" s="491"/>
      <c r="X96" s="491"/>
      <c r="Y96" s="491"/>
      <c r="Z96" s="491"/>
      <c r="AA96" s="491"/>
      <c r="AB96" s="491"/>
      <c r="AC96" s="491"/>
      <c r="AD96" s="491"/>
      <c r="AE96" s="491"/>
      <c r="AF96" s="491"/>
      <c r="AG96" s="491"/>
      <c r="AH96" s="491"/>
      <c r="AI96" s="491"/>
      <c r="AJ96" s="491"/>
      <c r="AK96" s="491"/>
      <c r="AL96" s="491"/>
      <c r="AM96" s="491"/>
      <c r="AN96" s="491"/>
    </row>
    <row r="97" spans="1:40" customFormat="1" x14ac:dyDescent="0.3">
      <c r="A97" s="491"/>
      <c r="B97" s="491"/>
      <c r="C97" s="491"/>
      <c r="D97" s="491"/>
      <c r="E97" s="491"/>
      <c r="F97" s="491"/>
      <c r="G97" s="491"/>
      <c r="H97" s="491"/>
      <c r="I97" s="491"/>
      <c r="J97" s="491"/>
      <c r="K97" s="491"/>
      <c r="L97" s="491"/>
      <c r="M97" s="491"/>
      <c r="N97" s="491"/>
      <c r="O97" s="491"/>
      <c r="P97" s="491"/>
      <c r="Q97" s="491"/>
      <c r="R97" s="491"/>
      <c r="S97" s="491"/>
      <c r="T97" s="491"/>
      <c r="U97" s="491"/>
      <c r="V97" s="491"/>
      <c r="W97" s="491"/>
      <c r="X97" s="491"/>
      <c r="Y97" s="491"/>
      <c r="Z97" s="491"/>
      <c r="AA97" s="491"/>
      <c r="AB97" s="491"/>
      <c r="AC97" s="491"/>
      <c r="AD97" s="491"/>
      <c r="AE97" s="491"/>
      <c r="AF97" s="491"/>
      <c r="AG97" s="491"/>
      <c r="AH97" s="491"/>
      <c r="AI97" s="491"/>
      <c r="AJ97" s="491"/>
      <c r="AK97" s="491"/>
      <c r="AL97" s="491"/>
      <c r="AM97" s="491"/>
      <c r="AN97" s="491"/>
    </row>
    <row r="98" spans="1:40" customFormat="1" x14ac:dyDescent="0.3">
      <c r="A98" s="491"/>
      <c r="B98" s="491"/>
      <c r="C98" s="491"/>
      <c r="D98" s="491"/>
      <c r="E98" s="491"/>
      <c r="F98" s="491"/>
      <c r="G98" s="491"/>
      <c r="H98" s="491"/>
      <c r="I98" s="491"/>
      <c r="J98" s="491"/>
      <c r="K98" s="491"/>
      <c r="L98" s="491"/>
      <c r="M98" s="491"/>
      <c r="N98" s="491"/>
      <c r="O98" s="491"/>
      <c r="P98" s="491"/>
      <c r="Q98" s="491"/>
      <c r="R98" s="491"/>
      <c r="S98" s="491"/>
      <c r="T98" s="491"/>
      <c r="U98" s="491"/>
      <c r="V98" s="491"/>
      <c r="W98" s="491"/>
      <c r="X98" s="491"/>
      <c r="Y98" s="491"/>
      <c r="Z98" s="491"/>
      <c r="AA98" s="491"/>
      <c r="AB98" s="491"/>
      <c r="AC98" s="491"/>
      <c r="AD98" s="491"/>
      <c r="AE98" s="491"/>
      <c r="AF98" s="491"/>
      <c r="AG98" s="491"/>
      <c r="AH98" s="491"/>
      <c r="AI98" s="491"/>
      <c r="AJ98" s="491"/>
      <c r="AK98" s="491"/>
      <c r="AL98" s="491"/>
      <c r="AM98" s="491"/>
      <c r="AN98" s="491"/>
    </row>
    <row r="99" spans="1:40" customFormat="1" x14ac:dyDescent="0.3">
      <c r="A99" s="491"/>
      <c r="B99" s="491"/>
      <c r="C99" s="491"/>
      <c r="D99" s="491"/>
      <c r="E99" s="491"/>
      <c r="F99" s="491"/>
      <c r="G99" s="491"/>
      <c r="H99" s="491"/>
      <c r="I99" s="491"/>
      <c r="J99" s="491"/>
      <c r="K99" s="491"/>
      <c r="L99" s="491"/>
      <c r="M99" s="491"/>
      <c r="N99" s="491"/>
      <c r="O99" s="491"/>
      <c r="P99" s="491"/>
      <c r="Q99" s="491"/>
      <c r="R99" s="491"/>
      <c r="S99" s="491"/>
      <c r="T99" s="491"/>
      <c r="U99" s="491"/>
      <c r="V99" s="491"/>
      <c r="W99" s="491"/>
      <c r="X99" s="491"/>
      <c r="Y99" s="491"/>
      <c r="Z99" s="491"/>
      <c r="AA99" s="491"/>
      <c r="AB99" s="491"/>
      <c r="AC99" s="491"/>
      <c r="AD99" s="491"/>
      <c r="AE99" s="491"/>
      <c r="AF99" s="491"/>
      <c r="AG99" s="491"/>
      <c r="AH99" s="491"/>
      <c r="AI99" s="491"/>
      <c r="AJ99" s="491"/>
      <c r="AK99" s="491"/>
      <c r="AL99" s="491"/>
      <c r="AM99" s="491"/>
      <c r="AN99" s="491"/>
    </row>
    <row r="100" spans="1:40" customFormat="1" x14ac:dyDescent="0.3">
      <c r="A100" s="491"/>
      <c r="B100" s="491"/>
      <c r="C100" s="491"/>
      <c r="D100" s="491"/>
      <c r="E100" s="491"/>
      <c r="F100" s="491"/>
      <c r="G100" s="491"/>
      <c r="H100" s="491"/>
      <c r="I100" s="491"/>
      <c r="J100" s="491"/>
      <c r="K100" s="491"/>
      <c r="L100" s="491"/>
      <c r="M100" s="491"/>
      <c r="N100" s="491"/>
      <c r="O100" s="491"/>
      <c r="P100" s="491"/>
      <c r="Q100" s="491"/>
      <c r="R100" s="491"/>
      <c r="S100" s="491"/>
      <c r="T100" s="491"/>
      <c r="U100" s="491"/>
      <c r="V100" s="491"/>
      <c r="W100" s="491"/>
      <c r="X100" s="491"/>
      <c r="Y100" s="491"/>
      <c r="Z100" s="491"/>
      <c r="AA100" s="491"/>
      <c r="AB100" s="491"/>
      <c r="AC100" s="491"/>
      <c r="AD100" s="491"/>
      <c r="AE100" s="491"/>
      <c r="AF100" s="491"/>
      <c r="AG100" s="491"/>
      <c r="AH100" s="491"/>
      <c r="AI100" s="491"/>
      <c r="AJ100" s="491"/>
      <c r="AK100" s="491"/>
      <c r="AL100" s="491"/>
      <c r="AM100" s="491"/>
      <c r="AN100" s="491"/>
    </row>
    <row r="101" spans="1:40" customFormat="1" x14ac:dyDescent="0.3">
      <c r="A101" s="491"/>
      <c r="B101" s="491"/>
      <c r="C101" s="491"/>
      <c r="D101" s="491"/>
      <c r="E101" s="491"/>
      <c r="F101" s="491"/>
      <c r="G101" s="491"/>
      <c r="H101" s="491"/>
      <c r="I101" s="491"/>
      <c r="J101" s="491"/>
      <c r="K101" s="491"/>
      <c r="L101" s="491"/>
      <c r="M101" s="491"/>
      <c r="N101" s="491"/>
      <c r="O101" s="491"/>
      <c r="P101" s="491"/>
      <c r="Q101" s="491"/>
      <c r="R101" s="491"/>
      <c r="S101" s="491"/>
      <c r="T101" s="491"/>
      <c r="U101" s="491"/>
      <c r="V101" s="491"/>
      <c r="W101" s="491"/>
      <c r="X101" s="491"/>
      <c r="Y101" s="491"/>
      <c r="Z101" s="491"/>
      <c r="AA101" s="491"/>
      <c r="AB101" s="491"/>
      <c r="AC101" s="491"/>
      <c r="AD101" s="491"/>
      <c r="AE101" s="491"/>
      <c r="AF101" s="491"/>
      <c r="AG101" s="491"/>
      <c r="AH101" s="491"/>
      <c r="AI101" s="491"/>
      <c r="AJ101" s="491"/>
      <c r="AK101" s="491"/>
      <c r="AL101" s="491"/>
      <c r="AM101" s="491"/>
      <c r="AN101" s="491"/>
    </row>
    <row r="102" spans="1:40" customFormat="1" x14ac:dyDescent="0.3">
      <c r="A102" s="491"/>
      <c r="B102" s="491"/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  <c r="M102" s="491"/>
      <c r="N102" s="491"/>
      <c r="O102" s="491"/>
      <c r="P102" s="491"/>
      <c r="Q102" s="491"/>
      <c r="R102" s="491"/>
      <c r="S102" s="491"/>
      <c r="T102" s="491"/>
      <c r="U102" s="491"/>
      <c r="V102" s="491"/>
      <c r="W102" s="491"/>
      <c r="X102" s="491"/>
      <c r="Y102" s="491"/>
      <c r="Z102" s="491"/>
      <c r="AA102" s="491"/>
      <c r="AB102" s="491"/>
      <c r="AC102" s="491"/>
      <c r="AD102" s="491"/>
      <c r="AE102" s="491"/>
      <c r="AF102" s="491"/>
      <c r="AG102" s="491"/>
      <c r="AH102" s="491"/>
      <c r="AI102" s="491"/>
      <c r="AJ102" s="491"/>
      <c r="AK102" s="491"/>
      <c r="AL102" s="491"/>
      <c r="AM102" s="491"/>
      <c r="AN102" s="491"/>
    </row>
    <row r="103" spans="1:40" customFormat="1" x14ac:dyDescent="0.3">
      <c r="A103" s="491"/>
      <c r="B103" s="491"/>
      <c r="C103" s="491"/>
      <c r="D103" s="491"/>
      <c r="E103" s="491"/>
      <c r="F103" s="491"/>
      <c r="G103" s="491"/>
      <c r="H103" s="491"/>
      <c r="I103" s="491"/>
      <c r="J103" s="491"/>
      <c r="K103" s="491"/>
      <c r="L103" s="491"/>
      <c r="M103" s="491"/>
      <c r="N103" s="491"/>
      <c r="O103" s="491"/>
      <c r="P103" s="491"/>
      <c r="Q103" s="491"/>
      <c r="R103" s="491"/>
      <c r="S103" s="491"/>
      <c r="T103" s="491"/>
      <c r="U103" s="491"/>
      <c r="V103" s="491"/>
      <c r="W103" s="491"/>
      <c r="X103" s="491"/>
      <c r="Y103" s="491"/>
      <c r="Z103" s="491"/>
      <c r="AA103" s="491"/>
      <c r="AB103" s="491"/>
      <c r="AC103" s="491"/>
      <c r="AD103" s="491"/>
      <c r="AE103" s="491"/>
      <c r="AF103" s="491"/>
      <c r="AG103" s="491"/>
      <c r="AH103" s="491"/>
      <c r="AI103" s="491"/>
      <c r="AJ103" s="491"/>
      <c r="AK103" s="491"/>
      <c r="AL103" s="491"/>
      <c r="AM103" s="491"/>
      <c r="AN103" s="491"/>
    </row>
    <row r="104" spans="1:40" customFormat="1" x14ac:dyDescent="0.3">
      <c r="A104" s="491"/>
      <c r="B104" s="491"/>
      <c r="C104" s="491"/>
      <c r="D104" s="491"/>
      <c r="E104" s="491"/>
      <c r="F104" s="491"/>
      <c r="G104" s="491"/>
      <c r="H104" s="491"/>
      <c r="I104" s="491"/>
      <c r="J104" s="491"/>
      <c r="K104" s="491"/>
      <c r="L104" s="491"/>
      <c r="M104" s="491"/>
      <c r="N104" s="491"/>
      <c r="O104" s="491"/>
      <c r="P104" s="491"/>
      <c r="Q104" s="491"/>
      <c r="R104" s="491"/>
      <c r="S104" s="491"/>
      <c r="T104" s="491"/>
      <c r="U104" s="491"/>
      <c r="V104" s="491"/>
      <c r="W104" s="491"/>
      <c r="X104" s="491"/>
      <c r="Y104" s="491"/>
      <c r="Z104" s="491"/>
      <c r="AA104" s="491"/>
      <c r="AB104" s="491"/>
      <c r="AC104" s="491"/>
      <c r="AD104" s="491"/>
      <c r="AE104" s="491"/>
      <c r="AF104" s="491"/>
      <c r="AG104" s="491"/>
      <c r="AH104" s="491"/>
      <c r="AI104" s="491"/>
      <c r="AJ104" s="491"/>
      <c r="AK104" s="491"/>
      <c r="AL104" s="491"/>
      <c r="AM104" s="491"/>
      <c r="AN104" s="491"/>
    </row>
    <row r="105" spans="1:40" customFormat="1" x14ac:dyDescent="0.3">
      <c r="A105" s="491"/>
      <c r="B105" s="491"/>
      <c r="C105" s="491"/>
      <c r="D105" s="491"/>
      <c r="E105" s="491"/>
      <c r="F105" s="491"/>
      <c r="G105" s="491"/>
      <c r="H105" s="491"/>
      <c r="I105" s="491"/>
      <c r="J105" s="491"/>
      <c r="K105" s="491"/>
      <c r="L105" s="491"/>
      <c r="M105" s="491"/>
      <c r="N105" s="491"/>
      <c r="O105" s="491"/>
      <c r="P105" s="491"/>
      <c r="Q105" s="491"/>
      <c r="R105" s="491"/>
      <c r="S105" s="491"/>
      <c r="T105" s="491"/>
      <c r="U105" s="491"/>
      <c r="V105" s="491"/>
      <c r="W105" s="491"/>
      <c r="X105" s="491"/>
      <c r="Y105" s="491"/>
      <c r="Z105" s="491"/>
      <c r="AA105" s="491"/>
      <c r="AB105" s="491"/>
      <c r="AC105" s="491"/>
      <c r="AD105" s="491"/>
      <c r="AE105" s="491"/>
      <c r="AF105" s="491"/>
      <c r="AG105" s="491"/>
      <c r="AH105" s="491"/>
      <c r="AI105" s="491"/>
      <c r="AJ105" s="491"/>
      <c r="AK105" s="491"/>
      <c r="AL105" s="491"/>
      <c r="AM105" s="491"/>
      <c r="AN105" s="491"/>
    </row>
    <row r="106" spans="1:40" customFormat="1" x14ac:dyDescent="0.3">
      <c r="A106" s="491"/>
      <c r="B106" s="491"/>
      <c r="C106" s="491"/>
      <c r="D106" s="491"/>
      <c r="E106" s="491"/>
      <c r="F106" s="491"/>
      <c r="G106" s="491"/>
      <c r="H106" s="491"/>
      <c r="I106" s="491"/>
      <c r="J106" s="491"/>
      <c r="K106" s="491"/>
      <c r="L106" s="491"/>
      <c r="M106" s="491"/>
      <c r="N106" s="491"/>
      <c r="O106" s="491"/>
      <c r="P106" s="491"/>
      <c r="Q106" s="491"/>
      <c r="R106" s="491"/>
      <c r="S106" s="491"/>
      <c r="T106" s="491"/>
      <c r="U106" s="491"/>
      <c r="V106" s="491"/>
      <c r="W106" s="491"/>
      <c r="X106" s="491"/>
      <c r="Y106" s="491"/>
      <c r="Z106" s="491"/>
      <c r="AA106" s="491"/>
      <c r="AB106" s="491"/>
      <c r="AC106" s="491"/>
      <c r="AD106" s="491"/>
      <c r="AE106" s="491"/>
      <c r="AF106" s="491"/>
      <c r="AG106" s="491"/>
      <c r="AH106" s="491"/>
      <c r="AI106" s="491"/>
      <c r="AJ106" s="491"/>
      <c r="AK106" s="491"/>
      <c r="AL106" s="491"/>
      <c r="AM106" s="491"/>
      <c r="AN106" s="491"/>
    </row>
    <row r="107" spans="1:40" customFormat="1" x14ac:dyDescent="0.3">
      <c r="A107" s="491"/>
      <c r="B107" s="491"/>
      <c r="C107" s="491"/>
      <c r="D107" s="491"/>
      <c r="E107" s="491"/>
      <c r="F107" s="491"/>
      <c r="G107" s="491"/>
      <c r="H107" s="491"/>
      <c r="I107" s="491"/>
      <c r="J107" s="491"/>
      <c r="K107" s="491"/>
      <c r="L107" s="491"/>
      <c r="M107" s="491"/>
      <c r="N107" s="491"/>
      <c r="O107" s="491"/>
      <c r="P107" s="491"/>
      <c r="Q107" s="491"/>
      <c r="R107" s="491"/>
      <c r="S107" s="491"/>
      <c r="T107" s="491"/>
      <c r="U107" s="491"/>
      <c r="V107" s="491"/>
      <c r="W107" s="491"/>
      <c r="X107" s="491"/>
      <c r="Y107" s="491"/>
      <c r="Z107" s="491"/>
      <c r="AA107" s="491"/>
      <c r="AB107" s="491"/>
      <c r="AC107" s="491"/>
      <c r="AD107" s="491"/>
      <c r="AE107" s="491"/>
      <c r="AF107" s="491"/>
      <c r="AG107" s="491"/>
      <c r="AH107" s="491"/>
      <c r="AI107" s="491"/>
      <c r="AJ107" s="491"/>
      <c r="AK107" s="491"/>
      <c r="AL107" s="491"/>
      <c r="AM107" s="491"/>
      <c r="AN107" s="491"/>
    </row>
    <row r="108" spans="1:40" customFormat="1" x14ac:dyDescent="0.3">
      <c r="A108" s="491"/>
      <c r="B108" s="491"/>
      <c r="C108" s="491"/>
      <c r="D108" s="491"/>
      <c r="E108" s="491"/>
      <c r="F108" s="491"/>
      <c r="G108" s="491"/>
      <c r="H108" s="491"/>
      <c r="I108" s="491"/>
      <c r="J108" s="491"/>
      <c r="K108" s="491"/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1"/>
      <c r="Y108" s="491"/>
      <c r="Z108" s="491"/>
      <c r="AA108" s="491"/>
      <c r="AB108" s="491"/>
      <c r="AC108" s="491"/>
      <c r="AD108" s="491"/>
      <c r="AE108" s="491"/>
      <c r="AF108" s="491"/>
      <c r="AG108" s="491"/>
      <c r="AH108" s="491"/>
      <c r="AI108" s="491"/>
      <c r="AJ108" s="491"/>
      <c r="AK108" s="491"/>
      <c r="AL108" s="491"/>
      <c r="AM108" s="491"/>
      <c r="AN108" s="491"/>
    </row>
    <row r="109" spans="1:40" customFormat="1" x14ac:dyDescent="0.3"/>
    <row r="110" spans="1:40" customFormat="1" x14ac:dyDescent="0.3"/>
    <row r="111" spans="1:40" customFormat="1" x14ac:dyDescent="0.3"/>
    <row r="112" spans="1:40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  <row r="2709" customFormat="1" x14ac:dyDescent="0.3"/>
    <row r="2710" customFormat="1" x14ac:dyDescent="0.3"/>
    <row r="2711" customFormat="1" x14ac:dyDescent="0.3"/>
    <row r="2712" customFormat="1" x14ac:dyDescent="0.3"/>
    <row r="2713" customFormat="1" x14ac:dyDescent="0.3"/>
    <row r="2714" customFormat="1" x14ac:dyDescent="0.3"/>
    <row r="2715" customFormat="1" x14ac:dyDescent="0.3"/>
    <row r="2716" customFormat="1" x14ac:dyDescent="0.3"/>
    <row r="2717" customFormat="1" x14ac:dyDescent="0.3"/>
    <row r="2718" customFormat="1" x14ac:dyDescent="0.3"/>
    <row r="2719" customFormat="1" x14ac:dyDescent="0.3"/>
    <row r="2720" customFormat="1" x14ac:dyDescent="0.3"/>
    <row r="2721" customFormat="1" x14ac:dyDescent="0.3"/>
    <row r="2722" customFormat="1" x14ac:dyDescent="0.3"/>
    <row r="2723" customFormat="1" x14ac:dyDescent="0.3"/>
    <row r="2724" customFormat="1" x14ac:dyDescent="0.3"/>
    <row r="2725" customFormat="1" x14ac:dyDescent="0.3"/>
    <row r="2726" customFormat="1" x14ac:dyDescent="0.3"/>
    <row r="2727" customFormat="1" x14ac:dyDescent="0.3"/>
    <row r="2728" customFormat="1" x14ac:dyDescent="0.3"/>
    <row r="2729" customFormat="1" x14ac:dyDescent="0.3"/>
    <row r="2730" customFormat="1" x14ac:dyDescent="0.3"/>
    <row r="2731" customFormat="1" x14ac:dyDescent="0.3"/>
    <row r="2732" customFormat="1" x14ac:dyDescent="0.3"/>
    <row r="2733" customFormat="1" x14ac:dyDescent="0.3"/>
    <row r="2734" customFormat="1" x14ac:dyDescent="0.3"/>
    <row r="2735" customFormat="1" x14ac:dyDescent="0.3"/>
    <row r="2736" customFormat="1" x14ac:dyDescent="0.3"/>
    <row r="2737" customFormat="1" x14ac:dyDescent="0.3"/>
    <row r="2738" customFormat="1" x14ac:dyDescent="0.3"/>
    <row r="2739" customFormat="1" x14ac:dyDescent="0.3"/>
    <row r="2740" customFormat="1" x14ac:dyDescent="0.3"/>
    <row r="2741" customFormat="1" x14ac:dyDescent="0.3"/>
    <row r="2742" customFormat="1" x14ac:dyDescent="0.3"/>
    <row r="2743" customFormat="1" x14ac:dyDescent="0.3"/>
    <row r="2744" customFormat="1" x14ac:dyDescent="0.3"/>
    <row r="2745" customFormat="1" x14ac:dyDescent="0.3"/>
    <row r="2746" customFormat="1" x14ac:dyDescent="0.3"/>
    <row r="2747" customFormat="1" x14ac:dyDescent="0.3"/>
    <row r="2748" customFormat="1" x14ac:dyDescent="0.3"/>
    <row r="2749" customFormat="1" x14ac:dyDescent="0.3"/>
    <row r="2750" customFormat="1" x14ac:dyDescent="0.3"/>
    <row r="2751" customFormat="1" x14ac:dyDescent="0.3"/>
    <row r="2752" customFormat="1" x14ac:dyDescent="0.3"/>
    <row r="2753" customFormat="1" x14ac:dyDescent="0.3"/>
    <row r="2754" customFormat="1" x14ac:dyDescent="0.3"/>
    <row r="2755" customFormat="1" x14ac:dyDescent="0.3"/>
    <row r="2756" customFormat="1" x14ac:dyDescent="0.3"/>
    <row r="2757" customFormat="1" x14ac:dyDescent="0.3"/>
    <row r="2758" customFormat="1" x14ac:dyDescent="0.3"/>
    <row r="2759" customFormat="1" x14ac:dyDescent="0.3"/>
    <row r="2760" customFormat="1" x14ac:dyDescent="0.3"/>
    <row r="2761" customFormat="1" x14ac:dyDescent="0.3"/>
    <row r="2762" customFormat="1" x14ac:dyDescent="0.3"/>
    <row r="2763" customFormat="1" x14ac:dyDescent="0.3"/>
    <row r="2764" customFormat="1" x14ac:dyDescent="0.3"/>
    <row r="2765" customFormat="1" x14ac:dyDescent="0.3"/>
    <row r="2766" customFormat="1" x14ac:dyDescent="0.3"/>
    <row r="2767" customFormat="1" x14ac:dyDescent="0.3"/>
    <row r="2768" customFormat="1" x14ac:dyDescent="0.3"/>
    <row r="2769" customFormat="1" x14ac:dyDescent="0.3"/>
    <row r="2770" customFormat="1" x14ac:dyDescent="0.3"/>
    <row r="2771" customFormat="1" x14ac:dyDescent="0.3"/>
    <row r="2772" customFormat="1" x14ac:dyDescent="0.3"/>
    <row r="2773" customFormat="1" x14ac:dyDescent="0.3"/>
    <row r="2774" customFormat="1" x14ac:dyDescent="0.3"/>
    <row r="2775" customFormat="1" x14ac:dyDescent="0.3"/>
    <row r="2776" customFormat="1" x14ac:dyDescent="0.3"/>
    <row r="2777" customFormat="1" x14ac:dyDescent="0.3"/>
    <row r="2778" customFormat="1" x14ac:dyDescent="0.3"/>
    <row r="2779" customFormat="1" x14ac:dyDescent="0.3"/>
    <row r="2780" customFormat="1" x14ac:dyDescent="0.3"/>
    <row r="2781" customFormat="1" x14ac:dyDescent="0.3"/>
    <row r="2782" customFormat="1" x14ac:dyDescent="0.3"/>
    <row r="2783" customFormat="1" x14ac:dyDescent="0.3"/>
    <row r="2784" customFormat="1" x14ac:dyDescent="0.3"/>
    <row r="2785" customFormat="1" x14ac:dyDescent="0.3"/>
    <row r="2786" customFormat="1" x14ac:dyDescent="0.3"/>
    <row r="2787" customFormat="1" x14ac:dyDescent="0.3"/>
    <row r="2788" customFormat="1" x14ac:dyDescent="0.3"/>
    <row r="2789" customFormat="1" x14ac:dyDescent="0.3"/>
    <row r="2790" customFormat="1" x14ac:dyDescent="0.3"/>
    <row r="2791" customFormat="1" x14ac:dyDescent="0.3"/>
    <row r="2792" customFormat="1" x14ac:dyDescent="0.3"/>
    <row r="2793" customFormat="1" x14ac:dyDescent="0.3"/>
    <row r="2794" customFormat="1" x14ac:dyDescent="0.3"/>
    <row r="2795" customFormat="1" x14ac:dyDescent="0.3"/>
    <row r="2796" customFormat="1" x14ac:dyDescent="0.3"/>
    <row r="2797" customFormat="1" x14ac:dyDescent="0.3"/>
    <row r="2798" customFormat="1" x14ac:dyDescent="0.3"/>
    <row r="2799" customFormat="1" x14ac:dyDescent="0.3"/>
    <row r="2800" customFormat="1" x14ac:dyDescent="0.3"/>
    <row r="2801" customFormat="1" x14ac:dyDescent="0.3"/>
    <row r="2802" customFormat="1" x14ac:dyDescent="0.3"/>
    <row r="2803" customFormat="1" x14ac:dyDescent="0.3"/>
    <row r="2804" customFormat="1" x14ac:dyDescent="0.3"/>
    <row r="2805" customFormat="1" x14ac:dyDescent="0.3"/>
    <row r="2806" customFormat="1" x14ac:dyDescent="0.3"/>
    <row r="2807" customFormat="1" x14ac:dyDescent="0.3"/>
    <row r="2808" customFormat="1" x14ac:dyDescent="0.3"/>
    <row r="2809" customFormat="1" x14ac:dyDescent="0.3"/>
    <row r="2810" customFormat="1" x14ac:dyDescent="0.3"/>
    <row r="2811" customFormat="1" x14ac:dyDescent="0.3"/>
    <row r="2812" customFormat="1" x14ac:dyDescent="0.3"/>
    <row r="2813" customFormat="1" x14ac:dyDescent="0.3"/>
    <row r="2814" customFormat="1" x14ac:dyDescent="0.3"/>
    <row r="2815" customFormat="1" x14ac:dyDescent="0.3"/>
    <row r="2816" customFormat="1" x14ac:dyDescent="0.3"/>
    <row r="2817" customFormat="1" x14ac:dyDescent="0.3"/>
    <row r="2818" customFormat="1" x14ac:dyDescent="0.3"/>
    <row r="2819" customFormat="1" x14ac:dyDescent="0.3"/>
    <row r="2820" customFormat="1" x14ac:dyDescent="0.3"/>
    <row r="2821" customFormat="1" x14ac:dyDescent="0.3"/>
    <row r="2822" customFormat="1" x14ac:dyDescent="0.3"/>
    <row r="2823" customFormat="1" x14ac:dyDescent="0.3"/>
    <row r="2824" customFormat="1" x14ac:dyDescent="0.3"/>
    <row r="2825" customFormat="1" x14ac:dyDescent="0.3"/>
    <row r="2826" customFormat="1" x14ac:dyDescent="0.3"/>
    <row r="2827" customFormat="1" x14ac:dyDescent="0.3"/>
    <row r="2828" customFormat="1" x14ac:dyDescent="0.3"/>
    <row r="2829" customFormat="1" x14ac:dyDescent="0.3"/>
    <row r="2830" customFormat="1" x14ac:dyDescent="0.3"/>
    <row r="2831" customFormat="1" x14ac:dyDescent="0.3"/>
    <row r="2832" customFormat="1" x14ac:dyDescent="0.3"/>
    <row r="2833" customFormat="1" x14ac:dyDescent="0.3"/>
    <row r="2834" customFormat="1" x14ac:dyDescent="0.3"/>
    <row r="2835" customFormat="1" x14ac:dyDescent="0.3"/>
    <row r="2836" customFormat="1" x14ac:dyDescent="0.3"/>
    <row r="2837" customFormat="1" x14ac:dyDescent="0.3"/>
    <row r="2838" customFormat="1" x14ac:dyDescent="0.3"/>
    <row r="2839" customFormat="1" x14ac:dyDescent="0.3"/>
    <row r="2840" customFormat="1" x14ac:dyDescent="0.3"/>
    <row r="2841" customFormat="1" x14ac:dyDescent="0.3"/>
    <row r="2842" customFormat="1" x14ac:dyDescent="0.3"/>
    <row r="2843" customFormat="1" x14ac:dyDescent="0.3"/>
    <row r="2844" customFormat="1" x14ac:dyDescent="0.3"/>
    <row r="2845" customFormat="1" x14ac:dyDescent="0.3"/>
    <row r="2846" customFormat="1" x14ac:dyDescent="0.3"/>
    <row r="2847" customFormat="1" x14ac:dyDescent="0.3"/>
    <row r="2848" customFormat="1" x14ac:dyDescent="0.3"/>
    <row r="2849" customFormat="1" x14ac:dyDescent="0.3"/>
    <row r="2850" customFormat="1" x14ac:dyDescent="0.3"/>
    <row r="2851" customFormat="1" x14ac:dyDescent="0.3"/>
    <row r="2852" customFormat="1" x14ac:dyDescent="0.3"/>
    <row r="2853" customFormat="1" x14ac:dyDescent="0.3"/>
    <row r="2854" customFormat="1" x14ac:dyDescent="0.3"/>
    <row r="2855" customFormat="1" x14ac:dyDescent="0.3"/>
    <row r="2856" customFormat="1" x14ac:dyDescent="0.3"/>
    <row r="2857" customFormat="1" x14ac:dyDescent="0.3"/>
    <row r="2858" customFormat="1" x14ac:dyDescent="0.3"/>
    <row r="2859" customFormat="1" x14ac:dyDescent="0.3"/>
    <row r="2860" customFormat="1" x14ac:dyDescent="0.3"/>
    <row r="2861" customFormat="1" x14ac:dyDescent="0.3"/>
    <row r="2862" customFormat="1" x14ac:dyDescent="0.3"/>
    <row r="2863" customFormat="1" x14ac:dyDescent="0.3"/>
    <row r="2864" customFormat="1" x14ac:dyDescent="0.3"/>
    <row r="2865" customFormat="1" x14ac:dyDescent="0.3"/>
    <row r="2866" customFormat="1" x14ac:dyDescent="0.3"/>
    <row r="2867" customFormat="1" x14ac:dyDescent="0.3"/>
    <row r="2868" customFormat="1" x14ac:dyDescent="0.3"/>
    <row r="2869" customFormat="1" x14ac:dyDescent="0.3"/>
    <row r="2870" customFormat="1" x14ac:dyDescent="0.3"/>
    <row r="2871" customFormat="1" x14ac:dyDescent="0.3"/>
    <row r="2872" customFormat="1" x14ac:dyDescent="0.3"/>
    <row r="2873" customFormat="1" x14ac:dyDescent="0.3"/>
    <row r="2874" customFormat="1" x14ac:dyDescent="0.3"/>
    <row r="2875" customFormat="1" x14ac:dyDescent="0.3"/>
    <row r="2876" customFormat="1" x14ac:dyDescent="0.3"/>
    <row r="2877" customFormat="1" x14ac:dyDescent="0.3"/>
    <row r="2878" customFormat="1" x14ac:dyDescent="0.3"/>
    <row r="2879" customFormat="1" x14ac:dyDescent="0.3"/>
    <row r="2880" customFormat="1" x14ac:dyDescent="0.3"/>
    <row r="2881" customFormat="1" x14ac:dyDescent="0.3"/>
    <row r="2882" customFormat="1" x14ac:dyDescent="0.3"/>
    <row r="2883" customFormat="1" x14ac:dyDescent="0.3"/>
    <row r="2884" customFormat="1" x14ac:dyDescent="0.3"/>
    <row r="2885" customFormat="1" x14ac:dyDescent="0.3"/>
    <row r="2886" customFormat="1" x14ac:dyDescent="0.3"/>
    <row r="2887" customFormat="1" x14ac:dyDescent="0.3"/>
    <row r="2888" customFormat="1" x14ac:dyDescent="0.3"/>
    <row r="2889" customFormat="1" x14ac:dyDescent="0.3"/>
    <row r="2890" customFormat="1" x14ac:dyDescent="0.3"/>
    <row r="2891" customFormat="1" x14ac:dyDescent="0.3"/>
    <row r="2892" customFormat="1" x14ac:dyDescent="0.3"/>
    <row r="2893" customFormat="1" x14ac:dyDescent="0.3"/>
    <row r="2894" customFormat="1" x14ac:dyDescent="0.3"/>
    <row r="2895" customFormat="1" x14ac:dyDescent="0.3"/>
    <row r="2896" customFormat="1" x14ac:dyDescent="0.3"/>
    <row r="2897" customFormat="1" x14ac:dyDescent="0.3"/>
    <row r="2898" customFormat="1" x14ac:dyDescent="0.3"/>
    <row r="2899" customFormat="1" x14ac:dyDescent="0.3"/>
    <row r="2900" customFormat="1" x14ac:dyDescent="0.3"/>
    <row r="2901" customFormat="1" x14ac:dyDescent="0.3"/>
    <row r="2902" customFormat="1" x14ac:dyDescent="0.3"/>
    <row r="2903" customFormat="1" x14ac:dyDescent="0.3"/>
    <row r="2904" customFormat="1" x14ac:dyDescent="0.3"/>
    <row r="2905" customFormat="1" x14ac:dyDescent="0.3"/>
    <row r="2906" customFormat="1" x14ac:dyDescent="0.3"/>
    <row r="2907" customFormat="1" x14ac:dyDescent="0.3"/>
    <row r="2908" customFormat="1" x14ac:dyDescent="0.3"/>
    <row r="2909" customFormat="1" x14ac:dyDescent="0.3"/>
    <row r="2910" customFormat="1" x14ac:dyDescent="0.3"/>
    <row r="2911" customFormat="1" x14ac:dyDescent="0.3"/>
    <row r="2912" customFormat="1" x14ac:dyDescent="0.3"/>
    <row r="2913" customFormat="1" x14ac:dyDescent="0.3"/>
    <row r="2914" customFormat="1" x14ac:dyDescent="0.3"/>
    <row r="2915" customFormat="1" x14ac:dyDescent="0.3"/>
    <row r="2916" customFormat="1" x14ac:dyDescent="0.3"/>
    <row r="2917" customFormat="1" x14ac:dyDescent="0.3"/>
    <row r="2918" customFormat="1" x14ac:dyDescent="0.3"/>
    <row r="2919" customFormat="1" x14ac:dyDescent="0.3"/>
    <row r="2920" customFormat="1" x14ac:dyDescent="0.3"/>
    <row r="2921" customFormat="1" x14ac:dyDescent="0.3"/>
    <row r="2922" customFormat="1" x14ac:dyDescent="0.3"/>
    <row r="2923" customFormat="1" x14ac:dyDescent="0.3"/>
    <row r="2924" customFormat="1" x14ac:dyDescent="0.3"/>
    <row r="2925" customFormat="1" x14ac:dyDescent="0.3"/>
    <row r="2926" customFormat="1" x14ac:dyDescent="0.3"/>
    <row r="2927" customFormat="1" x14ac:dyDescent="0.3"/>
    <row r="2928" customFormat="1" x14ac:dyDescent="0.3"/>
    <row r="2929" customFormat="1" x14ac:dyDescent="0.3"/>
    <row r="2930" customFormat="1" x14ac:dyDescent="0.3"/>
    <row r="2931" customFormat="1" x14ac:dyDescent="0.3"/>
    <row r="2932" customFormat="1" x14ac:dyDescent="0.3"/>
    <row r="2933" customFormat="1" x14ac:dyDescent="0.3"/>
    <row r="2934" customFormat="1" x14ac:dyDescent="0.3"/>
    <row r="2935" customFormat="1" x14ac:dyDescent="0.3"/>
    <row r="2936" customFormat="1" x14ac:dyDescent="0.3"/>
    <row r="2937" customFormat="1" x14ac:dyDescent="0.3"/>
    <row r="2938" customFormat="1" x14ac:dyDescent="0.3"/>
    <row r="2939" customFormat="1" x14ac:dyDescent="0.3"/>
    <row r="2940" customFormat="1" x14ac:dyDescent="0.3"/>
    <row r="2941" customFormat="1" x14ac:dyDescent="0.3"/>
    <row r="2942" customFormat="1" x14ac:dyDescent="0.3"/>
    <row r="2943" customFormat="1" x14ac:dyDescent="0.3"/>
    <row r="2944" customFormat="1" x14ac:dyDescent="0.3"/>
    <row r="2945" customFormat="1" x14ac:dyDescent="0.3"/>
    <row r="2946" customFormat="1" x14ac:dyDescent="0.3"/>
    <row r="2947" customFormat="1" x14ac:dyDescent="0.3"/>
    <row r="2948" customFormat="1" x14ac:dyDescent="0.3"/>
    <row r="2949" customFormat="1" x14ac:dyDescent="0.3"/>
    <row r="2950" customFormat="1" x14ac:dyDescent="0.3"/>
    <row r="2951" customFormat="1" x14ac:dyDescent="0.3"/>
    <row r="2952" customFormat="1" x14ac:dyDescent="0.3"/>
    <row r="2953" customFormat="1" x14ac:dyDescent="0.3"/>
    <row r="2954" customFormat="1" x14ac:dyDescent="0.3"/>
    <row r="2955" customFormat="1" x14ac:dyDescent="0.3"/>
    <row r="2956" customFormat="1" x14ac:dyDescent="0.3"/>
    <row r="2957" customFormat="1" x14ac:dyDescent="0.3"/>
    <row r="2958" customFormat="1" x14ac:dyDescent="0.3"/>
    <row r="2959" customFormat="1" x14ac:dyDescent="0.3"/>
    <row r="2960" customFormat="1" x14ac:dyDescent="0.3"/>
    <row r="2961" customFormat="1" x14ac:dyDescent="0.3"/>
    <row r="2962" customFormat="1" x14ac:dyDescent="0.3"/>
    <row r="2963" customFormat="1" x14ac:dyDescent="0.3"/>
    <row r="2964" customFormat="1" x14ac:dyDescent="0.3"/>
    <row r="2965" customFormat="1" x14ac:dyDescent="0.3"/>
    <row r="2966" customFormat="1" x14ac:dyDescent="0.3"/>
    <row r="2967" customFormat="1" x14ac:dyDescent="0.3"/>
    <row r="2968" customFormat="1" x14ac:dyDescent="0.3"/>
    <row r="2969" customFormat="1" x14ac:dyDescent="0.3"/>
    <row r="2970" customFormat="1" x14ac:dyDescent="0.3"/>
    <row r="2971" customFormat="1" x14ac:dyDescent="0.3"/>
    <row r="2972" customFormat="1" x14ac:dyDescent="0.3"/>
    <row r="2973" customFormat="1" x14ac:dyDescent="0.3"/>
    <row r="2974" customFormat="1" x14ac:dyDescent="0.3"/>
    <row r="2975" customFormat="1" x14ac:dyDescent="0.3"/>
    <row r="2976" customFormat="1" x14ac:dyDescent="0.3"/>
    <row r="2977" customFormat="1" x14ac:dyDescent="0.3"/>
    <row r="2978" customFormat="1" x14ac:dyDescent="0.3"/>
    <row r="2979" customFormat="1" x14ac:dyDescent="0.3"/>
    <row r="2980" customFormat="1" x14ac:dyDescent="0.3"/>
    <row r="2981" customFormat="1" x14ac:dyDescent="0.3"/>
    <row r="2982" customFormat="1" x14ac:dyDescent="0.3"/>
    <row r="2983" customFormat="1" x14ac:dyDescent="0.3"/>
    <row r="2984" customFormat="1" x14ac:dyDescent="0.3"/>
    <row r="2985" customFormat="1" x14ac:dyDescent="0.3"/>
    <row r="2986" customFormat="1" x14ac:dyDescent="0.3"/>
    <row r="2987" customFormat="1" x14ac:dyDescent="0.3"/>
    <row r="2988" customFormat="1" x14ac:dyDescent="0.3"/>
    <row r="2989" customFormat="1" x14ac:dyDescent="0.3"/>
    <row r="2990" customFormat="1" x14ac:dyDescent="0.3"/>
    <row r="2991" customFormat="1" x14ac:dyDescent="0.3"/>
    <row r="2992" customFormat="1" x14ac:dyDescent="0.3"/>
    <row r="2993" customFormat="1" x14ac:dyDescent="0.3"/>
    <row r="2994" customFormat="1" x14ac:dyDescent="0.3"/>
    <row r="2995" customFormat="1" x14ac:dyDescent="0.3"/>
    <row r="2996" customFormat="1" x14ac:dyDescent="0.3"/>
    <row r="2997" customFormat="1" x14ac:dyDescent="0.3"/>
    <row r="2998" customFormat="1" x14ac:dyDescent="0.3"/>
    <row r="2999" customFormat="1" x14ac:dyDescent="0.3"/>
    <row r="3000" customFormat="1" x14ac:dyDescent="0.3"/>
    <row r="3001" customFormat="1" x14ac:dyDescent="0.3"/>
    <row r="3002" customFormat="1" x14ac:dyDescent="0.3"/>
    <row r="3003" customFormat="1" x14ac:dyDescent="0.3"/>
    <row r="3004" customFormat="1" x14ac:dyDescent="0.3"/>
    <row r="3005" customFormat="1" x14ac:dyDescent="0.3"/>
    <row r="3006" customFormat="1" x14ac:dyDescent="0.3"/>
    <row r="3007" customFormat="1" x14ac:dyDescent="0.3"/>
    <row r="3008" customFormat="1" x14ac:dyDescent="0.3"/>
    <row r="3009" customFormat="1" x14ac:dyDescent="0.3"/>
    <row r="3010" customFormat="1" x14ac:dyDescent="0.3"/>
    <row r="3011" customFormat="1" x14ac:dyDescent="0.3"/>
    <row r="3012" customFormat="1" x14ac:dyDescent="0.3"/>
    <row r="3013" customFormat="1" x14ac:dyDescent="0.3"/>
    <row r="3014" customFormat="1" x14ac:dyDescent="0.3"/>
    <row r="3015" customFormat="1" x14ac:dyDescent="0.3"/>
    <row r="3016" customFormat="1" x14ac:dyDescent="0.3"/>
    <row r="3017" customFormat="1" x14ac:dyDescent="0.3"/>
    <row r="3018" customFormat="1" x14ac:dyDescent="0.3"/>
    <row r="3019" customFormat="1" x14ac:dyDescent="0.3"/>
    <row r="3020" customFormat="1" x14ac:dyDescent="0.3"/>
    <row r="3021" customFormat="1" x14ac:dyDescent="0.3"/>
    <row r="3022" customFormat="1" x14ac:dyDescent="0.3"/>
    <row r="3023" customFormat="1" x14ac:dyDescent="0.3"/>
    <row r="3024" customFormat="1" x14ac:dyDescent="0.3"/>
    <row r="3025" customFormat="1" x14ac:dyDescent="0.3"/>
    <row r="3026" customFormat="1" x14ac:dyDescent="0.3"/>
    <row r="3027" customFormat="1" x14ac:dyDescent="0.3"/>
    <row r="3028" customFormat="1" x14ac:dyDescent="0.3"/>
    <row r="3029" customFormat="1" x14ac:dyDescent="0.3"/>
    <row r="3030" customFormat="1" x14ac:dyDescent="0.3"/>
    <row r="3031" customFormat="1" x14ac:dyDescent="0.3"/>
    <row r="3032" customFormat="1" x14ac:dyDescent="0.3"/>
    <row r="3033" customFormat="1" x14ac:dyDescent="0.3"/>
    <row r="3034" customFormat="1" x14ac:dyDescent="0.3"/>
    <row r="3035" customFormat="1" x14ac:dyDescent="0.3"/>
    <row r="3036" customFormat="1" x14ac:dyDescent="0.3"/>
    <row r="3037" customFormat="1" x14ac:dyDescent="0.3"/>
    <row r="3038" customFormat="1" x14ac:dyDescent="0.3"/>
    <row r="3039" customFormat="1" x14ac:dyDescent="0.3"/>
    <row r="3040" customFormat="1" x14ac:dyDescent="0.3"/>
    <row r="3041" customFormat="1" x14ac:dyDescent="0.3"/>
    <row r="3042" customFormat="1" x14ac:dyDescent="0.3"/>
    <row r="3043" customFormat="1" x14ac:dyDescent="0.3"/>
    <row r="3044" customFormat="1" x14ac:dyDescent="0.3"/>
    <row r="3045" customFormat="1" x14ac:dyDescent="0.3"/>
    <row r="3046" customFormat="1" x14ac:dyDescent="0.3"/>
    <row r="3047" customFormat="1" x14ac:dyDescent="0.3"/>
    <row r="3048" customFormat="1" x14ac:dyDescent="0.3"/>
    <row r="3049" customFormat="1" x14ac:dyDescent="0.3"/>
    <row r="3050" customFormat="1" x14ac:dyDescent="0.3"/>
    <row r="3051" customFormat="1" x14ac:dyDescent="0.3"/>
    <row r="3052" customFormat="1" x14ac:dyDescent="0.3"/>
    <row r="3053" customFormat="1" x14ac:dyDescent="0.3"/>
    <row r="3054" customFormat="1" x14ac:dyDescent="0.3"/>
    <row r="3055" customFormat="1" x14ac:dyDescent="0.3"/>
    <row r="3056" customFormat="1" x14ac:dyDescent="0.3"/>
    <row r="3057" customFormat="1" x14ac:dyDescent="0.3"/>
    <row r="3058" customFormat="1" x14ac:dyDescent="0.3"/>
    <row r="3059" customFormat="1" x14ac:dyDescent="0.3"/>
    <row r="3060" customFormat="1" x14ac:dyDescent="0.3"/>
    <row r="3061" customFormat="1" x14ac:dyDescent="0.3"/>
    <row r="3062" customFormat="1" x14ac:dyDescent="0.3"/>
    <row r="3063" customFormat="1" x14ac:dyDescent="0.3"/>
    <row r="3064" customFormat="1" x14ac:dyDescent="0.3"/>
    <row r="3065" customFormat="1" x14ac:dyDescent="0.3"/>
    <row r="3066" customFormat="1" x14ac:dyDescent="0.3"/>
    <row r="3067" customFormat="1" x14ac:dyDescent="0.3"/>
    <row r="3068" customFormat="1" x14ac:dyDescent="0.3"/>
    <row r="3069" customFormat="1" x14ac:dyDescent="0.3"/>
    <row r="3070" customFormat="1" x14ac:dyDescent="0.3"/>
    <row r="3071" customFormat="1" x14ac:dyDescent="0.3"/>
    <row r="3072" customFormat="1" x14ac:dyDescent="0.3"/>
    <row r="3073" customFormat="1" x14ac:dyDescent="0.3"/>
    <row r="3074" customFormat="1" x14ac:dyDescent="0.3"/>
    <row r="3075" customFormat="1" x14ac:dyDescent="0.3"/>
    <row r="3076" customFormat="1" x14ac:dyDescent="0.3"/>
    <row r="3077" customFormat="1" x14ac:dyDescent="0.3"/>
    <row r="3078" customFormat="1" x14ac:dyDescent="0.3"/>
    <row r="3079" customFormat="1" x14ac:dyDescent="0.3"/>
    <row r="3080" customFormat="1" x14ac:dyDescent="0.3"/>
    <row r="3081" customFormat="1" x14ac:dyDescent="0.3"/>
    <row r="3082" customFormat="1" x14ac:dyDescent="0.3"/>
    <row r="3083" customFormat="1" x14ac:dyDescent="0.3"/>
    <row r="3084" customFormat="1" x14ac:dyDescent="0.3"/>
    <row r="3085" customFormat="1" x14ac:dyDescent="0.3"/>
    <row r="3086" customFormat="1" x14ac:dyDescent="0.3"/>
    <row r="3087" customFormat="1" x14ac:dyDescent="0.3"/>
    <row r="3088" customFormat="1" x14ac:dyDescent="0.3"/>
    <row r="3089" customFormat="1" x14ac:dyDescent="0.3"/>
    <row r="3090" customFormat="1" x14ac:dyDescent="0.3"/>
    <row r="3091" customFormat="1" x14ac:dyDescent="0.3"/>
    <row r="3092" customFormat="1" x14ac:dyDescent="0.3"/>
    <row r="3093" customFormat="1" x14ac:dyDescent="0.3"/>
    <row r="3094" customFormat="1" x14ac:dyDescent="0.3"/>
    <row r="3095" customFormat="1" x14ac:dyDescent="0.3"/>
    <row r="3096" customFormat="1" x14ac:dyDescent="0.3"/>
    <row r="3097" customFormat="1" x14ac:dyDescent="0.3"/>
    <row r="3098" customFormat="1" x14ac:dyDescent="0.3"/>
    <row r="3099" customFormat="1" x14ac:dyDescent="0.3"/>
    <row r="3100" customFormat="1" x14ac:dyDescent="0.3"/>
    <row r="3101" customFormat="1" x14ac:dyDescent="0.3"/>
    <row r="3102" customFormat="1" x14ac:dyDescent="0.3"/>
    <row r="3103" customFormat="1" x14ac:dyDescent="0.3"/>
    <row r="3104" customFormat="1" x14ac:dyDescent="0.3"/>
    <row r="3105" customFormat="1" x14ac:dyDescent="0.3"/>
    <row r="3106" customFormat="1" x14ac:dyDescent="0.3"/>
    <row r="3107" customFormat="1" x14ac:dyDescent="0.3"/>
    <row r="3108" customFormat="1" x14ac:dyDescent="0.3"/>
    <row r="3109" customFormat="1" x14ac:dyDescent="0.3"/>
    <row r="3110" customFormat="1" x14ac:dyDescent="0.3"/>
    <row r="3111" customFormat="1" x14ac:dyDescent="0.3"/>
    <row r="3112" customFormat="1" x14ac:dyDescent="0.3"/>
    <row r="3113" customFormat="1" x14ac:dyDescent="0.3"/>
    <row r="3114" customFormat="1" x14ac:dyDescent="0.3"/>
    <row r="3115" customFormat="1" x14ac:dyDescent="0.3"/>
    <row r="3116" customFormat="1" x14ac:dyDescent="0.3"/>
    <row r="3117" customFormat="1" x14ac:dyDescent="0.3"/>
    <row r="3118" customFormat="1" x14ac:dyDescent="0.3"/>
    <row r="3119" customFormat="1" x14ac:dyDescent="0.3"/>
    <row r="3120" customFormat="1" x14ac:dyDescent="0.3"/>
    <row r="3121" customFormat="1" x14ac:dyDescent="0.3"/>
    <row r="3122" customFormat="1" x14ac:dyDescent="0.3"/>
    <row r="3123" customFormat="1" x14ac:dyDescent="0.3"/>
    <row r="3124" customFormat="1" x14ac:dyDescent="0.3"/>
    <row r="3125" customFormat="1" x14ac:dyDescent="0.3"/>
    <row r="3126" customFormat="1" x14ac:dyDescent="0.3"/>
    <row r="3127" customFormat="1" x14ac:dyDescent="0.3"/>
    <row r="3128" customFormat="1" x14ac:dyDescent="0.3"/>
    <row r="3129" customFormat="1" x14ac:dyDescent="0.3"/>
    <row r="3130" customFormat="1" x14ac:dyDescent="0.3"/>
    <row r="3131" customFormat="1" x14ac:dyDescent="0.3"/>
    <row r="3132" customFormat="1" x14ac:dyDescent="0.3"/>
    <row r="3133" customFormat="1" x14ac:dyDescent="0.3"/>
    <row r="3134" customFormat="1" x14ac:dyDescent="0.3"/>
    <row r="3135" customFormat="1" x14ac:dyDescent="0.3"/>
    <row r="3136" customFormat="1" x14ac:dyDescent="0.3"/>
    <row r="3137" customFormat="1" x14ac:dyDescent="0.3"/>
    <row r="3138" customFormat="1" x14ac:dyDescent="0.3"/>
    <row r="3139" customFormat="1" x14ac:dyDescent="0.3"/>
    <row r="3140" customFormat="1" x14ac:dyDescent="0.3"/>
    <row r="3141" customFormat="1" x14ac:dyDescent="0.3"/>
    <row r="3142" customFormat="1" x14ac:dyDescent="0.3"/>
    <row r="3143" customFormat="1" x14ac:dyDescent="0.3"/>
    <row r="3144" customFormat="1" x14ac:dyDescent="0.3"/>
    <row r="3145" customFormat="1" x14ac:dyDescent="0.3"/>
    <row r="3146" customFormat="1" x14ac:dyDescent="0.3"/>
    <row r="3147" customFormat="1" x14ac:dyDescent="0.3"/>
    <row r="3148" customFormat="1" x14ac:dyDescent="0.3"/>
    <row r="3149" customFormat="1" x14ac:dyDescent="0.3"/>
    <row r="3150" customFormat="1" x14ac:dyDescent="0.3"/>
    <row r="3151" customFormat="1" x14ac:dyDescent="0.3"/>
    <row r="3152" customFormat="1" x14ac:dyDescent="0.3"/>
    <row r="3153" customFormat="1" x14ac:dyDescent="0.3"/>
    <row r="3154" customFormat="1" x14ac:dyDescent="0.3"/>
    <row r="3155" customFormat="1" x14ac:dyDescent="0.3"/>
    <row r="3156" customFormat="1" x14ac:dyDescent="0.3"/>
    <row r="3157" customFormat="1" x14ac:dyDescent="0.3"/>
    <row r="3158" customFormat="1" x14ac:dyDescent="0.3"/>
    <row r="3159" customFormat="1" x14ac:dyDescent="0.3"/>
    <row r="3160" customFormat="1" x14ac:dyDescent="0.3"/>
    <row r="3161" customFormat="1" x14ac:dyDescent="0.3"/>
    <row r="3162" customFormat="1" x14ac:dyDescent="0.3"/>
    <row r="3163" customFormat="1" x14ac:dyDescent="0.3"/>
    <row r="3164" customFormat="1" x14ac:dyDescent="0.3"/>
    <row r="3165" customFormat="1" x14ac:dyDescent="0.3"/>
    <row r="3166" customFormat="1" x14ac:dyDescent="0.3"/>
    <row r="3167" customFormat="1" x14ac:dyDescent="0.3"/>
    <row r="3168" customFormat="1" x14ac:dyDescent="0.3"/>
    <row r="3169" customFormat="1" x14ac:dyDescent="0.3"/>
    <row r="3170" customFormat="1" x14ac:dyDescent="0.3"/>
    <row r="3171" customFormat="1" x14ac:dyDescent="0.3"/>
    <row r="3172" customFormat="1" x14ac:dyDescent="0.3"/>
    <row r="3173" customFormat="1" x14ac:dyDescent="0.3"/>
    <row r="3174" customFormat="1" x14ac:dyDescent="0.3"/>
    <row r="3175" customFormat="1" x14ac:dyDescent="0.3"/>
    <row r="3176" customFormat="1" x14ac:dyDescent="0.3"/>
    <row r="3177" customFormat="1" x14ac:dyDescent="0.3"/>
    <row r="3178" customFormat="1" x14ac:dyDescent="0.3"/>
    <row r="3179" customFormat="1" x14ac:dyDescent="0.3"/>
    <row r="3180" customFormat="1" x14ac:dyDescent="0.3"/>
    <row r="3181" customFormat="1" x14ac:dyDescent="0.3"/>
    <row r="3182" customFormat="1" x14ac:dyDescent="0.3"/>
    <row r="3183" customFormat="1" x14ac:dyDescent="0.3"/>
    <row r="3184" customFormat="1" x14ac:dyDescent="0.3"/>
    <row r="3185" customFormat="1" x14ac:dyDescent="0.3"/>
    <row r="3186" customFormat="1" x14ac:dyDescent="0.3"/>
    <row r="3187" customFormat="1" x14ac:dyDescent="0.3"/>
    <row r="3188" customFormat="1" x14ac:dyDescent="0.3"/>
    <row r="3189" customFormat="1" x14ac:dyDescent="0.3"/>
    <row r="3190" customFormat="1" x14ac:dyDescent="0.3"/>
    <row r="3191" customFormat="1" x14ac:dyDescent="0.3"/>
    <row r="3192" customFormat="1" x14ac:dyDescent="0.3"/>
    <row r="3193" customFormat="1" x14ac:dyDescent="0.3"/>
    <row r="3194" customFormat="1" x14ac:dyDescent="0.3"/>
    <row r="3195" customFormat="1" x14ac:dyDescent="0.3"/>
    <row r="3196" customFormat="1" x14ac:dyDescent="0.3"/>
    <row r="3197" customFormat="1" x14ac:dyDescent="0.3"/>
    <row r="3198" customFormat="1" x14ac:dyDescent="0.3"/>
    <row r="3199" customFormat="1" x14ac:dyDescent="0.3"/>
    <row r="3200" customFormat="1" x14ac:dyDescent="0.3"/>
    <row r="3201" customFormat="1" x14ac:dyDescent="0.3"/>
    <row r="3202" customFormat="1" x14ac:dyDescent="0.3"/>
    <row r="3203" customFormat="1" x14ac:dyDescent="0.3"/>
    <row r="3204" customFormat="1" x14ac:dyDescent="0.3"/>
    <row r="3205" customFormat="1" x14ac:dyDescent="0.3"/>
    <row r="3206" customFormat="1" x14ac:dyDescent="0.3"/>
    <row r="3207" customFormat="1" x14ac:dyDescent="0.3"/>
    <row r="3208" customFormat="1" x14ac:dyDescent="0.3"/>
    <row r="3209" customFormat="1" x14ac:dyDescent="0.3"/>
    <row r="3210" customFormat="1" x14ac:dyDescent="0.3"/>
    <row r="3211" customFormat="1" x14ac:dyDescent="0.3"/>
    <row r="3212" customFormat="1" x14ac:dyDescent="0.3"/>
    <row r="3213" customFormat="1" x14ac:dyDescent="0.3"/>
    <row r="3214" customFormat="1" x14ac:dyDescent="0.3"/>
    <row r="3215" customFormat="1" x14ac:dyDescent="0.3"/>
    <row r="3216" customFormat="1" x14ac:dyDescent="0.3"/>
    <row r="3217" customFormat="1" x14ac:dyDescent="0.3"/>
    <row r="3218" customFormat="1" x14ac:dyDescent="0.3"/>
    <row r="3219" customFormat="1" x14ac:dyDescent="0.3"/>
    <row r="3220" customFormat="1" x14ac:dyDescent="0.3"/>
    <row r="3221" customFormat="1" x14ac:dyDescent="0.3"/>
    <row r="3222" customFormat="1" x14ac:dyDescent="0.3"/>
    <row r="3223" customFormat="1" x14ac:dyDescent="0.3"/>
    <row r="3224" customFormat="1" x14ac:dyDescent="0.3"/>
    <row r="3225" customFormat="1" x14ac:dyDescent="0.3"/>
    <row r="3226" customFormat="1" x14ac:dyDescent="0.3"/>
    <row r="3227" customFormat="1" x14ac:dyDescent="0.3"/>
    <row r="3228" customFormat="1" x14ac:dyDescent="0.3"/>
    <row r="3229" customFormat="1" x14ac:dyDescent="0.3"/>
    <row r="3230" customFormat="1" x14ac:dyDescent="0.3"/>
    <row r="3231" customFormat="1" x14ac:dyDescent="0.3"/>
    <row r="3232" customFormat="1" x14ac:dyDescent="0.3"/>
    <row r="3233" customFormat="1" x14ac:dyDescent="0.3"/>
    <row r="3234" customFormat="1" x14ac:dyDescent="0.3"/>
    <row r="3235" customFormat="1" x14ac:dyDescent="0.3"/>
    <row r="3236" customFormat="1" x14ac:dyDescent="0.3"/>
    <row r="3237" customFormat="1" x14ac:dyDescent="0.3"/>
    <row r="3238" customFormat="1" x14ac:dyDescent="0.3"/>
    <row r="3239" customFormat="1" x14ac:dyDescent="0.3"/>
    <row r="3240" customFormat="1" x14ac:dyDescent="0.3"/>
    <row r="3241" customFormat="1" x14ac:dyDescent="0.3"/>
    <row r="3242" customFormat="1" x14ac:dyDescent="0.3"/>
    <row r="3243" customFormat="1" x14ac:dyDescent="0.3"/>
    <row r="3244" customFormat="1" x14ac:dyDescent="0.3"/>
    <row r="3245" customFormat="1" x14ac:dyDescent="0.3"/>
    <row r="3246" customFormat="1" x14ac:dyDescent="0.3"/>
    <row r="3247" customFormat="1" x14ac:dyDescent="0.3"/>
    <row r="3248" customFormat="1" x14ac:dyDescent="0.3"/>
    <row r="3249" customFormat="1" x14ac:dyDescent="0.3"/>
    <row r="3250" customFormat="1" x14ac:dyDescent="0.3"/>
    <row r="3251" customFormat="1" x14ac:dyDescent="0.3"/>
    <row r="3252" customFormat="1" x14ac:dyDescent="0.3"/>
    <row r="3253" customFormat="1" x14ac:dyDescent="0.3"/>
    <row r="3254" customFormat="1" x14ac:dyDescent="0.3"/>
    <row r="3255" customFormat="1" x14ac:dyDescent="0.3"/>
    <row r="3256" customFormat="1" x14ac:dyDescent="0.3"/>
    <row r="3257" customFormat="1" x14ac:dyDescent="0.3"/>
    <row r="3258" customFormat="1" x14ac:dyDescent="0.3"/>
    <row r="3259" customFormat="1" x14ac:dyDescent="0.3"/>
    <row r="3260" customFormat="1" x14ac:dyDescent="0.3"/>
    <row r="3261" customFormat="1" x14ac:dyDescent="0.3"/>
    <row r="3262" customFormat="1" x14ac:dyDescent="0.3"/>
    <row r="3263" customFormat="1" x14ac:dyDescent="0.3"/>
    <row r="3264" customFormat="1" x14ac:dyDescent="0.3"/>
    <row r="3265" customFormat="1" x14ac:dyDescent="0.3"/>
    <row r="3266" customFormat="1" x14ac:dyDescent="0.3"/>
    <row r="3267" customFormat="1" x14ac:dyDescent="0.3"/>
    <row r="3268" customFormat="1" x14ac:dyDescent="0.3"/>
    <row r="3269" customFormat="1" x14ac:dyDescent="0.3"/>
    <row r="3270" customFormat="1" x14ac:dyDescent="0.3"/>
    <row r="3271" customFormat="1" x14ac:dyDescent="0.3"/>
    <row r="3272" customFormat="1" x14ac:dyDescent="0.3"/>
    <row r="3273" customFormat="1" x14ac:dyDescent="0.3"/>
    <row r="3274" customFormat="1" x14ac:dyDescent="0.3"/>
    <row r="3275" customFormat="1" x14ac:dyDescent="0.3"/>
    <row r="3276" customFormat="1" x14ac:dyDescent="0.3"/>
    <row r="3277" customFormat="1" x14ac:dyDescent="0.3"/>
    <row r="3278" customFormat="1" x14ac:dyDescent="0.3"/>
    <row r="3279" customFormat="1" x14ac:dyDescent="0.3"/>
    <row r="3280" customFormat="1" x14ac:dyDescent="0.3"/>
    <row r="3281" customFormat="1" x14ac:dyDescent="0.3"/>
    <row r="3282" customFormat="1" x14ac:dyDescent="0.3"/>
    <row r="3283" customFormat="1" x14ac:dyDescent="0.3"/>
    <row r="3284" customFormat="1" x14ac:dyDescent="0.3"/>
    <row r="3285" customFormat="1" x14ac:dyDescent="0.3"/>
    <row r="3286" customFormat="1" x14ac:dyDescent="0.3"/>
    <row r="3287" customFormat="1" x14ac:dyDescent="0.3"/>
    <row r="3288" customFormat="1" x14ac:dyDescent="0.3"/>
    <row r="3289" customFormat="1" x14ac:dyDescent="0.3"/>
    <row r="3290" customFormat="1" x14ac:dyDescent="0.3"/>
    <row r="3291" customFormat="1" x14ac:dyDescent="0.3"/>
    <row r="3292" customFormat="1" x14ac:dyDescent="0.3"/>
    <row r="3293" customFormat="1" x14ac:dyDescent="0.3"/>
    <row r="3294" customFormat="1" x14ac:dyDescent="0.3"/>
    <row r="3295" customFormat="1" x14ac:dyDescent="0.3"/>
    <row r="3296" customFormat="1" x14ac:dyDescent="0.3"/>
    <row r="3297" customFormat="1" x14ac:dyDescent="0.3"/>
    <row r="3298" customFormat="1" x14ac:dyDescent="0.3"/>
    <row r="3299" customFormat="1" x14ac:dyDescent="0.3"/>
    <row r="3300" customFormat="1" x14ac:dyDescent="0.3"/>
    <row r="3301" customFormat="1" x14ac:dyDescent="0.3"/>
    <row r="3302" customFormat="1" x14ac:dyDescent="0.3"/>
    <row r="3303" customFormat="1" x14ac:dyDescent="0.3"/>
    <row r="3304" customFormat="1" x14ac:dyDescent="0.3"/>
    <row r="3305" customFormat="1" x14ac:dyDescent="0.3"/>
    <row r="3306" customFormat="1" x14ac:dyDescent="0.3"/>
    <row r="3307" customFormat="1" x14ac:dyDescent="0.3"/>
    <row r="3308" customFormat="1" x14ac:dyDescent="0.3"/>
    <row r="3309" customFormat="1" x14ac:dyDescent="0.3"/>
    <row r="3310" customFormat="1" x14ac:dyDescent="0.3"/>
    <row r="3311" customFormat="1" x14ac:dyDescent="0.3"/>
    <row r="3312" customFormat="1" x14ac:dyDescent="0.3"/>
    <row r="3313" customFormat="1" x14ac:dyDescent="0.3"/>
    <row r="3314" customFormat="1" x14ac:dyDescent="0.3"/>
    <row r="3315" customFormat="1" x14ac:dyDescent="0.3"/>
    <row r="3316" customFormat="1" x14ac:dyDescent="0.3"/>
    <row r="3317" customFormat="1" x14ac:dyDescent="0.3"/>
    <row r="3318" customFormat="1" x14ac:dyDescent="0.3"/>
    <row r="3319" customFormat="1" x14ac:dyDescent="0.3"/>
    <row r="3320" customFormat="1" x14ac:dyDescent="0.3"/>
    <row r="3321" customFormat="1" x14ac:dyDescent="0.3"/>
    <row r="3322" customFormat="1" x14ac:dyDescent="0.3"/>
    <row r="3323" customFormat="1" x14ac:dyDescent="0.3"/>
    <row r="3324" customFormat="1" x14ac:dyDescent="0.3"/>
    <row r="3325" customFormat="1" x14ac:dyDescent="0.3"/>
    <row r="3326" customFormat="1" x14ac:dyDescent="0.3"/>
    <row r="3327" customFormat="1" x14ac:dyDescent="0.3"/>
    <row r="3328" customFormat="1" x14ac:dyDescent="0.3"/>
    <row r="3329" customFormat="1" x14ac:dyDescent="0.3"/>
    <row r="3330" customFormat="1" x14ac:dyDescent="0.3"/>
    <row r="3331" customFormat="1" x14ac:dyDescent="0.3"/>
    <row r="3332" customFormat="1" x14ac:dyDescent="0.3"/>
    <row r="3333" customFormat="1" x14ac:dyDescent="0.3"/>
    <row r="3334" customFormat="1" x14ac:dyDescent="0.3"/>
    <row r="3335" customFormat="1" x14ac:dyDescent="0.3"/>
    <row r="3336" customFormat="1" x14ac:dyDescent="0.3"/>
    <row r="3337" customFormat="1" x14ac:dyDescent="0.3"/>
    <row r="3338" customFormat="1" x14ac:dyDescent="0.3"/>
    <row r="3339" customFormat="1" x14ac:dyDescent="0.3"/>
    <row r="3340" customFormat="1" x14ac:dyDescent="0.3"/>
    <row r="3341" customFormat="1" x14ac:dyDescent="0.3"/>
    <row r="3342" customFormat="1" x14ac:dyDescent="0.3"/>
    <row r="3343" customFormat="1" x14ac:dyDescent="0.3"/>
    <row r="3344" customFormat="1" x14ac:dyDescent="0.3"/>
    <row r="3345" customFormat="1" x14ac:dyDescent="0.3"/>
    <row r="3346" customFormat="1" x14ac:dyDescent="0.3"/>
    <row r="3347" customFormat="1" x14ac:dyDescent="0.3"/>
    <row r="3348" customFormat="1" x14ac:dyDescent="0.3"/>
    <row r="3349" customFormat="1" x14ac:dyDescent="0.3"/>
    <row r="3350" customFormat="1" x14ac:dyDescent="0.3"/>
    <row r="3351" customFormat="1" x14ac:dyDescent="0.3"/>
    <row r="3352" customFormat="1" x14ac:dyDescent="0.3"/>
    <row r="3353" customFormat="1" x14ac:dyDescent="0.3"/>
    <row r="3354" customFormat="1" x14ac:dyDescent="0.3"/>
    <row r="3355" customFormat="1" x14ac:dyDescent="0.3"/>
    <row r="3356" customFormat="1" x14ac:dyDescent="0.3"/>
    <row r="3357" customFormat="1" x14ac:dyDescent="0.3"/>
    <row r="3358" customFormat="1" x14ac:dyDescent="0.3"/>
    <row r="3359" customFormat="1" x14ac:dyDescent="0.3"/>
    <row r="3360" customFormat="1" x14ac:dyDescent="0.3"/>
    <row r="3361" customFormat="1" x14ac:dyDescent="0.3"/>
    <row r="3362" customFormat="1" x14ac:dyDescent="0.3"/>
    <row r="3363" customFormat="1" x14ac:dyDescent="0.3"/>
    <row r="3364" customFormat="1" x14ac:dyDescent="0.3"/>
    <row r="3365" customFormat="1" x14ac:dyDescent="0.3"/>
    <row r="3366" customFormat="1" x14ac:dyDescent="0.3"/>
    <row r="3367" customFormat="1" x14ac:dyDescent="0.3"/>
    <row r="3368" customFormat="1" x14ac:dyDescent="0.3"/>
    <row r="3369" customFormat="1" x14ac:dyDescent="0.3"/>
    <row r="3370" customFormat="1" x14ac:dyDescent="0.3"/>
    <row r="3371" customFormat="1" x14ac:dyDescent="0.3"/>
    <row r="3372" customFormat="1" x14ac:dyDescent="0.3"/>
    <row r="3373" customFormat="1" x14ac:dyDescent="0.3"/>
    <row r="3374" customFormat="1" x14ac:dyDescent="0.3"/>
    <row r="3375" customFormat="1" x14ac:dyDescent="0.3"/>
    <row r="3376" customFormat="1" x14ac:dyDescent="0.3"/>
    <row r="3377" customFormat="1" x14ac:dyDescent="0.3"/>
    <row r="3378" customFormat="1" x14ac:dyDescent="0.3"/>
    <row r="3379" customFormat="1" x14ac:dyDescent="0.3"/>
    <row r="3380" customFormat="1" x14ac:dyDescent="0.3"/>
    <row r="3381" customFormat="1" x14ac:dyDescent="0.3"/>
    <row r="3382" customFormat="1" x14ac:dyDescent="0.3"/>
    <row r="3383" customFormat="1" x14ac:dyDescent="0.3"/>
    <row r="3384" customFormat="1" x14ac:dyDescent="0.3"/>
    <row r="3385" customFormat="1" x14ac:dyDescent="0.3"/>
    <row r="3386" customFormat="1" x14ac:dyDescent="0.3"/>
    <row r="3387" customFormat="1" x14ac:dyDescent="0.3"/>
    <row r="3388" customFormat="1" x14ac:dyDescent="0.3"/>
    <row r="3389" customFormat="1" x14ac:dyDescent="0.3"/>
    <row r="3390" customFormat="1" x14ac:dyDescent="0.3"/>
    <row r="3391" customFormat="1" x14ac:dyDescent="0.3"/>
    <row r="3392" customFormat="1" x14ac:dyDescent="0.3"/>
    <row r="3393" customFormat="1" x14ac:dyDescent="0.3"/>
    <row r="3394" customFormat="1" x14ac:dyDescent="0.3"/>
    <row r="3395" customFormat="1" x14ac:dyDescent="0.3"/>
    <row r="3396" customFormat="1" x14ac:dyDescent="0.3"/>
    <row r="3397" customFormat="1" x14ac:dyDescent="0.3"/>
    <row r="3398" customFormat="1" x14ac:dyDescent="0.3"/>
    <row r="3399" customFormat="1" x14ac:dyDescent="0.3"/>
    <row r="3400" customFormat="1" x14ac:dyDescent="0.3"/>
    <row r="3401" customFormat="1" x14ac:dyDescent="0.3"/>
    <row r="3402" customFormat="1" x14ac:dyDescent="0.3"/>
    <row r="3403" customFormat="1" x14ac:dyDescent="0.3"/>
    <row r="3404" customFormat="1" x14ac:dyDescent="0.3"/>
    <row r="3405" customFormat="1" x14ac:dyDescent="0.3"/>
    <row r="3406" customFormat="1" x14ac:dyDescent="0.3"/>
    <row r="3407" customFormat="1" x14ac:dyDescent="0.3"/>
    <row r="3408" customFormat="1" x14ac:dyDescent="0.3"/>
    <row r="3409" customFormat="1" x14ac:dyDescent="0.3"/>
    <row r="3410" customFormat="1" x14ac:dyDescent="0.3"/>
    <row r="3411" customFormat="1" x14ac:dyDescent="0.3"/>
    <row r="3412" customFormat="1" x14ac:dyDescent="0.3"/>
    <row r="3413" customFormat="1" x14ac:dyDescent="0.3"/>
    <row r="3414" customFormat="1" x14ac:dyDescent="0.3"/>
    <row r="3415" customFormat="1" x14ac:dyDescent="0.3"/>
    <row r="3416" customFormat="1" x14ac:dyDescent="0.3"/>
    <row r="3417" customFormat="1" x14ac:dyDescent="0.3"/>
    <row r="3418" customFormat="1" x14ac:dyDescent="0.3"/>
    <row r="3419" customFormat="1" x14ac:dyDescent="0.3"/>
    <row r="3420" customFormat="1" x14ac:dyDescent="0.3"/>
    <row r="3421" customFormat="1" x14ac:dyDescent="0.3"/>
    <row r="3422" customFormat="1" x14ac:dyDescent="0.3"/>
    <row r="3423" customFormat="1" x14ac:dyDescent="0.3"/>
    <row r="3424" customFormat="1" x14ac:dyDescent="0.3"/>
    <row r="3425" customFormat="1" x14ac:dyDescent="0.3"/>
    <row r="3426" customFormat="1" x14ac:dyDescent="0.3"/>
    <row r="3427" customFormat="1" x14ac:dyDescent="0.3"/>
    <row r="3428" customFormat="1" x14ac:dyDescent="0.3"/>
    <row r="3429" customFormat="1" x14ac:dyDescent="0.3"/>
    <row r="3430" customFormat="1" x14ac:dyDescent="0.3"/>
    <row r="3431" customFormat="1" x14ac:dyDescent="0.3"/>
    <row r="3432" customFormat="1" x14ac:dyDescent="0.3"/>
    <row r="3433" customFormat="1" x14ac:dyDescent="0.3"/>
    <row r="3434" customFormat="1" x14ac:dyDescent="0.3"/>
    <row r="3435" customFormat="1" x14ac:dyDescent="0.3"/>
    <row r="3436" customFormat="1" x14ac:dyDescent="0.3"/>
    <row r="3437" customFormat="1" x14ac:dyDescent="0.3"/>
    <row r="3438" customFormat="1" x14ac:dyDescent="0.3"/>
    <row r="3439" customFormat="1" x14ac:dyDescent="0.3"/>
    <row r="3440" customFormat="1" x14ac:dyDescent="0.3"/>
    <row r="3441" customFormat="1" x14ac:dyDescent="0.3"/>
    <row r="3442" customFormat="1" x14ac:dyDescent="0.3"/>
    <row r="3443" customFormat="1" x14ac:dyDescent="0.3"/>
    <row r="3444" customFormat="1" x14ac:dyDescent="0.3"/>
    <row r="3445" customFormat="1" x14ac:dyDescent="0.3"/>
    <row r="3446" customFormat="1" x14ac:dyDescent="0.3"/>
    <row r="3447" customFormat="1" x14ac:dyDescent="0.3"/>
    <row r="3448" customFormat="1" x14ac:dyDescent="0.3"/>
    <row r="3449" customFormat="1" x14ac:dyDescent="0.3"/>
    <row r="3450" customFormat="1" x14ac:dyDescent="0.3"/>
    <row r="3451" customFormat="1" x14ac:dyDescent="0.3"/>
    <row r="3452" customFormat="1" x14ac:dyDescent="0.3"/>
    <row r="3453" customFormat="1" x14ac:dyDescent="0.3"/>
    <row r="3454" customFormat="1" x14ac:dyDescent="0.3"/>
    <row r="3455" customFormat="1" x14ac:dyDescent="0.3"/>
    <row r="3456" customFormat="1" x14ac:dyDescent="0.3"/>
    <row r="3457" customFormat="1" x14ac:dyDescent="0.3"/>
    <row r="3458" customFormat="1" x14ac:dyDescent="0.3"/>
    <row r="3459" customFormat="1" x14ac:dyDescent="0.3"/>
    <row r="3460" customFormat="1" x14ac:dyDescent="0.3"/>
    <row r="3461" customFormat="1" x14ac:dyDescent="0.3"/>
    <row r="3462" customFormat="1" x14ac:dyDescent="0.3"/>
    <row r="3463" customFormat="1" x14ac:dyDescent="0.3"/>
    <row r="3464" customFormat="1" x14ac:dyDescent="0.3"/>
    <row r="3465" customFormat="1" x14ac:dyDescent="0.3"/>
    <row r="3466" customFormat="1" x14ac:dyDescent="0.3"/>
    <row r="3467" customFormat="1" x14ac:dyDescent="0.3"/>
    <row r="3468" customFormat="1" x14ac:dyDescent="0.3"/>
    <row r="3469" customFormat="1" x14ac:dyDescent="0.3"/>
    <row r="3470" customFormat="1" x14ac:dyDescent="0.3"/>
    <row r="3471" customFormat="1" x14ac:dyDescent="0.3"/>
    <row r="3472" customFormat="1" x14ac:dyDescent="0.3"/>
    <row r="3473" customFormat="1" x14ac:dyDescent="0.3"/>
    <row r="3474" customFormat="1" x14ac:dyDescent="0.3"/>
    <row r="3475" customFormat="1" x14ac:dyDescent="0.3"/>
    <row r="3476" customFormat="1" x14ac:dyDescent="0.3"/>
    <row r="3477" customFormat="1" x14ac:dyDescent="0.3"/>
    <row r="3478" customFormat="1" x14ac:dyDescent="0.3"/>
    <row r="3479" customFormat="1" x14ac:dyDescent="0.3"/>
    <row r="3480" customFormat="1" x14ac:dyDescent="0.3"/>
    <row r="3481" customFormat="1" x14ac:dyDescent="0.3"/>
    <row r="3482" customFormat="1" x14ac:dyDescent="0.3"/>
    <row r="3483" customFormat="1" x14ac:dyDescent="0.3"/>
    <row r="3484" customFormat="1" x14ac:dyDescent="0.3"/>
    <row r="3485" customFormat="1" x14ac:dyDescent="0.3"/>
    <row r="3486" customFormat="1" x14ac:dyDescent="0.3"/>
    <row r="3487" customFormat="1" x14ac:dyDescent="0.3"/>
    <row r="3488" customFormat="1" x14ac:dyDescent="0.3"/>
    <row r="3489" customFormat="1" x14ac:dyDescent="0.3"/>
    <row r="3490" customFormat="1" x14ac:dyDescent="0.3"/>
    <row r="3491" customFormat="1" x14ac:dyDescent="0.3"/>
    <row r="3492" customFormat="1" x14ac:dyDescent="0.3"/>
    <row r="3493" customFormat="1" x14ac:dyDescent="0.3"/>
    <row r="3494" customFormat="1" x14ac:dyDescent="0.3"/>
    <row r="3495" customFormat="1" x14ac:dyDescent="0.3"/>
    <row r="3496" customFormat="1" x14ac:dyDescent="0.3"/>
    <row r="3497" customFormat="1" x14ac:dyDescent="0.3"/>
    <row r="3498" customFormat="1" x14ac:dyDescent="0.3"/>
    <row r="3499" customFormat="1" x14ac:dyDescent="0.3"/>
    <row r="3500" customFormat="1" x14ac:dyDescent="0.3"/>
    <row r="3501" customFormat="1" x14ac:dyDescent="0.3"/>
    <row r="3502" customFormat="1" x14ac:dyDescent="0.3"/>
    <row r="3503" customFormat="1" x14ac:dyDescent="0.3"/>
    <row r="3504" customFormat="1" x14ac:dyDescent="0.3"/>
    <row r="3505" customFormat="1" x14ac:dyDescent="0.3"/>
    <row r="3506" customFormat="1" x14ac:dyDescent="0.3"/>
    <row r="3507" customFormat="1" x14ac:dyDescent="0.3"/>
    <row r="3508" customFormat="1" x14ac:dyDescent="0.3"/>
    <row r="3509" customFormat="1" x14ac:dyDescent="0.3"/>
    <row r="3510" customFormat="1" x14ac:dyDescent="0.3"/>
    <row r="3511" customFormat="1" x14ac:dyDescent="0.3"/>
    <row r="3512" customFormat="1" x14ac:dyDescent="0.3"/>
    <row r="3513" customFormat="1" x14ac:dyDescent="0.3"/>
    <row r="3514" customFormat="1" x14ac:dyDescent="0.3"/>
    <row r="3515" customFormat="1" x14ac:dyDescent="0.3"/>
    <row r="3516" customFormat="1" x14ac:dyDescent="0.3"/>
    <row r="3517" customFormat="1" x14ac:dyDescent="0.3"/>
    <row r="3518" customFormat="1" x14ac:dyDescent="0.3"/>
    <row r="3519" customFormat="1" x14ac:dyDescent="0.3"/>
    <row r="3520" customFormat="1" x14ac:dyDescent="0.3"/>
    <row r="3521" customFormat="1" x14ac:dyDescent="0.3"/>
    <row r="3522" customFormat="1" x14ac:dyDescent="0.3"/>
    <row r="3523" customFormat="1" x14ac:dyDescent="0.3"/>
    <row r="3524" customFormat="1" x14ac:dyDescent="0.3"/>
    <row r="3525" customFormat="1" x14ac:dyDescent="0.3"/>
    <row r="3526" customFormat="1" x14ac:dyDescent="0.3"/>
    <row r="3527" customFormat="1" x14ac:dyDescent="0.3"/>
    <row r="3528" customFormat="1" x14ac:dyDescent="0.3"/>
    <row r="3529" customFormat="1" x14ac:dyDescent="0.3"/>
    <row r="3530" customFormat="1" x14ac:dyDescent="0.3"/>
    <row r="3531" customFormat="1" x14ac:dyDescent="0.3"/>
    <row r="3532" customFormat="1" x14ac:dyDescent="0.3"/>
    <row r="3533" customFormat="1" x14ac:dyDescent="0.3"/>
    <row r="3534" customFormat="1" x14ac:dyDescent="0.3"/>
    <row r="3535" customFormat="1" x14ac:dyDescent="0.3"/>
    <row r="3536" customFormat="1" x14ac:dyDescent="0.3"/>
    <row r="3537" customFormat="1" x14ac:dyDescent="0.3"/>
    <row r="3538" customFormat="1" x14ac:dyDescent="0.3"/>
    <row r="3539" customFormat="1" x14ac:dyDescent="0.3"/>
    <row r="3540" customFormat="1" x14ac:dyDescent="0.3"/>
    <row r="3541" customFormat="1" x14ac:dyDescent="0.3"/>
    <row r="3542" customFormat="1" x14ac:dyDescent="0.3"/>
    <row r="3543" customFormat="1" x14ac:dyDescent="0.3"/>
    <row r="3544" customFormat="1" x14ac:dyDescent="0.3"/>
    <row r="3545" customFormat="1" x14ac:dyDescent="0.3"/>
    <row r="3546" customFormat="1" x14ac:dyDescent="0.3"/>
    <row r="3547" customFormat="1" x14ac:dyDescent="0.3"/>
    <row r="3548" customFormat="1" x14ac:dyDescent="0.3"/>
    <row r="3549" customFormat="1" x14ac:dyDescent="0.3"/>
    <row r="3550" customFormat="1" x14ac:dyDescent="0.3"/>
    <row r="3551" customFormat="1" x14ac:dyDescent="0.3"/>
    <row r="3552" customFormat="1" x14ac:dyDescent="0.3"/>
    <row r="3553" customFormat="1" x14ac:dyDescent="0.3"/>
    <row r="3554" customFormat="1" x14ac:dyDescent="0.3"/>
    <row r="3555" customFormat="1" x14ac:dyDescent="0.3"/>
    <row r="3556" customFormat="1" x14ac:dyDescent="0.3"/>
    <row r="3557" customFormat="1" x14ac:dyDescent="0.3"/>
    <row r="3558" customFormat="1" x14ac:dyDescent="0.3"/>
    <row r="3559" customFormat="1" x14ac:dyDescent="0.3"/>
    <row r="3560" customFormat="1" x14ac:dyDescent="0.3"/>
    <row r="3561" customFormat="1" x14ac:dyDescent="0.3"/>
    <row r="3562" customFormat="1" x14ac:dyDescent="0.3"/>
    <row r="3563" customFormat="1" x14ac:dyDescent="0.3"/>
    <row r="3564" customFormat="1" x14ac:dyDescent="0.3"/>
    <row r="3565" customFormat="1" x14ac:dyDescent="0.3"/>
    <row r="3566" customFormat="1" x14ac:dyDescent="0.3"/>
    <row r="3567" customFormat="1" x14ac:dyDescent="0.3"/>
    <row r="3568" customFormat="1" x14ac:dyDescent="0.3"/>
    <row r="3569" customFormat="1" x14ac:dyDescent="0.3"/>
    <row r="3570" customFormat="1" x14ac:dyDescent="0.3"/>
    <row r="3571" customFormat="1" x14ac:dyDescent="0.3"/>
    <row r="3572" customFormat="1" x14ac:dyDescent="0.3"/>
    <row r="3573" customFormat="1" x14ac:dyDescent="0.3"/>
    <row r="3574" customFormat="1" x14ac:dyDescent="0.3"/>
    <row r="3575" customFormat="1" x14ac:dyDescent="0.3"/>
    <row r="3576" customFormat="1" x14ac:dyDescent="0.3"/>
    <row r="3577" customFormat="1" x14ac:dyDescent="0.3"/>
    <row r="3578" customFormat="1" x14ac:dyDescent="0.3"/>
    <row r="3579" customFormat="1" x14ac:dyDescent="0.3"/>
    <row r="3580" customFormat="1" x14ac:dyDescent="0.3"/>
    <row r="3581" customFormat="1" x14ac:dyDescent="0.3"/>
    <row r="3582" customFormat="1" x14ac:dyDescent="0.3"/>
    <row r="3583" customFormat="1" x14ac:dyDescent="0.3"/>
    <row r="3584" customFormat="1" x14ac:dyDescent="0.3"/>
    <row r="3585" customFormat="1" x14ac:dyDescent="0.3"/>
    <row r="3586" customFormat="1" x14ac:dyDescent="0.3"/>
    <row r="3587" customFormat="1" x14ac:dyDescent="0.3"/>
    <row r="3588" customFormat="1" x14ac:dyDescent="0.3"/>
    <row r="3589" customFormat="1" x14ac:dyDescent="0.3"/>
    <row r="3590" customFormat="1" x14ac:dyDescent="0.3"/>
    <row r="3591" customFormat="1" x14ac:dyDescent="0.3"/>
    <row r="3592" customFormat="1" x14ac:dyDescent="0.3"/>
    <row r="3593" customFormat="1" x14ac:dyDescent="0.3"/>
    <row r="3594" customFormat="1" x14ac:dyDescent="0.3"/>
    <row r="3595" customFormat="1" x14ac:dyDescent="0.3"/>
    <row r="3596" customFormat="1" x14ac:dyDescent="0.3"/>
    <row r="3597" customFormat="1" x14ac:dyDescent="0.3"/>
    <row r="3598" customFormat="1" x14ac:dyDescent="0.3"/>
    <row r="3599" customFormat="1" x14ac:dyDescent="0.3"/>
    <row r="3600" customFormat="1" x14ac:dyDescent="0.3"/>
    <row r="3601" customFormat="1" x14ac:dyDescent="0.3"/>
    <row r="3602" customFormat="1" x14ac:dyDescent="0.3"/>
    <row r="3603" customFormat="1" x14ac:dyDescent="0.3"/>
    <row r="3604" customFormat="1" x14ac:dyDescent="0.3"/>
    <row r="3605" customFormat="1" x14ac:dyDescent="0.3"/>
    <row r="3606" customFormat="1" x14ac:dyDescent="0.3"/>
    <row r="3607" customFormat="1" x14ac:dyDescent="0.3"/>
    <row r="3608" customFormat="1" x14ac:dyDescent="0.3"/>
    <row r="3609" customFormat="1" x14ac:dyDescent="0.3"/>
    <row r="3610" customFormat="1" x14ac:dyDescent="0.3"/>
    <row r="3611" customFormat="1" x14ac:dyDescent="0.3"/>
    <row r="3612" customFormat="1" x14ac:dyDescent="0.3"/>
    <row r="3613" customFormat="1" x14ac:dyDescent="0.3"/>
    <row r="3614" customFormat="1" x14ac:dyDescent="0.3"/>
    <row r="3615" customFormat="1" x14ac:dyDescent="0.3"/>
    <row r="3616" customFormat="1" x14ac:dyDescent="0.3"/>
    <row r="3617" customFormat="1" x14ac:dyDescent="0.3"/>
    <row r="3618" customFormat="1" x14ac:dyDescent="0.3"/>
    <row r="3619" customFormat="1" x14ac:dyDescent="0.3"/>
    <row r="3620" customFormat="1" x14ac:dyDescent="0.3"/>
    <row r="3621" customFormat="1" x14ac:dyDescent="0.3"/>
    <row r="3622" customFormat="1" x14ac:dyDescent="0.3"/>
    <row r="3623" customFormat="1" x14ac:dyDescent="0.3"/>
    <row r="3624" customFormat="1" x14ac:dyDescent="0.3"/>
    <row r="3625" customFormat="1" x14ac:dyDescent="0.3"/>
    <row r="3626" customFormat="1" x14ac:dyDescent="0.3"/>
    <row r="3627" customFormat="1" x14ac:dyDescent="0.3"/>
    <row r="3628" customFormat="1" x14ac:dyDescent="0.3"/>
    <row r="3629" customFormat="1" x14ac:dyDescent="0.3"/>
    <row r="3630" customFormat="1" x14ac:dyDescent="0.3"/>
    <row r="3631" customFormat="1" x14ac:dyDescent="0.3"/>
    <row r="3632" customFormat="1" x14ac:dyDescent="0.3"/>
    <row r="3633" customFormat="1" x14ac:dyDescent="0.3"/>
    <row r="3634" customFormat="1" x14ac:dyDescent="0.3"/>
    <row r="3635" customFormat="1" x14ac:dyDescent="0.3"/>
    <row r="3636" customFormat="1" x14ac:dyDescent="0.3"/>
    <row r="3637" customFormat="1" x14ac:dyDescent="0.3"/>
    <row r="3638" customFormat="1" x14ac:dyDescent="0.3"/>
    <row r="3639" customFormat="1" x14ac:dyDescent="0.3"/>
    <row r="3640" customFormat="1" x14ac:dyDescent="0.3"/>
    <row r="3641" customFormat="1" x14ac:dyDescent="0.3"/>
    <row r="3642" customFormat="1" x14ac:dyDescent="0.3"/>
    <row r="3643" customFormat="1" x14ac:dyDescent="0.3"/>
    <row r="3644" customFormat="1" x14ac:dyDescent="0.3"/>
    <row r="3645" customFormat="1" x14ac:dyDescent="0.3"/>
    <row r="3646" customFormat="1" x14ac:dyDescent="0.3"/>
    <row r="3647" customFormat="1" x14ac:dyDescent="0.3"/>
    <row r="3648" customFormat="1" x14ac:dyDescent="0.3"/>
    <row r="3649" customFormat="1" x14ac:dyDescent="0.3"/>
    <row r="3650" customFormat="1" x14ac:dyDescent="0.3"/>
    <row r="3651" customFormat="1" x14ac:dyDescent="0.3"/>
    <row r="3652" customFormat="1" x14ac:dyDescent="0.3"/>
    <row r="3653" customFormat="1" x14ac:dyDescent="0.3"/>
    <row r="3654" customFormat="1" x14ac:dyDescent="0.3"/>
    <row r="3655" customFormat="1" x14ac:dyDescent="0.3"/>
    <row r="3656" customFormat="1" x14ac:dyDescent="0.3"/>
    <row r="3657" customFormat="1" x14ac:dyDescent="0.3"/>
    <row r="3658" customFormat="1" x14ac:dyDescent="0.3"/>
    <row r="3659" customFormat="1" x14ac:dyDescent="0.3"/>
    <row r="3660" customFormat="1" x14ac:dyDescent="0.3"/>
    <row r="3661" customFormat="1" x14ac:dyDescent="0.3"/>
    <row r="3662" customFormat="1" x14ac:dyDescent="0.3"/>
    <row r="3663" customFormat="1" x14ac:dyDescent="0.3"/>
    <row r="3664" customFormat="1" x14ac:dyDescent="0.3"/>
    <row r="3665" customFormat="1" x14ac:dyDescent="0.3"/>
    <row r="3666" customFormat="1" x14ac:dyDescent="0.3"/>
    <row r="3667" customFormat="1" x14ac:dyDescent="0.3"/>
    <row r="3668" customFormat="1" x14ac:dyDescent="0.3"/>
    <row r="3669" customFormat="1" x14ac:dyDescent="0.3"/>
    <row r="3670" customFormat="1" x14ac:dyDescent="0.3"/>
    <row r="3671" customFormat="1" x14ac:dyDescent="0.3"/>
    <row r="3672" customFormat="1" x14ac:dyDescent="0.3"/>
    <row r="3673" customFormat="1" x14ac:dyDescent="0.3"/>
    <row r="3674" customFormat="1" x14ac:dyDescent="0.3"/>
    <row r="3675" customFormat="1" x14ac:dyDescent="0.3"/>
    <row r="3676" customFormat="1" x14ac:dyDescent="0.3"/>
    <row r="3677" customFormat="1" x14ac:dyDescent="0.3"/>
    <row r="3678" customFormat="1" x14ac:dyDescent="0.3"/>
    <row r="3679" customFormat="1" x14ac:dyDescent="0.3"/>
    <row r="3680" customFormat="1" x14ac:dyDescent="0.3"/>
    <row r="3681" customFormat="1" x14ac:dyDescent="0.3"/>
    <row r="3682" customFormat="1" x14ac:dyDescent="0.3"/>
    <row r="3683" customFormat="1" x14ac:dyDescent="0.3"/>
    <row r="3684" customFormat="1" x14ac:dyDescent="0.3"/>
    <row r="3685" customFormat="1" x14ac:dyDescent="0.3"/>
    <row r="3686" customFormat="1" x14ac:dyDescent="0.3"/>
    <row r="3687" customFormat="1" x14ac:dyDescent="0.3"/>
    <row r="3688" customFormat="1" x14ac:dyDescent="0.3"/>
    <row r="3689" customFormat="1" x14ac:dyDescent="0.3"/>
    <row r="3690" customFormat="1" x14ac:dyDescent="0.3"/>
    <row r="3691" customFormat="1" x14ac:dyDescent="0.3"/>
    <row r="3692" customFormat="1" x14ac:dyDescent="0.3"/>
    <row r="3693" customFormat="1" x14ac:dyDescent="0.3"/>
    <row r="3694" customFormat="1" x14ac:dyDescent="0.3"/>
    <row r="3695" customFormat="1" x14ac:dyDescent="0.3"/>
    <row r="3696" customFormat="1" x14ac:dyDescent="0.3"/>
    <row r="3697" customFormat="1" x14ac:dyDescent="0.3"/>
    <row r="3698" customFormat="1" x14ac:dyDescent="0.3"/>
    <row r="3699" customFormat="1" x14ac:dyDescent="0.3"/>
    <row r="3700" customFormat="1" x14ac:dyDescent="0.3"/>
    <row r="3701" customFormat="1" x14ac:dyDescent="0.3"/>
    <row r="3702" customFormat="1" x14ac:dyDescent="0.3"/>
    <row r="3703" customFormat="1" x14ac:dyDescent="0.3"/>
    <row r="3704" customFormat="1" x14ac:dyDescent="0.3"/>
    <row r="3705" customFormat="1" x14ac:dyDescent="0.3"/>
    <row r="3706" customFormat="1" x14ac:dyDescent="0.3"/>
    <row r="3707" customFormat="1" x14ac:dyDescent="0.3"/>
    <row r="3708" customFormat="1" x14ac:dyDescent="0.3"/>
    <row r="3709" customFormat="1" x14ac:dyDescent="0.3"/>
    <row r="3710" customFormat="1" x14ac:dyDescent="0.3"/>
    <row r="3711" customFormat="1" x14ac:dyDescent="0.3"/>
    <row r="3712" customFormat="1" x14ac:dyDescent="0.3"/>
    <row r="3713" customFormat="1" x14ac:dyDescent="0.3"/>
    <row r="3714" customFormat="1" x14ac:dyDescent="0.3"/>
    <row r="3715" customFormat="1" x14ac:dyDescent="0.3"/>
    <row r="3716" customFormat="1" x14ac:dyDescent="0.3"/>
    <row r="3717" customFormat="1" x14ac:dyDescent="0.3"/>
    <row r="3718" customFormat="1" x14ac:dyDescent="0.3"/>
    <row r="3719" customFormat="1" x14ac:dyDescent="0.3"/>
    <row r="3720" customFormat="1" x14ac:dyDescent="0.3"/>
    <row r="3721" customFormat="1" x14ac:dyDescent="0.3"/>
    <row r="3722" customFormat="1" x14ac:dyDescent="0.3"/>
    <row r="3723" customFormat="1" x14ac:dyDescent="0.3"/>
    <row r="3724" customFormat="1" x14ac:dyDescent="0.3"/>
    <row r="3725" customFormat="1" x14ac:dyDescent="0.3"/>
    <row r="3726" customFormat="1" x14ac:dyDescent="0.3"/>
    <row r="3727" customFormat="1" x14ac:dyDescent="0.3"/>
    <row r="3728" customFormat="1" x14ac:dyDescent="0.3"/>
    <row r="3729" customFormat="1" x14ac:dyDescent="0.3"/>
    <row r="3730" customFormat="1" x14ac:dyDescent="0.3"/>
    <row r="3731" customFormat="1" x14ac:dyDescent="0.3"/>
    <row r="3732" customFormat="1" x14ac:dyDescent="0.3"/>
    <row r="3733" customFormat="1" x14ac:dyDescent="0.3"/>
    <row r="3734" customFormat="1" x14ac:dyDescent="0.3"/>
    <row r="3735" customFormat="1" x14ac:dyDescent="0.3"/>
    <row r="3736" customFormat="1" x14ac:dyDescent="0.3"/>
    <row r="3737" customFormat="1" x14ac:dyDescent="0.3"/>
    <row r="3738" customFormat="1" x14ac:dyDescent="0.3"/>
    <row r="3739" customFormat="1" x14ac:dyDescent="0.3"/>
    <row r="3740" customFormat="1" x14ac:dyDescent="0.3"/>
    <row r="3741" customFormat="1" x14ac:dyDescent="0.3"/>
    <row r="3742" customFormat="1" x14ac:dyDescent="0.3"/>
    <row r="3743" customFormat="1" x14ac:dyDescent="0.3"/>
    <row r="3744" customFormat="1" x14ac:dyDescent="0.3"/>
    <row r="3745" customFormat="1" x14ac:dyDescent="0.3"/>
    <row r="3746" customFormat="1" x14ac:dyDescent="0.3"/>
    <row r="3747" customFormat="1" x14ac:dyDescent="0.3"/>
    <row r="3748" customFormat="1" x14ac:dyDescent="0.3"/>
    <row r="3749" customFormat="1" x14ac:dyDescent="0.3"/>
    <row r="3750" customFormat="1" x14ac:dyDescent="0.3"/>
    <row r="3751" customFormat="1" x14ac:dyDescent="0.3"/>
    <row r="3752" customFormat="1" x14ac:dyDescent="0.3"/>
    <row r="3753" customFormat="1" x14ac:dyDescent="0.3"/>
    <row r="3754" customFormat="1" x14ac:dyDescent="0.3"/>
    <row r="3755" customFormat="1" x14ac:dyDescent="0.3"/>
    <row r="3756" customFormat="1" x14ac:dyDescent="0.3"/>
    <row r="3757" customFormat="1" x14ac:dyDescent="0.3"/>
    <row r="3758" customFormat="1" x14ac:dyDescent="0.3"/>
    <row r="3759" customFormat="1" x14ac:dyDescent="0.3"/>
    <row r="3760" customFormat="1" x14ac:dyDescent="0.3"/>
    <row r="3761" customFormat="1" x14ac:dyDescent="0.3"/>
    <row r="3762" customFormat="1" x14ac:dyDescent="0.3"/>
    <row r="3763" customFormat="1" x14ac:dyDescent="0.3"/>
    <row r="3764" customFormat="1" x14ac:dyDescent="0.3"/>
    <row r="3765" customFormat="1" x14ac:dyDescent="0.3"/>
    <row r="3766" customFormat="1" x14ac:dyDescent="0.3"/>
    <row r="3767" customFormat="1" x14ac:dyDescent="0.3"/>
    <row r="3768" customFormat="1" x14ac:dyDescent="0.3"/>
    <row r="3769" customFormat="1" x14ac:dyDescent="0.3"/>
    <row r="3770" customFormat="1" x14ac:dyDescent="0.3"/>
    <row r="3771" customFormat="1" x14ac:dyDescent="0.3"/>
    <row r="3772" customFormat="1" x14ac:dyDescent="0.3"/>
    <row r="3773" customFormat="1" x14ac:dyDescent="0.3"/>
    <row r="3774" customFormat="1" x14ac:dyDescent="0.3"/>
    <row r="3775" customFormat="1" x14ac:dyDescent="0.3"/>
    <row r="3776" customFormat="1" x14ac:dyDescent="0.3"/>
    <row r="3777" customFormat="1" x14ac:dyDescent="0.3"/>
    <row r="3778" customFormat="1" x14ac:dyDescent="0.3"/>
    <row r="3779" customFormat="1" x14ac:dyDescent="0.3"/>
    <row r="3780" customFormat="1" x14ac:dyDescent="0.3"/>
    <row r="3781" customFormat="1" x14ac:dyDescent="0.3"/>
    <row r="3782" customFormat="1" x14ac:dyDescent="0.3"/>
    <row r="3783" customFormat="1" x14ac:dyDescent="0.3"/>
    <row r="3784" customFormat="1" x14ac:dyDescent="0.3"/>
    <row r="3785" customFormat="1" x14ac:dyDescent="0.3"/>
    <row r="3786" customFormat="1" x14ac:dyDescent="0.3"/>
    <row r="3787" customFormat="1" x14ac:dyDescent="0.3"/>
    <row r="3788" customFormat="1" x14ac:dyDescent="0.3"/>
    <row r="3789" customFormat="1" x14ac:dyDescent="0.3"/>
    <row r="3790" customFormat="1" x14ac:dyDescent="0.3"/>
    <row r="3791" customFormat="1" x14ac:dyDescent="0.3"/>
    <row r="3792" customFormat="1" x14ac:dyDescent="0.3"/>
    <row r="3793" customFormat="1" x14ac:dyDescent="0.3"/>
    <row r="3794" customFormat="1" x14ac:dyDescent="0.3"/>
    <row r="3795" customFormat="1" x14ac:dyDescent="0.3"/>
    <row r="3796" customFormat="1" x14ac:dyDescent="0.3"/>
    <row r="3797" customFormat="1" x14ac:dyDescent="0.3"/>
    <row r="3798" customFormat="1" x14ac:dyDescent="0.3"/>
    <row r="3799" customFormat="1" x14ac:dyDescent="0.3"/>
    <row r="3800" customFormat="1" x14ac:dyDescent="0.3"/>
    <row r="3801" customFormat="1" x14ac:dyDescent="0.3"/>
    <row r="3802" customFormat="1" x14ac:dyDescent="0.3"/>
    <row r="3803" customFormat="1" x14ac:dyDescent="0.3"/>
    <row r="3804" customFormat="1" x14ac:dyDescent="0.3"/>
    <row r="3805" customFormat="1" x14ac:dyDescent="0.3"/>
    <row r="3806" customFormat="1" x14ac:dyDescent="0.3"/>
    <row r="3807" customFormat="1" x14ac:dyDescent="0.3"/>
    <row r="3808" customFormat="1" x14ac:dyDescent="0.3"/>
    <row r="3809" customFormat="1" x14ac:dyDescent="0.3"/>
    <row r="3810" customFormat="1" x14ac:dyDescent="0.3"/>
    <row r="3811" customFormat="1" x14ac:dyDescent="0.3"/>
    <row r="3812" customFormat="1" x14ac:dyDescent="0.3"/>
    <row r="3813" customFormat="1" x14ac:dyDescent="0.3"/>
    <row r="3814" customFormat="1" x14ac:dyDescent="0.3"/>
    <row r="3815" customFormat="1" x14ac:dyDescent="0.3"/>
    <row r="3816" customFormat="1" x14ac:dyDescent="0.3"/>
    <row r="3817" customFormat="1" x14ac:dyDescent="0.3"/>
    <row r="3818" customFormat="1" x14ac:dyDescent="0.3"/>
    <row r="3819" customFormat="1" x14ac:dyDescent="0.3"/>
    <row r="3820" customFormat="1" x14ac:dyDescent="0.3"/>
    <row r="3821" customFormat="1" x14ac:dyDescent="0.3"/>
    <row r="3822" customFormat="1" x14ac:dyDescent="0.3"/>
    <row r="3823" customFormat="1" x14ac:dyDescent="0.3"/>
    <row r="3824" customFormat="1" x14ac:dyDescent="0.3"/>
    <row r="3825" customFormat="1" x14ac:dyDescent="0.3"/>
    <row r="3826" customFormat="1" x14ac:dyDescent="0.3"/>
    <row r="3827" customFormat="1" x14ac:dyDescent="0.3"/>
    <row r="3828" customFormat="1" x14ac:dyDescent="0.3"/>
    <row r="3829" customFormat="1" x14ac:dyDescent="0.3"/>
    <row r="3830" customFormat="1" x14ac:dyDescent="0.3"/>
    <row r="3831" customFormat="1" x14ac:dyDescent="0.3"/>
    <row r="3832" customFormat="1" x14ac:dyDescent="0.3"/>
    <row r="3833" customFormat="1" x14ac:dyDescent="0.3"/>
    <row r="3834" customFormat="1" x14ac:dyDescent="0.3"/>
    <row r="3835" customFormat="1" x14ac:dyDescent="0.3"/>
    <row r="3836" customFormat="1" x14ac:dyDescent="0.3"/>
    <row r="3837" customFormat="1" x14ac:dyDescent="0.3"/>
    <row r="3838" customFormat="1" x14ac:dyDescent="0.3"/>
    <row r="3839" customFormat="1" x14ac:dyDescent="0.3"/>
    <row r="3840" customFormat="1" x14ac:dyDescent="0.3"/>
    <row r="3841" customFormat="1" x14ac:dyDescent="0.3"/>
    <row r="3842" customFormat="1" x14ac:dyDescent="0.3"/>
    <row r="3843" customFormat="1" x14ac:dyDescent="0.3"/>
    <row r="3844" customFormat="1" x14ac:dyDescent="0.3"/>
    <row r="3845" customFormat="1" x14ac:dyDescent="0.3"/>
    <row r="3846" customFormat="1" x14ac:dyDescent="0.3"/>
    <row r="3847" customFormat="1" x14ac:dyDescent="0.3"/>
    <row r="3848" customFormat="1" x14ac:dyDescent="0.3"/>
    <row r="3849" customFormat="1" x14ac:dyDescent="0.3"/>
    <row r="3850" customFormat="1" x14ac:dyDescent="0.3"/>
    <row r="3851" customFormat="1" x14ac:dyDescent="0.3"/>
    <row r="3852" customFormat="1" x14ac:dyDescent="0.3"/>
    <row r="3853" customFormat="1" x14ac:dyDescent="0.3"/>
    <row r="3854" customFormat="1" x14ac:dyDescent="0.3"/>
    <row r="3855" customFormat="1" x14ac:dyDescent="0.3"/>
    <row r="3856" customFormat="1" x14ac:dyDescent="0.3"/>
    <row r="3857" customFormat="1" x14ac:dyDescent="0.3"/>
    <row r="3858" customFormat="1" x14ac:dyDescent="0.3"/>
    <row r="3859" customFormat="1" x14ac:dyDescent="0.3"/>
    <row r="3860" customFormat="1" x14ac:dyDescent="0.3"/>
    <row r="3861" customFormat="1" x14ac:dyDescent="0.3"/>
    <row r="3862" customFormat="1" x14ac:dyDescent="0.3"/>
    <row r="3863" customFormat="1" x14ac:dyDescent="0.3"/>
    <row r="3864" customFormat="1" x14ac:dyDescent="0.3"/>
    <row r="3865" customFormat="1" x14ac:dyDescent="0.3"/>
    <row r="3866" customFormat="1" x14ac:dyDescent="0.3"/>
    <row r="3867" customFormat="1" x14ac:dyDescent="0.3"/>
    <row r="3868" customFormat="1" x14ac:dyDescent="0.3"/>
    <row r="3869" customFormat="1" x14ac:dyDescent="0.3"/>
    <row r="3870" customFormat="1" x14ac:dyDescent="0.3"/>
    <row r="3871" customFormat="1" x14ac:dyDescent="0.3"/>
    <row r="3872" customFormat="1" x14ac:dyDescent="0.3"/>
    <row r="3873" customFormat="1" x14ac:dyDescent="0.3"/>
    <row r="3874" customFormat="1" x14ac:dyDescent="0.3"/>
    <row r="3875" customFormat="1" x14ac:dyDescent="0.3"/>
    <row r="3876" customFormat="1" x14ac:dyDescent="0.3"/>
    <row r="3877" customFormat="1" x14ac:dyDescent="0.3"/>
    <row r="3878" customFormat="1" x14ac:dyDescent="0.3"/>
    <row r="3879" customFormat="1" x14ac:dyDescent="0.3"/>
    <row r="3880" customFormat="1" x14ac:dyDescent="0.3"/>
    <row r="3881" customFormat="1" x14ac:dyDescent="0.3"/>
    <row r="3882" customFormat="1" x14ac:dyDescent="0.3"/>
    <row r="3883" customFormat="1" x14ac:dyDescent="0.3"/>
    <row r="3884" customFormat="1" x14ac:dyDescent="0.3"/>
    <row r="3885" customFormat="1" x14ac:dyDescent="0.3"/>
    <row r="3886" customFormat="1" x14ac:dyDescent="0.3"/>
    <row r="3887" customFormat="1" x14ac:dyDescent="0.3"/>
    <row r="3888" customFormat="1" x14ac:dyDescent="0.3"/>
    <row r="3889" customFormat="1" x14ac:dyDescent="0.3"/>
    <row r="3890" customFormat="1" x14ac:dyDescent="0.3"/>
    <row r="3891" customFormat="1" x14ac:dyDescent="0.3"/>
    <row r="3892" customFormat="1" x14ac:dyDescent="0.3"/>
    <row r="3893" customFormat="1" x14ac:dyDescent="0.3"/>
    <row r="3894" customFormat="1" x14ac:dyDescent="0.3"/>
    <row r="3895" customFormat="1" x14ac:dyDescent="0.3"/>
    <row r="3896" customFormat="1" x14ac:dyDescent="0.3"/>
    <row r="3897" customFormat="1" x14ac:dyDescent="0.3"/>
    <row r="3898" customFormat="1" x14ac:dyDescent="0.3"/>
    <row r="3899" customFormat="1" x14ac:dyDescent="0.3"/>
    <row r="3900" customFormat="1" x14ac:dyDescent="0.3"/>
    <row r="3901" customFormat="1" x14ac:dyDescent="0.3"/>
    <row r="3902" customFormat="1" x14ac:dyDescent="0.3"/>
    <row r="3903" customFormat="1" x14ac:dyDescent="0.3"/>
    <row r="3904" customFormat="1" x14ac:dyDescent="0.3"/>
    <row r="3905" customFormat="1" x14ac:dyDescent="0.3"/>
    <row r="3906" customFormat="1" x14ac:dyDescent="0.3"/>
    <row r="3907" customFormat="1" x14ac:dyDescent="0.3"/>
    <row r="3908" customFormat="1" x14ac:dyDescent="0.3"/>
    <row r="3909" customFormat="1" x14ac:dyDescent="0.3"/>
    <row r="3910" customFormat="1" x14ac:dyDescent="0.3"/>
    <row r="3911" customFormat="1" x14ac:dyDescent="0.3"/>
    <row r="3912" customFormat="1" x14ac:dyDescent="0.3"/>
    <row r="3913" customFormat="1" x14ac:dyDescent="0.3"/>
    <row r="3914" customFormat="1" x14ac:dyDescent="0.3"/>
    <row r="3915" customFormat="1" x14ac:dyDescent="0.3"/>
    <row r="3916" customFormat="1" x14ac:dyDescent="0.3"/>
    <row r="3917" customFormat="1" x14ac:dyDescent="0.3"/>
    <row r="3918" customFormat="1" x14ac:dyDescent="0.3"/>
    <row r="3919" customFormat="1" x14ac:dyDescent="0.3"/>
    <row r="3920" customFormat="1" x14ac:dyDescent="0.3"/>
    <row r="3921" customFormat="1" x14ac:dyDescent="0.3"/>
    <row r="3922" customFormat="1" x14ac:dyDescent="0.3"/>
    <row r="3923" customFormat="1" x14ac:dyDescent="0.3"/>
    <row r="3924" customFormat="1" x14ac:dyDescent="0.3"/>
    <row r="3925" customFormat="1" x14ac:dyDescent="0.3"/>
    <row r="3926" customFormat="1" x14ac:dyDescent="0.3"/>
    <row r="3927" customFormat="1" x14ac:dyDescent="0.3"/>
    <row r="3928" customFormat="1" x14ac:dyDescent="0.3"/>
    <row r="3929" customFormat="1" x14ac:dyDescent="0.3"/>
    <row r="3930" customFormat="1" x14ac:dyDescent="0.3"/>
    <row r="3931" customFormat="1" x14ac:dyDescent="0.3"/>
    <row r="3932" customFormat="1" x14ac:dyDescent="0.3"/>
    <row r="3933" customFormat="1" x14ac:dyDescent="0.3"/>
    <row r="3934" customFormat="1" x14ac:dyDescent="0.3"/>
    <row r="3935" customFormat="1" x14ac:dyDescent="0.3"/>
    <row r="3936" customFormat="1" x14ac:dyDescent="0.3"/>
    <row r="3937" customFormat="1" x14ac:dyDescent="0.3"/>
    <row r="3938" customFormat="1" x14ac:dyDescent="0.3"/>
    <row r="3939" customFormat="1" x14ac:dyDescent="0.3"/>
    <row r="3940" customFormat="1" x14ac:dyDescent="0.3"/>
    <row r="3941" customFormat="1" x14ac:dyDescent="0.3"/>
    <row r="3942" customFormat="1" x14ac:dyDescent="0.3"/>
    <row r="3943" customFormat="1" x14ac:dyDescent="0.3"/>
    <row r="3944" customFormat="1" x14ac:dyDescent="0.3"/>
    <row r="3945" customFormat="1" x14ac:dyDescent="0.3"/>
    <row r="3946" customFormat="1" x14ac:dyDescent="0.3"/>
    <row r="3947" customFormat="1" x14ac:dyDescent="0.3"/>
    <row r="3948" customFormat="1" x14ac:dyDescent="0.3"/>
    <row r="3949" customFormat="1" x14ac:dyDescent="0.3"/>
    <row r="3950" customFormat="1" x14ac:dyDescent="0.3"/>
    <row r="3951" customFormat="1" x14ac:dyDescent="0.3"/>
    <row r="3952" customFormat="1" x14ac:dyDescent="0.3"/>
    <row r="3953" customFormat="1" x14ac:dyDescent="0.3"/>
    <row r="3954" customFormat="1" x14ac:dyDescent="0.3"/>
    <row r="3955" customFormat="1" x14ac:dyDescent="0.3"/>
    <row r="3956" customFormat="1" x14ac:dyDescent="0.3"/>
    <row r="3957" customFormat="1" x14ac:dyDescent="0.3"/>
    <row r="3958" customFormat="1" x14ac:dyDescent="0.3"/>
    <row r="3959" customFormat="1" x14ac:dyDescent="0.3"/>
    <row r="3960" customFormat="1" x14ac:dyDescent="0.3"/>
    <row r="3961" customFormat="1" x14ac:dyDescent="0.3"/>
    <row r="3962" customFormat="1" x14ac:dyDescent="0.3"/>
    <row r="3963" customFormat="1" x14ac:dyDescent="0.3"/>
    <row r="3964" customFormat="1" x14ac:dyDescent="0.3"/>
    <row r="3965" customFormat="1" x14ac:dyDescent="0.3"/>
    <row r="3966" customFormat="1" x14ac:dyDescent="0.3"/>
    <row r="3967" customFormat="1" x14ac:dyDescent="0.3"/>
    <row r="3968" customFormat="1" x14ac:dyDescent="0.3"/>
    <row r="3969" customFormat="1" x14ac:dyDescent="0.3"/>
    <row r="3970" customFormat="1" x14ac:dyDescent="0.3"/>
    <row r="3971" customFormat="1" x14ac:dyDescent="0.3"/>
    <row r="3972" customFormat="1" x14ac:dyDescent="0.3"/>
    <row r="3973" customFormat="1" x14ac:dyDescent="0.3"/>
    <row r="3974" customFormat="1" x14ac:dyDescent="0.3"/>
    <row r="3975" customFormat="1" x14ac:dyDescent="0.3"/>
    <row r="3976" customFormat="1" x14ac:dyDescent="0.3"/>
    <row r="3977" customFormat="1" x14ac:dyDescent="0.3"/>
    <row r="3978" customFormat="1" x14ac:dyDescent="0.3"/>
    <row r="3979" customFormat="1" x14ac:dyDescent="0.3"/>
    <row r="3980" customFormat="1" x14ac:dyDescent="0.3"/>
    <row r="3981" customFormat="1" x14ac:dyDescent="0.3"/>
    <row r="3982" customFormat="1" x14ac:dyDescent="0.3"/>
    <row r="3983" customFormat="1" x14ac:dyDescent="0.3"/>
    <row r="3984" customFormat="1" x14ac:dyDescent="0.3"/>
    <row r="3985" customFormat="1" x14ac:dyDescent="0.3"/>
    <row r="3986" customFormat="1" x14ac:dyDescent="0.3"/>
    <row r="3987" customFormat="1" x14ac:dyDescent="0.3"/>
    <row r="3988" customFormat="1" x14ac:dyDescent="0.3"/>
    <row r="3989" customFormat="1" x14ac:dyDescent="0.3"/>
    <row r="3990" customFormat="1" x14ac:dyDescent="0.3"/>
    <row r="3991" customFormat="1" x14ac:dyDescent="0.3"/>
    <row r="3992" customFormat="1" x14ac:dyDescent="0.3"/>
    <row r="3993" customFormat="1" x14ac:dyDescent="0.3"/>
    <row r="3994" customFormat="1" x14ac:dyDescent="0.3"/>
    <row r="3995" customFormat="1" x14ac:dyDescent="0.3"/>
    <row r="3996" customFormat="1" x14ac:dyDescent="0.3"/>
    <row r="3997" customFormat="1" x14ac:dyDescent="0.3"/>
    <row r="3998" customFormat="1" x14ac:dyDescent="0.3"/>
    <row r="3999" customFormat="1" x14ac:dyDescent="0.3"/>
    <row r="4000" customFormat="1" x14ac:dyDescent="0.3"/>
    <row r="4001" customFormat="1" x14ac:dyDescent="0.3"/>
    <row r="4002" customFormat="1" x14ac:dyDescent="0.3"/>
    <row r="4003" customFormat="1" x14ac:dyDescent="0.3"/>
    <row r="4004" customFormat="1" x14ac:dyDescent="0.3"/>
    <row r="4005" customFormat="1" x14ac:dyDescent="0.3"/>
    <row r="4006" customFormat="1" x14ac:dyDescent="0.3"/>
    <row r="4007" customFormat="1" x14ac:dyDescent="0.3"/>
    <row r="4008" customFormat="1" x14ac:dyDescent="0.3"/>
    <row r="4009" customFormat="1" x14ac:dyDescent="0.3"/>
    <row r="4010" customFormat="1" x14ac:dyDescent="0.3"/>
    <row r="4011" customFormat="1" x14ac:dyDescent="0.3"/>
    <row r="4012" customFormat="1" x14ac:dyDescent="0.3"/>
    <row r="4013" customFormat="1" x14ac:dyDescent="0.3"/>
    <row r="4014" customFormat="1" x14ac:dyDescent="0.3"/>
    <row r="4015" customFormat="1" x14ac:dyDescent="0.3"/>
    <row r="4016" customFormat="1" x14ac:dyDescent="0.3"/>
    <row r="4017" customFormat="1" x14ac:dyDescent="0.3"/>
    <row r="4018" customFormat="1" x14ac:dyDescent="0.3"/>
    <row r="4019" customFormat="1" x14ac:dyDescent="0.3"/>
    <row r="4020" customFormat="1" x14ac:dyDescent="0.3"/>
    <row r="4021" customFormat="1" x14ac:dyDescent="0.3"/>
    <row r="4022" customFormat="1" x14ac:dyDescent="0.3"/>
    <row r="4023" customFormat="1" x14ac:dyDescent="0.3"/>
    <row r="4024" customFormat="1" x14ac:dyDescent="0.3"/>
    <row r="4025" customFormat="1" x14ac:dyDescent="0.3"/>
    <row r="4026" customFormat="1" x14ac:dyDescent="0.3"/>
    <row r="4027" customFormat="1" x14ac:dyDescent="0.3"/>
    <row r="4028" customFormat="1" x14ac:dyDescent="0.3"/>
    <row r="4029" customFormat="1" x14ac:dyDescent="0.3"/>
    <row r="4030" customFormat="1" x14ac:dyDescent="0.3"/>
    <row r="4031" customFormat="1" x14ac:dyDescent="0.3"/>
    <row r="4032" customFormat="1" x14ac:dyDescent="0.3"/>
    <row r="4033" customFormat="1" x14ac:dyDescent="0.3"/>
    <row r="4034" customFormat="1" x14ac:dyDescent="0.3"/>
    <row r="4035" customFormat="1" x14ac:dyDescent="0.3"/>
    <row r="4036" customFormat="1" x14ac:dyDescent="0.3"/>
    <row r="4037" customFormat="1" x14ac:dyDescent="0.3"/>
    <row r="4038" customFormat="1" x14ac:dyDescent="0.3"/>
    <row r="4039" customFormat="1" x14ac:dyDescent="0.3"/>
    <row r="4040" customFormat="1" x14ac:dyDescent="0.3"/>
    <row r="4041" customFormat="1" x14ac:dyDescent="0.3"/>
    <row r="4042" customFormat="1" x14ac:dyDescent="0.3"/>
    <row r="4043" customFormat="1" x14ac:dyDescent="0.3"/>
    <row r="4044" customFormat="1" x14ac:dyDescent="0.3"/>
    <row r="4045" customFormat="1" x14ac:dyDescent="0.3"/>
    <row r="4046" customFormat="1" x14ac:dyDescent="0.3"/>
    <row r="4047" customFormat="1" x14ac:dyDescent="0.3"/>
    <row r="4048" customFormat="1" x14ac:dyDescent="0.3"/>
    <row r="4049" customFormat="1" x14ac:dyDescent="0.3"/>
    <row r="4050" customFormat="1" x14ac:dyDescent="0.3"/>
    <row r="4051" customFormat="1" x14ac:dyDescent="0.3"/>
    <row r="4052" customFormat="1" x14ac:dyDescent="0.3"/>
    <row r="4053" customFormat="1" x14ac:dyDescent="0.3"/>
    <row r="4054" customFormat="1" x14ac:dyDescent="0.3"/>
    <row r="4055" customFormat="1" x14ac:dyDescent="0.3"/>
    <row r="4056" customFormat="1" x14ac:dyDescent="0.3"/>
    <row r="4057" customFormat="1" x14ac:dyDescent="0.3"/>
    <row r="4058" customFormat="1" x14ac:dyDescent="0.3"/>
    <row r="4059" customFormat="1" x14ac:dyDescent="0.3"/>
    <row r="4060" customFormat="1" x14ac:dyDescent="0.3"/>
    <row r="4061" customFormat="1" x14ac:dyDescent="0.3"/>
    <row r="4062" customFormat="1" x14ac:dyDescent="0.3"/>
    <row r="4063" customFormat="1" x14ac:dyDescent="0.3"/>
    <row r="4064" customFormat="1" x14ac:dyDescent="0.3"/>
    <row r="4065" customFormat="1" x14ac:dyDescent="0.3"/>
    <row r="4066" customFormat="1" x14ac:dyDescent="0.3"/>
    <row r="4067" customFormat="1" x14ac:dyDescent="0.3"/>
    <row r="4068" customFormat="1" x14ac:dyDescent="0.3"/>
    <row r="4069" customFormat="1" x14ac:dyDescent="0.3"/>
    <row r="4070" customFormat="1" x14ac:dyDescent="0.3"/>
    <row r="4071" customFormat="1" x14ac:dyDescent="0.3"/>
    <row r="4072" customFormat="1" x14ac:dyDescent="0.3"/>
    <row r="4073" customFormat="1" x14ac:dyDescent="0.3"/>
    <row r="4074" customFormat="1" x14ac:dyDescent="0.3"/>
    <row r="4075" customFormat="1" x14ac:dyDescent="0.3"/>
    <row r="4076" customFormat="1" x14ac:dyDescent="0.3"/>
    <row r="4077" customFormat="1" x14ac:dyDescent="0.3"/>
    <row r="4078" customFormat="1" x14ac:dyDescent="0.3"/>
    <row r="4079" customFormat="1" x14ac:dyDescent="0.3"/>
    <row r="4080" customFormat="1" x14ac:dyDescent="0.3"/>
    <row r="4081" customFormat="1" x14ac:dyDescent="0.3"/>
    <row r="4082" customFormat="1" x14ac:dyDescent="0.3"/>
    <row r="4083" customFormat="1" x14ac:dyDescent="0.3"/>
    <row r="4084" customFormat="1" x14ac:dyDescent="0.3"/>
    <row r="4085" customFormat="1" x14ac:dyDescent="0.3"/>
    <row r="4086" customFormat="1" x14ac:dyDescent="0.3"/>
    <row r="4087" customFormat="1" x14ac:dyDescent="0.3"/>
    <row r="4088" customFormat="1" x14ac:dyDescent="0.3"/>
    <row r="4089" customFormat="1" x14ac:dyDescent="0.3"/>
    <row r="4090" customFormat="1" x14ac:dyDescent="0.3"/>
    <row r="4091" customFormat="1" x14ac:dyDescent="0.3"/>
    <row r="4092" customFormat="1" x14ac:dyDescent="0.3"/>
    <row r="4093" customFormat="1" x14ac:dyDescent="0.3"/>
    <row r="4094" customFormat="1" x14ac:dyDescent="0.3"/>
    <row r="4095" customFormat="1" x14ac:dyDescent="0.3"/>
    <row r="4096" customFormat="1" x14ac:dyDescent="0.3"/>
    <row r="4097" customFormat="1" x14ac:dyDescent="0.3"/>
    <row r="4098" customFormat="1" x14ac:dyDescent="0.3"/>
    <row r="4099" customFormat="1" x14ac:dyDescent="0.3"/>
    <row r="4100" customFormat="1" x14ac:dyDescent="0.3"/>
    <row r="4101" customFormat="1" x14ac:dyDescent="0.3"/>
    <row r="4102" customFormat="1" x14ac:dyDescent="0.3"/>
    <row r="4103" customFormat="1" x14ac:dyDescent="0.3"/>
    <row r="4104" customFormat="1" x14ac:dyDescent="0.3"/>
    <row r="4105" customFormat="1" x14ac:dyDescent="0.3"/>
    <row r="4106" customFormat="1" x14ac:dyDescent="0.3"/>
    <row r="4107" customFormat="1" x14ac:dyDescent="0.3"/>
    <row r="4108" customFormat="1" x14ac:dyDescent="0.3"/>
    <row r="4109" customFormat="1" x14ac:dyDescent="0.3"/>
    <row r="4110" customFormat="1" x14ac:dyDescent="0.3"/>
    <row r="4111" customFormat="1" x14ac:dyDescent="0.3"/>
    <row r="4112" customFormat="1" x14ac:dyDescent="0.3"/>
    <row r="4113" customFormat="1" x14ac:dyDescent="0.3"/>
    <row r="4114" customFormat="1" x14ac:dyDescent="0.3"/>
    <row r="4115" customFormat="1" x14ac:dyDescent="0.3"/>
    <row r="4116" customFormat="1" x14ac:dyDescent="0.3"/>
    <row r="4117" customFormat="1" x14ac:dyDescent="0.3"/>
    <row r="4118" customFormat="1" x14ac:dyDescent="0.3"/>
    <row r="4119" customFormat="1" x14ac:dyDescent="0.3"/>
    <row r="4120" customFormat="1" x14ac:dyDescent="0.3"/>
    <row r="4121" customFormat="1" x14ac:dyDescent="0.3"/>
    <row r="4122" customFormat="1" x14ac:dyDescent="0.3"/>
    <row r="4123" customFormat="1" x14ac:dyDescent="0.3"/>
    <row r="4124" customFormat="1" x14ac:dyDescent="0.3"/>
    <row r="4125" customFormat="1" x14ac:dyDescent="0.3"/>
    <row r="4126" customFormat="1" x14ac:dyDescent="0.3"/>
    <row r="4127" customFormat="1" x14ac:dyDescent="0.3"/>
    <row r="4128" customFormat="1" x14ac:dyDescent="0.3"/>
    <row r="4129" customFormat="1" x14ac:dyDescent="0.3"/>
    <row r="4130" customFormat="1" x14ac:dyDescent="0.3"/>
    <row r="4131" customFormat="1" x14ac:dyDescent="0.3"/>
    <row r="4132" customFormat="1" x14ac:dyDescent="0.3"/>
    <row r="4133" customFormat="1" x14ac:dyDescent="0.3"/>
    <row r="4134" customFormat="1" x14ac:dyDescent="0.3"/>
    <row r="4135" customFormat="1" x14ac:dyDescent="0.3"/>
    <row r="4136" customFormat="1" x14ac:dyDescent="0.3"/>
    <row r="4137" customFormat="1" x14ac:dyDescent="0.3"/>
    <row r="4138" customFormat="1" x14ac:dyDescent="0.3"/>
    <row r="4139" customFormat="1" x14ac:dyDescent="0.3"/>
    <row r="4140" customFormat="1" x14ac:dyDescent="0.3"/>
    <row r="4141" customFormat="1" x14ac:dyDescent="0.3"/>
    <row r="4142" customFormat="1" x14ac:dyDescent="0.3"/>
    <row r="4143" customFormat="1" x14ac:dyDescent="0.3"/>
    <row r="4144" customFormat="1" x14ac:dyDescent="0.3"/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  <row r="4189" customFormat="1" x14ac:dyDescent="0.3"/>
    <row r="4190" customFormat="1" x14ac:dyDescent="0.3"/>
    <row r="4191" customFormat="1" x14ac:dyDescent="0.3"/>
    <row r="4192" customFormat="1" x14ac:dyDescent="0.3"/>
    <row r="4193" customFormat="1" x14ac:dyDescent="0.3"/>
    <row r="4194" customFormat="1" x14ac:dyDescent="0.3"/>
    <row r="4195" customFormat="1" x14ac:dyDescent="0.3"/>
    <row r="4196" customFormat="1" x14ac:dyDescent="0.3"/>
    <row r="4197" customFormat="1" x14ac:dyDescent="0.3"/>
    <row r="4198" customFormat="1" x14ac:dyDescent="0.3"/>
    <row r="4199" customFormat="1" x14ac:dyDescent="0.3"/>
    <row r="4200" customFormat="1" x14ac:dyDescent="0.3"/>
    <row r="4201" customFormat="1" x14ac:dyDescent="0.3"/>
    <row r="4202" customFormat="1" x14ac:dyDescent="0.3"/>
    <row r="4203" customFormat="1" x14ac:dyDescent="0.3"/>
    <row r="4204" customFormat="1" x14ac:dyDescent="0.3"/>
    <row r="4205" customFormat="1" x14ac:dyDescent="0.3"/>
    <row r="4206" customFormat="1" x14ac:dyDescent="0.3"/>
    <row r="4207" customFormat="1" x14ac:dyDescent="0.3"/>
    <row r="4208" customFormat="1" x14ac:dyDescent="0.3"/>
    <row r="4209" customFormat="1" x14ac:dyDescent="0.3"/>
    <row r="4210" customFormat="1" x14ac:dyDescent="0.3"/>
    <row r="4211" customFormat="1" x14ac:dyDescent="0.3"/>
    <row r="4212" customFormat="1" x14ac:dyDescent="0.3"/>
    <row r="4213" customFormat="1" x14ac:dyDescent="0.3"/>
    <row r="4214" customFormat="1" x14ac:dyDescent="0.3"/>
    <row r="4215" customFormat="1" x14ac:dyDescent="0.3"/>
    <row r="4216" customFormat="1" x14ac:dyDescent="0.3"/>
    <row r="4217" customFormat="1" x14ac:dyDescent="0.3"/>
    <row r="4218" customFormat="1" x14ac:dyDescent="0.3"/>
    <row r="4219" customFormat="1" x14ac:dyDescent="0.3"/>
    <row r="4220" customFormat="1" x14ac:dyDescent="0.3"/>
    <row r="4221" customFormat="1" x14ac:dyDescent="0.3"/>
    <row r="4222" customFormat="1" x14ac:dyDescent="0.3"/>
    <row r="4223" customFormat="1" x14ac:dyDescent="0.3"/>
    <row r="4224" customFormat="1" x14ac:dyDescent="0.3"/>
    <row r="4225" customFormat="1" x14ac:dyDescent="0.3"/>
    <row r="4226" customFormat="1" x14ac:dyDescent="0.3"/>
    <row r="4227" customFormat="1" x14ac:dyDescent="0.3"/>
    <row r="4228" customFormat="1" x14ac:dyDescent="0.3"/>
    <row r="4229" customFormat="1" x14ac:dyDescent="0.3"/>
    <row r="4230" customFormat="1" x14ac:dyDescent="0.3"/>
    <row r="4231" customFormat="1" x14ac:dyDescent="0.3"/>
    <row r="4232" customFormat="1" x14ac:dyDescent="0.3"/>
    <row r="4233" customFormat="1" x14ac:dyDescent="0.3"/>
    <row r="4234" customFormat="1" x14ac:dyDescent="0.3"/>
    <row r="4235" customFormat="1" x14ac:dyDescent="0.3"/>
    <row r="4236" customFormat="1" x14ac:dyDescent="0.3"/>
    <row r="4237" customFormat="1" x14ac:dyDescent="0.3"/>
    <row r="4238" customFormat="1" x14ac:dyDescent="0.3"/>
    <row r="4239" customFormat="1" x14ac:dyDescent="0.3"/>
    <row r="4240" customFormat="1" x14ac:dyDescent="0.3"/>
    <row r="4241" customFormat="1" x14ac:dyDescent="0.3"/>
    <row r="4242" customFormat="1" x14ac:dyDescent="0.3"/>
    <row r="4243" customFormat="1" x14ac:dyDescent="0.3"/>
    <row r="4244" customFormat="1" x14ac:dyDescent="0.3"/>
    <row r="4245" customFormat="1" x14ac:dyDescent="0.3"/>
    <row r="4246" customFormat="1" x14ac:dyDescent="0.3"/>
    <row r="4247" customFormat="1" x14ac:dyDescent="0.3"/>
    <row r="4248" customFormat="1" x14ac:dyDescent="0.3"/>
    <row r="4249" customFormat="1" x14ac:dyDescent="0.3"/>
    <row r="4250" customFormat="1" x14ac:dyDescent="0.3"/>
    <row r="4251" customFormat="1" x14ac:dyDescent="0.3"/>
    <row r="4252" customFormat="1" x14ac:dyDescent="0.3"/>
    <row r="4253" customFormat="1" x14ac:dyDescent="0.3"/>
    <row r="4254" customFormat="1" x14ac:dyDescent="0.3"/>
    <row r="4255" customFormat="1" x14ac:dyDescent="0.3"/>
    <row r="4256" customFormat="1" x14ac:dyDescent="0.3"/>
    <row r="4257" customFormat="1" x14ac:dyDescent="0.3"/>
    <row r="4258" customFormat="1" x14ac:dyDescent="0.3"/>
    <row r="4259" customFormat="1" x14ac:dyDescent="0.3"/>
    <row r="4260" customFormat="1" x14ac:dyDescent="0.3"/>
    <row r="4261" customFormat="1" x14ac:dyDescent="0.3"/>
    <row r="4262" customFormat="1" x14ac:dyDescent="0.3"/>
    <row r="4263" customFormat="1" x14ac:dyDescent="0.3"/>
    <row r="4264" customFormat="1" x14ac:dyDescent="0.3"/>
    <row r="4265" customFormat="1" x14ac:dyDescent="0.3"/>
    <row r="4266" customFormat="1" x14ac:dyDescent="0.3"/>
    <row r="4267" customFormat="1" x14ac:dyDescent="0.3"/>
    <row r="4268" customFormat="1" x14ac:dyDescent="0.3"/>
    <row r="4269" customFormat="1" x14ac:dyDescent="0.3"/>
    <row r="4270" customFormat="1" x14ac:dyDescent="0.3"/>
    <row r="4271" customFormat="1" x14ac:dyDescent="0.3"/>
    <row r="4272" customFormat="1" x14ac:dyDescent="0.3"/>
    <row r="4273" customFormat="1" x14ac:dyDescent="0.3"/>
    <row r="4274" customFormat="1" x14ac:dyDescent="0.3"/>
    <row r="4275" customFormat="1" x14ac:dyDescent="0.3"/>
    <row r="4276" customFormat="1" x14ac:dyDescent="0.3"/>
    <row r="4277" customFormat="1" x14ac:dyDescent="0.3"/>
    <row r="4278" customFormat="1" x14ac:dyDescent="0.3"/>
    <row r="4279" customFormat="1" x14ac:dyDescent="0.3"/>
    <row r="4280" customFormat="1" x14ac:dyDescent="0.3"/>
    <row r="4281" customFormat="1" x14ac:dyDescent="0.3"/>
    <row r="4282" customFormat="1" x14ac:dyDescent="0.3"/>
    <row r="4283" customFormat="1" x14ac:dyDescent="0.3"/>
    <row r="4284" customFormat="1" x14ac:dyDescent="0.3"/>
    <row r="4285" customFormat="1" x14ac:dyDescent="0.3"/>
    <row r="4286" customFormat="1" x14ac:dyDescent="0.3"/>
    <row r="4287" customFormat="1" x14ac:dyDescent="0.3"/>
    <row r="4288" customFormat="1" x14ac:dyDescent="0.3"/>
    <row r="4289" customFormat="1" x14ac:dyDescent="0.3"/>
    <row r="4290" customFormat="1" x14ac:dyDescent="0.3"/>
    <row r="4291" customFormat="1" x14ac:dyDescent="0.3"/>
    <row r="4292" customFormat="1" x14ac:dyDescent="0.3"/>
    <row r="4293" customFormat="1" x14ac:dyDescent="0.3"/>
    <row r="4294" customFormat="1" x14ac:dyDescent="0.3"/>
    <row r="4295" customFormat="1" x14ac:dyDescent="0.3"/>
    <row r="4296" customFormat="1" x14ac:dyDescent="0.3"/>
    <row r="4297" customFormat="1" x14ac:dyDescent="0.3"/>
    <row r="4298" customFormat="1" x14ac:dyDescent="0.3"/>
    <row r="4299" customFormat="1" x14ac:dyDescent="0.3"/>
    <row r="4300" customFormat="1" x14ac:dyDescent="0.3"/>
    <row r="4301" customFormat="1" x14ac:dyDescent="0.3"/>
    <row r="4302" customFormat="1" x14ac:dyDescent="0.3"/>
    <row r="4303" customFormat="1" x14ac:dyDescent="0.3"/>
    <row r="4304" customFormat="1" x14ac:dyDescent="0.3"/>
    <row r="4305" customFormat="1" x14ac:dyDescent="0.3"/>
    <row r="4306" customFormat="1" x14ac:dyDescent="0.3"/>
    <row r="4307" customFormat="1" x14ac:dyDescent="0.3"/>
    <row r="4308" customFormat="1" x14ac:dyDescent="0.3"/>
    <row r="4309" customFormat="1" x14ac:dyDescent="0.3"/>
    <row r="4310" customFormat="1" x14ac:dyDescent="0.3"/>
    <row r="4311" customFormat="1" x14ac:dyDescent="0.3"/>
    <row r="4312" customFormat="1" x14ac:dyDescent="0.3"/>
    <row r="4313" customFormat="1" x14ac:dyDescent="0.3"/>
    <row r="4314" customFormat="1" x14ac:dyDescent="0.3"/>
    <row r="4315" customFormat="1" x14ac:dyDescent="0.3"/>
    <row r="4316" customFormat="1" x14ac:dyDescent="0.3"/>
    <row r="4317" customFormat="1" x14ac:dyDescent="0.3"/>
    <row r="4318" customFormat="1" x14ac:dyDescent="0.3"/>
    <row r="4319" customFormat="1" x14ac:dyDescent="0.3"/>
    <row r="4320" customFormat="1" x14ac:dyDescent="0.3"/>
    <row r="4321" customFormat="1" x14ac:dyDescent="0.3"/>
    <row r="4322" customFormat="1" x14ac:dyDescent="0.3"/>
    <row r="4323" customFormat="1" x14ac:dyDescent="0.3"/>
    <row r="4324" customFormat="1" x14ac:dyDescent="0.3"/>
    <row r="4325" customFormat="1" x14ac:dyDescent="0.3"/>
    <row r="4326" customFormat="1" x14ac:dyDescent="0.3"/>
    <row r="4327" customFormat="1" x14ac:dyDescent="0.3"/>
    <row r="4328" customFormat="1" x14ac:dyDescent="0.3"/>
    <row r="4329" customFormat="1" x14ac:dyDescent="0.3"/>
    <row r="4330" customFormat="1" x14ac:dyDescent="0.3"/>
    <row r="4331" customFormat="1" x14ac:dyDescent="0.3"/>
    <row r="4332" customFormat="1" x14ac:dyDescent="0.3"/>
    <row r="4333" customFormat="1" x14ac:dyDescent="0.3"/>
    <row r="4334" customFormat="1" x14ac:dyDescent="0.3"/>
    <row r="4335" customFormat="1" x14ac:dyDescent="0.3"/>
    <row r="4336" customFormat="1" x14ac:dyDescent="0.3"/>
    <row r="4337" customFormat="1" x14ac:dyDescent="0.3"/>
    <row r="4338" customFormat="1" x14ac:dyDescent="0.3"/>
    <row r="4339" customFormat="1" x14ac:dyDescent="0.3"/>
    <row r="4340" customFormat="1" x14ac:dyDescent="0.3"/>
    <row r="4341" customFormat="1" x14ac:dyDescent="0.3"/>
    <row r="4342" customFormat="1" x14ac:dyDescent="0.3"/>
    <row r="4343" customFormat="1" x14ac:dyDescent="0.3"/>
    <row r="4344" customFormat="1" x14ac:dyDescent="0.3"/>
    <row r="4345" customFormat="1" x14ac:dyDescent="0.3"/>
    <row r="4346" customFormat="1" x14ac:dyDescent="0.3"/>
    <row r="4347" customFormat="1" x14ac:dyDescent="0.3"/>
    <row r="4348" customFormat="1" x14ac:dyDescent="0.3"/>
    <row r="4349" customFormat="1" x14ac:dyDescent="0.3"/>
    <row r="4350" customFormat="1" x14ac:dyDescent="0.3"/>
    <row r="4351" customFormat="1" x14ac:dyDescent="0.3"/>
    <row r="4352" customFormat="1" x14ac:dyDescent="0.3"/>
    <row r="4353" customFormat="1" x14ac:dyDescent="0.3"/>
    <row r="4354" customFormat="1" x14ac:dyDescent="0.3"/>
    <row r="4355" customFormat="1" x14ac:dyDescent="0.3"/>
    <row r="4356" customFormat="1" x14ac:dyDescent="0.3"/>
    <row r="4357" customFormat="1" x14ac:dyDescent="0.3"/>
    <row r="4358" customFormat="1" x14ac:dyDescent="0.3"/>
    <row r="4359" customFormat="1" x14ac:dyDescent="0.3"/>
    <row r="4360" customFormat="1" x14ac:dyDescent="0.3"/>
    <row r="4361" customFormat="1" x14ac:dyDescent="0.3"/>
    <row r="4362" customFormat="1" x14ac:dyDescent="0.3"/>
    <row r="4363" customFormat="1" x14ac:dyDescent="0.3"/>
    <row r="4364" customFormat="1" x14ac:dyDescent="0.3"/>
    <row r="4365" customFormat="1" x14ac:dyDescent="0.3"/>
    <row r="4366" customFormat="1" x14ac:dyDescent="0.3"/>
    <row r="4367" customFormat="1" x14ac:dyDescent="0.3"/>
    <row r="4368" customFormat="1" x14ac:dyDescent="0.3"/>
    <row r="4369" customFormat="1" x14ac:dyDescent="0.3"/>
    <row r="4370" customFormat="1" x14ac:dyDescent="0.3"/>
    <row r="4371" customFormat="1" x14ac:dyDescent="0.3"/>
    <row r="4372" customFormat="1" x14ac:dyDescent="0.3"/>
    <row r="4373" customFormat="1" x14ac:dyDescent="0.3"/>
    <row r="4374" customFormat="1" x14ac:dyDescent="0.3"/>
    <row r="4375" customFormat="1" x14ac:dyDescent="0.3"/>
    <row r="4376" customFormat="1" x14ac:dyDescent="0.3"/>
    <row r="4377" customFormat="1" x14ac:dyDescent="0.3"/>
    <row r="4378" customFormat="1" x14ac:dyDescent="0.3"/>
    <row r="4379" customFormat="1" x14ac:dyDescent="0.3"/>
    <row r="4380" customFormat="1" x14ac:dyDescent="0.3"/>
    <row r="4381" customFormat="1" x14ac:dyDescent="0.3"/>
    <row r="4382" customFormat="1" x14ac:dyDescent="0.3"/>
    <row r="4383" customFormat="1" x14ac:dyDescent="0.3"/>
    <row r="4384" customFormat="1" x14ac:dyDescent="0.3"/>
    <row r="4385" customFormat="1" x14ac:dyDescent="0.3"/>
    <row r="4386" customFormat="1" x14ac:dyDescent="0.3"/>
    <row r="4387" customFormat="1" x14ac:dyDescent="0.3"/>
    <row r="4388" customFormat="1" x14ac:dyDescent="0.3"/>
    <row r="4389" customFormat="1" x14ac:dyDescent="0.3"/>
    <row r="4390" customFormat="1" x14ac:dyDescent="0.3"/>
    <row r="4391" customFormat="1" x14ac:dyDescent="0.3"/>
    <row r="4392" customFormat="1" x14ac:dyDescent="0.3"/>
    <row r="4393" customFormat="1" x14ac:dyDescent="0.3"/>
    <row r="4394" customFormat="1" x14ac:dyDescent="0.3"/>
    <row r="4395" customFormat="1" x14ac:dyDescent="0.3"/>
    <row r="4396" customFormat="1" x14ac:dyDescent="0.3"/>
    <row r="4397" customFormat="1" x14ac:dyDescent="0.3"/>
    <row r="4398" customFormat="1" x14ac:dyDescent="0.3"/>
    <row r="4399" customFormat="1" x14ac:dyDescent="0.3"/>
    <row r="4400" customFormat="1" x14ac:dyDescent="0.3"/>
    <row r="4401" customFormat="1" x14ac:dyDescent="0.3"/>
    <row r="4402" customFormat="1" x14ac:dyDescent="0.3"/>
    <row r="4403" customFormat="1" x14ac:dyDescent="0.3"/>
    <row r="4404" customFormat="1" x14ac:dyDescent="0.3"/>
    <row r="4405" customFormat="1" x14ac:dyDescent="0.3"/>
    <row r="4406" customFormat="1" x14ac:dyDescent="0.3"/>
    <row r="4407" customFormat="1" x14ac:dyDescent="0.3"/>
    <row r="4408" customFormat="1" x14ac:dyDescent="0.3"/>
    <row r="4409" customFormat="1" x14ac:dyDescent="0.3"/>
    <row r="4410" customFormat="1" x14ac:dyDescent="0.3"/>
    <row r="4411" customFormat="1" x14ac:dyDescent="0.3"/>
    <row r="4412" customFormat="1" x14ac:dyDescent="0.3"/>
    <row r="4413" customFormat="1" x14ac:dyDescent="0.3"/>
    <row r="4414" customFormat="1" x14ac:dyDescent="0.3"/>
    <row r="4415" customFormat="1" x14ac:dyDescent="0.3"/>
    <row r="4416" customFormat="1" x14ac:dyDescent="0.3"/>
    <row r="4417" customFormat="1" x14ac:dyDescent="0.3"/>
    <row r="4418" customFormat="1" x14ac:dyDescent="0.3"/>
    <row r="4419" customFormat="1" x14ac:dyDescent="0.3"/>
    <row r="4420" customFormat="1" x14ac:dyDescent="0.3"/>
    <row r="4421" customFormat="1" x14ac:dyDescent="0.3"/>
    <row r="4422" customFormat="1" x14ac:dyDescent="0.3"/>
    <row r="4423" customFormat="1" x14ac:dyDescent="0.3"/>
    <row r="4424" customFormat="1" x14ac:dyDescent="0.3"/>
    <row r="4425" customFormat="1" x14ac:dyDescent="0.3"/>
    <row r="4426" customFormat="1" x14ac:dyDescent="0.3"/>
    <row r="4427" customFormat="1" x14ac:dyDescent="0.3"/>
    <row r="4428" customFormat="1" x14ac:dyDescent="0.3"/>
    <row r="4429" customFormat="1" x14ac:dyDescent="0.3"/>
    <row r="4430" customFormat="1" x14ac:dyDescent="0.3"/>
    <row r="4431" customFormat="1" x14ac:dyDescent="0.3"/>
    <row r="4432" customFormat="1" x14ac:dyDescent="0.3"/>
    <row r="4433" customFormat="1" x14ac:dyDescent="0.3"/>
    <row r="4434" customFormat="1" x14ac:dyDescent="0.3"/>
    <row r="4435" customFormat="1" x14ac:dyDescent="0.3"/>
    <row r="4436" customFormat="1" x14ac:dyDescent="0.3"/>
    <row r="4437" customFormat="1" x14ac:dyDescent="0.3"/>
    <row r="4438" customFormat="1" x14ac:dyDescent="0.3"/>
    <row r="4439" customFormat="1" x14ac:dyDescent="0.3"/>
    <row r="4440" customFormat="1" x14ac:dyDescent="0.3"/>
    <row r="4441" customFormat="1" x14ac:dyDescent="0.3"/>
    <row r="4442" customFormat="1" x14ac:dyDescent="0.3"/>
    <row r="4443" customFormat="1" x14ac:dyDescent="0.3"/>
    <row r="4444" customFormat="1" x14ac:dyDescent="0.3"/>
    <row r="4445" customFormat="1" x14ac:dyDescent="0.3"/>
    <row r="4446" customFormat="1" x14ac:dyDescent="0.3"/>
    <row r="4447" customFormat="1" x14ac:dyDescent="0.3"/>
    <row r="4448" customFormat="1" x14ac:dyDescent="0.3"/>
    <row r="4449" customFormat="1" x14ac:dyDescent="0.3"/>
    <row r="4450" customFormat="1" x14ac:dyDescent="0.3"/>
    <row r="4451" customFormat="1" x14ac:dyDescent="0.3"/>
    <row r="4452" customFormat="1" x14ac:dyDescent="0.3"/>
    <row r="4453" customFormat="1" x14ac:dyDescent="0.3"/>
    <row r="4454" customFormat="1" x14ac:dyDescent="0.3"/>
    <row r="4455" customFormat="1" x14ac:dyDescent="0.3"/>
    <row r="4456" customFormat="1" x14ac:dyDescent="0.3"/>
    <row r="4457" customFormat="1" x14ac:dyDescent="0.3"/>
    <row r="4458" customFormat="1" x14ac:dyDescent="0.3"/>
    <row r="4459" customFormat="1" x14ac:dyDescent="0.3"/>
    <row r="4460" customFormat="1" x14ac:dyDescent="0.3"/>
    <row r="4461" customFormat="1" x14ac:dyDescent="0.3"/>
    <row r="4462" customFormat="1" x14ac:dyDescent="0.3"/>
    <row r="4463" customFormat="1" x14ac:dyDescent="0.3"/>
    <row r="4464" customFormat="1" x14ac:dyDescent="0.3"/>
    <row r="4465" customFormat="1" x14ac:dyDescent="0.3"/>
    <row r="4466" customFormat="1" x14ac:dyDescent="0.3"/>
    <row r="4467" customFormat="1" x14ac:dyDescent="0.3"/>
    <row r="4468" customFormat="1" x14ac:dyDescent="0.3"/>
    <row r="4469" customFormat="1" x14ac:dyDescent="0.3"/>
    <row r="4470" customFormat="1" x14ac:dyDescent="0.3"/>
    <row r="4471" customFormat="1" x14ac:dyDescent="0.3"/>
    <row r="4472" customFormat="1" x14ac:dyDescent="0.3"/>
    <row r="4473" customFormat="1" x14ac:dyDescent="0.3"/>
    <row r="4474" customFormat="1" x14ac:dyDescent="0.3"/>
    <row r="4475" customFormat="1" x14ac:dyDescent="0.3"/>
    <row r="4476" customFormat="1" x14ac:dyDescent="0.3"/>
    <row r="4477" customFormat="1" x14ac:dyDescent="0.3"/>
    <row r="4478" customFormat="1" x14ac:dyDescent="0.3"/>
    <row r="4479" customFormat="1" x14ac:dyDescent="0.3"/>
    <row r="4480" customFormat="1" x14ac:dyDescent="0.3"/>
    <row r="4481" customFormat="1" x14ac:dyDescent="0.3"/>
    <row r="4482" customFormat="1" x14ac:dyDescent="0.3"/>
    <row r="4483" customFormat="1" x14ac:dyDescent="0.3"/>
    <row r="4484" customFormat="1" x14ac:dyDescent="0.3"/>
    <row r="4485" customFormat="1" x14ac:dyDescent="0.3"/>
    <row r="4486" customFormat="1" x14ac:dyDescent="0.3"/>
    <row r="4487" customFormat="1" x14ac:dyDescent="0.3"/>
    <row r="4488" customFormat="1" x14ac:dyDescent="0.3"/>
    <row r="4489" customFormat="1" x14ac:dyDescent="0.3"/>
    <row r="4490" customFormat="1" x14ac:dyDescent="0.3"/>
    <row r="4491" customFormat="1" x14ac:dyDescent="0.3"/>
    <row r="4492" customFormat="1" x14ac:dyDescent="0.3"/>
    <row r="4493" customFormat="1" x14ac:dyDescent="0.3"/>
    <row r="4494" customFormat="1" x14ac:dyDescent="0.3"/>
    <row r="4495" customFormat="1" x14ac:dyDescent="0.3"/>
    <row r="4496" customFormat="1" x14ac:dyDescent="0.3"/>
    <row r="4497" customFormat="1" x14ac:dyDescent="0.3"/>
    <row r="4498" customFormat="1" x14ac:dyDescent="0.3"/>
    <row r="4499" customFormat="1" x14ac:dyDescent="0.3"/>
    <row r="4500" customFormat="1" x14ac:dyDescent="0.3"/>
    <row r="4501" customFormat="1" x14ac:dyDescent="0.3"/>
    <row r="4502" customFormat="1" x14ac:dyDescent="0.3"/>
    <row r="4503" customFormat="1" x14ac:dyDescent="0.3"/>
    <row r="4504" customFormat="1" x14ac:dyDescent="0.3"/>
    <row r="4505" customFormat="1" x14ac:dyDescent="0.3"/>
    <row r="4506" customFormat="1" x14ac:dyDescent="0.3"/>
    <row r="4507" customFormat="1" x14ac:dyDescent="0.3"/>
    <row r="4508" customFormat="1" x14ac:dyDescent="0.3"/>
    <row r="4509" customFormat="1" x14ac:dyDescent="0.3"/>
    <row r="4510" customFormat="1" x14ac:dyDescent="0.3"/>
    <row r="4511" customFormat="1" x14ac:dyDescent="0.3"/>
    <row r="4512" customFormat="1" x14ac:dyDescent="0.3"/>
    <row r="4513" customFormat="1" x14ac:dyDescent="0.3"/>
    <row r="4514" customFormat="1" x14ac:dyDescent="0.3"/>
    <row r="4515" customFormat="1" x14ac:dyDescent="0.3"/>
    <row r="4516" customFormat="1" x14ac:dyDescent="0.3"/>
    <row r="4517" customFormat="1" x14ac:dyDescent="0.3"/>
    <row r="4518" customFormat="1" x14ac:dyDescent="0.3"/>
    <row r="4519" customFormat="1" x14ac:dyDescent="0.3"/>
    <row r="4520" customFormat="1" x14ac:dyDescent="0.3"/>
    <row r="4521" customFormat="1" x14ac:dyDescent="0.3"/>
    <row r="4522" customFormat="1" x14ac:dyDescent="0.3"/>
    <row r="4523" customFormat="1" x14ac:dyDescent="0.3"/>
    <row r="4524" customFormat="1" x14ac:dyDescent="0.3"/>
    <row r="4525" customFormat="1" x14ac:dyDescent="0.3"/>
    <row r="4526" customFormat="1" x14ac:dyDescent="0.3"/>
    <row r="4527" customFormat="1" x14ac:dyDescent="0.3"/>
    <row r="4528" customFormat="1" x14ac:dyDescent="0.3"/>
    <row r="4529" customFormat="1" x14ac:dyDescent="0.3"/>
    <row r="4530" customFormat="1" x14ac:dyDescent="0.3"/>
    <row r="4531" customFormat="1" x14ac:dyDescent="0.3"/>
    <row r="4532" customFormat="1" x14ac:dyDescent="0.3"/>
    <row r="4533" customFormat="1" x14ac:dyDescent="0.3"/>
    <row r="4534" customFormat="1" x14ac:dyDescent="0.3"/>
    <row r="4535" customFormat="1" x14ac:dyDescent="0.3"/>
    <row r="4536" customFormat="1" x14ac:dyDescent="0.3"/>
    <row r="4537" customFormat="1" x14ac:dyDescent="0.3"/>
    <row r="4538" customFormat="1" x14ac:dyDescent="0.3"/>
    <row r="4539" customFormat="1" x14ac:dyDescent="0.3"/>
    <row r="4540" customFormat="1" x14ac:dyDescent="0.3"/>
    <row r="4541" customFormat="1" x14ac:dyDescent="0.3"/>
    <row r="4542" customFormat="1" x14ac:dyDescent="0.3"/>
    <row r="4543" customFormat="1" x14ac:dyDescent="0.3"/>
    <row r="4544" customFormat="1" x14ac:dyDescent="0.3"/>
    <row r="4545" customFormat="1" x14ac:dyDescent="0.3"/>
    <row r="4546" customFormat="1" x14ac:dyDescent="0.3"/>
    <row r="4547" customFormat="1" x14ac:dyDescent="0.3"/>
    <row r="4548" customFormat="1" x14ac:dyDescent="0.3"/>
    <row r="4549" customFormat="1" x14ac:dyDescent="0.3"/>
    <row r="4550" customFormat="1" x14ac:dyDescent="0.3"/>
    <row r="4551" customFormat="1" x14ac:dyDescent="0.3"/>
    <row r="4552" customFormat="1" x14ac:dyDescent="0.3"/>
    <row r="4553" customFormat="1" x14ac:dyDescent="0.3"/>
    <row r="4554" customFormat="1" x14ac:dyDescent="0.3"/>
    <row r="4555" customFormat="1" x14ac:dyDescent="0.3"/>
    <row r="4556" customFormat="1" x14ac:dyDescent="0.3"/>
    <row r="4557" customFormat="1" x14ac:dyDescent="0.3"/>
    <row r="4558" customFormat="1" x14ac:dyDescent="0.3"/>
    <row r="4559" customFormat="1" x14ac:dyDescent="0.3"/>
    <row r="4560" customFormat="1" x14ac:dyDescent="0.3"/>
    <row r="4561" customFormat="1" x14ac:dyDescent="0.3"/>
    <row r="4562" customFormat="1" x14ac:dyDescent="0.3"/>
    <row r="4563" customFormat="1" x14ac:dyDescent="0.3"/>
    <row r="4564" customFormat="1" x14ac:dyDescent="0.3"/>
    <row r="4565" customFormat="1" x14ac:dyDescent="0.3"/>
    <row r="4566" customFormat="1" x14ac:dyDescent="0.3"/>
    <row r="4567" customFormat="1" x14ac:dyDescent="0.3"/>
    <row r="4568" customFormat="1" x14ac:dyDescent="0.3"/>
    <row r="4569" customFormat="1" x14ac:dyDescent="0.3"/>
    <row r="4570" customFormat="1" x14ac:dyDescent="0.3"/>
    <row r="4571" customFormat="1" x14ac:dyDescent="0.3"/>
    <row r="4572" customFormat="1" x14ac:dyDescent="0.3"/>
    <row r="4573" customFormat="1" x14ac:dyDescent="0.3"/>
    <row r="4574" customFormat="1" x14ac:dyDescent="0.3"/>
    <row r="4575" customFormat="1" x14ac:dyDescent="0.3"/>
    <row r="4576" customFormat="1" x14ac:dyDescent="0.3"/>
    <row r="4577" customFormat="1" x14ac:dyDescent="0.3"/>
    <row r="4578" customFormat="1" x14ac:dyDescent="0.3"/>
    <row r="4579" customFormat="1" x14ac:dyDescent="0.3"/>
    <row r="4580" customFormat="1" x14ac:dyDescent="0.3"/>
    <row r="4581" customFormat="1" x14ac:dyDescent="0.3"/>
    <row r="4582" customFormat="1" x14ac:dyDescent="0.3"/>
    <row r="4583" customFormat="1" x14ac:dyDescent="0.3"/>
    <row r="4584" customFormat="1" x14ac:dyDescent="0.3"/>
    <row r="4585" customFormat="1" x14ac:dyDescent="0.3"/>
    <row r="4586" customFormat="1" x14ac:dyDescent="0.3"/>
    <row r="4587" customFormat="1" x14ac:dyDescent="0.3"/>
    <row r="4588" customFormat="1" x14ac:dyDescent="0.3"/>
    <row r="4589" customFormat="1" x14ac:dyDescent="0.3"/>
    <row r="4590" customFormat="1" x14ac:dyDescent="0.3"/>
    <row r="4591" customFormat="1" x14ac:dyDescent="0.3"/>
    <row r="4592" customFormat="1" x14ac:dyDescent="0.3"/>
    <row r="4593" customFormat="1" x14ac:dyDescent="0.3"/>
    <row r="4594" customFormat="1" x14ac:dyDescent="0.3"/>
    <row r="4595" customFormat="1" x14ac:dyDescent="0.3"/>
    <row r="4596" customFormat="1" x14ac:dyDescent="0.3"/>
    <row r="4597" customFormat="1" x14ac:dyDescent="0.3"/>
    <row r="4598" customFormat="1" x14ac:dyDescent="0.3"/>
    <row r="4599" customFormat="1" x14ac:dyDescent="0.3"/>
    <row r="4600" customFormat="1" x14ac:dyDescent="0.3"/>
    <row r="4601" customFormat="1" x14ac:dyDescent="0.3"/>
    <row r="4602" customFormat="1" x14ac:dyDescent="0.3"/>
    <row r="4603" customFormat="1" x14ac:dyDescent="0.3"/>
    <row r="4604" customFormat="1" x14ac:dyDescent="0.3"/>
    <row r="4605" customFormat="1" x14ac:dyDescent="0.3"/>
    <row r="4606" customFormat="1" x14ac:dyDescent="0.3"/>
    <row r="4607" customFormat="1" x14ac:dyDescent="0.3"/>
    <row r="4608" customFormat="1" x14ac:dyDescent="0.3"/>
    <row r="4609" customFormat="1" x14ac:dyDescent="0.3"/>
    <row r="4610" customFormat="1" x14ac:dyDescent="0.3"/>
    <row r="4611" customFormat="1" x14ac:dyDescent="0.3"/>
    <row r="4612" customFormat="1" x14ac:dyDescent="0.3"/>
    <row r="4613" customFormat="1" x14ac:dyDescent="0.3"/>
    <row r="4614" customFormat="1" x14ac:dyDescent="0.3"/>
    <row r="4615" customFormat="1" x14ac:dyDescent="0.3"/>
    <row r="4616" customFormat="1" x14ac:dyDescent="0.3"/>
    <row r="4617" customFormat="1" x14ac:dyDescent="0.3"/>
    <row r="4618" customFormat="1" x14ac:dyDescent="0.3"/>
    <row r="4619" customFormat="1" x14ac:dyDescent="0.3"/>
    <row r="4620" customFormat="1" x14ac:dyDescent="0.3"/>
    <row r="4621" customFormat="1" x14ac:dyDescent="0.3"/>
    <row r="4622" customFormat="1" x14ac:dyDescent="0.3"/>
    <row r="4623" customFormat="1" x14ac:dyDescent="0.3"/>
    <row r="4624" customFormat="1" x14ac:dyDescent="0.3"/>
    <row r="4625" customFormat="1" x14ac:dyDescent="0.3"/>
    <row r="4626" customFormat="1" x14ac:dyDescent="0.3"/>
    <row r="4627" customFormat="1" x14ac:dyDescent="0.3"/>
    <row r="4628" customFormat="1" x14ac:dyDescent="0.3"/>
    <row r="4629" customFormat="1" x14ac:dyDescent="0.3"/>
    <row r="4630" customFormat="1" x14ac:dyDescent="0.3"/>
    <row r="4631" customFormat="1" x14ac:dyDescent="0.3"/>
    <row r="4632" customFormat="1" x14ac:dyDescent="0.3"/>
    <row r="4633" customFormat="1" x14ac:dyDescent="0.3"/>
    <row r="4634" customFormat="1" x14ac:dyDescent="0.3"/>
    <row r="4635" customFormat="1" x14ac:dyDescent="0.3"/>
    <row r="4636" customFormat="1" x14ac:dyDescent="0.3"/>
    <row r="4637" customFormat="1" x14ac:dyDescent="0.3"/>
    <row r="4638" customFormat="1" x14ac:dyDescent="0.3"/>
    <row r="4639" customFormat="1" x14ac:dyDescent="0.3"/>
    <row r="4640" customFormat="1" x14ac:dyDescent="0.3"/>
    <row r="4641" customFormat="1" x14ac:dyDescent="0.3"/>
    <row r="4642" customFormat="1" x14ac:dyDescent="0.3"/>
    <row r="4643" customFormat="1" x14ac:dyDescent="0.3"/>
    <row r="4644" customFormat="1" x14ac:dyDescent="0.3"/>
    <row r="4645" customFormat="1" x14ac:dyDescent="0.3"/>
    <row r="4646" customFormat="1" x14ac:dyDescent="0.3"/>
    <row r="4647" customFormat="1" x14ac:dyDescent="0.3"/>
    <row r="4648" customFormat="1" x14ac:dyDescent="0.3"/>
    <row r="4649" customFormat="1" x14ac:dyDescent="0.3"/>
    <row r="4650" customFormat="1" x14ac:dyDescent="0.3"/>
    <row r="4651" customFormat="1" x14ac:dyDescent="0.3"/>
    <row r="4652" customFormat="1" x14ac:dyDescent="0.3"/>
    <row r="4653" customFormat="1" x14ac:dyDescent="0.3"/>
    <row r="4654" customFormat="1" x14ac:dyDescent="0.3"/>
    <row r="4655" customFormat="1" x14ac:dyDescent="0.3"/>
    <row r="4656" customFormat="1" x14ac:dyDescent="0.3"/>
    <row r="4657" customFormat="1" x14ac:dyDescent="0.3"/>
    <row r="4658" customFormat="1" x14ac:dyDescent="0.3"/>
    <row r="4659" customFormat="1" x14ac:dyDescent="0.3"/>
    <row r="4660" customFormat="1" x14ac:dyDescent="0.3"/>
    <row r="4661" customFormat="1" x14ac:dyDescent="0.3"/>
    <row r="4662" customFormat="1" x14ac:dyDescent="0.3"/>
    <row r="4663" customFormat="1" x14ac:dyDescent="0.3"/>
    <row r="4664" customFormat="1" x14ac:dyDescent="0.3"/>
    <row r="4665" customFormat="1" x14ac:dyDescent="0.3"/>
    <row r="4666" customFormat="1" x14ac:dyDescent="0.3"/>
    <row r="4667" customFormat="1" x14ac:dyDescent="0.3"/>
    <row r="4668" customFormat="1" x14ac:dyDescent="0.3"/>
    <row r="4669" customFormat="1" x14ac:dyDescent="0.3"/>
    <row r="4670" customFormat="1" x14ac:dyDescent="0.3"/>
    <row r="4671" customFormat="1" x14ac:dyDescent="0.3"/>
    <row r="4672" customFormat="1" x14ac:dyDescent="0.3"/>
    <row r="4673" customFormat="1" x14ac:dyDescent="0.3"/>
    <row r="4674" customFormat="1" x14ac:dyDescent="0.3"/>
    <row r="4675" customFormat="1" x14ac:dyDescent="0.3"/>
    <row r="4676" customFormat="1" x14ac:dyDescent="0.3"/>
    <row r="4677" customFormat="1" x14ac:dyDescent="0.3"/>
    <row r="4678" customFormat="1" x14ac:dyDescent="0.3"/>
    <row r="4679" customFormat="1" x14ac:dyDescent="0.3"/>
    <row r="4680" customFormat="1" x14ac:dyDescent="0.3"/>
    <row r="4681" customFormat="1" x14ac:dyDescent="0.3"/>
    <row r="4682" customFormat="1" x14ac:dyDescent="0.3"/>
    <row r="4683" customFormat="1" x14ac:dyDescent="0.3"/>
    <row r="4684" customFormat="1" x14ac:dyDescent="0.3"/>
    <row r="4685" customFormat="1" x14ac:dyDescent="0.3"/>
    <row r="4686" customFormat="1" x14ac:dyDescent="0.3"/>
    <row r="4687" customFormat="1" x14ac:dyDescent="0.3"/>
    <row r="4688" customFormat="1" x14ac:dyDescent="0.3"/>
    <row r="4689" customFormat="1" x14ac:dyDescent="0.3"/>
    <row r="4690" customFormat="1" x14ac:dyDescent="0.3"/>
    <row r="4691" customFormat="1" x14ac:dyDescent="0.3"/>
    <row r="4692" customFormat="1" x14ac:dyDescent="0.3"/>
    <row r="4693" customFormat="1" x14ac:dyDescent="0.3"/>
    <row r="4694" customFormat="1" x14ac:dyDescent="0.3"/>
    <row r="4695" customFormat="1" x14ac:dyDescent="0.3"/>
    <row r="4696" customFormat="1" x14ac:dyDescent="0.3"/>
    <row r="4697" customFormat="1" x14ac:dyDescent="0.3"/>
    <row r="4698" customFormat="1" x14ac:dyDescent="0.3"/>
    <row r="4699" customFormat="1" x14ac:dyDescent="0.3"/>
    <row r="4700" customFormat="1" x14ac:dyDescent="0.3"/>
    <row r="4701" customFormat="1" x14ac:dyDescent="0.3"/>
    <row r="4702" customFormat="1" x14ac:dyDescent="0.3"/>
    <row r="4703" customFormat="1" x14ac:dyDescent="0.3"/>
    <row r="4704" customFormat="1" x14ac:dyDescent="0.3"/>
    <row r="4705" customFormat="1" x14ac:dyDescent="0.3"/>
    <row r="4706" customFormat="1" x14ac:dyDescent="0.3"/>
    <row r="4707" customFormat="1" x14ac:dyDescent="0.3"/>
    <row r="4708" customFormat="1" x14ac:dyDescent="0.3"/>
    <row r="4709" customFormat="1" x14ac:dyDescent="0.3"/>
    <row r="4710" customFormat="1" x14ac:dyDescent="0.3"/>
    <row r="4711" customFormat="1" x14ac:dyDescent="0.3"/>
    <row r="4712" customFormat="1" x14ac:dyDescent="0.3"/>
    <row r="4713" customFormat="1" x14ac:dyDescent="0.3"/>
    <row r="4714" customFormat="1" x14ac:dyDescent="0.3"/>
    <row r="4715" customFormat="1" x14ac:dyDescent="0.3"/>
    <row r="4716" customFormat="1" x14ac:dyDescent="0.3"/>
    <row r="4717" customFormat="1" x14ac:dyDescent="0.3"/>
    <row r="4718" customFormat="1" x14ac:dyDescent="0.3"/>
    <row r="4719" customFormat="1" x14ac:dyDescent="0.3"/>
    <row r="4720" customFormat="1" x14ac:dyDescent="0.3"/>
    <row r="4721" customFormat="1" x14ac:dyDescent="0.3"/>
    <row r="4722" customFormat="1" x14ac:dyDescent="0.3"/>
    <row r="4723" customFormat="1" x14ac:dyDescent="0.3"/>
    <row r="4724" customFormat="1" x14ac:dyDescent="0.3"/>
    <row r="4725" customFormat="1" x14ac:dyDescent="0.3"/>
    <row r="4726" customFormat="1" x14ac:dyDescent="0.3"/>
    <row r="4727" customFormat="1" x14ac:dyDescent="0.3"/>
    <row r="4728" customFormat="1" x14ac:dyDescent="0.3"/>
    <row r="4729" customFormat="1" x14ac:dyDescent="0.3"/>
    <row r="4730" customFormat="1" x14ac:dyDescent="0.3"/>
    <row r="4731" customFormat="1" x14ac:dyDescent="0.3"/>
    <row r="4732" customFormat="1" x14ac:dyDescent="0.3"/>
    <row r="4733" customFormat="1" x14ac:dyDescent="0.3"/>
    <row r="4734" customFormat="1" x14ac:dyDescent="0.3"/>
    <row r="4735" customFormat="1" x14ac:dyDescent="0.3"/>
    <row r="4736" customFormat="1" x14ac:dyDescent="0.3"/>
    <row r="4737" customFormat="1" x14ac:dyDescent="0.3"/>
    <row r="4738" customFormat="1" x14ac:dyDescent="0.3"/>
    <row r="4739" customFormat="1" x14ac:dyDescent="0.3"/>
    <row r="4740" customFormat="1" x14ac:dyDescent="0.3"/>
    <row r="4741" customFormat="1" x14ac:dyDescent="0.3"/>
    <row r="4742" customFormat="1" x14ac:dyDescent="0.3"/>
    <row r="4743" customFormat="1" x14ac:dyDescent="0.3"/>
    <row r="4744" customFormat="1" x14ac:dyDescent="0.3"/>
    <row r="4745" customFormat="1" x14ac:dyDescent="0.3"/>
    <row r="4746" customFormat="1" x14ac:dyDescent="0.3"/>
    <row r="4747" customFormat="1" x14ac:dyDescent="0.3"/>
    <row r="4748" customFormat="1" x14ac:dyDescent="0.3"/>
    <row r="4749" customFormat="1" x14ac:dyDescent="0.3"/>
    <row r="4750" customFormat="1" x14ac:dyDescent="0.3"/>
    <row r="4751" customFormat="1" x14ac:dyDescent="0.3"/>
    <row r="4752" customFormat="1" x14ac:dyDescent="0.3"/>
    <row r="4753" customFormat="1" x14ac:dyDescent="0.3"/>
    <row r="4754" customFormat="1" x14ac:dyDescent="0.3"/>
    <row r="4755" customFormat="1" x14ac:dyDescent="0.3"/>
    <row r="4756" customFormat="1" x14ac:dyDescent="0.3"/>
    <row r="4757" customFormat="1" x14ac:dyDescent="0.3"/>
    <row r="4758" customFormat="1" x14ac:dyDescent="0.3"/>
    <row r="4759" customFormat="1" x14ac:dyDescent="0.3"/>
    <row r="4760" customFormat="1" x14ac:dyDescent="0.3"/>
    <row r="4761" customFormat="1" x14ac:dyDescent="0.3"/>
    <row r="4762" customFormat="1" x14ac:dyDescent="0.3"/>
    <row r="4763" customFormat="1" x14ac:dyDescent="0.3"/>
    <row r="4764" customFormat="1" x14ac:dyDescent="0.3"/>
    <row r="4765" customFormat="1" x14ac:dyDescent="0.3"/>
    <row r="4766" customFormat="1" x14ac:dyDescent="0.3"/>
    <row r="4767" customFormat="1" x14ac:dyDescent="0.3"/>
    <row r="4768" customFormat="1" x14ac:dyDescent="0.3"/>
    <row r="4769" customFormat="1" x14ac:dyDescent="0.3"/>
    <row r="4770" customFormat="1" x14ac:dyDescent="0.3"/>
    <row r="4771" customFormat="1" x14ac:dyDescent="0.3"/>
    <row r="4772" customFormat="1" x14ac:dyDescent="0.3"/>
    <row r="4773" customFormat="1" x14ac:dyDescent="0.3"/>
    <row r="4774" customFormat="1" x14ac:dyDescent="0.3"/>
    <row r="4775" customFormat="1" x14ac:dyDescent="0.3"/>
    <row r="4776" customFormat="1" x14ac:dyDescent="0.3"/>
    <row r="4777" customFormat="1" x14ac:dyDescent="0.3"/>
    <row r="4778" customFormat="1" x14ac:dyDescent="0.3"/>
    <row r="4779" customFormat="1" x14ac:dyDescent="0.3"/>
    <row r="4780" customFormat="1" x14ac:dyDescent="0.3"/>
    <row r="4781" customFormat="1" x14ac:dyDescent="0.3"/>
    <row r="4782" customFormat="1" x14ac:dyDescent="0.3"/>
    <row r="4783" customFormat="1" x14ac:dyDescent="0.3"/>
    <row r="4784" customFormat="1" x14ac:dyDescent="0.3"/>
    <row r="4785" customFormat="1" x14ac:dyDescent="0.3"/>
    <row r="4786" customFormat="1" x14ac:dyDescent="0.3"/>
    <row r="4787" customFormat="1" x14ac:dyDescent="0.3"/>
    <row r="4788" customFormat="1" x14ac:dyDescent="0.3"/>
    <row r="4789" customFormat="1" x14ac:dyDescent="0.3"/>
    <row r="4790" customFormat="1" x14ac:dyDescent="0.3"/>
    <row r="4791" customFormat="1" x14ac:dyDescent="0.3"/>
    <row r="4792" customFormat="1" x14ac:dyDescent="0.3"/>
    <row r="4793" customFormat="1" x14ac:dyDescent="0.3"/>
    <row r="4794" customFormat="1" x14ac:dyDescent="0.3"/>
    <row r="4795" customFormat="1" x14ac:dyDescent="0.3"/>
    <row r="4796" customFormat="1" x14ac:dyDescent="0.3"/>
    <row r="4797" customFormat="1" x14ac:dyDescent="0.3"/>
    <row r="4798" customFormat="1" x14ac:dyDescent="0.3"/>
    <row r="4799" customFormat="1" x14ac:dyDescent="0.3"/>
    <row r="4800" customFormat="1" x14ac:dyDescent="0.3"/>
    <row r="4801" customFormat="1" x14ac:dyDescent="0.3"/>
    <row r="4802" customFormat="1" x14ac:dyDescent="0.3"/>
    <row r="4803" customFormat="1" x14ac:dyDescent="0.3"/>
    <row r="4804" customFormat="1" x14ac:dyDescent="0.3"/>
    <row r="4805" customFormat="1" x14ac:dyDescent="0.3"/>
    <row r="4806" customFormat="1" x14ac:dyDescent="0.3"/>
    <row r="4807" customFormat="1" x14ac:dyDescent="0.3"/>
    <row r="4808" customFormat="1" x14ac:dyDescent="0.3"/>
    <row r="4809" customFormat="1" x14ac:dyDescent="0.3"/>
    <row r="4810" customFormat="1" x14ac:dyDescent="0.3"/>
    <row r="4811" customFormat="1" x14ac:dyDescent="0.3"/>
    <row r="4812" customFormat="1" x14ac:dyDescent="0.3"/>
    <row r="4813" customFormat="1" x14ac:dyDescent="0.3"/>
    <row r="4814" customFormat="1" x14ac:dyDescent="0.3"/>
    <row r="4815" customFormat="1" x14ac:dyDescent="0.3"/>
    <row r="4816" customFormat="1" x14ac:dyDescent="0.3"/>
    <row r="4817" customFormat="1" x14ac:dyDescent="0.3"/>
    <row r="4818" customFormat="1" x14ac:dyDescent="0.3"/>
    <row r="4819" customFormat="1" x14ac:dyDescent="0.3"/>
    <row r="4820" customFormat="1" x14ac:dyDescent="0.3"/>
    <row r="4821" customFormat="1" x14ac:dyDescent="0.3"/>
    <row r="4822" customFormat="1" x14ac:dyDescent="0.3"/>
    <row r="4823" customFormat="1" x14ac:dyDescent="0.3"/>
    <row r="4824" customFormat="1" x14ac:dyDescent="0.3"/>
    <row r="4825" customFormat="1" x14ac:dyDescent="0.3"/>
    <row r="4826" customFormat="1" x14ac:dyDescent="0.3"/>
    <row r="4827" customFormat="1" x14ac:dyDescent="0.3"/>
    <row r="4828" customFormat="1" x14ac:dyDescent="0.3"/>
    <row r="4829" customFormat="1" x14ac:dyDescent="0.3"/>
    <row r="4830" customFormat="1" x14ac:dyDescent="0.3"/>
    <row r="4831" customFormat="1" x14ac:dyDescent="0.3"/>
    <row r="4832" customFormat="1" x14ac:dyDescent="0.3"/>
    <row r="4833" customFormat="1" x14ac:dyDescent="0.3"/>
    <row r="4834" customFormat="1" x14ac:dyDescent="0.3"/>
    <row r="4835" customFormat="1" x14ac:dyDescent="0.3"/>
    <row r="4836" customFormat="1" x14ac:dyDescent="0.3"/>
    <row r="4837" customFormat="1" x14ac:dyDescent="0.3"/>
    <row r="4838" customFormat="1" x14ac:dyDescent="0.3"/>
    <row r="4839" customFormat="1" x14ac:dyDescent="0.3"/>
    <row r="4840" customFormat="1" x14ac:dyDescent="0.3"/>
    <row r="4841" customFormat="1" x14ac:dyDescent="0.3"/>
    <row r="4842" customFormat="1" x14ac:dyDescent="0.3"/>
    <row r="4843" customFormat="1" x14ac:dyDescent="0.3"/>
    <row r="4844" customFormat="1" x14ac:dyDescent="0.3"/>
    <row r="4845" customFormat="1" x14ac:dyDescent="0.3"/>
    <row r="4846" customFormat="1" x14ac:dyDescent="0.3"/>
    <row r="4847" customFormat="1" x14ac:dyDescent="0.3"/>
    <row r="4848" customFormat="1" x14ac:dyDescent="0.3"/>
    <row r="4849" customFormat="1" x14ac:dyDescent="0.3"/>
    <row r="4850" customFormat="1" x14ac:dyDescent="0.3"/>
    <row r="4851" customFormat="1" x14ac:dyDescent="0.3"/>
    <row r="4852" customFormat="1" x14ac:dyDescent="0.3"/>
    <row r="4853" customFormat="1" x14ac:dyDescent="0.3"/>
    <row r="4854" customFormat="1" x14ac:dyDescent="0.3"/>
    <row r="4855" customFormat="1" x14ac:dyDescent="0.3"/>
    <row r="4856" customFormat="1" x14ac:dyDescent="0.3"/>
    <row r="4857" customFormat="1" x14ac:dyDescent="0.3"/>
    <row r="4858" customFormat="1" x14ac:dyDescent="0.3"/>
    <row r="4859" customFormat="1" x14ac:dyDescent="0.3"/>
    <row r="4860" customFormat="1" x14ac:dyDescent="0.3"/>
    <row r="4861" customFormat="1" x14ac:dyDescent="0.3"/>
    <row r="4862" customFormat="1" x14ac:dyDescent="0.3"/>
    <row r="4863" customFormat="1" x14ac:dyDescent="0.3"/>
    <row r="4864" customFormat="1" x14ac:dyDescent="0.3"/>
    <row r="4865" customFormat="1" x14ac:dyDescent="0.3"/>
    <row r="4866" customFormat="1" x14ac:dyDescent="0.3"/>
    <row r="4867" customFormat="1" x14ac:dyDescent="0.3"/>
    <row r="4868" customFormat="1" x14ac:dyDescent="0.3"/>
    <row r="4869" customFormat="1" x14ac:dyDescent="0.3"/>
    <row r="4870" customFormat="1" x14ac:dyDescent="0.3"/>
    <row r="4871" customFormat="1" x14ac:dyDescent="0.3"/>
    <row r="4872" customFormat="1" x14ac:dyDescent="0.3"/>
    <row r="4873" customFormat="1" x14ac:dyDescent="0.3"/>
    <row r="4874" customFormat="1" x14ac:dyDescent="0.3"/>
    <row r="4875" customFormat="1" x14ac:dyDescent="0.3"/>
    <row r="4876" customFormat="1" x14ac:dyDescent="0.3"/>
    <row r="4877" customFormat="1" x14ac:dyDescent="0.3"/>
    <row r="4878" customFormat="1" x14ac:dyDescent="0.3"/>
    <row r="4879" customFormat="1" x14ac:dyDescent="0.3"/>
    <row r="4880" customFormat="1" x14ac:dyDescent="0.3"/>
    <row r="4881" customFormat="1" x14ac:dyDescent="0.3"/>
    <row r="4882" customFormat="1" x14ac:dyDescent="0.3"/>
    <row r="4883" customFormat="1" x14ac:dyDescent="0.3"/>
    <row r="4884" customFormat="1" x14ac:dyDescent="0.3"/>
    <row r="4885" customFormat="1" x14ac:dyDescent="0.3"/>
    <row r="4886" customFormat="1" x14ac:dyDescent="0.3"/>
    <row r="4887" customFormat="1" x14ac:dyDescent="0.3"/>
    <row r="4888" customFormat="1" x14ac:dyDescent="0.3"/>
    <row r="4889" customFormat="1" x14ac:dyDescent="0.3"/>
    <row r="4890" customFormat="1" x14ac:dyDescent="0.3"/>
    <row r="4891" customFormat="1" x14ac:dyDescent="0.3"/>
    <row r="4892" customFormat="1" x14ac:dyDescent="0.3"/>
    <row r="4893" customFormat="1" x14ac:dyDescent="0.3"/>
    <row r="4894" customFormat="1" x14ac:dyDescent="0.3"/>
    <row r="4895" customFormat="1" x14ac:dyDescent="0.3"/>
    <row r="4896" customFormat="1" x14ac:dyDescent="0.3"/>
    <row r="4897" customFormat="1" x14ac:dyDescent="0.3"/>
    <row r="4898" customFormat="1" x14ac:dyDescent="0.3"/>
    <row r="4899" customFormat="1" x14ac:dyDescent="0.3"/>
    <row r="4900" customFormat="1" x14ac:dyDescent="0.3"/>
    <row r="4901" customFormat="1" x14ac:dyDescent="0.3"/>
    <row r="4902" customFormat="1" x14ac:dyDescent="0.3"/>
    <row r="4903" customFormat="1" x14ac:dyDescent="0.3"/>
    <row r="4904" customFormat="1" x14ac:dyDescent="0.3"/>
    <row r="4905" customFormat="1" x14ac:dyDescent="0.3"/>
    <row r="4906" customFormat="1" x14ac:dyDescent="0.3"/>
    <row r="4907" customFormat="1" x14ac:dyDescent="0.3"/>
    <row r="4908" customFormat="1" x14ac:dyDescent="0.3"/>
    <row r="4909" customFormat="1" x14ac:dyDescent="0.3"/>
    <row r="4910" customFormat="1" x14ac:dyDescent="0.3"/>
    <row r="4911" customFormat="1" x14ac:dyDescent="0.3"/>
    <row r="4912" customFormat="1" x14ac:dyDescent="0.3"/>
    <row r="4913" customFormat="1" x14ac:dyDescent="0.3"/>
    <row r="4914" customFormat="1" x14ac:dyDescent="0.3"/>
    <row r="4915" customFormat="1" x14ac:dyDescent="0.3"/>
    <row r="4916" customFormat="1" x14ac:dyDescent="0.3"/>
    <row r="4917" customFormat="1" x14ac:dyDescent="0.3"/>
    <row r="4918" customFormat="1" x14ac:dyDescent="0.3"/>
    <row r="4919" customFormat="1" x14ac:dyDescent="0.3"/>
    <row r="4920" customFormat="1" x14ac:dyDescent="0.3"/>
    <row r="4921" customFormat="1" x14ac:dyDescent="0.3"/>
    <row r="4922" customFormat="1" x14ac:dyDescent="0.3"/>
    <row r="4923" customFormat="1" x14ac:dyDescent="0.3"/>
    <row r="4924" customFormat="1" x14ac:dyDescent="0.3"/>
    <row r="4925" customFormat="1" x14ac:dyDescent="0.3"/>
    <row r="4926" customFormat="1" x14ac:dyDescent="0.3"/>
    <row r="4927" customFormat="1" x14ac:dyDescent="0.3"/>
    <row r="4928" customFormat="1" x14ac:dyDescent="0.3"/>
    <row r="4929" customFormat="1" x14ac:dyDescent="0.3"/>
    <row r="4930" customFormat="1" x14ac:dyDescent="0.3"/>
    <row r="4931" customFormat="1" x14ac:dyDescent="0.3"/>
    <row r="4932" customFormat="1" x14ac:dyDescent="0.3"/>
    <row r="4933" customFormat="1" x14ac:dyDescent="0.3"/>
    <row r="4934" customFormat="1" x14ac:dyDescent="0.3"/>
    <row r="4935" customFormat="1" x14ac:dyDescent="0.3"/>
    <row r="4936" customFormat="1" x14ac:dyDescent="0.3"/>
    <row r="4937" customFormat="1" x14ac:dyDescent="0.3"/>
    <row r="4938" customFormat="1" x14ac:dyDescent="0.3"/>
    <row r="4939" customFormat="1" x14ac:dyDescent="0.3"/>
    <row r="4940" customFormat="1" x14ac:dyDescent="0.3"/>
    <row r="4941" customFormat="1" x14ac:dyDescent="0.3"/>
    <row r="4942" customFormat="1" x14ac:dyDescent="0.3"/>
    <row r="4943" customFormat="1" x14ac:dyDescent="0.3"/>
    <row r="4944" customFormat="1" x14ac:dyDescent="0.3"/>
    <row r="4945" customFormat="1" x14ac:dyDescent="0.3"/>
    <row r="4946" customFormat="1" x14ac:dyDescent="0.3"/>
    <row r="4947" customFormat="1" x14ac:dyDescent="0.3"/>
    <row r="4948" customFormat="1" x14ac:dyDescent="0.3"/>
    <row r="4949" customFormat="1" x14ac:dyDescent="0.3"/>
    <row r="4950" customFormat="1" x14ac:dyDescent="0.3"/>
    <row r="4951" customFormat="1" x14ac:dyDescent="0.3"/>
    <row r="4952" customFormat="1" x14ac:dyDescent="0.3"/>
    <row r="4953" customFormat="1" x14ac:dyDescent="0.3"/>
    <row r="4954" customFormat="1" x14ac:dyDescent="0.3"/>
    <row r="4955" customFormat="1" x14ac:dyDescent="0.3"/>
    <row r="4956" customFormat="1" x14ac:dyDescent="0.3"/>
    <row r="4957" customFormat="1" x14ac:dyDescent="0.3"/>
    <row r="4958" customFormat="1" x14ac:dyDescent="0.3"/>
    <row r="4959" customFormat="1" x14ac:dyDescent="0.3"/>
    <row r="4960" customFormat="1" x14ac:dyDescent="0.3"/>
    <row r="4961" customFormat="1" x14ac:dyDescent="0.3"/>
    <row r="4962" customFormat="1" x14ac:dyDescent="0.3"/>
    <row r="4963" customFormat="1" x14ac:dyDescent="0.3"/>
    <row r="4964" customFormat="1" x14ac:dyDescent="0.3"/>
    <row r="4965" customFormat="1" x14ac:dyDescent="0.3"/>
    <row r="4966" customFormat="1" x14ac:dyDescent="0.3"/>
    <row r="4967" customFormat="1" x14ac:dyDescent="0.3"/>
    <row r="4968" customFormat="1" x14ac:dyDescent="0.3"/>
    <row r="4969" customFormat="1" x14ac:dyDescent="0.3"/>
    <row r="4970" customFormat="1" x14ac:dyDescent="0.3"/>
    <row r="4971" customFormat="1" x14ac:dyDescent="0.3"/>
    <row r="4972" customFormat="1" x14ac:dyDescent="0.3"/>
    <row r="4973" customFormat="1" x14ac:dyDescent="0.3"/>
    <row r="4974" customFormat="1" x14ac:dyDescent="0.3"/>
    <row r="4975" customFormat="1" x14ac:dyDescent="0.3"/>
    <row r="4976" customFormat="1" x14ac:dyDescent="0.3"/>
    <row r="4977" customFormat="1" x14ac:dyDescent="0.3"/>
    <row r="4978" customFormat="1" x14ac:dyDescent="0.3"/>
    <row r="4979" customFormat="1" x14ac:dyDescent="0.3"/>
    <row r="4980" customFormat="1" x14ac:dyDescent="0.3"/>
    <row r="4981" customFormat="1" x14ac:dyDescent="0.3"/>
    <row r="4982" customFormat="1" x14ac:dyDescent="0.3"/>
    <row r="4983" customFormat="1" x14ac:dyDescent="0.3"/>
    <row r="4984" customFormat="1" x14ac:dyDescent="0.3"/>
    <row r="4985" customFormat="1" x14ac:dyDescent="0.3"/>
    <row r="4986" customFormat="1" x14ac:dyDescent="0.3"/>
    <row r="4987" customFormat="1" x14ac:dyDescent="0.3"/>
    <row r="4988" customFormat="1" x14ac:dyDescent="0.3"/>
    <row r="4989" customFormat="1" x14ac:dyDescent="0.3"/>
    <row r="4990" customFormat="1" x14ac:dyDescent="0.3"/>
    <row r="4991" customFormat="1" x14ac:dyDescent="0.3"/>
    <row r="4992" customFormat="1" x14ac:dyDescent="0.3"/>
    <row r="4993" customFormat="1" x14ac:dyDescent="0.3"/>
    <row r="4994" customFormat="1" x14ac:dyDescent="0.3"/>
    <row r="4995" customFormat="1" x14ac:dyDescent="0.3"/>
    <row r="4996" customFormat="1" x14ac:dyDescent="0.3"/>
    <row r="4997" customFormat="1" x14ac:dyDescent="0.3"/>
    <row r="4998" customFormat="1" x14ac:dyDescent="0.3"/>
    <row r="4999" customFormat="1" x14ac:dyDescent="0.3"/>
    <row r="5000" customFormat="1" x14ac:dyDescent="0.3"/>
    <row r="5001" customFormat="1" x14ac:dyDescent="0.3"/>
    <row r="5002" customFormat="1" x14ac:dyDescent="0.3"/>
    <row r="5003" customFormat="1" x14ac:dyDescent="0.3"/>
    <row r="5004" customFormat="1" x14ac:dyDescent="0.3"/>
    <row r="5005" customFormat="1" x14ac:dyDescent="0.3"/>
    <row r="5006" customFormat="1" x14ac:dyDescent="0.3"/>
    <row r="5007" customFormat="1" x14ac:dyDescent="0.3"/>
    <row r="5008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  <row r="7621" customFormat="1" x14ac:dyDescent="0.3"/>
    <row r="7622" customFormat="1" x14ac:dyDescent="0.3"/>
    <row r="7623" customFormat="1" x14ac:dyDescent="0.3"/>
    <row r="7624" customFormat="1" x14ac:dyDescent="0.3"/>
    <row r="7625" customFormat="1" x14ac:dyDescent="0.3"/>
    <row r="7626" customFormat="1" x14ac:dyDescent="0.3"/>
    <row r="7627" customFormat="1" x14ac:dyDescent="0.3"/>
    <row r="7628" customFormat="1" x14ac:dyDescent="0.3"/>
    <row r="7629" customFormat="1" x14ac:dyDescent="0.3"/>
    <row r="7630" customFormat="1" x14ac:dyDescent="0.3"/>
    <row r="7631" customFormat="1" x14ac:dyDescent="0.3"/>
    <row r="7632" customFormat="1" x14ac:dyDescent="0.3"/>
    <row r="7633" customFormat="1" x14ac:dyDescent="0.3"/>
    <row r="7634" customFormat="1" x14ac:dyDescent="0.3"/>
    <row r="7635" customFormat="1" x14ac:dyDescent="0.3"/>
    <row r="7636" customFormat="1" x14ac:dyDescent="0.3"/>
    <row r="7637" customFormat="1" x14ac:dyDescent="0.3"/>
    <row r="7638" customFormat="1" x14ac:dyDescent="0.3"/>
    <row r="7639" customFormat="1" x14ac:dyDescent="0.3"/>
    <row r="7640" customFormat="1" x14ac:dyDescent="0.3"/>
    <row r="7641" customFormat="1" x14ac:dyDescent="0.3"/>
    <row r="7642" customFormat="1" x14ac:dyDescent="0.3"/>
    <row r="7643" customFormat="1" x14ac:dyDescent="0.3"/>
    <row r="7644" customFormat="1" x14ac:dyDescent="0.3"/>
    <row r="7645" customFormat="1" x14ac:dyDescent="0.3"/>
    <row r="7646" customFormat="1" x14ac:dyDescent="0.3"/>
    <row r="7647" customFormat="1" x14ac:dyDescent="0.3"/>
    <row r="7648" customFormat="1" x14ac:dyDescent="0.3"/>
    <row r="7649" customFormat="1" x14ac:dyDescent="0.3"/>
    <row r="7650" customFormat="1" x14ac:dyDescent="0.3"/>
    <row r="7651" customFormat="1" x14ac:dyDescent="0.3"/>
    <row r="7652" customFormat="1" x14ac:dyDescent="0.3"/>
    <row r="7653" customFormat="1" x14ac:dyDescent="0.3"/>
    <row r="7654" customFormat="1" x14ac:dyDescent="0.3"/>
    <row r="7655" customFormat="1" x14ac:dyDescent="0.3"/>
    <row r="7656" customFormat="1" x14ac:dyDescent="0.3"/>
    <row r="7657" customFormat="1" x14ac:dyDescent="0.3"/>
    <row r="7658" customFormat="1" x14ac:dyDescent="0.3"/>
    <row r="7659" customFormat="1" x14ac:dyDescent="0.3"/>
    <row r="7660" customFormat="1" x14ac:dyDescent="0.3"/>
    <row r="7661" customFormat="1" x14ac:dyDescent="0.3"/>
    <row r="7662" customFormat="1" x14ac:dyDescent="0.3"/>
    <row r="7663" customFormat="1" x14ac:dyDescent="0.3"/>
    <row r="7664" customFormat="1" x14ac:dyDescent="0.3"/>
    <row r="7665" customFormat="1" x14ac:dyDescent="0.3"/>
    <row r="7666" customFormat="1" x14ac:dyDescent="0.3"/>
    <row r="7667" customFormat="1" x14ac:dyDescent="0.3"/>
    <row r="7668" customFormat="1" x14ac:dyDescent="0.3"/>
    <row r="7669" customFormat="1" x14ac:dyDescent="0.3"/>
    <row r="7670" customFormat="1" x14ac:dyDescent="0.3"/>
    <row r="7671" customFormat="1" x14ac:dyDescent="0.3"/>
    <row r="7672" customFormat="1" x14ac:dyDescent="0.3"/>
    <row r="7673" customFormat="1" x14ac:dyDescent="0.3"/>
    <row r="7674" customFormat="1" x14ac:dyDescent="0.3"/>
    <row r="7675" customFormat="1" x14ac:dyDescent="0.3"/>
    <row r="7676" customFormat="1" x14ac:dyDescent="0.3"/>
    <row r="7677" customFormat="1" x14ac:dyDescent="0.3"/>
    <row r="7678" customFormat="1" x14ac:dyDescent="0.3"/>
    <row r="7679" customFormat="1" x14ac:dyDescent="0.3"/>
    <row r="7680" customFormat="1" x14ac:dyDescent="0.3"/>
    <row r="7681" customFormat="1" x14ac:dyDescent="0.3"/>
    <row r="7682" customFormat="1" x14ac:dyDescent="0.3"/>
    <row r="7683" customFormat="1" x14ac:dyDescent="0.3"/>
    <row r="7684" customFormat="1" x14ac:dyDescent="0.3"/>
    <row r="7685" customFormat="1" x14ac:dyDescent="0.3"/>
    <row r="7686" customFormat="1" x14ac:dyDescent="0.3"/>
    <row r="7687" customFormat="1" x14ac:dyDescent="0.3"/>
    <row r="7688" customFormat="1" x14ac:dyDescent="0.3"/>
    <row r="7689" customFormat="1" x14ac:dyDescent="0.3"/>
    <row r="7690" customFormat="1" x14ac:dyDescent="0.3"/>
    <row r="7691" customFormat="1" x14ac:dyDescent="0.3"/>
    <row r="7692" customFormat="1" x14ac:dyDescent="0.3"/>
    <row r="7693" customFormat="1" x14ac:dyDescent="0.3"/>
    <row r="7694" customFormat="1" x14ac:dyDescent="0.3"/>
    <row r="7695" customFormat="1" x14ac:dyDescent="0.3"/>
    <row r="7696" customFormat="1" x14ac:dyDescent="0.3"/>
    <row r="7697" customFormat="1" x14ac:dyDescent="0.3"/>
    <row r="7698" customFormat="1" x14ac:dyDescent="0.3"/>
    <row r="7699" customFormat="1" x14ac:dyDescent="0.3"/>
    <row r="7700" customFormat="1" x14ac:dyDescent="0.3"/>
    <row r="7701" customFormat="1" x14ac:dyDescent="0.3"/>
    <row r="7702" customFormat="1" x14ac:dyDescent="0.3"/>
    <row r="7703" customFormat="1" x14ac:dyDescent="0.3"/>
    <row r="7704" customFormat="1" x14ac:dyDescent="0.3"/>
    <row r="7705" customFormat="1" x14ac:dyDescent="0.3"/>
    <row r="7706" customFormat="1" x14ac:dyDescent="0.3"/>
    <row r="7707" customFormat="1" x14ac:dyDescent="0.3"/>
    <row r="7708" customFormat="1" x14ac:dyDescent="0.3"/>
    <row r="7709" customFormat="1" x14ac:dyDescent="0.3"/>
    <row r="7710" customFormat="1" x14ac:dyDescent="0.3"/>
    <row r="7711" customFormat="1" x14ac:dyDescent="0.3"/>
    <row r="7712" customFormat="1" x14ac:dyDescent="0.3"/>
    <row r="7713" customFormat="1" x14ac:dyDescent="0.3"/>
    <row r="7714" customFormat="1" x14ac:dyDescent="0.3"/>
    <row r="7715" customFormat="1" x14ac:dyDescent="0.3"/>
    <row r="7716" customFormat="1" x14ac:dyDescent="0.3"/>
    <row r="7717" customFormat="1" x14ac:dyDescent="0.3"/>
    <row r="7718" customFormat="1" x14ac:dyDescent="0.3"/>
    <row r="7719" customFormat="1" x14ac:dyDescent="0.3"/>
    <row r="7720" customFormat="1" x14ac:dyDescent="0.3"/>
    <row r="7721" customFormat="1" x14ac:dyDescent="0.3"/>
    <row r="7722" customFormat="1" x14ac:dyDescent="0.3"/>
    <row r="7723" customFormat="1" x14ac:dyDescent="0.3"/>
    <row r="7724" customFormat="1" x14ac:dyDescent="0.3"/>
    <row r="7725" customFormat="1" x14ac:dyDescent="0.3"/>
    <row r="7726" customFormat="1" x14ac:dyDescent="0.3"/>
    <row r="7727" customFormat="1" x14ac:dyDescent="0.3"/>
    <row r="7728" customFormat="1" x14ac:dyDescent="0.3"/>
    <row r="7729" customFormat="1" x14ac:dyDescent="0.3"/>
    <row r="7730" customFormat="1" x14ac:dyDescent="0.3"/>
    <row r="7731" customFormat="1" x14ac:dyDescent="0.3"/>
    <row r="7732" customFormat="1" x14ac:dyDescent="0.3"/>
    <row r="7733" customFormat="1" x14ac:dyDescent="0.3"/>
    <row r="7734" customFormat="1" x14ac:dyDescent="0.3"/>
    <row r="7735" customFormat="1" x14ac:dyDescent="0.3"/>
    <row r="7736" customFormat="1" x14ac:dyDescent="0.3"/>
    <row r="7737" customFormat="1" x14ac:dyDescent="0.3"/>
    <row r="7738" customFormat="1" x14ac:dyDescent="0.3"/>
    <row r="7739" customFormat="1" x14ac:dyDescent="0.3"/>
    <row r="7740" customFormat="1" x14ac:dyDescent="0.3"/>
    <row r="7741" customFormat="1" x14ac:dyDescent="0.3"/>
    <row r="7742" customFormat="1" x14ac:dyDescent="0.3"/>
    <row r="7743" customFormat="1" x14ac:dyDescent="0.3"/>
    <row r="7744" customFormat="1" x14ac:dyDescent="0.3"/>
    <row r="7745" customFormat="1" x14ac:dyDescent="0.3"/>
    <row r="7746" customFormat="1" x14ac:dyDescent="0.3"/>
    <row r="7747" customFormat="1" x14ac:dyDescent="0.3"/>
    <row r="7748" customFormat="1" x14ac:dyDescent="0.3"/>
    <row r="7749" customFormat="1" x14ac:dyDescent="0.3"/>
    <row r="7750" customFormat="1" x14ac:dyDescent="0.3"/>
    <row r="7751" customFormat="1" x14ac:dyDescent="0.3"/>
    <row r="7752" customFormat="1" x14ac:dyDescent="0.3"/>
    <row r="7753" customFormat="1" x14ac:dyDescent="0.3"/>
    <row r="7754" customFormat="1" x14ac:dyDescent="0.3"/>
    <row r="7755" customFormat="1" x14ac:dyDescent="0.3"/>
    <row r="7756" customFormat="1" x14ac:dyDescent="0.3"/>
    <row r="7757" customFormat="1" x14ac:dyDescent="0.3"/>
    <row r="7758" customFormat="1" x14ac:dyDescent="0.3"/>
    <row r="7759" customFormat="1" x14ac:dyDescent="0.3"/>
    <row r="7760" customFormat="1" x14ac:dyDescent="0.3"/>
    <row r="7761" customFormat="1" x14ac:dyDescent="0.3"/>
    <row r="7762" customFormat="1" x14ac:dyDescent="0.3"/>
    <row r="7763" customFormat="1" x14ac:dyDescent="0.3"/>
    <row r="7764" customFormat="1" x14ac:dyDescent="0.3"/>
    <row r="7765" customFormat="1" x14ac:dyDescent="0.3"/>
    <row r="7766" customFormat="1" x14ac:dyDescent="0.3"/>
    <row r="7767" customFormat="1" x14ac:dyDescent="0.3"/>
    <row r="7768" customFormat="1" x14ac:dyDescent="0.3"/>
    <row r="7769" customFormat="1" x14ac:dyDescent="0.3"/>
    <row r="7770" customFormat="1" x14ac:dyDescent="0.3"/>
    <row r="7771" customFormat="1" x14ac:dyDescent="0.3"/>
    <row r="7772" customFormat="1" x14ac:dyDescent="0.3"/>
    <row r="7773" customFormat="1" x14ac:dyDescent="0.3"/>
    <row r="7774" customFormat="1" x14ac:dyDescent="0.3"/>
    <row r="7775" customFormat="1" x14ac:dyDescent="0.3"/>
    <row r="7776" customFormat="1" x14ac:dyDescent="0.3"/>
    <row r="7777" customFormat="1" x14ac:dyDescent="0.3"/>
    <row r="7778" customFormat="1" x14ac:dyDescent="0.3"/>
    <row r="7779" customFormat="1" x14ac:dyDescent="0.3"/>
    <row r="7780" customFormat="1" x14ac:dyDescent="0.3"/>
    <row r="7781" customFormat="1" x14ac:dyDescent="0.3"/>
    <row r="7782" customFormat="1" x14ac:dyDescent="0.3"/>
    <row r="7783" customFormat="1" x14ac:dyDescent="0.3"/>
    <row r="7784" customFormat="1" x14ac:dyDescent="0.3"/>
    <row r="7785" customFormat="1" x14ac:dyDescent="0.3"/>
    <row r="7786" customFormat="1" x14ac:dyDescent="0.3"/>
    <row r="7787" customFormat="1" x14ac:dyDescent="0.3"/>
    <row r="7788" customFormat="1" x14ac:dyDescent="0.3"/>
    <row r="7789" customFormat="1" x14ac:dyDescent="0.3"/>
    <row r="7790" customFormat="1" x14ac:dyDescent="0.3"/>
    <row r="7791" customFormat="1" x14ac:dyDescent="0.3"/>
    <row r="7792" customFormat="1" x14ac:dyDescent="0.3"/>
    <row r="7793" customFormat="1" x14ac:dyDescent="0.3"/>
    <row r="7794" customFormat="1" x14ac:dyDescent="0.3"/>
    <row r="7795" customFormat="1" x14ac:dyDescent="0.3"/>
    <row r="7796" customFormat="1" x14ac:dyDescent="0.3"/>
    <row r="7797" customFormat="1" x14ac:dyDescent="0.3"/>
    <row r="7798" customFormat="1" x14ac:dyDescent="0.3"/>
    <row r="7799" customFormat="1" x14ac:dyDescent="0.3"/>
    <row r="7800" customFormat="1" x14ac:dyDescent="0.3"/>
    <row r="7801" customFormat="1" x14ac:dyDescent="0.3"/>
    <row r="7802" customFormat="1" x14ac:dyDescent="0.3"/>
    <row r="7803" customFormat="1" x14ac:dyDescent="0.3"/>
    <row r="7804" customFormat="1" x14ac:dyDescent="0.3"/>
    <row r="7805" customFormat="1" x14ac:dyDescent="0.3"/>
    <row r="7806" customFormat="1" x14ac:dyDescent="0.3"/>
    <row r="7807" customFormat="1" x14ac:dyDescent="0.3"/>
    <row r="7808" customFormat="1" x14ac:dyDescent="0.3"/>
    <row r="7809" customFormat="1" x14ac:dyDescent="0.3"/>
    <row r="7810" customFormat="1" x14ac:dyDescent="0.3"/>
    <row r="7811" customFormat="1" x14ac:dyDescent="0.3"/>
    <row r="7812" customFormat="1" x14ac:dyDescent="0.3"/>
    <row r="7813" customFormat="1" x14ac:dyDescent="0.3"/>
    <row r="7814" customFormat="1" x14ac:dyDescent="0.3"/>
    <row r="7815" customFormat="1" x14ac:dyDescent="0.3"/>
    <row r="7816" customFormat="1" x14ac:dyDescent="0.3"/>
    <row r="7817" customFormat="1" x14ac:dyDescent="0.3"/>
    <row r="7818" customFormat="1" x14ac:dyDescent="0.3"/>
    <row r="7819" customFormat="1" x14ac:dyDescent="0.3"/>
    <row r="7820" customFormat="1" x14ac:dyDescent="0.3"/>
    <row r="7821" customFormat="1" x14ac:dyDescent="0.3"/>
    <row r="7822" customFormat="1" x14ac:dyDescent="0.3"/>
    <row r="7823" customFormat="1" x14ac:dyDescent="0.3"/>
    <row r="7824" customFormat="1" x14ac:dyDescent="0.3"/>
    <row r="7825" customFormat="1" x14ac:dyDescent="0.3"/>
    <row r="7826" customFormat="1" x14ac:dyDescent="0.3"/>
    <row r="7827" customFormat="1" x14ac:dyDescent="0.3"/>
    <row r="7828" customFormat="1" x14ac:dyDescent="0.3"/>
    <row r="7829" customFormat="1" x14ac:dyDescent="0.3"/>
    <row r="7830" customFormat="1" x14ac:dyDescent="0.3"/>
    <row r="7831" customFormat="1" x14ac:dyDescent="0.3"/>
    <row r="7832" customFormat="1" x14ac:dyDescent="0.3"/>
    <row r="7833" customFormat="1" x14ac:dyDescent="0.3"/>
    <row r="7834" customFormat="1" x14ac:dyDescent="0.3"/>
    <row r="7835" customFormat="1" x14ac:dyDescent="0.3"/>
    <row r="7836" customFormat="1" x14ac:dyDescent="0.3"/>
    <row r="7837" customFormat="1" x14ac:dyDescent="0.3"/>
    <row r="7838" customFormat="1" x14ac:dyDescent="0.3"/>
    <row r="7839" customFormat="1" x14ac:dyDescent="0.3"/>
    <row r="7840" customFormat="1" x14ac:dyDescent="0.3"/>
    <row r="7841" customFormat="1" x14ac:dyDescent="0.3"/>
    <row r="7842" customFormat="1" x14ac:dyDescent="0.3"/>
    <row r="7843" customFormat="1" x14ac:dyDescent="0.3"/>
    <row r="7844" customFormat="1" x14ac:dyDescent="0.3"/>
    <row r="7845" customFormat="1" x14ac:dyDescent="0.3"/>
    <row r="7846" customFormat="1" x14ac:dyDescent="0.3"/>
    <row r="7847" customFormat="1" x14ac:dyDescent="0.3"/>
    <row r="7848" customFormat="1" x14ac:dyDescent="0.3"/>
    <row r="7849" customFormat="1" x14ac:dyDescent="0.3"/>
    <row r="7850" customFormat="1" x14ac:dyDescent="0.3"/>
    <row r="7851" customFormat="1" x14ac:dyDescent="0.3"/>
    <row r="7852" customFormat="1" x14ac:dyDescent="0.3"/>
    <row r="7853" customFormat="1" x14ac:dyDescent="0.3"/>
    <row r="7854" customFormat="1" x14ac:dyDescent="0.3"/>
    <row r="7855" customFormat="1" x14ac:dyDescent="0.3"/>
    <row r="7856" customFormat="1" x14ac:dyDescent="0.3"/>
    <row r="7857" customFormat="1" x14ac:dyDescent="0.3"/>
    <row r="7858" customFormat="1" x14ac:dyDescent="0.3"/>
    <row r="7859" customFormat="1" x14ac:dyDescent="0.3"/>
    <row r="7860" customFormat="1" x14ac:dyDescent="0.3"/>
    <row r="7861" customFormat="1" x14ac:dyDescent="0.3"/>
    <row r="7862" customFormat="1" x14ac:dyDescent="0.3"/>
    <row r="7863" customFormat="1" x14ac:dyDescent="0.3"/>
    <row r="7864" customFormat="1" x14ac:dyDescent="0.3"/>
    <row r="7865" customFormat="1" x14ac:dyDescent="0.3"/>
    <row r="7866" customFormat="1" x14ac:dyDescent="0.3"/>
    <row r="7867" customFormat="1" x14ac:dyDescent="0.3"/>
    <row r="7868" customFormat="1" x14ac:dyDescent="0.3"/>
    <row r="7869" customFormat="1" x14ac:dyDescent="0.3"/>
    <row r="7870" customFormat="1" x14ac:dyDescent="0.3"/>
    <row r="7871" customFormat="1" x14ac:dyDescent="0.3"/>
    <row r="7872" customFormat="1" x14ac:dyDescent="0.3"/>
    <row r="7873" customFormat="1" x14ac:dyDescent="0.3"/>
    <row r="7874" customFormat="1" x14ac:dyDescent="0.3"/>
    <row r="7875" customFormat="1" x14ac:dyDescent="0.3"/>
    <row r="7876" customFormat="1" x14ac:dyDescent="0.3"/>
    <row r="7877" customFormat="1" x14ac:dyDescent="0.3"/>
    <row r="7878" customFormat="1" x14ac:dyDescent="0.3"/>
    <row r="7879" customFormat="1" x14ac:dyDescent="0.3"/>
    <row r="7880" customFormat="1" x14ac:dyDescent="0.3"/>
    <row r="7881" customFormat="1" x14ac:dyDescent="0.3"/>
    <row r="7882" customFormat="1" x14ac:dyDescent="0.3"/>
    <row r="7883" customFormat="1" x14ac:dyDescent="0.3"/>
    <row r="7884" customFormat="1" x14ac:dyDescent="0.3"/>
    <row r="7885" customFormat="1" x14ac:dyDescent="0.3"/>
    <row r="7886" customFormat="1" x14ac:dyDescent="0.3"/>
    <row r="7887" customFormat="1" x14ac:dyDescent="0.3"/>
    <row r="7888" customFormat="1" x14ac:dyDescent="0.3"/>
    <row r="7889" customFormat="1" x14ac:dyDescent="0.3"/>
    <row r="7890" customFormat="1" x14ac:dyDescent="0.3"/>
    <row r="7891" customFormat="1" x14ac:dyDescent="0.3"/>
    <row r="7892" customFormat="1" x14ac:dyDescent="0.3"/>
    <row r="7893" customFormat="1" x14ac:dyDescent="0.3"/>
    <row r="7894" customFormat="1" x14ac:dyDescent="0.3"/>
    <row r="7895" customFormat="1" x14ac:dyDescent="0.3"/>
    <row r="7896" customFormat="1" x14ac:dyDescent="0.3"/>
    <row r="7897" customFormat="1" x14ac:dyDescent="0.3"/>
    <row r="7898" customFormat="1" x14ac:dyDescent="0.3"/>
    <row r="7899" customFormat="1" x14ac:dyDescent="0.3"/>
    <row r="7900" customFormat="1" x14ac:dyDescent="0.3"/>
    <row r="7901" customFormat="1" x14ac:dyDescent="0.3"/>
    <row r="7902" customFormat="1" x14ac:dyDescent="0.3"/>
    <row r="7903" customFormat="1" x14ac:dyDescent="0.3"/>
    <row r="7904" customFormat="1" x14ac:dyDescent="0.3"/>
    <row r="7905" customFormat="1" x14ac:dyDescent="0.3"/>
    <row r="7906" customFormat="1" x14ac:dyDescent="0.3"/>
    <row r="7907" customFormat="1" x14ac:dyDescent="0.3"/>
    <row r="7908" customFormat="1" x14ac:dyDescent="0.3"/>
    <row r="7909" customFormat="1" x14ac:dyDescent="0.3"/>
    <row r="7910" customFormat="1" x14ac:dyDescent="0.3"/>
    <row r="7911" customFormat="1" x14ac:dyDescent="0.3"/>
    <row r="7912" customFormat="1" x14ac:dyDescent="0.3"/>
    <row r="7913" customFormat="1" x14ac:dyDescent="0.3"/>
    <row r="7914" customFormat="1" x14ac:dyDescent="0.3"/>
    <row r="7915" customFormat="1" x14ac:dyDescent="0.3"/>
    <row r="7916" customFormat="1" x14ac:dyDescent="0.3"/>
    <row r="7917" customFormat="1" x14ac:dyDescent="0.3"/>
    <row r="7918" customFormat="1" x14ac:dyDescent="0.3"/>
    <row r="7919" customFormat="1" x14ac:dyDescent="0.3"/>
    <row r="7920" customFormat="1" x14ac:dyDescent="0.3"/>
    <row r="7921" customFormat="1" x14ac:dyDescent="0.3"/>
    <row r="7922" customFormat="1" x14ac:dyDescent="0.3"/>
    <row r="7923" customFormat="1" x14ac:dyDescent="0.3"/>
    <row r="7924" customFormat="1" x14ac:dyDescent="0.3"/>
    <row r="7925" customFormat="1" x14ac:dyDescent="0.3"/>
    <row r="7926" customFormat="1" x14ac:dyDescent="0.3"/>
    <row r="7927" customFormat="1" x14ac:dyDescent="0.3"/>
    <row r="7928" customFormat="1" x14ac:dyDescent="0.3"/>
    <row r="7929" customFormat="1" x14ac:dyDescent="0.3"/>
    <row r="7930" customFormat="1" x14ac:dyDescent="0.3"/>
    <row r="7931" customFormat="1" x14ac:dyDescent="0.3"/>
    <row r="7932" customFormat="1" x14ac:dyDescent="0.3"/>
    <row r="7933" customFormat="1" x14ac:dyDescent="0.3"/>
    <row r="7934" customFormat="1" x14ac:dyDescent="0.3"/>
    <row r="7935" customFormat="1" x14ac:dyDescent="0.3"/>
    <row r="7936" customFormat="1" x14ac:dyDescent="0.3"/>
    <row r="7937" customFormat="1" x14ac:dyDescent="0.3"/>
    <row r="7938" customFormat="1" x14ac:dyDescent="0.3"/>
    <row r="7939" customFormat="1" x14ac:dyDescent="0.3"/>
    <row r="7940" customFormat="1" x14ac:dyDescent="0.3"/>
    <row r="7941" customFormat="1" x14ac:dyDescent="0.3"/>
    <row r="7942" customFormat="1" x14ac:dyDescent="0.3"/>
    <row r="7943" customFormat="1" x14ac:dyDescent="0.3"/>
    <row r="7944" customFormat="1" x14ac:dyDescent="0.3"/>
    <row r="7945" customFormat="1" x14ac:dyDescent="0.3"/>
    <row r="7946" customFormat="1" x14ac:dyDescent="0.3"/>
    <row r="7947" customFormat="1" x14ac:dyDescent="0.3"/>
    <row r="7948" customFormat="1" x14ac:dyDescent="0.3"/>
    <row r="7949" customFormat="1" x14ac:dyDescent="0.3"/>
    <row r="7950" customFormat="1" x14ac:dyDescent="0.3"/>
    <row r="7951" customFormat="1" x14ac:dyDescent="0.3"/>
    <row r="7952" customFormat="1" x14ac:dyDescent="0.3"/>
    <row r="7953" customFormat="1" x14ac:dyDescent="0.3"/>
    <row r="7954" customFormat="1" x14ac:dyDescent="0.3"/>
    <row r="7955" customFormat="1" x14ac:dyDescent="0.3"/>
    <row r="7956" customFormat="1" x14ac:dyDescent="0.3"/>
    <row r="7957" customFormat="1" x14ac:dyDescent="0.3"/>
    <row r="7958" customFormat="1" x14ac:dyDescent="0.3"/>
    <row r="7959" customFormat="1" x14ac:dyDescent="0.3"/>
    <row r="7960" customFormat="1" x14ac:dyDescent="0.3"/>
    <row r="7961" customFormat="1" x14ac:dyDescent="0.3"/>
    <row r="7962" customFormat="1" x14ac:dyDescent="0.3"/>
    <row r="7963" customFormat="1" x14ac:dyDescent="0.3"/>
    <row r="7964" customFormat="1" x14ac:dyDescent="0.3"/>
    <row r="7965" customFormat="1" x14ac:dyDescent="0.3"/>
    <row r="7966" customFormat="1" x14ac:dyDescent="0.3"/>
    <row r="7967" customFormat="1" x14ac:dyDescent="0.3"/>
    <row r="7968" customFormat="1" x14ac:dyDescent="0.3"/>
    <row r="7969" customFormat="1" x14ac:dyDescent="0.3"/>
    <row r="7970" customFormat="1" x14ac:dyDescent="0.3"/>
    <row r="7971" customFormat="1" x14ac:dyDescent="0.3"/>
    <row r="7972" customFormat="1" x14ac:dyDescent="0.3"/>
    <row r="7973" customFormat="1" x14ac:dyDescent="0.3"/>
    <row r="7974" customFormat="1" x14ac:dyDescent="0.3"/>
    <row r="7975" customFormat="1" x14ac:dyDescent="0.3"/>
    <row r="7976" customFormat="1" x14ac:dyDescent="0.3"/>
    <row r="7977" customFormat="1" x14ac:dyDescent="0.3"/>
    <row r="7978" customFormat="1" x14ac:dyDescent="0.3"/>
    <row r="7979" customFormat="1" x14ac:dyDescent="0.3"/>
    <row r="7980" customFormat="1" x14ac:dyDescent="0.3"/>
    <row r="7981" customFormat="1" x14ac:dyDescent="0.3"/>
    <row r="7982" customFormat="1" x14ac:dyDescent="0.3"/>
    <row r="7983" customFormat="1" x14ac:dyDescent="0.3"/>
    <row r="7984" customFormat="1" x14ac:dyDescent="0.3"/>
    <row r="7985" customFormat="1" x14ac:dyDescent="0.3"/>
    <row r="7986" customFormat="1" x14ac:dyDescent="0.3"/>
    <row r="7987" customFormat="1" x14ac:dyDescent="0.3"/>
    <row r="7988" customFormat="1" x14ac:dyDescent="0.3"/>
    <row r="7989" customFormat="1" x14ac:dyDescent="0.3"/>
    <row r="7990" customFormat="1" x14ac:dyDescent="0.3"/>
    <row r="7991" customFormat="1" x14ac:dyDescent="0.3"/>
    <row r="7992" customFormat="1" x14ac:dyDescent="0.3"/>
    <row r="7993" customFormat="1" x14ac:dyDescent="0.3"/>
    <row r="7994" customFormat="1" x14ac:dyDescent="0.3"/>
    <row r="7995" customFormat="1" x14ac:dyDescent="0.3"/>
    <row r="7996" customFormat="1" x14ac:dyDescent="0.3"/>
    <row r="7997" customFormat="1" x14ac:dyDescent="0.3"/>
    <row r="7998" customFormat="1" x14ac:dyDescent="0.3"/>
    <row r="7999" customFormat="1" x14ac:dyDescent="0.3"/>
    <row r="8000" customFormat="1" x14ac:dyDescent="0.3"/>
    <row r="8001" customFormat="1" x14ac:dyDescent="0.3"/>
    <row r="8002" customFormat="1" x14ac:dyDescent="0.3"/>
    <row r="8003" customFormat="1" x14ac:dyDescent="0.3"/>
    <row r="8004" customFormat="1" x14ac:dyDescent="0.3"/>
    <row r="8005" customFormat="1" x14ac:dyDescent="0.3"/>
    <row r="8006" customFormat="1" x14ac:dyDescent="0.3"/>
    <row r="8007" customFormat="1" x14ac:dyDescent="0.3"/>
    <row r="8008" customFormat="1" x14ac:dyDescent="0.3"/>
    <row r="8009" customFormat="1" x14ac:dyDescent="0.3"/>
    <row r="8010" customFormat="1" x14ac:dyDescent="0.3"/>
    <row r="8011" customFormat="1" x14ac:dyDescent="0.3"/>
    <row r="8012" customFormat="1" x14ac:dyDescent="0.3"/>
    <row r="8013" customFormat="1" x14ac:dyDescent="0.3"/>
    <row r="8014" customFormat="1" x14ac:dyDescent="0.3"/>
    <row r="8015" customFormat="1" x14ac:dyDescent="0.3"/>
    <row r="8016" customFormat="1" x14ac:dyDescent="0.3"/>
    <row r="8017" customFormat="1" x14ac:dyDescent="0.3"/>
    <row r="8018" customFormat="1" x14ac:dyDescent="0.3"/>
    <row r="8019" customFormat="1" x14ac:dyDescent="0.3"/>
    <row r="8020" customFormat="1" x14ac:dyDescent="0.3"/>
    <row r="8021" customFormat="1" x14ac:dyDescent="0.3"/>
    <row r="8022" customFormat="1" x14ac:dyDescent="0.3"/>
    <row r="8023" customFormat="1" x14ac:dyDescent="0.3"/>
    <row r="8024" customFormat="1" x14ac:dyDescent="0.3"/>
    <row r="8025" customFormat="1" x14ac:dyDescent="0.3"/>
    <row r="8026" customFormat="1" x14ac:dyDescent="0.3"/>
    <row r="8027" customFormat="1" x14ac:dyDescent="0.3"/>
    <row r="8028" customFormat="1" x14ac:dyDescent="0.3"/>
    <row r="8029" customFormat="1" x14ac:dyDescent="0.3"/>
    <row r="8030" customFormat="1" x14ac:dyDescent="0.3"/>
    <row r="8031" customFormat="1" x14ac:dyDescent="0.3"/>
    <row r="8032" customFormat="1" x14ac:dyDescent="0.3"/>
    <row r="8033" customFormat="1" x14ac:dyDescent="0.3"/>
    <row r="8034" customFormat="1" x14ac:dyDescent="0.3"/>
    <row r="8035" customFormat="1" x14ac:dyDescent="0.3"/>
    <row r="8036" customFormat="1" x14ac:dyDescent="0.3"/>
    <row r="8037" customFormat="1" x14ac:dyDescent="0.3"/>
    <row r="8038" customFormat="1" x14ac:dyDescent="0.3"/>
    <row r="8039" customFormat="1" x14ac:dyDescent="0.3"/>
    <row r="8040" customFormat="1" x14ac:dyDescent="0.3"/>
    <row r="8041" customFormat="1" x14ac:dyDescent="0.3"/>
    <row r="8042" customFormat="1" x14ac:dyDescent="0.3"/>
    <row r="8043" customFormat="1" x14ac:dyDescent="0.3"/>
    <row r="8044" customFormat="1" x14ac:dyDescent="0.3"/>
    <row r="8045" customFormat="1" x14ac:dyDescent="0.3"/>
    <row r="8046" customFormat="1" x14ac:dyDescent="0.3"/>
    <row r="8047" customFormat="1" x14ac:dyDescent="0.3"/>
    <row r="8048" customFormat="1" x14ac:dyDescent="0.3"/>
    <row r="8049" customFormat="1" x14ac:dyDescent="0.3"/>
    <row r="8050" customFormat="1" x14ac:dyDescent="0.3"/>
    <row r="8051" customFormat="1" x14ac:dyDescent="0.3"/>
    <row r="8052" customFormat="1" x14ac:dyDescent="0.3"/>
    <row r="8053" customFormat="1" x14ac:dyDescent="0.3"/>
    <row r="8054" customFormat="1" x14ac:dyDescent="0.3"/>
    <row r="8055" customFormat="1" x14ac:dyDescent="0.3"/>
    <row r="8056" customFormat="1" x14ac:dyDescent="0.3"/>
    <row r="8057" customFormat="1" x14ac:dyDescent="0.3"/>
    <row r="8058" customFormat="1" x14ac:dyDescent="0.3"/>
    <row r="8059" customFormat="1" x14ac:dyDescent="0.3"/>
    <row r="8060" customFormat="1" x14ac:dyDescent="0.3"/>
    <row r="8061" customFormat="1" x14ac:dyDescent="0.3"/>
    <row r="8062" customFormat="1" x14ac:dyDescent="0.3"/>
    <row r="8063" customFormat="1" x14ac:dyDescent="0.3"/>
    <row r="8064" customFormat="1" x14ac:dyDescent="0.3"/>
    <row r="8065" customFormat="1" x14ac:dyDescent="0.3"/>
    <row r="8066" customFormat="1" x14ac:dyDescent="0.3"/>
    <row r="8067" customFormat="1" x14ac:dyDescent="0.3"/>
    <row r="8068" customFormat="1" x14ac:dyDescent="0.3"/>
    <row r="8069" customFormat="1" x14ac:dyDescent="0.3"/>
    <row r="8070" customFormat="1" x14ac:dyDescent="0.3"/>
    <row r="8071" customFormat="1" x14ac:dyDescent="0.3"/>
    <row r="8072" customFormat="1" x14ac:dyDescent="0.3"/>
    <row r="8073" customFormat="1" x14ac:dyDescent="0.3"/>
    <row r="8074" customFormat="1" x14ac:dyDescent="0.3"/>
    <row r="8075" customFormat="1" x14ac:dyDescent="0.3"/>
    <row r="8076" customFormat="1" x14ac:dyDescent="0.3"/>
    <row r="8077" customFormat="1" x14ac:dyDescent="0.3"/>
    <row r="8078" customFormat="1" x14ac:dyDescent="0.3"/>
    <row r="8079" customFormat="1" x14ac:dyDescent="0.3"/>
    <row r="8080" customFormat="1" x14ac:dyDescent="0.3"/>
    <row r="8081" customFormat="1" x14ac:dyDescent="0.3"/>
    <row r="8082" customFormat="1" x14ac:dyDescent="0.3"/>
    <row r="8083" customFormat="1" x14ac:dyDescent="0.3"/>
    <row r="8084" customFormat="1" x14ac:dyDescent="0.3"/>
    <row r="8085" customFormat="1" x14ac:dyDescent="0.3"/>
    <row r="8086" customFormat="1" x14ac:dyDescent="0.3"/>
    <row r="8087" customFormat="1" x14ac:dyDescent="0.3"/>
    <row r="8088" customFormat="1" x14ac:dyDescent="0.3"/>
    <row r="8089" customFormat="1" x14ac:dyDescent="0.3"/>
    <row r="8090" customFormat="1" x14ac:dyDescent="0.3"/>
    <row r="8091" customFormat="1" x14ac:dyDescent="0.3"/>
    <row r="8092" customFormat="1" x14ac:dyDescent="0.3"/>
    <row r="8093" customFormat="1" x14ac:dyDescent="0.3"/>
    <row r="8094" customFormat="1" x14ac:dyDescent="0.3"/>
    <row r="8095" customFormat="1" x14ac:dyDescent="0.3"/>
    <row r="8096" customFormat="1" x14ac:dyDescent="0.3"/>
    <row r="8097" customFormat="1" x14ac:dyDescent="0.3"/>
    <row r="8098" customFormat="1" x14ac:dyDescent="0.3"/>
    <row r="8099" customFormat="1" x14ac:dyDescent="0.3"/>
    <row r="8100" customFormat="1" x14ac:dyDescent="0.3"/>
    <row r="8101" customFormat="1" x14ac:dyDescent="0.3"/>
    <row r="8102" customFormat="1" x14ac:dyDescent="0.3"/>
    <row r="8103" customFormat="1" x14ac:dyDescent="0.3"/>
    <row r="8104" customFormat="1" x14ac:dyDescent="0.3"/>
    <row r="8105" customFormat="1" x14ac:dyDescent="0.3"/>
    <row r="8106" customFormat="1" x14ac:dyDescent="0.3"/>
    <row r="8107" customFormat="1" x14ac:dyDescent="0.3"/>
    <row r="8108" customFormat="1" x14ac:dyDescent="0.3"/>
    <row r="8109" customFormat="1" x14ac:dyDescent="0.3"/>
    <row r="8110" customFormat="1" x14ac:dyDescent="0.3"/>
    <row r="8111" customFormat="1" x14ac:dyDescent="0.3"/>
    <row r="8112" customFormat="1" x14ac:dyDescent="0.3"/>
    <row r="8113" customFormat="1" x14ac:dyDescent="0.3"/>
    <row r="8114" customFormat="1" x14ac:dyDescent="0.3"/>
    <row r="8115" customFormat="1" x14ac:dyDescent="0.3"/>
    <row r="8116" customFormat="1" x14ac:dyDescent="0.3"/>
    <row r="8117" customFormat="1" x14ac:dyDescent="0.3"/>
    <row r="8118" customFormat="1" x14ac:dyDescent="0.3"/>
    <row r="8119" customFormat="1" x14ac:dyDescent="0.3"/>
    <row r="8120" customFormat="1" x14ac:dyDescent="0.3"/>
    <row r="8121" customFormat="1" x14ac:dyDescent="0.3"/>
    <row r="8122" customFormat="1" x14ac:dyDescent="0.3"/>
    <row r="8123" customFormat="1" x14ac:dyDescent="0.3"/>
    <row r="8124" customFormat="1" x14ac:dyDescent="0.3"/>
    <row r="8125" customFormat="1" x14ac:dyDescent="0.3"/>
    <row r="8126" customFormat="1" x14ac:dyDescent="0.3"/>
    <row r="8127" customFormat="1" x14ac:dyDescent="0.3"/>
    <row r="8128" customFormat="1" x14ac:dyDescent="0.3"/>
    <row r="8129" customFormat="1" x14ac:dyDescent="0.3"/>
    <row r="8130" customFormat="1" x14ac:dyDescent="0.3"/>
    <row r="8131" customFormat="1" x14ac:dyDescent="0.3"/>
    <row r="8132" customFormat="1" x14ac:dyDescent="0.3"/>
    <row r="8133" customFormat="1" x14ac:dyDescent="0.3"/>
    <row r="8134" customFormat="1" x14ac:dyDescent="0.3"/>
    <row r="8135" customFormat="1" x14ac:dyDescent="0.3"/>
    <row r="8136" customFormat="1" x14ac:dyDescent="0.3"/>
    <row r="8137" customFormat="1" x14ac:dyDescent="0.3"/>
    <row r="8138" customFormat="1" x14ac:dyDescent="0.3"/>
    <row r="8139" customFormat="1" x14ac:dyDescent="0.3"/>
    <row r="8140" customFormat="1" x14ac:dyDescent="0.3"/>
    <row r="8141" customFormat="1" x14ac:dyDescent="0.3"/>
    <row r="8142" customFormat="1" x14ac:dyDescent="0.3"/>
    <row r="8143" customFormat="1" x14ac:dyDescent="0.3"/>
    <row r="8144" customFormat="1" x14ac:dyDescent="0.3"/>
    <row r="8145" customFormat="1" x14ac:dyDescent="0.3"/>
    <row r="8146" customFormat="1" x14ac:dyDescent="0.3"/>
    <row r="8147" customFormat="1" x14ac:dyDescent="0.3"/>
    <row r="8148" customFormat="1" x14ac:dyDescent="0.3"/>
    <row r="8149" customFormat="1" x14ac:dyDescent="0.3"/>
    <row r="8150" customFormat="1" x14ac:dyDescent="0.3"/>
    <row r="8151" customFormat="1" x14ac:dyDescent="0.3"/>
    <row r="8152" customFormat="1" x14ac:dyDescent="0.3"/>
    <row r="8153" customFormat="1" x14ac:dyDescent="0.3"/>
    <row r="8154" customFormat="1" x14ac:dyDescent="0.3"/>
    <row r="8155" customFormat="1" x14ac:dyDescent="0.3"/>
    <row r="8156" customFormat="1" x14ac:dyDescent="0.3"/>
    <row r="8157" customFormat="1" x14ac:dyDescent="0.3"/>
    <row r="8158" customFormat="1" x14ac:dyDescent="0.3"/>
    <row r="8159" customFormat="1" x14ac:dyDescent="0.3"/>
    <row r="8160" customFormat="1" x14ac:dyDescent="0.3"/>
    <row r="8161" customFormat="1" x14ac:dyDescent="0.3"/>
    <row r="8162" customFormat="1" x14ac:dyDescent="0.3"/>
    <row r="8163" customFormat="1" x14ac:dyDescent="0.3"/>
    <row r="8164" customFormat="1" x14ac:dyDescent="0.3"/>
    <row r="8165" customFormat="1" x14ac:dyDescent="0.3"/>
    <row r="8166" customFormat="1" x14ac:dyDescent="0.3"/>
    <row r="8167" customFormat="1" x14ac:dyDescent="0.3"/>
    <row r="8168" customFormat="1" x14ac:dyDescent="0.3"/>
    <row r="8169" customFormat="1" x14ac:dyDescent="0.3"/>
    <row r="8170" customFormat="1" x14ac:dyDescent="0.3"/>
    <row r="8171" customFormat="1" x14ac:dyDescent="0.3"/>
    <row r="8172" customFormat="1" x14ac:dyDescent="0.3"/>
    <row r="8173" customFormat="1" x14ac:dyDescent="0.3"/>
    <row r="8174" customFormat="1" x14ac:dyDescent="0.3"/>
    <row r="8175" customFormat="1" x14ac:dyDescent="0.3"/>
    <row r="8176" customFormat="1" x14ac:dyDescent="0.3"/>
    <row r="8177" customFormat="1" x14ac:dyDescent="0.3"/>
    <row r="8178" customFormat="1" x14ac:dyDescent="0.3"/>
    <row r="8179" customFormat="1" x14ac:dyDescent="0.3"/>
    <row r="8180" customFormat="1" x14ac:dyDescent="0.3"/>
    <row r="8181" customFormat="1" x14ac:dyDescent="0.3"/>
    <row r="8182" customFormat="1" x14ac:dyDescent="0.3"/>
    <row r="8183" customFormat="1" x14ac:dyDescent="0.3"/>
    <row r="8184" customFormat="1" x14ac:dyDescent="0.3"/>
    <row r="8185" customFormat="1" x14ac:dyDescent="0.3"/>
    <row r="8186" customFormat="1" x14ac:dyDescent="0.3"/>
    <row r="8187" customFormat="1" x14ac:dyDescent="0.3"/>
    <row r="8188" customFormat="1" x14ac:dyDescent="0.3"/>
    <row r="8189" customFormat="1" x14ac:dyDescent="0.3"/>
    <row r="8190" customFormat="1" x14ac:dyDescent="0.3"/>
    <row r="8191" customFormat="1" x14ac:dyDescent="0.3"/>
    <row r="8192" customFormat="1" x14ac:dyDescent="0.3"/>
    <row r="8193" customFormat="1" x14ac:dyDescent="0.3"/>
    <row r="8194" customFormat="1" x14ac:dyDescent="0.3"/>
    <row r="8195" customFormat="1" x14ac:dyDescent="0.3"/>
    <row r="8196" customFormat="1" x14ac:dyDescent="0.3"/>
    <row r="8197" customFormat="1" x14ac:dyDescent="0.3"/>
    <row r="8198" customFormat="1" x14ac:dyDescent="0.3"/>
    <row r="8199" customFormat="1" x14ac:dyDescent="0.3"/>
    <row r="8200" customFormat="1" x14ac:dyDescent="0.3"/>
    <row r="8201" customFormat="1" x14ac:dyDescent="0.3"/>
    <row r="8202" customFormat="1" x14ac:dyDescent="0.3"/>
    <row r="8203" customFormat="1" x14ac:dyDescent="0.3"/>
    <row r="8204" customFormat="1" x14ac:dyDescent="0.3"/>
    <row r="8205" customFormat="1" x14ac:dyDescent="0.3"/>
    <row r="8206" customFormat="1" x14ac:dyDescent="0.3"/>
    <row r="8207" customFormat="1" x14ac:dyDescent="0.3"/>
    <row r="8208" customFormat="1" x14ac:dyDescent="0.3"/>
    <row r="8209" customFormat="1" x14ac:dyDescent="0.3"/>
    <row r="8210" customFormat="1" x14ac:dyDescent="0.3"/>
    <row r="8211" customFormat="1" x14ac:dyDescent="0.3"/>
    <row r="8212" customFormat="1" x14ac:dyDescent="0.3"/>
    <row r="8213" customFormat="1" x14ac:dyDescent="0.3"/>
    <row r="8214" customFormat="1" x14ac:dyDescent="0.3"/>
    <row r="8215" customFormat="1" x14ac:dyDescent="0.3"/>
    <row r="8216" customFormat="1" x14ac:dyDescent="0.3"/>
    <row r="8217" customFormat="1" x14ac:dyDescent="0.3"/>
    <row r="8218" customFormat="1" x14ac:dyDescent="0.3"/>
    <row r="8219" customFormat="1" x14ac:dyDescent="0.3"/>
    <row r="8220" customFormat="1" x14ac:dyDescent="0.3"/>
    <row r="8221" customFormat="1" x14ac:dyDescent="0.3"/>
    <row r="8222" customFormat="1" x14ac:dyDescent="0.3"/>
    <row r="8223" customFormat="1" x14ac:dyDescent="0.3"/>
    <row r="8224" customFormat="1" x14ac:dyDescent="0.3"/>
    <row r="8225" customFormat="1" x14ac:dyDescent="0.3"/>
    <row r="8226" customFormat="1" x14ac:dyDescent="0.3"/>
    <row r="8227" customFormat="1" x14ac:dyDescent="0.3"/>
    <row r="8228" customFormat="1" x14ac:dyDescent="0.3"/>
    <row r="8229" customFormat="1" x14ac:dyDescent="0.3"/>
    <row r="8230" customFormat="1" x14ac:dyDescent="0.3"/>
    <row r="8231" customFormat="1" x14ac:dyDescent="0.3"/>
    <row r="8232" customFormat="1" x14ac:dyDescent="0.3"/>
    <row r="8233" customFormat="1" x14ac:dyDescent="0.3"/>
    <row r="8234" customFormat="1" x14ac:dyDescent="0.3"/>
    <row r="8235" customFormat="1" x14ac:dyDescent="0.3"/>
    <row r="8236" customFormat="1" x14ac:dyDescent="0.3"/>
    <row r="8237" customFormat="1" x14ac:dyDescent="0.3"/>
    <row r="8238" customFormat="1" x14ac:dyDescent="0.3"/>
    <row r="8239" customFormat="1" x14ac:dyDescent="0.3"/>
    <row r="8240" customFormat="1" x14ac:dyDescent="0.3"/>
    <row r="8241" customFormat="1" x14ac:dyDescent="0.3"/>
    <row r="8242" customFormat="1" x14ac:dyDescent="0.3"/>
    <row r="8243" customFormat="1" x14ac:dyDescent="0.3"/>
    <row r="8244" customFormat="1" x14ac:dyDescent="0.3"/>
    <row r="8245" customFormat="1" x14ac:dyDescent="0.3"/>
    <row r="8246" customFormat="1" x14ac:dyDescent="0.3"/>
    <row r="8247" customFormat="1" x14ac:dyDescent="0.3"/>
    <row r="8248" customFormat="1" x14ac:dyDescent="0.3"/>
    <row r="8249" customFormat="1" x14ac:dyDescent="0.3"/>
    <row r="8250" customFormat="1" x14ac:dyDescent="0.3"/>
    <row r="8251" customFormat="1" x14ac:dyDescent="0.3"/>
    <row r="8252" customFormat="1" x14ac:dyDescent="0.3"/>
    <row r="8253" customFormat="1" x14ac:dyDescent="0.3"/>
    <row r="8254" customFormat="1" x14ac:dyDescent="0.3"/>
    <row r="8255" customFormat="1" x14ac:dyDescent="0.3"/>
    <row r="8256" customFormat="1" x14ac:dyDescent="0.3"/>
    <row r="8257" customFormat="1" x14ac:dyDescent="0.3"/>
    <row r="8258" customFormat="1" x14ac:dyDescent="0.3"/>
    <row r="8259" customFormat="1" x14ac:dyDescent="0.3"/>
    <row r="8260" customFormat="1" x14ac:dyDescent="0.3"/>
    <row r="8261" customFormat="1" x14ac:dyDescent="0.3"/>
    <row r="8262" customFormat="1" x14ac:dyDescent="0.3"/>
    <row r="8263" customFormat="1" x14ac:dyDescent="0.3"/>
    <row r="8264" customFormat="1" x14ac:dyDescent="0.3"/>
    <row r="8265" customFormat="1" x14ac:dyDescent="0.3"/>
    <row r="8266" customFormat="1" x14ac:dyDescent="0.3"/>
    <row r="8267" customFormat="1" x14ac:dyDescent="0.3"/>
    <row r="8268" customFormat="1" x14ac:dyDescent="0.3"/>
    <row r="8269" customFormat="1" x14ac:dyDescent="0.3"/>
    <row r="8270" customFormat="1" x14ac:dyDescent="0.3"/>
    <row r="8271" customFormat="1" x14ac:dyDescent="0.3"/>
    <row r="8272" customFormat="1" x14ac:dyDescent="0.3"/>
    <row r="8273" customFormat="1" x14ac:dyDescent="0.3"/>
    <row r="8274" customFormat="1" x14ac:dyDescent="0.3"/>
    <row r="8275" customFormat="1" x14ac:dyDescent="0.3"/>
    <row r="8276" customFormat="1" x14ac:dyDescent="0.3"/>
    <row r="8277" customFormat="1" x14ac:dyDescent="0.3"/>
    <row r="8278" customFormat="1" x14ac:dyDescent="0.3"/>
    <row r="8279" customFormat="1" x14ac:dyDescent="0.3"/>
    <row r="8280" customFormat="1" x14ac:dyDescent="0.3"/>
    <row r="8281" customFormat="1" x14ac:dyDescent="0.3"/>
    <row r="8282" customFormat="1" x14ac:dyDescent="0.3"/>
    <row r="8283" customFormat="1" x14ac:dyDescent="0.3"/>
    <row r="8284" customFormat="1" x14ac:dyDescent="0.3"/>
    <row r="8285" customFormat="1" x14ac:dyDescent="0.3"/>
    <row r="8286" customFormat="1" x14ac:dyDescent="0.3"/>
    <row r="8287" customFormat="1" x14ac:dyDescent="0.3"/>
    <row r="8288" customFormat="1" x14ac:dyDescent="0.3"/>
    <row r="8289" customFormat="1" x14ac:dyDescent="0.3"/>
    <row r="8290" customFormat="1" x14ac:dyDescent="0.3"/>
    <row r="8291" customFormat="1" x14ac:dyDescent="0.3"/>
    <row r="8292" customFormat="1" x14ac:dyDescent="0.3"/>
    <row r="8293" customFormat="1" x14ac:dyDescent="0.3"/>
    <row r="8294" customFormat="1" x14ac:dyDescent="0.3"/>
    <row r="8295" customFormat="1" x14ac:dyDescent="0.3"/>
    <row r="8296" customFormat="1" x14ac:dyDescent="0.3"/>
    <row r="8297" customFormat="1" x14ac:dyDescent="0.3"/>
    <row r="8298" customFormat="1" x14ac:dyDescent="0.3"/>
    <row r="8299" customFormat="1" x14ac:dyDescent="0.3"/>
    <row r="8300" customFormat="1" x14ac:dyDescent="0.3"/>
    <row r="8301" customFormat="1" x14ac:dyDescent="0.3"/>
    <row r="8302" customFormat="1" x14ac:dyDescent="0.3"/>
    <row r="8303" customFormat="1" x14ac:dyDescent="0.3"/>
    <row r="8304" customFormat="1" x14ac:dyDescent="0.3"/>
    <row r="8305" customFormat="1" x14ac:dyDescent="0.3"/>
    <row r="8306" customFormat="1" x14ac:dyDescent="0.3"/>
    <row r="8307" customFormat="1" x14ac:dyDescent="0.3"/>
    <row r="8308" customFormat="1" x14ac:dyDescent="0.3"/>
    <row r="8309" customFormat="1" x14ac:dyDescent="0.3"/>
    <row r="8310" customFormat="1" x14ac:dyDescent="0.3"/>
    <row r="8311" customFormat="1" x14ac:dyDescent="0.3"/>
    <row r="8312" customFormat="1" x14ac:dyDescent="0.3"/>
    <row r="8313" customFormat="1" x14ac:dyDescent="0.3"/>
    <row r="8314" customFormat="1" x14ac:dyDescent="0.3"/>
    <row r="8315" customFormat="1" x14ac:dyDescent="0.3"/>
    <row r="8316" customFormat="1" x14ac:dyDescent="0.3"/>
    <row r="8317" customFormat="1" x14ac:dyDescent="0.3"/>
    <row r="8318" customFormat="1" x14ac:dyDescent="0.3"/>
    <row r="8319" customFormat="1" x14ac:dyDescent="0.3"/>
    <row r="8320" customFormat="1" x14ac:dyDescent="0.3"/>
    <row r="8321" customFormat="1" x14ac:dyDescent="0.3"/>
    <row r="8322" customFormat="1" x14ac:dyDescent="0.3"/>
    <row r="8323" customFormat="1" x14ac:dyDescent="0.3"/>
    <row r="8324" customFormat="1" x14ac:dyDescent="0.3"/>
    <row r="8325" customFormat="1" x14ac:dyDescent="0.3"/>
    <row r="8326" customFormat="1" x14ac:dyDescent="0.3"/>
    <row r="8327" customFormat="1" x14ac:dyDescent="0.3"/>
    <row r="8328" customFormat="1" x14ac:dyDescent="0.3"/>
    <row r="8329" customFormat="1" x14ac:dyDescent="0.3"/>
    <row r="8330" customFormat="1" x14ac:dyDescent="0.3"/>
    <row r="8331" customFormat="1" x14ac:dyDescent="0.3"/>
    <row r="8332" customFormat="1" x14ac:dyDescent="0.3"/>
    <row r="8333" customFormat="1" x14ac:dyDescent="0.3"/>
    <row r="8334" customFormat="1" x14ac:dyDescent="0.3"/>
    <row r="8335" customFormat="1" x14ac:dyDescent="0.3"/>
    <row r="8336" customFormat="1" x14ac:dyDescent="0.3"/>
    <row r="8337" customFormat="1" x14ac:dyDescent="0.3"/>
    <row r="8338" customFormat="1" x14ac:dyDescent="0.3"/>
    <row r="8339" customFormat="1" x14ac:dyDescent="0.3"/>
    <row r="8340" customFormat="1" x14ac:dyDescent="0.3"/>
    <row r="8341" customFormat="1" x14ac:dyDescent="0.3"/>
    <row r="8342" customFormat="1" x14ac:dyDescent="0.3"/>
    <row r="8343" customFormat="1" x14ac:dyDescent="0.3"/>
    <row r="8344" customFormat="1" x14ac:dyDescent="0.3"/>
    <row r="8345" customFormat="1" x14ac:dyDescent="0.3"/>
    <row r="8346" customFormat="1" x14ac:dyDescent="0.3"/>
    <row r="8347" customFormat="1" x14ac:dyDescent="0.3"/>
    <row r="8348" customFormat="1" x14ac:dyDescent="0.3"/>
    <row r="8349" customFormat="1" x14ac:dyDescent="0.3"/>
    <row r="8350" customFormat="1" x14ac:dyDescent="0.3"/>
    <row r="8351" customFormat="1" x14ac:dyDescent="0.3"/>
    <row r="8352" customFormat="1" x14ac:dyDescent="0.3"/>
    <row r="8353" customFormat="1" x14ac:dyDescent="0.3"/>
    <row r="8354" customFormat="1" x14ac:dyDescent="0.3"/>
    <row r="8355" customFormat="1" x14ac:dyDescent="0.3"/>
    <row r="8356" customFormat="1" x14ac:dyDescent="0.3"/>
    <row r="8357" customFormat="1" x14ac:dyDescent="0.3"/>
    <row r="8358" customFormat="1" x14ac:dyDescent="0.3"/>
    <row r="8359" customFormat="1" x14ac:dyDescent="0.3"/>
    <row r="8360" customFormat="1" x14ac:dyDescent="0.3"/>
    <row r="8361" customFormat="1" x14ac:dyDescent="0.3"/>
    <row r="8362" customFormat="1" x14ac:dyDescent="0.3"/>
    <row r="8363" customFormat="1" x14ac:dyDescent="0.3"/>
    <row r="8364" customFormat="1" x14ac:dyDescent="0.3"/>
    <row r="8365" customFormat="1" x14ac:dyDescent="0.3"/>
    <row r="8366" customFormat="1" x14ac:dyDescent="0.3"/>
    <row r="8367" customFormat="1" x14ac:dyDescent="0.3"/>
    <row r="8368" customFormat="1" x14ac:dyDescent="0.3"/>
    <row r="8369" customFormat="1" x14ac:dyDescent="0.3"/>
    <row r="8370" customFormat="1" x14ac:dyDescent="0.3"/>
    <row r="8371" customFormat="1" x14ac:dyDescent="0.3"/>
    <row r="8372" customFormat="1" x14ac:dyDescent="0.3"/>
    <row r="8373" customFormat="1" x14ac:dyDescent="0.3"/>
    <row r="8374" customFormat="1" x14ac:dyDescent="0.3"/>
    <row r="8375" customFormat="1" x14ac:dyDescent="0.3"/>
    <row r="8376" customFormat="1" x14ac:dyDescent="0.3"/>
    <row r="8377" customFormat="1" x14ac:dyDescent="0.3"/>
    <row r="8378" customFormat="1" x14ac:dyDescent="0.3"/>
    <row r="8379" customFormat="1" x14ac:dyDescent="0.3"/>
    <row r="8380" customFormat="1" x14ac:dyDescent="0.3"/>
    <row r="8381" customFormat="1" x14ac:dyDescent="0.3"/>
    <row r="8382" customFormat="1" x14ac:dyDescent="0.3"/>
    <row r="8383" customFormat="1" x14ac:dyDescent="0.3"/>
    <row r="8384" customFormat="1" x14ac:dyDescent="0.3"/>
    <row r="8385" customFormat="1" x14ac:dyDescent="0.3"/>
    <row r="8386" customFormat="1" x14ac:dyDescent="0.3"/>
    <row r="8387" customFormat="1" x14ac:dyDescent="0.3"/>
    <row r="8388" customFormat="1" x14ac:dyDescent="0.3"/>
    <row r="8389" customFormat="1" x14ac:dyDescent="0.3"/>
    <row r="8390" customFormat="1" x14ac:dyDescent="0.3"/>
    <row r="8391" customFormat="1" x14ac:dyDescent="0.3"/>
    <row r="8392" customFormat="1" x14ac:dyDescent="0.3"/>
    <row r="8393" customFormat="1" x14ac:dyDescent="0.3"/>
    <row r="8394" customFormat="1" x14ac:dyDescent="0.3"/>
    <row r="8395" customFormat="1" x14ac:dyDescent="0.3"/>
    <row r="8396" customFormat="1" x14ac:dyDescent="0.3"/>
    <row r="8397" customFormat="1" x14ac:dyDescent="0.3"/>
    <row r="8398" customFormat="1" x14ac:dyDescent="0.3"/>
    <row r="8399" customFormat="1" x14ac:dyDescent="0.3"/>
    <row r="8400" customFormat="1" x14ac:dyDescent="0.3"/>
    <row r="8401" customFormat="1" x14ac:dyDescent="0.3"/>
    <row r="8402" customFormat="1" x14ac:dyDescent="0.3"/>
    <row r="8403" customFormat="1" x14ac:dyDescent="0.3"/>
    <row r="8404" customFormat="1" x14ac:dyDescent="0.3"/>
    <row r="8405" customFormat="1" x14ac:dyDescent="0.3"/>
    <row r="8406" customFormat="1" x14ac:dyDescent="0.3"/>
    <row r="8407" customFormat="1" x14ac:dyDescent="0.3"/>
    <row r="8408" customFormat="1" x14ac:dyDescent="0.3"/>
    <row r="8409" customFormat="1" x14ac:dyDescent="0.3"/>
    <row r="8410" customFormat="1" x14ac:dyDescent="0.3"/>
    <row r="8411" customFormat="1" x14ac:dyDescent="0.3"/>
    <row r="8412" customFormat="1" x14ac:dyDescent="0.3"/>
    <row r="8413" customFormat="1" x14ac:dyDescent="0.3"/>
    <row r="8414" customFormat="1" x14ac:dyDescent="0.3"/>
    <row r="8415" customFormat="1" x14ac:dyDescent="0.3"/>
    <row r="8416" customFormat="1" x14ac:dyDescent="0.3"/>
    <row r="8417" customFormat="1" x14ac:dyDescent="0.3"/>
    <row r="8418" customFormat="1" x14ac:dyDescent="0.3"/>
    <row r="8419" customFormat="1" x14ac:dyDescent="0.3"/>
    <row r="8420" customFormat="1" x14ac:dyDescent="0.3"/>
    <row r="8421" customFormat="1" x14ac:dyDescent="0.3"/>
    <row r="8422" customFormat="1" x14ac:dyDescent="0.3"/>
    <row r="8423" customFormat="1" x14ac:dyDescent="0.3"/>
    <row r="8424" customFormat="1" x14ac:dyDescent="0.3"/>
    <row r="8425" customFormat="1" x14ac:dyDescent="0.3"/>
    <row r="8426" customFormat="1" x14ac:dyDescent="0.3"/>
    <row r="8427" customFormat="1" x14ac:dyDescent="0.3"/>
    <row r="8428" customFormat="1" x14ac:dyDescent="0.3"/>
    <row r="8429" customFormat="1" x14ac:dyDescent="0.3"/>
    <row r="8430" customFormat="1" x14ac:dyDescent="0.3"/>
    <row r="8431" customFormat="1" x14ac:dyDescent="0.3"/>
    <row r="8432" customFormat="1" x14ac:dyDescent="0.3"/>
    <row r="8433" customFormat="1" x14ac:dyDescent="0.3"/>
    <row r="8434" customFormat="1" x14ac:dyDescent="0.3"/>
    <row r="8435" customFormat="1" x14ac:dyDescent="0.3"/>
    <row r="8436" customFormat="1" x14ac:dyDescent="0.3"/>
    <row r="8437" customFormat="1" x14ac:dyDescent="0.3"/>
    <row r="8438" customFormat="1" x14ac:dyDescent="0.3"/>
    <row r="8439" customFormat="1" x14ac:dyDescent="0.3"/>
    <row r="8440" customFormat="1" x14ac:dyDescent="0.3"/>
    <row r="8441" customFormat="1" x14ac:dyDescent="0.3"/>
    <row r="8442" customFormat="1" x14ac:dyDescent="0.3"/>
    <row r="8443" customFormat="1" x14ac:dyDescent="0.3"/>
    <row r="8444" customFormat="1" x14ac:dyDescent="0.3"/>
    <row r="8445" customFormat="1" x14ac:dyDescent="0.3"/>
    <row r="8446" customFormat="1" x14ac:dyDescent="0.3"/>
    <row r="8447" customFormat="1" x14ac:dyDescent="0.3"/>
    <row r="8448" customFormat="1" x14ac:dyDescent="0.3"/>
    <row r="8449" customFormat="1" x14ac:dyDescent="0.3"/>
    <row r="8450" customFormat="1" x14ac:dyDescent="0.3"/>
    <row r="8451" customFormat="1" x14ac:dyDescent="0.3"/>
    <row r="8452" customFormat="1" x14ac:dyDescent="0.3"/>
    <row r="8453" customFormat="1" x14ac:dyDescent="0.3"/>
    <row r="8454" customFormat="1" x14ac:dyDescent="0.3"/>
    <row r="8455" customFormat="1" x14ac:dyDescent="0.3"/>
    <row r="8456" customFormat="1" x14ac:dyDescent="0.3"/>
    <row r="8457" customFormat="1" x14ac:dyDescent="0.3"/>
    <row r="8458" customFormat="1" x14ac:dyDescent="0.3"/>
    <row r="8459" customFormat="1" x14ac:dyDescent="0.3"/>
    <row r="8460" customFormat="1" x14ac:dyDescent="0.3"/>
    <row r="8461" customFormat="1" x14ac:dyDescent="0.3"/>
    <row r="8462" customFormat="1" x14ac:dyDescent="0.3"/>
    <row r="8463" customFormat="1" x14ac:dyDescent="0.3"/>
    <row r="8464" customFormat="1" x14ac:dyDescent="0.3"/>
    <row r="8465" customFormat="1" x14ac:dyDescent="0.3"/>
    <row r="8466" customFormat="1" x14ac:dyDescent="0.3"/>
    <row r="8467" customFormat="1" x14ac:dyDescent="0.3"/>
    <row r="8468" customFormat="1" x14ac:dyDescent="0.3"/>
    <row r="8469" customFormat="1" x14ac:dyDescent="0.3"/>
    <row r="8470" customFormat="1" x14ac:dyDescent="0.3"/>
    <row r="8471" customFormat="1" x14ac:dyDescent="0.3"/>
    <row r="8472" customFormat="1" x14ac:dyDescent="0.3"/>
    <row r="8473" customFormat="1" x14ac:dyDescent="0.3"/>
    <row r="8474" customFormat="1" x14ac:dyDescent="0.3"/>
    <row r="8475" customFormat="1" x14ac:dyDescent="0.3"/>
    <row r="8476" customFormat="1" x14ac:dyDescent="0.3"/>
    <row r="8477" customFormat="1" x14ac:dyDescent="0.3"/>
    <row r="8478" customFormat="1" x14ac:dyDescent="0.3"/>
    <row r="8479" customFormat="1" x14ac:dyDescent="0.3"/>
    <row r="8480" customFormat="1" x14ac:dyDescent="0.3"/>
    <row r="8481" customFormat="1" x14ac:dyDescent="0.3"/>
    <row r="8482" customFormat="1" x14ac:dyDescent="0.3"/>
    <row r="8483" customFormat="1" x14ac:dyDescent="0.3"/>
    <row r="8484" customFormat="1" x14ac:dyDescent="0.3"/>
    <row r="8485" customFormat="1" x14ac:dyDescent="0.3"/>
    <row r="8486" customFormat="1" x14ac:dyDescent="0.3"/>
    <row r="8487" customFormat="1" x14ac:dyDescent="0.3"/>
    <row r="8488" customFormat="1" x14ac:dyDescent="0.3"/>
    <row r="8489" customFormat="1" x14ac:dyDescent="0.3"/>
    <row r="8490" customFormat="1" x14ac:dyDescent="0.3"/>
    <row r="8491" customFormat="1" x14ac:dyDescent="0.3"/>
    <row r="8492" customFormat="1" x14ac:dyDescent="0.3"/>
    <row r="8493" customFormat="1" x14ac:dyDescent="0.3"/>
    <row r="8494" customFormat="1" x14ac:dyDescent="0.3"/>
    <row r="8495" customFormat="1" x14ac:dyDescent="0.3"/>
    <row r="8496" customFormat="1" x14ac:dyDescent="0.3"/>
    <row r="8497" customFormat="1" x14ac:dyDescent="0.3"/>
    <row r="8498" customFormat="1" x14ac:dyDescent="0.3"/>
    <row r="8499" customFormat="1" x14ac:dyDescent="0.3"/>
    <row r="8500" customFormat="1" x14ac:dyDescent="0.3"/>
    <row r="8501" customFormat="1" x14ac:dyDescent="0.3"/>
    <row r="8502" customFormat="1" x14ac:dyDescent="0.3"/>
    <row r="8503" customFormat="1" x14ac:dyDescent="0.3"/>
    <row r="8504" customFormat="1" x14ac:dyDescent="0.3"/>
    <row r="8505" customFormat="1" x14ac:dyDescent="0.3"/>
    <row r="8506" customFormat="1" x14ac:dyDescent="0.3"/>
    <row r="8507" customFormat="1" x14ac:dyDescent="0.3"/>
    <row r="8508" customFormat="1" x14ac:dyDescent="0.3"/>
    <row r="8509" customFormat="1" x14ac:dyDescent="0.3"/>
    <row r="8510" customFormat="1" x14ac:dyDescent="0.3"/>
    <row r="8511" customFormat="1" x14ac:dyDescent="0.3"/>
    <row r="8512" customFormat="1" x14ac:dyDescent="0.3"/>
    <row r="8513" customFormat="1" x14ac:dyDescent="0.3"/>
    <row r="8514" customFormat="1" x14ac:dyDescent="0.3"/>
    <row r="8515" customFormat="1" x14ac:dyDescent="0.3"/>
    <row r="8516" customFormat="1" x14ac:dyDescent="0.3"/>
    <row r="8517" customFormat="1" x14ac:dyDescent="0.3"/>
    <row r="8518" customFormat="1" x14ac:dyDescent="0.3"/>
    <row r="8519" customFormat="1" x14ac:dyDescent="0.3"/>
    <row r="8520" customFormat="1" x14ac:dyDescent="0.3"/>
    <row r="8521" customFormat="1" x14ac:dyDescent="0.3"/>
    <row r="8522" customFormat="1" x14ac:dyDescent="0.3"/>
    <row r="8523" customFormat="1" x14ac:dyDescent="0.3"/>
    <row r="8524" customFormat="1" x14ac:dyDescent="0.3"/>
    <row r="8525" customFormat="1" x14ac:dyDescent="0.3"/>
    <row r="8526" customFormat="1" x14ac:dyDescent="0.3"/>
    <row r="8527" customFormat="1" x14ac:dyDescent="0.3"/>
    <row r="8528" customFormat="1" x14ac:dyDescent="0.3"/>
    <row r="8529" customFormat="1" x14ac:dyDescent="0.3"/>
    <row r="8530" customFormat="1" x14ac:dyDescent="0.3"/>
    <row r="8531" customFormat="1" x14ac:dyDescent="0.3"/>
    <row r="8532" customFormat="1" x14ac:dyDescent="0.3"/>
    <row r="8533" customFormat="1" x14ac:dyDescent="0.3"/>
    <row r="8534" customFormat="1" x14ac:dyDescent="0.3"/>
    <row r="8535" customFormat="1" x14ac:dyDescent="0.3"/>
    <row r="8536" customFormat="1" x14ac:dyDescent="0.3"/>
    <row r="8537" customFormat="1" x14ac:dyDescent="0.3"/>
    <row r="8538" customFormat="1" x14ac:dyDescent="0.3"/>
    <row r="8539" customFormat="1" x14ac:dyDescent="0.3"/>
    <row r="8540" customFormat="1" x14ac:dyDescent="0.3"/>
    <row r="8541" customFormat="1" x14ac:dyDescent="0.3"/>
    <row r="8542" customFormat="1" x14ac:dyDescent="0.3"/>
    <row r="8543" customFormat="1" x14ac:dyDescent="0.3"/>
    <row r="8544" customFormat="1" x14ac:dyDescent="0.3"/>
    <row r="8545" customFormat="1" x14ac:dyDescent="0.3"/>
    <row r="8546" customFormat="1" x14ac:dyDescent="0.3"/>
    <row r="8547" customFormat="1" x14ac:dyDescent="0.3"/>
    <row r="8548" customFormat="1" x14ac:dyDescent="0.3"/>
    <row r="8549" customFormat="1" x14ac:dyDescent="0.3"/>
    <row r="8550" customFormat="1" x14ac:dyDescent="0.3"/>
    <row r="8551" customFormat="1" x14ac:dyDescent="0.3"/>
    <row r="8552" customFormat="1" x14ac:dyDescent="0.3"/>
    <row r="8553" customFormat="1" x14ac:dyDescent="0.3"/>
    <row r="8554" customFormat="1" x14ac:dyDescent="0.3"/>
    <row r="8555" customFormat="1" x14ac:dyDescent="0.3"/>
    <row r="8556" customFormat="1" x14ac:dyDescent="0.3"/>
    <row r="8557" customFormat="1" x14ac:dyDescent="0.3"/>
    <row r="8558" customFormat="1" x14ac:dyDescent="0.3"/>
    <row r="8559" customFormat="1" x14ac:dyDescent="0.3"/>
    <row r="8560" customFormat="1" x14ac:dyDescent="0.3"/>
    <row r="8561" customFormat="1" x14ac:dyDescent="0.3"/>
    <row r="8562" customFormat="1" x14ac:dyDescent="0.3"/>
    <row r="8563" customFormat="1" x14ac:dyDescent="0.3"/>
    <row r="8564" customFormat="1" x14ac:dyDescent="0.3"/>
    <row r="8565" customFormat="1" x14ac:dyDescent="0.3"/>
    <row r="8566" customFormat="1" x14ac:dyDescent="0.3"/>
    <row r="8567" customFormat="1" x14ac:dyDescent="0.3"/>
    <row r="8568" customFormat="1" x14ac:dyDescent="0.3"/>
    <row r="8569" customFormat="1" x14ac:dyDescent="0.3"/>
    <row r="8570" customFormat="1" x14ac:dyDescent="0.3"/>
    <row r="8571" customFormat="1" x14ac:dyDescent="0.3"/>
    <row r="8572" customFormat="1" x14ac:dyDescent="0.3"/>
    <row r="8573" customFormat="1" x14ac:dyDescent="0.3"/>
    <row r="8574" customFormat="1" x14ac:dyDescent="0.3"/>
    <row r="8575" customFormat="1" x14ac:dyDescent="0.3"/>
    <row r="8576" customFormat="1" x14ac:dyDescent="0.3"/>
    <row r="8577" customFormat="1" x14ac:dyDescent="0.3"/>
    <row r="8578" customFormat="1" x14ac:dyDescent="0.3"/>
    <row r="8579" customFormat="1" x14ac:dyDescent="0.3"/>
    <row r="8580" customFormat="1" x14ac:dyDescent="0.3"/>
    <row r="8581" customFormat="1" x14ac:dyDescent="0.3"/>
    <row r="8582" customFormat="1" x14ac:dyDescent="0.3"/>
    <row r="8583" customFormat="1" x14ac:dyDescent="0.3"/>
    <row r="8584" customFormat="1" x14ac:dyDescent="0.3"/>
    <row r="8585" customFormat="1" x14ac:dyDescent="0.3"/>
    <row r="8586" customFormat="1" x14ac:dyDescent="0.3"/>
    <row r="8587" customFormat="1" x14ac:dyDescent="0.3"/>
    <row r="8588" customFormat="1" x14ac:dyDescent="0.3"/>
    <row r="8589" customFormat="1" x14ac:dyDescent="0.3"/>
    <row r="8590" customFormat="1" x14ac:dyDescent="0.3"/>
    <row r="8591" customFormat="1" x14ac:dyDescent="0.3"/>
    <row r="8592" customFormat="1" x14ac:dyDescent="0.3"/>
    <row r="8593" customFormat="1" x14ac:dyDescent="0.3"/>
    <row r="8594" customFormat="1" x14ac:dyDescent="0.3"/>
    <row r="8595" customFormat="1" x14ac:dyDescent="0.3"/>
    <row r="8596" customFormat="1" x14ac:dyDescent="0.3"/>
    <row r="8597" customFormat="1" x14ac:dyDescent="0.3"/>
    <row r="8598" customFormat="1" x14ac:dyDescent="0.3"/>
    <row r="8599" customFormat="1" x14ac:dyDescent="0.3"/>
    <row r="8600" customFormat="1" x14ac:dyDescent="0.3"/>
    <row r="8601" customFormat="1" x14ac:dyDescent="0.3"/>
    <row r="8602" customFormat="1" x14ac:dyDescent="0.3"/>
    <row r="8603" customFormat="1" x14ac:dyDescent="0.3"/>
    <row r="8604" customFormat="1" x14ac:dyDescent="0.3"/>
    <row r="8605" customFormat="1" x14ac:dyDescent="0.3"/>
    <row r="8606" customFormat="1" x14ac:dyDescent="0.3"/>
    <row r="8607" customFormat="1" x14ac:dyDescent="0.3"/>
    <row r="8608" customFormat="1" x14ac:dyDescent="0.3"/>
    <row r="8609" customFormat="1" x14ac:dyDescent="0.3"/>
    <row r="8610" customFormat="1" x14ac:dyDescent="0.3"/>
    <row r="8611" customFormat="1" x14ac:dyDescent="0.3"/>
    <row r="8612" customFormat="1" x14ac:dyDescent="0.3"/>
    <row r="8613" customFormat="1" x14ac:dyDescent="0.3"/>
    <row r="8614" customFormat="1" x14ac:dyDescent="0.3"/>
    <row r="8615" customFormat="1" x14ac:dyDescent="0.3"/>
    <row r="8616" customFormat="1" x14ac:dyDescent="0.3"/>
    <row r="8617" customFormat="1" x14ac:dyDescent="0.3"/>
    <row r="8618" customFormat="1" x14ac:dyDescent="0.3"/>
    <row r="8619" customFormat="1" x14ac:dyDescent="0.3"/>
    <row r="8620" customFormat="1" x14ac:dyDescent="0.3"/>
    <row r="8621" customFormat="1" x14ac:dyDescent="0.3"/>
    <row r="8622" customFormat="1" x14ac:dyDescent="0.3"/>
    <row r="8623" customFormat="1" x14ac:dyDescent="0.3"/>
    <row r="8624" customFormat="1" x14ac:dyDescent="0.3"/>
    <row r="8625" customFormat="1" x14ac:dyDescent="0.3"/>
    <row r="8626" customFormat="1" x14ac:dyDescent="0.3"/>
    <row r="8627" customFormat="1" x14ac:dyDescent="0.3"/>
    <row r="8628" customFormat="1" x14ac:dyDescent="0.3"/>
    <row r="8629" customFormat="1" x14ac:dyDescent="0.3"/>
    <row r="8630" customFormat="1" x14ac:dyDescent="0.3"/>
    <row r="8631" customFormat="1" x14ac:dyDescent="0.3"/>
    <row r="8632" customFormat="1" x14ac:dyDescent="0.3"/>
    <row r="8633" customFormat="1" x14ac:dyDescent="0.3"/>
    <row r="8634" customFormat="1" x14ac:dyDescent="0.3"/>
    <row r="8635" customFormat="1" x14ac:dyDescent="0.3"/>
    <row r="8636" customFormat="1" x14ac:dyDescent="0.3"/>
    <row r="8637" customFormat="1" x14ac:dyDescent="0.3"/>
    <row r="8638" customFormat="1" x14ac:dyDescent="0.3"/>
    <row r="8639" customFormat="1" x14ac:dyDescent="0.3"/>
    <row r="8640" customFormat="1" x14ac:dyDescent="0.3"/>
    <row r="8641" customFormat="1" x14ac:dyDescent="0.3"/>
    <row r="8642" customFormat="1" x14ac:dyDescent="0.3"/>
    <row r="8643" customFormat="1" x14ac:dyDescent="0.3"/>
    <row r="8644" customFormat="1" x14ac:dyDescent="0.3"/>
    <row r="8645" customFormat="1" x14ac:dyDescent="0.3"/>
    <row r="8646" customFormat="1" x14ac:dyDescent="0.3"/>
    <row r="8647" customFormat="1" x14ac:dyDescent="0.3"/>
    <row r="8648" customFormat="1" x14ac:dyDescent="0.3"/>
    <row r="8649" customFormat="1" x14ac:dyDescent="0.3"/>
    <row r="8650" customFormat="1" x14ac:dyDescent="0.3"/>
    <row r="8651" customFormat="1" x14ac:dyDescent="0.3"/>
    <row r="8652" customFormat="1" x14ac:dyDescent="0.3"/>
    <row r="8653" customFormat="1" x14ac:dyDescent="0.3"/>
    <row r="8654" customFormat="1" x14ac:dyDescent="0.3"/>
    <row r="8655" customFormat="1" x14ac:dyDescent="0.3"/>
    <row r="8656" customFormat="1" x14ac:dyDescent="0.3"/>
    <row r="8657" customFormat="1" x14ac:dyDescent="0.3"/>
    <row r="8658" customFormat="1" x14ac:dyDescent="0.3"/>
    <row r="8659" customFormat="1" x14ac:dyDescent="0.3"/>
    <row r="8660" customFormat="1" x14ac:dyDescent="0.3"/>
    <row r="8661" customFormat="1" x14ac:dyDescent="0.3"/>
    <row r="8662" customFormat="1" x14ac:dyDescent="0.3"/>
    <row r="8663" customFormat="1" x14ac:dyDescent="0.3"/>
    <row r="8664" customFormat="1" x14ac:dyDescent="0.3"/>
    <row r="8665" customFormat="1" x14ac:dyDescent="0.3"/>
    <row r="8666" customFormat="1" x14ac:dyDescent="0.3"/>
    <row r="8667" customFormat="1" x14ac:dyDescent="0.3"/>
    <row r="8668" customFormat="1" x14ac:dyDescent="0.3"/>
    <row r="8669" customFormat="1" x14ac:dyDescent="0.3"/>
    <row r="8670" customFormat="1" x14ac:dyDescent="0.3"/>
    <row r="8671" customFormat="1" x14ac:dyDescent="0.3"/>
    <row r="8672" customFormat="1" x14ac:dyDescent="0.3"/>
    <row r="8673" customFormat="1" x14ac:dyDescent="0.3"/>
    <row r="8674" customFormat="1" x14ac:dyDescent="0.3"/>
    <row r="8675" customFormat="1" x14ac:dyDescent="0.3"/>
    <row r="8676" customFormat="1" x14ac:dyDescent="0.3"/>
    <row r="8677" customFormat="1" x14ac:dyDescent="0.3"/>
    <row r="8678" customFormat="1" x14ac:dyDescent="0.3"/>
    <row r="8679" customFormat="1" x14ac:dyDescent="0.3"/>
    <row r="8680" customFormat="1" x14ac:dyDescent="0.3"/>
    <row r="8681" customFormat="1" x14ac:dyDescent="0.3"/>
    <row r="8682" customFormat="1" x14ac:dyDescent="0.3"/>
    <row r="8683" customFormat="1" x14ac:dyDescent="0.3"/>
    <row r="8684" customFormat="1" x14ac:dyDescent="0.3"/>
    <row r="8685" customFormat="1" x14ac:dyDescent="0.3"/>
    <row r="8686" customFormat="1" x14ac:dyDescent="0.3"/>
    <row r="8687" customFormat="1" x14ac:dyDescent="0.3"/>
    <row r="8688" customFormat="1" x14ac:dyDescent="0.3"/>
    <row r="8689" customFormat="1" x14ac:dyDescent="0.3"/>
    <row r="8690" customFormat="1" x14ac:dyDescent="0.3"/>
    <row r="8691" customFormat="1" x14ac:dyDescent="0.3"/>
    <row r="8692" customFormat="1" x14ac:dyDescent="0.3"/>
    <row r="8693" customFormat="1" x14ac:dyDescent="0.3"/>
    <row r="8694" customFormat="1" x14ac:dyDescent="0.3"/>
    <row r="8695" customFormat="1" x14ac:dyDescent="0.3"/>
    <row r="8696" customFormat="1" x14ac:dyDescent="0.3"/>
    <row r="8697" customFormat="1" x14ac:dyDescent="0.3"/>
    <row r="8698" customFormat="1" x14ac:dyDescent="0.3"/>
    <row r="8699" customFormat="1" x14ac:dyDescent="0.3"/>
    <row r="8700" customFormat="1" x14ac:dyDescent="0.3"/>
    <row r="8701" customFormat="1" x14ac:dyDescent="0.3"/>
    <row r="8702" customFormat="1" x14ac:dyDescent="0.3"/>
    <row r="8703" customFormat="1" x14ac:dyDescent="0.3"/>
    <row r="8704" customFormat="1" x14ac:dyDescent="0.3"/>
    <row r="8705" customFormat="1" x14ac:dyDescent="0.3"/>
    <row r="8706" customFormat="1" x14ac:dyDescent="0.3"/>
    <row r="8707" customFormat="1" x14ac:dyDescent="0.3"/>
    <row r="8708" customFormat="1" x14ac:dyDescent="0.3"/>
    <row r="8709" customFormat="1" x14ac:dyDescent="0.3"/>
    <row r="8710" customFormat="1" x14ac:dyDescent="0.3"/>
    <row r="8711" customFormat="1" x14ac:dyDescent="0.3"/>
    <row r="8712" customFormat="1" x14ac:dyDescent="0.3"/>
    <row r="8713" customFormat="1" x14ac:dyDescent="0.3"/>
    <row r="8714" customFormat="1" x14ac:dyDescent="0.3"/>
    <row r="8715" customFormat="1" x14ac:dyDescent="0.3"/>
    <row r="8716" customFormat="1" x14ac:dyDescent="0.3"/>
    <row r="8717" customFormat="1" x14ac:dyDescent="0.3"/>
    <row r="8718" customFormat="1" x14ac:dyDescent="0.3"/>
    <row r="8719" customFormat="1" x14ac:dyDescent="0.3"/>
    <row r="8720" customFormat="1" x14ac:dyDescent="0.3"/>
    <row r="8721" customFormat="1" x14ac:dyDescent="0.3"/>
    <row r="8722" customFormat="1" x14ac:dyDescent="0.3"/>
    <row r="8723" customFormat="1" x14ac:dyDescent="0.3"/>
    <row r="8724" customFormat="1" x14ac:dyDescent="0.3"/>
    <row r="8725" customFormat="1" x14ac:dyDescent="0.3"/>
    <row r="8726" customFormat="1" x14ac:dyDescent="0.3"/>
    <row r="8727" customFormat="1" x14ac:dyDescent="0.3"/>
    <row r="8728" customFormat="1" x14ac:dyDescent="0.3"/>
    <row r="8729" customFormat="1" x14ac:dyDescent="0.3"/>
    <row r="8730" customFormat="1" x14ac:dyDescent="0.3"/>
    <row r="8731" customFormat="1" x14ac:dyDescent="0.3"/>
    <row r="8732" customFormat="1" x14ac:dyDescent="0.3"/>
    <row r="8733" customFormat="1" x14ac:dyDescent="0.3"/>
    <row r="8734" customFormat="1" x14ac:dyDescent="0.3"/>
    <row r="8735" customFormat="1" x14ac:dyDescent="0.3"/>
    <row r="8736" customFormat="1" x14ac:dyDescent="0.3"/>
    <row r="8737" customFormat="1" x14ac:dyDescent="0.3"/>
    <row r="8738" customFormat="1" x14ac:dyDescent="0.3"/>
    <row r="8739" customFormat="1" x14ac:dyDescent="0.3"/>
    <row r="8740" customFormat="1" x14ac:dyDescent="0.3"/>
    <row r="8741" customFormat="1" x14ac:dyDescent="0.3"/>
    <row r="8742" customFormat="1" x14ac:dyDescent="0.3"/>
    <row r="8743" customFormat="1" x14ac:dyDescent="0.3"/>
    <row r="8744" customFormat="1" x14ac:dyDescent="0.3"/>
    <row r="8745" customFormat="1" x14ac:dyDescent="0.3"/>
    <row r="8746" customFormat="1" x14ac:dyDescent="0.3"/>
    <row r="8747" customFormat="1" x14ac:dyDescent="0.3"/>
    <row r="8748" customFormat="1" x14ac:dyDescent="0.3"/>
    <row r="8749" customFormat="1" x14ac:dyDescent="0.3"/>
    <row r="8750" customFormat="1" x14ac:dyDescent="0.3"/>
    <row r="8751" customFormat="1" x14ac:dyDescent="0.3"/>
    <row r="8752" customFormat="1" x14ac:dyDescent="0.3"/>
    <row r="8753" customFormat="1" x14ac:dyDescent="0.3"/>
    <row r="8754" customFormat="1" x14ac:dyDescent="0.3"/>
    <row r="8755" customFormat="1" x14ac:dyDescent="0.3"/>
    <row r="8756" customFormat="1" x14ac:dyDescent="0.3"/>
    <row r="8757" customFormat="1" x14ac:dyDescent="0.3"/>
    <row r="8758" customFormat="1" x14ac:dyDescent="0.3"/>
    <row r="8759" customFormat="1" x14ac:dyDescent="0.3"/>
    <row r="8760" customFormat="1" x14ac:dyDescent="0.3"/>
    <row r="8761" customFormat="1" x14ac:dyDescent="0.3"/>
    <row r="8762" customFormat="1" x14ac:dyDescent="0.3"/>
    <row r="8763" customFormat="1" x14ac:dyDescent="0.3"/>
    <row r="8764" customFormat="1" x14ac:dyDescent="0.3"/>
    <row r="8765" customFormat="1" x14ac:dyDescent="0.3"/>
    <row r="8766" customFormat="1" x14ac:dyDescent="0.3"/>
    <row r="8767" customFormat="1" x14ac:dyDescent="0.3"/>
    <row r="8768" customFormat="1" x14ac:dyDescent="0.3"/>
    <row r="8769" customFormat="1" x14ac:dyDescent="0.3"/>
    <row r="8770" customFormat="1" x14ac:dyDescent="0.3"/>
    <row r="8771" customFormat="1" x14ac:dyDescent="0.3"/>
    <row r="8772" customFormat="1" x14ac:dyDescent="0.3"/>
    <row r="8773" customFormat="1" x14ac:dyDescent="0.3"/>
    <row r="8774" customFormat="1" x14ac:dyDescent="0.3"/>
    <row r="8775" customFormat="1" x14ac:dyDescent="0.3"/>
    <row r="8776" customFormat="1" x14ac:dyDescent="0.3"/>
    <row r="8777" customFormat="1" x14ac:dyDescent="0.3"/>
    <row r="8778" customFormat="1" x14ac:dyDescent="0.3"/>
    <row r="8779" customFormat="1" x14ac:dyDescent="0.3"/>
    <row r="8780" customFormat="1" x14ac:dyDescent="0.3"/>
    <row r="8781" customFormat="1" x14ac:dyDescent="0.3"/>
    <row r="8782" customFormat="1" x14ac:dyDescent="0.3"/>
    <row r="8783" customFormat="1" x14ac:dyDescent="0.3"/>
    <row r="8784" customFormat="1" x14ac:dyDescent="0.3"/>
    <row r="8785" customFormat="1" x14ac:dyDescent="0.3"/>
    <row r="8786" customFormat="1" x14ac:dyDescent="0.3"/>
    <row r="8787" customFormat="1" x14ac:dyDescent="0.3"/>
    <row r="8788" customFormat="1" x14ac:dyDescent="0.3"/>
    <row r="8789" customFormat="1" x14ac:dyDescent="0.3"/>
    <row r="8790" customFormat="1" x14ac:dyDescent="0.3"/>
    <row r="8791" customFormat="1" x14ac:dyDescent="0.3"/>
    <row r="8792" customFormat="1" x14ac:dyDescent="0.3"/>
    <row r="8793" customFormat="1" x14ac:dyDescent="0.3"/>
    <row r="8794" customFormat="1" x14ac:dyDescent="0.3"/>
    <row r="8795" customFormat="1" x14ac:dyDescent="0.3"/>
    <row r="8796" customFormat="1" x14ac:dyDescent="0.3"/>
    <row r="8797" customFormat="1" x14ac:dyDescent="0.3"/>
    <row r="8798" customFormat="1" x14ac:dyDescent="0.3"/>
    <row r="8799" customFormat="1" x14ac:dyDescent="0.3"/>
    <row r="8800" customFormat="1" x14ac:dyDescent="0.3"/>
    <row r="8801" customFormat="1" x14ac:dyDescent="0.3"/>
    <row r="8802" customFormat="1" x14ac:dyDescent="0.3"/>
    <row r="8803" customFormat="1" x14ac:dyDescent="0.3"/>
    <row r="8804" customFormat="1" x14ac:dyDescent="0.3"/>
    <row r="8805" customFormat="1" x14ac:dyDescent="0.3"/>
    <row r="8806" customFormat="1" x14ac:dyDescent="0.3"/>
    <row r="8807" customFormat="1" x14ac:dyDescent="0.3"/>
    <row r="8808" customFormat="1" x14ac:dyDescent="0.3"/>
    <row r="8809" customFormat="1" x14ac:dyDescent="0.3"/>
    <row r="8810" customFormat="1" x14ac:dyDescent="0.3"/>
    <row r="8811" customFormat="1" x14ac:dyDescent="0.3"/>
    <row r="8812" customFormat="1" x14ac:dyDescent="0.3"/>
    <row r="8813" customFormat="1" x14ac:dyDescent="0.3"/>
    <row r="8814" customFormat="1" x14ac:dyDescent="0.3"/>
    <row r="8815" customFormat="1" x14ac:dyDescent="0.3"/>
    <row r="8816" customFormat="1" x14ac:dyDescent="0.3"/>
    <row r="8817" customFormat="1" x14ac:dyDescent="0.3"/>
    <row r="8818" customFormat="1" x14ac:dyDescent="0.3"/>
    <row r="8819" customFormat="1" x14ac:dyDescent="0.3"/>
    <row r="8820" customFormat="1" x14ac:dyDescent="0.3"/>
    <row r="8821" customFormat="1" x14ac:dyDescent="0.3"/>
    <row r="8822" customFormat="1" x14ac:dyDescent="0.3"/>
    <row r="8823" customFormat="1" x14ac:dyDescent="0.3"/>
    <row r="8824" customFormat="1" x14ac:dyDescent="0.3"/>
    <row r="8825" customFormat="1" x14ac:dyDescent="0.3"/>
    <row r="8826" customFormat="1" x14ac:dyDescent="0.3"/>
    <row r="8827" customFormat="1" x14ac:dyDescent="0.3"/>
    <row r="8828" customFormat="1" x14ac:dyDescent="0.3"/>
    <row r="8829" customFormat="1" x14ac:dyDescent="0.3"/>
    <row r="8830" customFormat="1" x14ac:dyDescent="0.3"/>
    <row r="8831" customFormat="1" x14ac:dyDescent="0.3"/>
    <row r="8832" customFormat="1" x14ac:dyDescent="0.3"/>
    <row r="8833" customFormat="1" x14ac:dyDescent="0.3"/>
    <row r="8834" customFormat="1" x14ac:dyDescent="0.3"/>
    <row r="8835" customFormat="1" x14ac:dyDescent="0.3"/>
    <row r="8836" customFormat="1" x14ac:dyDescent="0.3"/>
    <row r="8837" customFormat="1" x14ac:dyDescent="0.3"/>
    <row r="8838" customFormat="1" x14ac:dyDescent="0.3"/>
    <row r="8839" customFormat="1" x14ac:dyDescent="0.3"/>
    <row r="8840" customFormat="1" x14ac:dyDescent="0.3"/>
    <row r="8841" customFormat="1" x14ac:dyDescent="0.3"/>
    <row r="8842" customFormat="1" x14ac:dyDescent="0.3"/>
    <row r="8843" customFormat="1" x14ac:dyDescent="0.3"/>
    <row r="8844" customFormat="1" x14ac:dyDescent="0.3"/>
    <row r="8845" customFormat="1" x14ac:dyDescent="0.3"/>
    <row r="8846" customFormat="1" x14ac:dyDescent="0.3"/>
    <row r="8847" customFormat="1" x14ac:dyDescent="0.3"/>
    <row r="8848" customFormat="1" x14ac:dyDescent="0.3"/>
    <row r="8849" customFormat="1" x14ac:dyDescent="0.3"/>
    <row r="8850" customFormat="1" x14ac:dyDescent="0.3"/>
    <row r="8851" customFormat="1" x14ac:dyDescent="0.3"/>
    <row r="8852" customFormat="1" x14ac:dyDescent="0.3"/>
    <row r="8853" customFormat="1" x14ac:dyDescent="0.3"/>
    <row r="8854" customFormat="1" x14ac:dyDescent="0.3"/>
    <row r="8855" customFormat="1" x14ac:dyDescent="0.3"/>
    <row r="8856" customFormat="1" x14ac:dyDescent="0.3"/>
    <row r="8857" customFormat="1" x14ac:dyDescent="0.3"/>
    <row r="8858" customFormat="1" x14ac:dyDescent="0.3"/>
    <row r="8859" customFormat="1" x14ac:dyDescent="0.3"/>
    <row r="8860" customFormat="1" x14ac:dyDescent="0.3"/>
    <row r="8861" customFormat="1" x14ac:dyDescent="0.3"/>
    <row r="8862" customFormat="1" x14ac:dyDescent="0.3"/>
    <row r="8863" customFormat="1" x14ac:dyDescent="0.3"/>
    <row r="8864" customFormat="1" x14ac:dyDescent="0.3"/>
    <row r="8865" customFormat="1" x14ac:dyDescent="0.3"/>
    <row r="8866" customFormat="1" x14ac:dyDescent="0.3"/>
    <row r="8867" customFormat="1" x14ac:dyDescent="0.3"/>
    <row r="8868" customFormat="1" x14ac:dyDescent="0.3"/>
    <row r="8869" customFormat="1" x14ac:dyDescent="0.3"/>
    <row r="8870" customFormat="1" x14ac:dyDescent="0.3"/>
    <row r="8871" customFormat="1" x14ac:dyDescent="0.3"/>
    <row r="8872" customFormat="1" x14ac:dyDescent="0.3"/>
    <row r="8873" customFormat="1" x14ac:dyDescent="0.3"/>
    <row r="8874" customFormat="1" x14ac:dyDescent="0.3"/>
    <row r="8875" customFormat="1" x14ac:dyDescent="0.3"/>
    <row r="8876" customFormat="1" x14ac:dyDescent="0.3"/>
    <row r="8877" customFormat="1" x14ac:dyDescent="0.3"/>
    <row r="8878" customFormat="1" x14ac:dyDescent="0.3"/>
    <row r="8879" customFormat="1" x14ac:dyDescent="0.3"/>
    <row r="8880" customFormat="1" x14ac:dyDescent="0.3"/>
    <row r="8881" customFormat="1" x14ac:dyDescent="0.3"/>
    <row r="8882" customFormat="1" x14ac:dyDescent="0.3"/>
    <row r="8883" customFormat="1" x14ac:dyDescent="0.3"/>
    <row r="8884" customFormat="1" x14ac:dyDescent="0.3"/>
    <row r="8885" customFormat="1" x14ac:dyDescent="0.3"/>
    <row r="8886" customFormat="1" x14ac:dyDescent="0.3"/>
    <row r="8887" customFormat="1" x14ac:dyDescent="0.3"/>
    <row r="8888" customFormat="1" x14ac:dyDescent="0.3"/>
    <row r="8889" customFormat="1" x14ac:dyDescent="0.3"/>
    <row r="8890" customFormat="1" x14ac:dyDescent="0.3"/>
    <row r="8891" customFormat="1" x14ac:dyDescent="0.3"/>
    <row r="8892" customFormat="1" x14ac:dyDescent="0.3"/>
    <row r="8893" customFormat="1" x14ac:dyDescent="0.3"/>
    <row r="8894" customFormat="1" x14ac:dyDescent="0.3"/>
    <row r="8895" customFormat="1" x14ac:dyDescent="0.3"/>
    <row r="8896" customFormat="1" x14ac:dyDescent="0.3"/>
    <row r="8897" customFormat="1" x14ac:dyDescent="0.3"/>
    <row r="8898" customFormat="1" x14ac:dyDescent="0.3"/>
    <row r="8899" customFormat="1" x14ac:dyDescent="0.3"/>
    <row r="8900" customFormat="1" x14ac:dyDescent="0.3"/>
    <row r="8901" customFormat="1" x14ac:dyDescent="0.3"/>
    <row r="8902" customFormat="1" x14ac:dyDescent="0.3"/>
    <row r="8903" customFormat="1" x14ac:dyDescent="0.3"/>
    <row r="8904" customFormat="1" x14ac:dyDescent="0.3"/>
    <row r="8905" customFormat="1" x14ac:dyDescent="0.3"/>
    <row r="8906" customFormat="1" x14ac:dyDescent="0.3"/>
    <row r="8907" customFormat="1" x14ac:dyDescent="0.3"/>
    <row r="8908" customFormat="1" x14ac:dyDescent="0.3"/>
    <row r="8909" customFormat="1" x14ac:dyDescent="0.3"/>
    <row r="8910" customFormat="1" x14ac:dyDescent="0.3"/>
    <row r="8911" customFormat="1" x14ac:dyDescent="0.3"/>
    <row r="8912" customFormat="1" x14ac:dyDescent="0.3"/>
    <row r="8913" customFormat="1" x14ac:dyDescent="0.3"/>
    <row r="8914" customFormat="1" x14ac:dyDescent="0.3"/>
    <row r="8915" customFormat="1" x14ac:dyDescent="0.3"/>
    <row r="8916" customFormat="1" x14ac:dyDescent="0.3"/>
    <row r="8917" customFormat="1" x14ac:dyDescent="0.3"/>
    <row r="8918" customFormat="1" x14ac:dyDescent="0.3"/>
    <row r="8919" customFormat="1" x14ac:dyDescent="0.3"/>
    <row r="8920" customFormat="1" x14ac:dyDescent="0.3"/>
    <row r="8921" customFormat="1" x14ac:dyDescent="0.3"/>
    <row r="8922" customFormat="1" x14ac:dyDescent="0.3"/>
    <row r="8923" customFormat="1" x14ac:dyDescent="0.3"/>
    <row r="8924" customFormat="1" x14ac:dyDescent="0.3"/>
    <row r="8925" customFormat="1" x14ac:dyDescent="0.3"/>
    <row r="8926" customFormat="1" x14ac:dyDescent="0.3"/>
    <row r="8927" customFormat="1" x14ac:dyDescent="0.3"/>
    <row r="8928" customFormat="1" x14ac:dyDescent="0.3"/>
    <row r="8929" customFormat="1" x14ac:dyDescent="0.3"/>
    <row r="8930" customFormat="1" x14ac:dyDescent="0.3"/>
    <row r="8931" customFormat="1" x14ac:dyDescent="0.3"/>
    <row r="8932" customFormat="1" x14ac:dyDescent="0.3"/>
    <row r="8933" customFormat="1" x14ac:dyDescent="0.3"/>
    <row r="8934" customFormat="1" x14ac:dyDescent="0.3"/>
    <row r="8935" customFormat="1" x14ac:dyDescent="0.3"/>
    <row r="8936" customFormat="1" x14ac:dyDescent="0.3"/>
    <row r="8937" customFormat="1" x14ac:dyDescent="0.3"/>
    <row r="8938" customFormat="1" x14ac:dyDescent="0.3"/>
    <row r="8939" customFormat="1" x14ac:dyDescent="0.3"/>
    <row r="8940" customFormat="1" x14ac:dyDescent="0.3"/>
    <row r="8941" customFormat="1" x14ac:dyDescent="0.3"/>
    <row r="8942" customFormat="1" x14ac:dyDescent="0.3"/>
    <row r="8943" customFormat="1" x14ac:dyDescent="0.3"/>
    <row r="8944" customFormat="1" x14ac:dyDescent="0.3"/>
    <row r="8945" customFormat="1" x14ac:dyDescent="0.3"/>
    <row r="8946" customFormat="1" x14ac:dyDescent="0.3"/>
    <row r="8947" customFormat="1" x14ac:dyDescent="0.3"/>
    <row r="8948" customFormat="1" x14ac:dyDescent="0.3"/>
    <row r="8949" customFormat="1" x14ac:dyDescent="0.3"/>
    <row r="8950" customFormat="1" x14ac:dyDescent="0.3"/>
    <row r="8951" customFormat="1" x14ac:dyDescent="0.3"/>
    <row r="8952" customFormat="1" x14ac:dyDescent="0.3"/>
    <row r="8953" customFormat="1" x14ac:dyDescent="0.3"/>
    <row r="8954" customFormat="1" x14ac:dyDescent="0.3"/>
    <row r="8955" customFormat="1" x14ac:dyDescent="0.3"/>
    <row r="8956" customFormat="1" x14ac:dyDescent="0.3"/>
    <row r="8957" customFormat="1" x14ac:dyDescent="0.3"/>
    <row r="8958" customFormat="1" x14ac:dyDescent="0.3"/>
    <row r="8959" customFormat="1" x14ac:dyDescent="0.3"/>
    <row r="8960" customFormat="1" x14ac:dyDescent="0.3"/>
    <row r="8961" customFormat="1" x14ac:dyDescent="0.3"/>
    <row r="8962" customFormat="1" x14ac:dyDescent="0.3"/>
    <row r="8963" customFormat="1" x14ac:dyDescent="0.3"/>
    <row r="8964" customFormat="1" x14ac:dyDescent="0.3"/>
    <row r="8965" customFormat="1" x14ac:dyDescent="0.3"/>
    <row r="8966" customFormat="1" x14ac:dyDescent="0.3"/>
    <row r="8967" customFormat="1" x14ac:dyDescent="0.3"/>
    <row r="8968" customFormat="1" x14ac:dyDescent="0.3"/>
    <row r="8969" customFormat="1" x14ac:dyDescent="0.3"/>
    <row r="8970" customFormat="1" x14ac:dyDescent="0.3"/>
    <row r="8971" customFormat="1" x14ac:dyDescent="0.3"/>
    <row r="8972" customFormat="1" x14ac:dyDescent="0.3"/>
    <row r="8973" customFormat="1" x14ac:dyDescent="0.3"/>
    <row r="8974" customFormat="1" x14ac:dyDescent="0.3"/>
    <row r="8975" customFormat="1" x14ac:dyDescent="0.3"/>
    <row r="8976" customFormat="1" x14ac:dyDescent="0.3"/>
    <row r="8977" customFormat="1" x14ac:dyDescent="0.3"/>
    <row r="8978" customFormat="1" x14ac:dyDescent="0.3"/>
    <row r="8979" customFormat="1" x14ac:dyDescent="0.3"/>
    <row r="8980" customFormat="1" x14ac:dyDescent="0.3"/>
    <row r="8981" customFormat="1" x14ac:dyDescent="0.3"/>
    <row r="8982" customFormat="1" x14ac:dyDescent="0.3"/>
    <row r="8983" customFormat="1" x14ac:dyDescent="0.3"/>
    <row r="8984" customFormat="1" x14ac:dyDescent="0.3"/>
    <row r="8985" customFormat="1" x14ac:dyDescent="0.3"/>
    <row r="8986" customFormat="1" x14ac:dyDescent="0.3"/>
    <row r="8987" customFormat="1" x14ac:dyDescent="0.3"/>
    <row r="8988" customFormat="1" x14ac:dyDescent="0.3"/>
    <row r="8989" customFormat="1" x14ac:dyDescent="0.3"/>
    <row r="8990" customFormat="1" x14ac:dyDescent="0.3"/>
    <row r="8991" customFormat="1" x14ac:dyDescent="0.3"/>
    <row r="8992" customFormat="1" x14ac:dyDescent="0.3"/>
    <row r="8993" customFormat="1" x14ac:dyDescent="0.3"/>
    <row r="8994" customFormat="1" x14ac:dyDescent="0.3"/>
    <row r="8995" customFormat="1" x14ac:dyDescent="0.3"/>
    <row r="8996" customFormat="1" x14ac:dyDescent="0.3"/>
    <row r="8997" customFormat="1" x14ac:dyDescent="0.3"/>
    <row r="8998" customFormat="1" x14ac:dyDescent="0.3"/>
    <row r="8999" customFormat="1" x14ac:dyDescent="0.3"/>
    <row r="9000" customFormat="1" x14ac:dyDescent="0.3"/>
    <row r="9001" customFormat="1" x14ac:dyDescent="0.3"/>
    <row r="9002" customFormat="1" x14ac:dyDescent="0.3"/>
    <row r="9003" customFormat="1" x14ac:dyDescent="0.3"/>
    <row r="9004" customFormat="1" x14ac:dyDescent="0.3"/>
    <row r="9005" customFormat="1" x14ac:dyDescent="0.3"/>
    <row r="9006" customFormat="1" x14ac:dyDescent="0.3"/>
    <row r="9007" customFormat="1" x14ac:dyDescent="0.3"/>
    <row r="9008" customFormat="1" x14ac:dyDescent="0.3"/>
    <row r="9009" customFormat="1" x14ac:dyDescent="0.3"/>
    <row r="9010" customFormat="1" x14ac:dyDescent="0.3"/>
    <row r="9011" customFormat="1" x14ac:dyDescent="0.3"/>
    <row r="9012" customFormat="1" x14ac:dyDescent="0.3"/>
    <row r="9013" customFormat="1" x14ac:dyDescent="0.3"/>
    <row r="9014" customFormat="1" x14ac:dyDescent="0.3"/>
    <row r="9015" customFormat="1" x14ac:dyDescent="0.3"/>
    <row r="9016" customFormat="1" x14ac:dyDescent="0.3"/>
    <row r="9017" customFormat="1" x14ac:dyDescent="0.3"/>
    <row r="9018" customFormat="1" x14ac:dyDescent="0.3"/>
    <row r="9019" customFormat="1" x14ac:dyDescent="0.3"/>
    <row r="9020" customFormat="1" x14ac:dyDescent="0.3"/>
    <row r="9021" customFormat="1" x14ac:dyDescent="0.3"/>
    <row r="9022" customFormat="1" x14ac:dyDescent="0.3"/>
    <row r="9023" customFormat="1" x14ac:dyDescent="0.3"/>
    <row r="9024" customFormat="1" x14ac:dyDescent="0.3"/>
    <row r="9025" customFormat="1" x14ac:dyDescent="0.3"/>
    <row r="9026" customFormat="1" x14ac:dyDescent="0.3"/>
    <row r="9027" customFormat="1" x14ac:dyDescent="0.3"/>
    <row r="9028" customFormat="1" x14ac:dyDescent="0.3"/>
    <row r="9029" customFormat="1" x14ac:dyDescent="0.3"/>
    <row r="9030" customFormat="1" x14ac:dyDescent="0.3"/>
    <row r="9031" customFormat="1" x14ac:dyDescent="0.3"/>
    <row r="9032" customFormat="1" x14ac:dyDescent="0.3"/>
    <row r="9033" customFormat="1" x14ac:dyDescent="0.3"/>
    <row r="9034" customFormat="1" x14ac:dyDescent="0.3"/>
    <row r="9035" customFormat="1" x14ac:dyDescent="0.3"/>
    <row r="9036" customFormat="1" x14ac:dyDescent="0.3"/>
    <row r="9037" customFormat="1" x14ac:dyDescent="0.3"/>
    <row r="9038" customFormat="1" x14ac:dyDescent="0.3"/>
    <row r="9039" customFormat="1" x14ac:dyDescent="0.3"/>
    <row r="9040" customFormat="1" x14ac:dyDescent="0.3"/>
    <row r="9041" customFormat="1" x14ac:dyDescent="0.3"/>
    <row r="9042" customFormat="1" x14ac:dyDescent="0.3"/>
    <row r="9043" customFormat="1" x14ac:dyDescent="0.3"/>
    <row r="9044" customFormat="1" x14ac:dyDescent="0.3"/>
    <row r="9045" customFormat="1" x14ac:dyDescent="0.3"/>
    <row r="9046" customFormat="1" x14ac:dyDescent="0.3"/>
    <row r="9047" customFormat="1" x14ac:dyDescent="0.3"/>
    <row r="9048" customFormat="1" x14ac:dyDescent="0.3"/>
    <row r="9049" customFormat="1" x14ac:dyDescent="0.3"/>
    <row r="9050" customFormat="1" x14ac:dyDescent="0.3"/>
    <row r="9051" customFormat="1" x14ac:dyDescent="0.3"/>
    <row r="9052" customFormat="1" x14ac:dyDescent="0.3"/>
    <row r="9053" customFormat="1" x14ac:dyDescent="0.3"/>
    <row r="9054" customFormat="1" x14ac:dyDescent="0.3"/>
    <row r="9055" customFormat="1" x14ac:dyDescent="0.3"/>
    <row r="9056" customFormat="1" x14ac:dyDescent="0.3"/>
    <row r="9057" customFormat="1" x14ac:dyDescent="0.3"/>
    <row r="9058" customFormat="1" x14ac:dyDescent="0.3"/>
    <row r="9059" customFormat="1" x14ac:dyDescent="0.3"/>
    <row r="9060" customFormat="1" x14ac:dyDescent="0.3"/>
    <row r="9061" customFormat="1" x14ac:dyDescent="0.3"/>
    <row r="9062" customFormat="1" x14ac:dyDescent="0.3"/>
    <row r="9063" customFormat="1" x14ac:dyDescent="0.3"/>
    <row r="9064" customFormat="1" x14ac:dyDescent="0.3"/>
    <row r="9065" customFormat="1" x14ac:dyDescent="0.3"/>
    <row r="9066" customFormat="1" x14ac:dyDescent="0.3"/>
    <row r="9067" customFormat="1" x14ac:dyDescent="0.3"/>
    <row r="9068" customFormat="1" x14ac:dyDescent="0.3"/>
    <row r="9069" customFormat="1" x14ac:dyDescent="0.3"/>
    <row r="9070" customFormat="1" x14ac:dyDescent="0.3"/>
    <row r="9071" customFormat="1" x14ac:dyDescent="0.3"/>
    <row r="9072" customFormat="1" x14ac:dyDescent="0.3"/>
    <row r="9073" customFormat="1" x14ac:dyDescent="0.3"/>
    <row r="9074" customFormat="1" x14ac:dyDescent="0.3"/>
    <row r="9075" customFormat="1" x14ac:dyDescent="0.3"/>
    <row r="9076" customFormat="1" x14ac:dyDescent="0.3"/>
    <row r="9077" customFormat="1" x14ac:dyDescent="0.3"/>
    <row r="9078" customFormat="1" x14ac:dyDescent="0.3"/>
    <row r="9079" customFormat="1" x14ac:dyDescent="0.3"/>
    <row r="9080" customFormat="1" x14ac:dyDescent="0.3"/>
    <row r="9081" customFormat="1" x14ac:dyDescent="0.3"/>
    <row r="9082" customFormat="1" x14ac:dyDescent="0.3"/>
    <row r="9083" customFormat="1" x14ac:dyDescent="0.3"/>
    <row r="9084" customFormat="1" x14ac:dyDescent="0.3"/>
    <row r="9085" customFormat="1" x14ac:dyDescent="0.3"/>
    <row r="9086" customFormat="1" x14ac:dyDescent="0.3"/>
    <row r="9087" customFormat="1" x14ac:dyDescent="0.3"/>
    <row r="9088" customFormat="1" x14ac:dyDescent="0.3"/>
    <row r="9089" customFormat="1" x14ac:dyDescent="0.3"/>
    <row r="9090" customFormat="1" x14ac:dyDescent="0.3"/>
    <row r="9091" customFormat="1" x14ac:dyDescent="0.3"/>
    <row r="9092" customFormat="1" x14ac:dyDescent="0.3"/>
    <row r="9093" customFormat="1" x14ac:dyDescent="0.3"/>
    <row r="9094" customFormat="1" x14ac:dyDescent="0.3"/>
    <row r="9095" customFormat="1" x14ac:dyDescent="0.3"/>
    <row r="9096" customFormat="1" x14ac:dyDescent="0.3"/>
    <row r="9097" customFormat="1" x14ac:dyDescent="0.3"/>
    <row r="9098" customFormat="1" x14ac:dyDescent="0.3"/>
    <row r="9099" customFormat="1" x14ac:dyDescent="0.3"/>
    <row r="9100" customFormat="1" x14ac:dyDescent="0.3"/>
    <row r="9101" customFormat="1" x14ac:dyDescent="0.3"/>
    <row r="9102" customFormat="1" x14ac:dyDescent="0.3"/>
    <row r="9103" customFormat="1" x14ac:dyDescent="0.3"/>
    <row r="9104" customFormat="1" x14ac:dyDescent="0.3"/>
    <row r="9105" customFormat="1" x14ac:dyDescent="0.3"/>
    <row r="9106" customFormat="1" x14ac:dyDescent="0.3"/>
    <row r="9107" customFormat="1" x14ac:dyDescent="0.3"/>
    <row r="9108" customFormat="1" x14ac:dyDescent="0.3"/>
    <row r="9109" customFormat="1" x14ac:dyDescent="0.3"/>
    <row r="9110" customFormat="1" x14ac:dyDescent="0.3"/>
    <row r="9111" customFormat="1" x14ac:dyDescent="0.3"/>
    <row r="9112" customFormat="1" x14ac:dyDescent="0.3"/>
    <row r="9113" customFormat="1" x14ac:dyDescent="0.3"/>
    <row r="9114" customFormat="1" x14ac:dyDescent="0.3"/>
    <row r="9115" customFormat="1" x14ac:dyDescent="0.3"/>
    <row r="9116" customFormat="1" x14ac:dyDescent="0.3"/>
    <row r="9117" customFormat="1" x14ac:dyDescent="0.3"/>
    <row r="9118" customFormat="1" x14ac:dyDescent="0.3"/>
    <row r="9119" customFormat="1" x14ac:dyDescent="0.3"/>
    <row r="9120" customFormat="1" x14ac:dyDescent="0.3"/>
    <row r="9121" customFormat="1" x14ac:dyDescent="0.3"/>
    <row r="9122" customFormat="1" x14ac:dyDescent="0.3"/>
    <row r="9123" customFormat="1" x14ac:dyDescent="0.3"/>
    <row r="9124" customFormat="1" x14ac:dyDescent="0.3"/>
    <row r="9125" customFormat="1" x14ac:dyDescent="0.3"/>
    <row r="9126" customFormat="1" x14ac:dyDescent="0.3"/>
    <row r="9127" customFormat="1" x14ac:dyDescent="0.3"/>
    <row r="9128" customFormat="1" x14ac:dyDescent="0.3"/>
    <row r="9129" customFormat="1" x14ac:dyDescent="0.3"/>
    <row r="9130" customFormat="1" x14ac:dyDescent="0.3"/>
    <row r="9131" customFormat="1" x14ac:dyDescent="0.3"/>
    <row r="9132" customFormat="1" x14ac:dyDescent="0.3"/>
    <row r="9133" customFormat="1" x14ac:dyDescent="0.3"/>
    <row r="9134" customFormat="1" x14ac:dyDescent="0.3"/>
    <row r="9135" customFormat="1" x14ac:dyDescent="0.3"/>
    <row r="9136" customFormat="1" x14ac:dyDescent="0.3"/>
    <row r="9137" customFormat="1" x14ac:dyDescent="0.3"/>
    <row r="9138" customFormat="1" x14ac:dyDescent="0.3"/>
    <row r="9139" customFormat="1" x14ac:dyDescent="0.3"/>
    <row r="9140" customFormat="1" x14ac:dyDescent="0.3"/>
    <row r="9141" customFormat="1" x14ac:dyDescent="0.3"/>
    <row r="9142" customFormat="1" x14ac:dyDescent="0.3"/>
    <row r="9143" customFormat="1" x14ac:dyDescent="0.3"/>
    <row r="9144" customFormat="1" x14ac:dyDescent="0.3"/>
    <row r="9145" customFormat="1" x14ac:dyDescent="0.3"/>
    <row r="9146" customFormat="1" x14ac:dyDescent="0.3"/>
    <row r="9147" customFormat="1" x14ac:dyDescent="0.3"/>
    <row r="9148" customFormat="1" x14ac:dyDescent="0.3"/>
    <row r="9149" customFormat="1" x14ac:dyDescent="0.3"/>
    <row r="9150" customFormat="1" x14ac:dyDescent="0.3"/>
    <row r="9151" customFormat="1" x14ac:dyDescent="0.3"/>
    <row r="9152" customFormat="1" x14ac:dyDescent="0.3"/>
    <row r="9153" customFormat="1" x14ac:dyDescent="0.3"/>
    <row r="9154" customFormat="1" x14ac:dyDescent="0.3"/>
    <row r="9155" customFormat="1" x14ac:dyDescent="0.3"/>
    <row r="9156" customFormat="1" x14ac:dyDescent="0.3"/>
    <row r="9157" customFormat="1" x14ac:dyDescent="0.3"/>
    <row r="9158" customFormat="1" x14ac:dyDescent="0.3"/>
    <row r="9159" customFormat="1" x14ac:dyDescent="0.3"/>
    <row r="9160" customFormat="1" x14ac:dyDescent="0.3"/>
    <row r="9161" customFormat="1" x14ac:dyDescent="0.3"/>
    <row r="9162" customFormat="1" x14ac:dyDescent="0.3"/>
    <row r="9163" customFormat="1" x14ac:dyDescent="0.3"/>
    <row r="9164" customFormat="1" x14ac:dyDescent="0.3"/>
    <row r="9165" customFormat="1" x14ac:dyDescent="0.3"/>
    <row r="9166" customFormat="1" x14ac:dyDescent="0.3"/>
    <row r="9167" customFormat="1" x14ac:dyDescent="0.3"/>
    <row r="9168" customFormat="1" x14ac:dyDescent="0.3"/>
    <row r="9169" customFormat="1" x14ac:dyDescent="0.3"/>
    <row r="9170" customFormat="1" x14ac:dyDescent="0.3"/>
    <row r="9171" customFormat="1" x14ac:dyDescent="0.3"/>
    <row r="9172" customFormat="1" x14ac:dyDescent="0.3"/>
    <row r="9173" customFormat="1" x14ac:dyDescent="0.3"/>
    <row r="9174" customFormat="1" x14ac:dyDescent="0.3"/>
    <row r="9175" customFormat="1" x14ac:dyDescent="0.3"/>
    <row r="9176" customFormat="1" x14ac:dyDescent="0.3"/>
    <row r="9177" customFormat="1" x14ac:dyDescent="0.3"/>
    <row r="9178" customFormat="1" x14ac:dyDescent="0.3"/>
    <row r="9179" customFormat="1" x14ac:dyDescent="0.3"/>
    <row r="9180" customFormat="1" x14ac:dyDescent="0.3"/>
    <row r="9181" customFormat="1" x14ac:dyDescent="0.3"/>
    <row r="9182" customFormat="1" x14ac:dyDescent="0.3"/>
    <row r="9183" customFormat="1" x14ac:dyDescent="0.3"/>
    <row r="9184" customFormat="1" x14ac:dyDescent="0.3"/>
    <row r="9185" customFormat="1" x14ac:dyDescent="0.3"/>
    <row r="9186" customFormat="1" x14ac:dyDescent="0.3"/>
    <row r="9187" customFormat="1" x14ac:dyDescent="0.3"/>
    <row r="9188" customFormat="1" x14ac:dyDescent="0.3"/>
    <row r="9189" customFormat="1" x14ac:dyDescent="0.3"/>
    <row r="9190" customFormat="1" x14ac:dyDescent="0.3"/>
    <row r="9191" customFormat="1" x14ac:dyDescent="0.3"/>
    <row r="9192" customFormat="1" x14ac:dyDescent="0.3"/>
    <row r="9193" customFormat="1" x14ac:dyDescent="0.3"/>
    <row r="9194" customFormat="1" x14ac:dyDescent="0.3"/>
    <row r="9195" customFormat="1" x14ac:dyDescent="0.3"/>
    <row r="9196" customFormat="1" x14ac:dyDescent="0.3"/>
    <row r="9197" customFormat="1" x14ac:dyDescent="0.3"/>
    <row r="9198" customFormat="1" x14ac:dyDescent="0.3"/>
    <row r="9199" customFormat="1" x14ac:dyDescent="0.3"/>
    <row r="9200" customFormat="1" x14ac:dyDescent="0.3"/>
    <row r="9201" customFormat="1" x14ac:dyDescent="0.3"/>
    <row r="9202" customFormat="1" x14ac:dyDescent="0.3"/>
    <row r="9203" customFormat="1" x14ac:dyDescent="0.3"/>
    <row r="9204" customFormat="1" x14ac:dyDescent="0.3"/>
    <row r="9205" customFormat="1" x14ac:dyDescent="0.3"/>
    <row r="9206" customFormat="1" x14ac:dyDescent="0.3"/>
    <row r="9207" customFormat="1" x14ac:dyDescent="0.3"/>
    <row r="9208" customFormat="1" x14ac:dyDescent="0.3"/>
    <row r="9209" customFormat="1" x14ac:dyDescent="0.3"/>
    <row r="9210" customFormat="1" x14ac:dyDescent="0.3"/>
    <row r="9211" customFormat="1" x14ac:dyDescent="0.3"/>
    <row r="9212" customFormat="1" x14ac:dyDescent="0.3"/>
    <row r="9213" customFormat="1" x14ac:dyDescent="0.3"/>
    <row r="9214" customFormat="1" x14ac:dyDescent="0.3"/>
    <row r="9215" customFormat="1" x14ac:dyDescent="0.3"/>
    <row r="9216" customFormat="1" x14ac:dyDescent="0.3"/>
    <row r="9217" customFormat="1" x14ac:dyDescent="0.3"/>
    <row r="9218" customFormat="1" x14ac:dyDescent="0.3"/>
    <row r="9219" customFormat="1" x14ac:dyDescent="0.3"/>
    <row r="9220" customFormat="1" x14ac:dyDescent="0.3"/>
    <row r="9221" customFormat="1" x14ac:dyDescent="0.3"/>
    <row r="9222" customFormat="1" x14ac:dyDescent="0.3"/>
    <row r="9223" customFormat="1" x14ac:dyDescent="0.3"/>
    <row r="9224" customFormat="1" x14ac:dyDescent="0.3"/>
    <row r="9225" customFormat="1" x14ac:dyDescent="0.3"/>
    <row r="9226" customFormat="1" x14ac:dyDescent="0.3"/>
    <row r="9227" customFormat="1" x14ac:dyDescent="0.3"/>
    <row r="9228" customFormat="1" x14ac:dyDescent="0.3"/>
    <row r="9229" customFormat="1" x14ac:dyDescent="0.3"/>
    <row r="9230" customFormat="1" x14ac:dyDescent="0.3"/>
    <row r="9231" customFormat="1" x14ac:dyDescent="0.3"/>
    <row r="9232" customFormat="1" x14ac:dyDescent="0.3"/>
    <row r="9233" customFormat="1" x14ac:dyDescent="0.3"/>
    <row r="9234" customFormat="1" x14ac:dyDescent="0.3"/>
    <row r="9235" customFormat="1" x14ac:dyDescent="0.3"/>
    <row r="9236" customFormat="1" x14ac:dyDescent="0.3"/>
    <row r="9237" customFormat="1" x14ac:dyDescent="0.3"/>
    <row r="9238" customFormat="1" x14ac:dyDescent="0.3"/>
    <row r="9239" customFormat="1" x14ac:dyDescent="0.3"/>
    <row r="9240" customFormat="1" x14ac:dyDescent="0.3"/>
    <row r="9241" customFormat="1" x14ac:dyDescent="0.3"/>
    <row r="9242" customFormat="1" x14ac:dyDescent="0.3"/>
    <row r="9243" customFormat="1" x14ac:dyDescent="0.3"/>
    <row r="9244" customFormat="1" x14ac:dyDescent="0.3"/>
    <row r="9245" customFormat="1" x14ac:dyDescent="0.3"/>
    <row r="9246" customFormat="1" x14ac:dyDescent="0.3"/>
    <row r="9247" customFormat="1" x14ac:dyDescent="0.3"/>
    <row r="9248" customFormat="1" x14ac:dyDescent="0.3"/>
    <row r="9249" customFormat="1" x14ac:dyDescent="0.3"/>
    <row r="9250" customFormat="1" x14ac:dyDescent="0.3"/>
    <row r="9251" customFormat="1" x14ac:dyDescent="0.3"/>
    <row r="9252" customFormat="1" x14ac:dyDescent="0.3"/>
    <row r="9253" customFormat="1" x14ac:dyDescent="0.3"/>
    <row r="9254" customFormat="1" x14ac:dyDescent="0.3"/>
    <row r="9255" customFormat="1" x14ac:dyDescent="0.3"/>
    <row r="9256" customFormat="1" x14ac:dyDescent="0.3"/>
    <row r="9257" customFormat="1" x14ac:dyDescent="0.3"/>
    <row r="9258" customFormat="1" x14ac:dyDescent="0.3"/>
    <row r="9259" customFormat="1" x14ac:dyDescent="0.3"/>
    <row r="9260" customFormat="1" x14ac:dyDescent="0.3"/>
    <row r="9261" customFormat="1" x14ac:dyDescent="0.3"/>
    <row r="9262" customFormat="1" x14ac:dyDescent="0.3"/>
    <row r="9263" customFormat="1" x14ac:dyDescent="0.3"/>
    <row r="9264" customFormat="1" x14ac:dyDescent="0.3"/>
    <row r="9265" customFormat="1" x14ac:dyDescent="0.3"/>
    <row r="9266" customFormat="1" x14ac:dyDescent="0.3"/>
    <row r="9267" customFormat="1" x14ac:dyDescent="0.3"/>
    <row r="9268" customFormat="1" x14ac:dyDescent="0.3"/>
    <row r="9269" customFormat="1" x14ac:dyDescent="0.3"/>
    <row r="9270" customFormat="1" x14ac:dyDescent="0.3"/>
    <row r="9271" customFormat="1" x14ac:dyDescent="0.3"/>
    <row r="9272" customFormat="1" x14ac:dyDescent="0.3"/>
    <row r="9273" customFormat="1" x14ac:dyDescent="0.3"/>
    <row r="9274" customFormat="1" x14ac:dyDescent="0.3"/>
    <row r="9275" customFormat="1" x14ac:dyDescent="0.3"/>
    <row r="9276" customFormat="1" x14ac:dyDescent="0.3"/>
    <row r="9277" customFormat="1" x14ac:dyDescent="0.3"/>
    <row r="9278" customFormat="1" x14ac:dyDescent="0.3"/>
    <row r="9279" customFormat="1" x14ac:dyDescent="0.3"/>
    <row r="9280" customFormat="1" x14ac:dyDescent="0.3"/>
    <row r="9281" customFormat="1" x14ac:dyDescent="0.3"/>
    <row r="9282" customFormat="1" x14ac:dyDescent="0.3"/>
    <row r="9283" customFormat="1" x14ac:dyDescent="0.3"/>
    <row r="9284" customFormat="1" x14ac:dyDescent="0.3"/>
    <row r="9285" customFormat="1" x14ac:dyDescent="0.3"/>
    <row r="9286" customFormat="1" x14ac:dyDescent="0.3"/>
    <row r="9287" customFormat="1" x14ac:dyDescent="0.3"/>
    <row r="9288" customFormat="1" x14ac:dyDescent="0.3"/>
    <row r="9289" customFormat="1" x14ac:dyDescent="0.3"/>
    <row r="9290" customFormat="1" x14ac:dyDescent="0.3"/>
    <row r="9291" customFormat="1" x14ac:dyDescent="0.3"/>
    <row r="9292" customFormat="1" x14ac:dyDescent="0.3"/>
    <row r="9293" customFormat="1" x14ac:dyDescent="0.3"/>
    <row r="9294" customFormat="1" x14ac:dyDescent="0.3"/>
    <row r="9295" customFormat="1" x14ac:dyDescent="0.3"/>
    <row r="9296" customFormat="1" x14ac:dyDescent="0.3"/>
    <row r="9297" customFormat="1" x14ac:dyDescent="0.3"/>
    <row r="9298" customFormat="1" x14ac:dyDescent="0.3"/>
    <row r="9299" customFormat="1" x14ac:dyDescent="0.3"/>
    <row r="9300" customFormat="1" x14ac:dyDescent="0.3"/>
    <row r="9301" customFormat="1" x14ac:dyDescent="0.3"/>
    <row r="9302" customFormat="1" x14ac:dyDescent="0.3"/>
    <row r="9303" customFormat="1" x14ac:dyDescent="0.3"/>
    <row r="9304" customFormat="1" x14ac:dyDescent="0.3"/>
    <row r="9305" customFormat="1" x14ac:dyDescent="0.3"/>
    <row r="9306" customFormat="1" x14ac:dyDescent="0.3"/>
    <row r="9307" customFormat="1" x14ac:dyDescent="0.3"/>
    <row r="9308" customFormat="1" x14ac:dyDescent="0.3"/>
    <row r="9309" customFormat="1" x14ac:dyDescent="0.3"/>
    <row r="9310" customFormat="1" x14ac:dyDescent="0.3"/>
    <row r="9311" customFormat="1" x14ac:dyDescent="0.3"/>
    <row r="9312" customFormat="1" x14ac:dyDescent="0.3"/>
    <row r="9313" customFormat="1" x14ac:dyDescent="0.3"/>
    <row r="9314" customFormat="1" x14ac:dyDescent="0.3"/>
    <row r="9315" customFormat="1" x14ac:dyDescent="0.3"/>
    <row r="9316" customFormat="1" x14ac:dyDescent="0.3"/>
    <row r="9317" customFormat="1" x14ac:dyDescent="0.3"/>
    <row r="9318" customFormat="1" x14ac:dyDescent="0.3"/>
    <row r="9319" customFormat="1" x14ac:dyDescent="0.3"/>
    <row r="9320" customFormat="1" x14ac:dyDescent="0.3"/>
    <row r="9321" customFormat="1" x14ac:dyDescent="0.3"/>
    <row r="9322" customFormat="1" x14ac:dyDescent="0.3"/>
    <row r="9323" customFormat="1" x14ac:dyDescent="0.3"/>
    <row r="9324" customFormat="1" x14ac:dyDescent="0.3"/>
    <row r="9325" customFormat="1" x14ac:dyDescent="0.3"/>
    <row r="9326" customFormat="1" x14ac:dyDescent="0.3"/>
    <row r="9327" customFormat="1" x14ac:dyDescent="0.3"/>
    <row r="9328" customFormat="1" x14ac:dyDescent="0.3"/>
    <row r="9329" customFormat="1" x14ac:dyDescent="0.3"/>
    <row r="9330" customFormat="1" x14ac:dyDescent="0.3"/>
    <row r="9331" customFormat="1" x14ac:dyDescent="0.3"/>
    <row r="9332" customFormat="1" x14ac:dyDescent="0.3"/>
    <row r="9333" customFormat="1" x14ac:dyDescent="0.3"/>
    <row r="9334" customFormat="1" x14ac:dyDescent="0.3"/>
    <row r="9335" customFormat="1" x14ac:dyDescent="0.3"/>
    <row r="9336" customFormat="1" x14ac:dyDescent="0.3"/>
    <row r="9337" customFormat="1" x14ac:dyDescent="0.3"/>
    <row r="9338" customFormat="1" x14ac:dyDescent="0.3"/>
    <row r="9339" customFormat="1" x14ac:dyDescent="0.3"/>
    <row r="9340" customFormat="1" x14ac:dyDescent="0.3"/>
    <row r="9341" customFormat="1" x14ac:dyDescent="0.3"/>
    <row r="9342" customFormat="1" x14ac:dyDescent="0.3"/>
    <row r="9343" customFormat="1" x14ac:dyDescent="0.3"/>
    <row r="9344" customFormat="1" x14ac:dyDescent="0.3"/>
    <row r="9345" customFormat="1" x14ac:dyDescent="0.3"/>
    <row r="9346" customFormat="1" x14ac:dyDescent="0.3"/>
    <row r="9347" customFormat="1" x14ac:dyDescent="0.3"/>
    <row r="9348" customFormat="1" x14ac:dyDescent="0.3"/>
    <row r="9349" customFormat="1" x14ac:dyDescent="0.3"/>
    <row r="9350" customFormat="1" x14ac:dyDescent="0.3"/>
    <row r="9351" customFormat="1" x14ac:dyDescent="0.3"/>
    <row r="9352" customFormat="1" x14ac:dyDescent="0.3"/>
    <row r="9353" customFormat="1" x14ac:dyDescent="0.3"/>
    <row r="9354" customFormat="1" x14ac:dyDescent="0.3"/>
    <row r="9355" customFormat="1" x14ac:dyDescent="0.3"/>
    <row r="9356" customFormat="1" x14ac:dyDescent="0.3"/>
    <row r="9357" customFormat="1" x14ac:dyDescent="0.3"/>
    <row r="9358" customFormat="1" x14ac:dyDescent="0.3"/>
    <row r="9359" customFormat="1" x14ac:dyDescent="0.3"/>
    <row r="9360" customFormat="1" x14ac:dyDescent="0.3"/>
    <row r="9361" customFormat="1" x14ac:dyDescent="0.3"/>
    <row r="9362" customFormat="1" x14ac:dyDescent="0.3"/>
    <row r="9363" customFormat="1" x14ac:dyDescent="0.3"/>
    <row r="9364" customFormat="1" x14ac:dyDescent="0.3"/>
    <row r="9365" customFormat="1" x14ac:dyDescent="0.3"/>
    <row r="9366" customFormat="1" x14ac:dyDescent="0.3"/>
    <row r="9367" customFormat="1" x14ac:dyDescent="0.3"/>
    <row r="9368" customFormat="1" x14ac:dyDescent="0.3"/>
    <row r="9369" customFormat="1" x14ac:dyDescent="0.3"/>
    <row r="9370" customFormat="1" x14ac:dyDescent="0.3"/>
    <row r="9371" customFormat="1" x14ac:dyDescent="0.3"/>
    <row r="9372" customFormat="1" x14ac:dyDescent="0.3"/>
    <row r="9373" customFormat="1" x14ac:dyDescent="0.3"/>
    <row r="9374" customFormat="1" x14ac:dyDescent="0.3"/>
    <row r="9375" customFormat="1" x14ac:dyDescent="0.3"/>
    <row r="9376" customFormat="1" x14ac:dyDescent="0.3"/>
    <row r="9377" customFormat="1" x14ac:dyDescent="0.3"/>
    <row r="9378" customFormat="1" x14ac:dyDescent="0.3"/>
    <row r="9379" customFormat="1" x14ac:dyDescent="0.3"/>
    <row r="9380" customFormat="1" x14ac:dyDescent="0.3"/>
    <row r="9381" customFormat="1" x14ac:dyDescent="0.3"/>
    <row r="9382" customFormat="1" x14ac:dyDescent="0.3"/>
    <row r="9383" customFormat="1" x14ac:dyDescent="0.3"/>
    <row r="9384" customFormat="1" x14ac:dyDescent="0.3"/>
    <row r="9385" customFormat="1" x14ac:dyDescent="0.3"/>
    <row r="9386" customFormat="1" x14ac:dyDescent="0.3"/>
    <row r="9387" customFormat="1" x14ac:dyDescent="0.3"/>
    <row r="9388" customFormat="1" x14ac:dyDescent="0.3"/>
    <row r="9389" customFormat="1" x14ac:dyDescent="0.3"/>
    <row r="9390" customFormat="1" x14ac:dyDescent="0.3"/>
    <row r="9391" customFormat="1" x14ac:dyDescent="0.3"/>
    <row r="9392" customFormat="1" x14ac:dyDescent="0.3"/>
    <row r="9393" customFormat="1" x14ac:dyDescent="0.3"/>
    <row r="9394" customFormat="1" x14ac:dyDescent="0.3"/>
    <row r="9395" customFormat="1" x14ac:dyDescent="0.3"/>
    <row r="9396" customFormat="1" x14ac:dyDescent="0.3"/>
    <row r="9397" customFormat="1" x14ac:dyDescent="0.3"/>
    <row r="9398" customFormat="1" x14ac:dyDescent="0.3"/>
    <row r="9399" customFormat="1" x14ac:dyDescent="0.3"/>
    <row r="9400" customFormat="1" x14ac:dyDescent="0.3"/>
    <row r="9401" customFormat="1" x14ac:dyDescent="0.3"/>
    <row r="9402" customFormat="1" x14ac:dyDescent="0.3"/>
    <row r="9403" customFormat="1" x14ac:dyDescent="0.3"/>
    <row r="9404" customFormat="1" x14ac:dyDescent="0.3"/>
    <row r="9405" customFormat="1" x14ac:dyDescent="0.3"/>
    <row r="9406" customFormat="1" x14ac:dyDescent="0.3"/>
    <row r="9407" customFormat="1" x14ac:dyDescent="0.3"/>
    <row r="9408" customFormat="1" x14ac:dyDescent="0.3"/>
    <row r="9409" customFormat="1" x14ac:dyDescent="0.3"/>
    <row r="9410" customFormat="1" x14ac:dyDescent="0.3"/>
    <row r="9411" customFormat="1" x14ac:dyDescent="0.3"/>
    <row r="9412" customFormat="1" x14ac:dyDescent="0.3"/>
    <row r="9413" customFormat="1" x14ac:dyDescent="0.3"/>
    <row r="9414" customFormat="1" x14ac:dyDescent="0.3"/>
    <row r="9415" customFormat="1" x14ac:dyDescent="0.3"/>
    <row r="9416" customFormat="1" x14ac:dyDescent="0.3"/>
    <row r="9417" customFormat="1" x14ac:dyDescent="0.3"/>
    <row r="9418" customFormat="1" x14ac:dyDescent="0.3"/>
    <row r="9419" customFormat="1" x14ac:dyDescent="0.3"/>
    <row r="9420" customFormat="1" x14ac:dyDescent="0.3"/>
    <row r="9421" customFormat="1" x14ac:dyDescent="0.3"/>
    <row r="9422" customFormat="1" x14ac:dyDescent="0.3"/>
    <row r="9423" customFormat="1" x14ac:dyDescent="0.3"/>
    <row r="9424" customFormat="1" x14ac:dyDescent="0.3"/>
    <row r="9425" customFormat="1" x14ac:dyDescent="0.3"/>
    <row r="9426" customFormat="1" x14ac:dyDescent="0.3"/>
    <row r="9427" customFormat="1" x14ac:dyDescent="0.3"/>
    <row r="9428" customFormat="1" x14ac:dyDescent="0.3"/>
    <row r="9429" customFormat="1" x14ac:dyDescent="0.3"/>
    <row r="9430" customFormat="1" x14ac:dyDescent="0.3"/>
    <row r="9431" customFormat="1" x14ac:dyDescent="0.3"/>
    <row r="9432" customFormat="1" x14ac:dyDescent="0.3"/>
    <row r="9433" customFormat="1" x14ac:dyDescent="0.3"/>
    <row r="9434" customFormat="1" x14ac:dyDescent="0.3"/>
    <row r="9435" customFormat="1" x14ac:dyDescent="0.3"/>
    <row r="9436" customFormat="1" x14ac:dyDescent="0.3"/>
    <row r="9437" customFormat="1" x14ac:dyDescent="0.3"/>
    <row r="9438" customFormat="1" x14ac:dyDescent="0.3"/>
    <row r="9439" customFormat="1" x14ac:dyDescent="0.3"/>
    <row r="9440" customFormat="1" x14ac:dyDescent="0.3"/>
    <row r="9441" customFormat="1" x14ac:dyDescent="0.3"/>
    <row r="9442" customFormat="1" x14ac:dyDescent="0.3"/>
    <row r="9443" customFormat="1" x14ac:dyDescent="0.3"/>
    <row r="9444" customFormat="1" x14ac:dyDescent="0.3"/>
    <row r="9445" customFormat="1" x14ac:dyDescent="0.3"/>
    <row r="9446" customFormat="1" x14ac:dyDescent="0.3"/>
    <row r="9447" customFormat="1" x14ac:dyDescent="0.3"/>
    <row r="9448" customFormat="1" x14ac:dyDescent="0.3"/>
    <row r="9449" customFormat="1" x14ac:dyDescent="0.3"/>
    <row r="9450" customFormat="1" x14ac:dyDescent="0.3"/>
    <row r="9451" customFormat="1" x14ac:dyDescent="0.3"/>
    <row r="9452" customFormat="1" x14ac:dyDescent="0.3"/>
    <row r="9453" customFormat="1" x14ac:dyDescent="0.3"/>
    <row r="9454" customFormat="1" x14ac:dyDescent="0.3"/>
    <row r="9455" customFormat="1" x14ac:dyDescent="0.3"/>
    <row r="9456" customFormat="1" x14ac:dyDescent="0.3"/>
    <row r="9457" customFormat="1" x14ac:dyDescent="0.3"/>
    <row r="9458" customFormat="1" x14ac:dyDescent="0.3"/>
    <row r="9459" customFormat="1" x14ac:dyDescent="0.3"/>
    <row r="9460" customFormat="1" x14ac:dyDescent="0.3"/>
    <row r="9461" customFormat="1" x14ac:dyDescent="0.3"/>
    <row r="9462" customFormat="1" x14ac:dyDescent="0.3"/>
    <row r="9463" customFormat="1" x14ac:dyDescent="0.3"/>
    <row r="9464" customFormat="1" x14ac:dyDescent="0.3"/>
    <row r="9465" customFormat="1" x14ac:dyDescent="0.3"/>
    <row r="9466" customFormat="1" x14ac:dyDescent="0.3"/>
    <row r="9467" customFormat="1" x14ac:dyDescent="0.3"/>
    <row r="9468" customFormat="1" x14ac:dyDescent="0.3"/>
    <row r="9469" customFormat="1" x14ac:dyDescent="0.3"/>
    <row r="9470" customFormat="1" x14ac:dyDescent="0.3"/>
    <row r="9471" customFormat="1" x14ac:dyDescent="0.3"/>
    <row r="9472" customFormat="1" x14ac:dyDescent="0.3"/>
    <row r="9473" customFormat="1" x14ac:dyDescent="0.3"/>
    <row r="9474" customFormat="1" x14ac:dyDescent="0.3"/>
    <row r="9475" customFormat="1" x14ac:dyDescent="0.3"/>
    <row r="9476" customFormat="1" x14ac:dyDescent="0.3"/>
    <row r="9477" customFormat="1" x14ac:dyDescent="0.3"/>
    <row r="9478" customFormat="1" x14ac:dyDescent="0.3"/>
    <row r="9479" customFormat="1" x14ac:dyDescent="0.3"/>
    <row r="9480" customFormat="1" x14ac:dyDescent="0.3"/>
    <row r="9481" customFormat="1" x14ac:dyDescent="0.3"/>
    <row r="9482" customFormat="1" x14ac:dyDescent="0.3"/>
    <row r="9483" customFormat="1" x14ac:dyDescent="0.3"/>
    <row r="9484" customFormat="1" x14ac:dyDescent="0.3"/>
    <row r="9485" customFormat="1" x14ac:dyDescent="0.3"/>
    <row r="9486" customFormat="1" x14ac:dyDescent="0.3"/>
    <row r="9487" customFormat="1" x14ac:dyDescent="0.3"/>
    <row r="9488" customFormat="1" x14ac:dyDescent="0.3"/>
    <row r="9489" customFormat="1" x14ac:dyDescent="0.3"/>
    <row r="9490" customFormat="1" x14ac:dyDescent="0.3"/>
    <row r="9491" customFormat="1" x14ac:dyDescent="0.3"/>
    <row r="9492" customFormat="1" x14ac:dyDescent="0.3"/>
    <row r="9493" customFormat="1" x14ac:dyDescent="0.3"/>
    <row r="9494" customFormat="1" x14ac:dyDescent="0.3"/>
    <row r="9495" customFormat="1" x14ac:dyDescent="0.3"/>
    <row r="9496" customFormat="1" x14ac:dyDescent="0.3"/>
    <row r="9497" customFormat="1" x14ac:dyDescent="0.3"/>
    <row r="9498" customFormat="1" x14ac:dyDescent="0.3"/>
    <row r="9499" customFormat="1" x14ac:dyDescent="0.3"/>
    <row r="9500" customFormat="1" x14ac:dyDescent="0.3"/>
    <row r="9501" customFormat="1" x14ac:dyDescent="0.3"/>
    <row r="9502" customFormat="1" x14ac:dyDescent="0.3"/>
    <row r="9503" customFormat="1" x14ac:dyDescent="0.3"/>
    <row r="9504" customFormat="1" x14ac:dyDescent="0.3"/>
    <row r="9505" customFormat="1" x14ac:dyDescent="0.3"/>
    <row r="9506" customFormat="1" x14ac:dyDescent="0.3"/>
    <row r="9507" customFormat="1" x14ac:dyDescent="0.3"/>
    <row r="9508" customFormat="1" x14ac:dyDescent="0.3"/>
    <row r="9509" customFormat="1" x14ac:dyDescent="0.3"/>
    <row r="9510" customFormat="1" x14ac:dyDescent="0.3"/>
    <row r="9511" customFormat="1" x14ac:dyDescent="0.3"/>
    <row r="9512" customFormat="1" x14ac:dyDescent="0.3"/>
    <row r="9513" customFormat="1" x14ac:dyDescent="0.3"/>
    <row r="9514" customFormat="1" x14ac:dyDescent="0.3"/>
    <row r="9515" customFormat="1" x14ac:dyDescent="0.3"/>
    <row r="9516" customFormat="1" x14ac:dyDescent="0.3"/>
    <row r="9517" customFormat="1" x14ac:dyDescent="0.3"/>
    <row r="9518" customFormat="1" x14ac:dyDescent="0.3"/>
    <row r="9519" customFormat="1" x14ac:dyDescent="0.3"/>
    <row r="9520" customFormat="1" x14ac:dyDescent="0.3"/>
    <row r="9521" customFormat="1" x14ac:dyDescent="0.3"/>
    <row r="9522" customFormat="1" x14ac:dyDescent="0.3"/>
    <row r="9523" customFormat="1" x14ac:dyDescent="0.3"/>
    <row r="9524" customFormat="1" x14ac:dyDescent="0.3"/>
    <row r="9525" customFormat="1" x14ac:dyDescent="0.3"/>
    <row r="9526" customFormat="1" x14ac:dyDescent="0.3"/>
    <row r="9527" customFormat="1" x14ac:dyDescent="0.3"/>
    <row r="9528" customFormat="1" x14ac:dyDescent="0.3"/>
    <row r="9529" customFormat="1" x14ac:dyDescent="0.3"/>
    <row r="9530" customFormat="1" x14ac:dyDescent="0.3"/>
    <row r="9531" customFormat="1" x14ac:dyDescent="0.3"/>
    <row r="9532" customFormat="1" x14ac:dyDescent="0.3"/>
    <row r="9533" customFormat="1" x14ac:dyDescent="0.3"/>
    <row r="9534" customFormat="1" x14ac:dyDescent="0.3"/>
    <row r="9535" customFormat="1" x14ac:dyDescent="0.3"/>
    <row r="9536" customFormat="1" x14ac:dyDescent="0.3"/>
    <row r="9537" customFormat="1" x14ac:dyDescent="0.3"/>
    <row r="9538" customFormat="1" x14ac:dyDescent="0.3"/>
    <row r="9539" customFormat="1" x14ac:dyDescent="0.3"/>
    <row r="9540" customFormat="1" x14ac:dyDescent="0.3"/>
    <row r="9541" customFormat="1" x14ac:dyDescent="0.3"/>
    <row r="9542" customFormat="1" x14ac:dyDescent="0.3"/>
    <row r="9543" customFormat="1" x14ac:dyDescent="0.3"/>
    <row r="9544" customFormat="1" x14ac:dyDescent="0.3"/>
    <row r="9545" customFormat="1" x14ac:dyDescent="0.3"/>
    <row r="9546" customFormat="1" x14ac:dyDescent="0.3"/>
    <row r="9547" customFormat="1" x14ac:dyDescent="0.3"/>
    <row r="9548" customFormat="1" x14ac:dyDescent="0.3"/>
    <row r="9549" customFormat="1" x14ac:dyDescent="0.3"/>
    <row r="9550" customFormat="1" x14ac:dyDescent="0.3"/>
    <row r="9551" customFormat="1" x14ac:dyDescent="0.3"/>
    <row r="9552" customFormat="1" x14ac:dyDescent="0.3"/>
    <row r="9553" customFormat="1" x14ac:dyDescent="0.3"/>
    <row r="9554" customFormat="1" x14ac:dyDescent="0.3"/>
    <row r="9555" customFormat="1" x14ac:dyDescent="0.3"/>
    <row r="9556" customFormat="1" x14ac:dyDescent="0.3"/>
    <row r="9557" customFormat="1" x14ac:dyDescent="0.3"/>
    <row r="9558" customFormat="1" x14ac:dyDescent="0.3"/>
    <row r="9559" customFormat="1" x14ac:dyDescent="0.3"/>
    <row r="9560" customFormat="1" x14ac:dyDescent="0.3"/>
    <row r="9561" customFormat="1" x14ac:dyDescent="0.3"/>
    <row r="9562" customFormat="1" x14ac:dyDescent="0.3"/>
    <row r="9563" customFormat="1" x14ac:dyDescent="0.3"/>
    <row r="9564" customFormat="1" x14ac:dyDescent="0.3"/>
    <row r="9565" customFormat="1" x14ac:dyDescent="0.3"/>
    <row r="9566" customFormat="1" x14ac:dyDescent="0.3"/>
    <row r="9567" customFormat="1" x14ac:dyDescent="0.3"/>
    <row r="9568" customFormat="1" x14ac:dyDescent="0.3"/>
    <row r="9569" customFormat="1" x14ac:dyDescent="0.3"/>
    <row r="9570" customFormat="1" x14ac:dyDescent="0.3"/>
    <row r="9571" customFormat="1" x14ac:dyDescent="0.3"/>
    <row r="9572" customFormat="1" x14ac:dyDescent="0.3"/>
    <row r="9573" customFormat="1" x14ac:dyDescent="0.3"/>
    <row r="9574" customFormat="1" x14ac:dyDescent="0.3"/>
    <row r="9575" customFormat="1" x14ac:dyDescent="0.3"/>
    <row r="9576" customFormat="1" x14ac:dyDescent="0.3"/>
    <row r="9577" customFormat="1" x14ac:dyDescent="0.3"/>
    <row r="9578" customFormat="1" x14ac:dyDescent="0.3"/>
    <row r="9579" customFormat="1" x14ac:dyDescent="0.3"/>
    <row r="9580" customFormat="1" x14ac:dyDescent="0.3"/>
    <row r="9581" customFormat="1" x14ac:dyDescent="0.3"/>
    <row r="9582" customFormat="1" x14ac:dyDescent="0.3"/>
    <row r="9583" customFormat="1" x14ac:dyDescent="0.3"/>
    <row r="9584" customFormat="1" x14ac:dyDescent="0.3"/>
    <row r="9585" customFormat="1" x14ac:dyDescent="0.3"/>
    <row r="9586" customFormat="1" x14ac:dyDescent="0.3"/>
    <row r="9587" customFormat="1" x14ac:dyDescent="0.3"/>
    <row r="9588" customFormat="1" x14ac:dyDescent="0.3"/>
    <row r="9589" customFormat="1" x14ac:dyDescent="0.3"/>
    <row r="9590" customFormat="1" x14ac:dyDescent="0.3"/>
    <row r="9591" customFormat="1" x14ac:dyDescent="0.3"/>
    <row r="9592" customFormat="1" x14ac:dyDescent="0.3"/>
    <row r="9593" customFormat="1" x14ac:dyDescent="0.3"/>
    <row r="9594" customFormat="1" x14ac:dyDescent="0.3"/>
    <row r="9595" customFormat="1" x14ac:dyDescent="0.3"/>
    <row r="9596" customFormat="1" x14ac:dyDescent="0.3"/>
    <row r="9597" customFormat="1" x14ac:dyDescent="0.3"/>
    <row r="9598" customFormat="1" x14ac:dyDescent="0.3"/>
    <row r="9599" customFormat="1" x14ac:dyDescent="0.3"/>
    <row r="9600" customFormat="1" x14ac:dyDescent="0.3"/>
    <row r="9601" customFormat="1" x14ac:dyDescent="0.3"/>
    <row r="9602" customFormat="1" x14ac:dyDescent="0.3"/>
    <row r="9603" customFormat="1" x14ac:dyDescent="0.3"/>
    <row r="9604" customFormat="1" x14ac:dyDescent="0.3"/>
    <row r="9605" customFormat="1" x14ac:dyDescent="0.3"/>
    <row r="9606" customFormat="1" x14ac:dyDescent="0.3"/>
    <row r="9607" customFormat="1" x14ac:dyDescent="0.3"/>
    <row r="9608" customFormat="1" x14ac:dyDescent="0.3"/>
    <row r="9609" customFormat="1" x14ac:dyDescent="0.3"/>
    <row r="9610" customFormat="1" x14ac:dyDescent="0.3"/>
    <row r="9611" customFormat="1" x14ac:dyDescent="0.3"/>
    <row r="9612" customFormat="1" x14ac:dyDescent="0.3"/>
    <row r="9613" customFormat="1" x14ac:dyDescent="0.3"/>
    <row r="9614" customFormat="1" x14ac:dyDescent="0.3"/>
    <row r="9615" customFormat="1" x14ac:dyDescent="0.3"/>
    <row r="9616" customFormat="1" x14ac:dyDescent="0.3"/>
    <row r="9617" customFormat="1" x14ac:dyDescent="0.3"/>
    <row r="9618" customFormat="1" x14ac:dyDescent="0.3"/>
    <row r="9619" customFormat="1" x14ac:dyDescent="0.3"/>
    <row r="9620" customFormat="1" x14ac:dyDescent="0.3"/>
    <row r="9621" customFormat="1" x14ac:dyDescent="0.3"/>
    <row r="9622" customFormat="1" x14ac:dyDescent="0.3"/>
    <row r="9623" customFormat="1" x14ac:dyDescent="0.3"/>
    <row r="9624" customFormat="1" x14ac:dyDescent="0.3"/>
    <row r="9625" customFormat="1" x14ac:dyDescent="0.3"/>
    <row r="9626" customFormat="1" x14ac:dyDescent="0.3"/>
    <row r="9627" customFormat="1" x14ac:dyDescent="0.3"/>
    <row r="9628" customFormat="1" x14ac:dyDescent="0.3"/>
    <row r="9629" customFormat="1" x14ac:dyDescent="0.3"/>
    <row r="9630" customFormat="1" x14ac:dyDescent="0.3"/>
    <row r="9631" customFormat="1" x14ac:dyDescent="0.3"/>
    <row r="9632" customFormat="1" x14ac:dyDescent="0.3"/>
    <row r="9633" customFormat="1" x14ac:dyDescent="0.3"/>
    <row r="9634" customFormat="1" x14ac:dyDescent="0.3"/>
    <row r="9635" customFormat="1" x14ac:dyDescent="0.3"/>
    <row r="9636" customFormat="1" x14ac:dyDescent="0.3"/>
    <row r="9637" customFormat="1" x14ac:dyDescent="0.3"/>
    <row r="9638" customFormat="1" x14ac:dyDescent="0.3"/>
    <row r="9639" customFormat="1" x14ac:dyDescent="0.3"/>
    <row r="9640" customFormat="1" x14ac:dyDescent="0.3"/>
    <row r="9641" customFormat="1" x14ac:dyDescent="0.3"/>
    <row r="9642" customFormat="1" x14ac:dyDescent="0.3"/>
    <row r="9643" customFormat="1" x14ac:dyDescent="0.3"/>
    <row r="9644" customFormat="1" x14ac:dyDescent="0.3"/>
    <row r="9645" customFormat="1" x14ac:dyDescent="0.3"/>
    <row r="9646" customFormat="1" x14ac:dyDescent="0.3"/>
    <row r="9647" customFormat="1" x14ac:dyDescent="0.3"/>
    <row r="9648" customFormat="1" x14ac:dyDescent="0.3"/>
    <row r="9649" customFormat="1" x14ac:dyDescent="0.3"/>
    <row r="9650" customFormat="1" x14ac:dyDescent="0.3"/>
    <row r="9651" customFormat="1" x14ac:dyDescent="0.3"/>
    <row r="9652" customFormat="1" x14ac:dyDescent="0.3"/>
    <row r="9653" customFormat="1" x14ac:dyDescent="0.3"/>
    <row r="9654" customFormat="1" x14ac:dyDescent="0.3"/>
    <row r="9655" customFormat="1" x14ac:dyDescent="0.3"/>
    <row r="9656" customFormat="1" x14ac:dyDescent="0.3"/>
    <row r="9657" customFormat="1" x14ac:dyDescent="0.3"/>
    <row r="9658" customFormat="1" x14ac:dyDescent="0.3"/>
    <row r="9659" customFormat="1" x14ac:dyDescent="0.3"/>
    <row r="9660" customFormat="1" x14ac:dyDescent="0.3"/>
    <row r="9661" customFormat="1" x14ac:dyDescent="0.3"/>
    <row r="9662" customFormat="1" x14ac:dyDescent="0.3"/>
    <row r="9663" customFormat="1" x14ac:dyDescent="0.3"/>
    <row r="9664" customFormat="1" x14ac:dyDescent="0.3"/>
    <row r="9665" customFormat="1" x14ac:dyDescent="0.3"/>
    <row r="9666" customFormat="1" x14ac:dyDescent="0.3"/>
    <row r="9667" customFormat="1" x14ac:dyDescent="0.3"/>
    <row r="9668" customFormat="1" x14ac:dyDescent="0.3"/>
    <row r="9669" customFormat="1" x14ac:dyDescent="0.3"/>
    <row r="9670" customFormat="1" x14ac:dyDescent="0.3"/>
    <row r="9671" customFormat="1" x14ac:dyDescent="0.3"/>
    <row r="9672" customFormat="1" x14ac:dyDescent="0.3"/>
    <row r="9673" customFormat="1" x14ac:dyDescent="0.3"/>
    <row r="9674" customFormat="1" x14ac:dyDescent="0.3"/>
    <row r="9675" customFormat="1" x14ac:dyDescent="0.3"/>
    <row r="9676" customFormat="1" x14ac:dyDescent="0.3"/>
    <row r="9677" customFormat="1" x14ac:dyDescent="0.3"/>
    <row r="9678" customFormat="1" x14ac:dyDescent="0.3"/>
    <row r="9679" customFormat="1" x14ac:dyDescent="0.3"/>
    <row r="9680" customFormat="1" x14ac:dyDescent="0.3"/>
    <row r="9681" customFormat="1" x14ac:dyDescent="0.3"/>
    <row r="9682" customFormat="1" x14ac:dyDescent="0.3"/>
    <row r="9683" customFormat="1" x14ac:dyDescent="0.3"/>
    <row r="9684" customFormat="1" x14ac:dyDescent="0.3"/>
    <row r="9685" customFormat="1" x14ac:dyDescent="0.3"/>
    <row r="9686" customFormat="1" x14ac:dyDescent="0.3"/>
    <row r="9687" customFormat="1" x14ac:dyDescent="0.3"/>
    <row r="9688" customFormat="1" x14ac:dyDescent="0.3"/>
    <row r="9689" customFormat="1" x14ac:dyDescent="0.3"/>
    <row r="9690" customFormat="1" x14ac:dyDescent="0.3"/>
    <row r="9691" customFormat="1" x14ac:dyDescent="0.3"/>
    <row r="9692" customFormat="1" x14ac:dyDescent="0.3"/>
    <row r="9693" customFormat="1" x14ac:dyDescent="0.3"/>
    <row r="9694" customFormat="1" x14ac:dyDescent="0.3"/>
    <row r="9695" customFormat="1" x14ac:dyDescent="0.3"/>
    <row r="9696" customFormat="1" x14ac:dyDescent="0.3"/>
    <row r="9697" customFormat="1" x14ac:dyDescent="0.3"/>
    <row r="9698" customFormat="1" x14ac:dyDescent="0.3"/>
    <row r="9699" customFormat="1" x14ac:dyDescent="0.3"/>
    <row r="9700" customFormat="1" x14ac:dyDescent="0.3"/>
    <row r="9701" customFormat="1" x14ac:dyDescent="0.3"/>
    <row r="9702" customFormat="1" x14ac:dyDescent="0.3"/>
    <row r="9703" customFormat="1" x14ac:dyDescent="0.3"/>
    <row r="9704" customFormat="1" x14ac:dyDescent="0.3"/>
    <row r="9705" customFormat="1" x14ac:dyDescent="0.3"/>
    <row r="9706" customFormat="1" x14ac:dyDescent="0.3"/>
    <row r="9707" customFormat="1" x14ac:dyDescent="0.3"/>
    <row r="9708" customFormat="1" x14ac:dyDescent="0.3"/>
    <row r="9709" customFormat="1" x14ac:dyDescent="0.3"/>
    <row r="9710" customFormat="1" x14ac:dyDescent="0.3"/>
    <row r="9711" customFormat="1" x14ac:dyDescent="0.3"/>
    <row r="9712" customFormat="1" x14ac:dyDescent="0.3"/>
    <row r="9713" customFormat="1" x14ac:dyDescent="0.3"/>
    <row r="9714" customFormat="1" x14ac:dyDescent="0.3"/>
    <row r="9715" customFormat="1" x14ac:dyDescent="0.3"/>
    <row r="9716" customFormat="1" x14ac:dyDescent="0.3"/>
    <row r="9717" customFormat="1" x14ac:dyDescent="0.3"/>
    <row r="9718" customFormat="1" x14ac:dyDescent="0.3"/>
    <row r="9719" customFormat="1" x14ac:dyDescent="0.3"/>
    <row r="9720" customFormat="1" x14ac:dyDescent="0.3"/>
    <row r="9721" customFormat="1" x14ac:dyDescent="0.3"/>
    <row r="9722" customFormat="1" x14ac:dyDescent="0.3"/>
    <row r="9723" customFormat="1" x14ac:dyDescent="0.3"/>
    <row r="9724" customFormat="1" x14ac:dyDescent="0.3"/>
    <row r="9725" customFormat="1" x14ac:dyDescent="0.3"/>
    <row r="9726" customFormat="1" x14ac:dyDescent="0.3"/>
    <row r="9727" customFormat="1" x14ac:dyDescent="0.3"/>
    <row r="9728" customFormat="1" x14ac:dyDescent="0.3"/>
    <row r="9729" customFormat="1" x14ac:dyDescent="0.3"/>
    <row r="9730" customFormat="1" x14ac:dyDescent="0.3"/>
    <row r="9731" customFormat="1" x14ac:dyDescent="0.3"/>
    <row r="9732" customFormat="1" x14ac:dyDescent="0.3"/>
    <row r="9733" customFormat="1" x14ac:dyDescent="0.3"/>
    <row r="9734" customFormat="1" x14ac:dyDescent="0.3"/>
    <row r="9735" customFormat="1" x14ac:dyDescent="0.3"/>
    <row r="9736" customFormat="1" x14ac:dyDescent="0.3"/>
    <row r="9737" customFormat="1" x14ac:dyDescent="0.3"/>
    <row r="9738" customFormat="1" x14ac:dyDescent="0.3"/>
    <row r="9739" customFormat="1" x14ac:dyDescent="0.3"/>
    <row r="9740" customFormat="1" x14ac:dyDescent="0.3"/>
    <row r="9741" customFormat="1" x14ac:dyDescent="0.3"/>
    <row r="9742" customFormat="1" x14ac:dyDescent="0.3"/>
    <row r="9743" customFormat="1" x14ac:dyDescent="0.3"/>
    <row r="9744" customFormat="1" x14ac:dyDescent="0.3"/>
    <row r="9745" customFormat="1" x14ac:dyDescent="0.3"/>
    <row r="9746" customFormat="1" x14ac:dyDescent="0.3"/>
    <row r="9747" customFormat="1" x14ac:dyDescent="0.3"/>
    <row r="9748" customFormat="1" x14ac:dyDescent="0.3"/>
    <row r="9749" customFormat="1" x14ac:dyDescent="0.3"/>
    <row r="9750" customFormat="1" x14ac:dyDescent="0.3"/>
    <row r="9751" customFormat="1" x14ac:dyDescent="0.3"/>
    <row r="9752" customFormat="1" x14ac:dyDescent="0.3"/>
    <row r="9753" customFormat="1" x14ac:dyDescent="0.3"/>
    <row r="9754" customFormat="1" x14ac:dyDescent="0.3"/>
    <row r="9755" customFormat="1" x14ac:dyDescent="0.3"/>
    <row r="9756" customFormat="1" x14ac:dyDescent="0.3"/>
    <row r="9757" customFormat="1" x14ac:dyDescent="0.3"/>
    <row r="9758" customFormat="1" x14ac:dyDescent="0.3"/>
    <row r="9759" customFormat="1" x14ac:dyDescent="0.3"/>
    <row r="9760" customFormat="1" x14ac:dyDescent="0.3"/>
    <row r="9761" customFormat="1" x14ac:dyDescent="0.3"/>
    <row r="9762" customFormat="1" x14ac:dyDescent="0.3"/>
    <row r="9763" customFormat="1" x14ac:dyDescent="0.3"/>
    <row r="9764" customFormat="1" x14ac:dyDescent="0.3"/>
    <row r="9765" customFormat="1" x14ac:dyDescent="0.3"/>
    <row r="9766" customFormat="1" x14ac:dyDescent="0.3"/>
    <row r="9767" customFormat="1" x14ac:dyDescent="0.3"/>
    <row r="9768" customFormat="1" x14ac:dyDescent="0.3"/>
    <row r="9769" customFormat="1" x14ac:dyDescent="0.3"/>
    <row r="9770" customFormat="1" x14ac:dyDescent="0.3"/>
    <row r="9771" customFormat="1" x14ac:dyDescent="0.3"/>
    <row r="9772" customFormat="1" x14ac:dyDescent="0.3"/>
    <row r="9773" customFormat="1" x14ac:dyDescent="0.3"/>
    <row r="9774" customFormat="1" x14ac:dyDescent="0.3"/>
    <row r="9775" customFormat="1" x14ac:dyDescent="0.3"/>
    <row r="9776" customFormat="1" x14ac:dyDescent="0.3"/>
    <row r="9777" customFormat="1" x14ac:dyDescent="0.3"/>
    <row r="9778" customFormat="1" x14ac:dyDescent="0.3"/>
    <row r="9779" customFormat="1" x14ac:dyDescent="0.3"/>
    <row r="9780" customFormat="1" x14ac:dyDescent="0.3"/>
    <row r="9781" customFormat="1" x14ac:dyDescent="0.3"/>
    <row r="9782" customFormat="1" x14ac:dyDescent="0.3"/>
    <row r="9783" customFormat="1" x14ac:dyDescent="0.3"/>
    <row r="9784" customFormat="1" x14ac:dyDescent="0.3"/>
    <row r="9785" customFormat="1" x14ac:dyDescent="0.3"/>
    <row r="9786" customFormat="1" x14ac:dyDescent="0.3"/>
    <row r="9787" customFormat="1" x14ac:dyDescent="0.3"/>
    <row r="9788" customFormat="1" x14ac:dyDescent="0.3"/>
    <row r="9789" customFormat="1" x14ac:dyDescent="0.3"/>
    <row r="9790" customFormat="1" x14ac:dyDescent="0.3"/>
    <row r="9791" customFormat="1" x14ac:dyDescent="0.3"/>
    <row r="9792" customFormat="1" x14ac:dyDescent="0.3"/>
    <row r="9793" customFormat="1" x14ac:dyDescent="0.3"/>
    <row r="9794" customFormat="1" x14ac:dyDescent="0.3"/>
    <row r="9795" customFormat="1" x14ac:dyDescent="0.3"/>
    <row r="9796" customFormat="1" x14ac:dyDescent="0.3"/>
    <row r="9797" customFormat="1" x14ac:dyDescent="0.3"/>
    <row r="9798" customFormat="1" x14ac:dyDescent="0.3"/>
    <row r="9799" customFormat="1" x14ac:dyDescent="0.3"/>
    <row r="9800" customFormat="1" x14ac:dyDescent="0.3"/>
    <row r="9801" customFormat="1" x14ac:dyDescent="0.3"/>
    <row r="9802" customFormat="1" x14ac:dyDescent="0.3"/>
    <row r="9803" customFormat="1" x14ac:dyDescent="0.3"/>
    <row r="9804" customFormat="1" x14ac:dyDescent="0.3"/>
    <row r="9805" customFormat="1" x14ac:dyDescent="0.3"/>
    <row r="9806" customFormat="1" x14ac:dyDescent="0.3"/>
    <row r="9807" customFormat="1" x14ac:dyDescent="0.3"/>
    <row r="9808" customFormat="1" x14ac:dyDescent="0.3"/>
    <row r="9809" customFormat="1" x14ac:dyDescent="0.3"/>
    <row r="9810" customFormat="1" x14ac:dyDescent="0.3"/>
    <row r="9811" customFormat="1" x14ac:dyDescent="0.3"/>
    <row r="9812" customFormat="1" x14ac:dyDescent="0.3"/>
    <row r="9813" customFormat="1" x14ac:dyDescent="0.3"/>
    <row r="9814" customFormat="1" x14ac:dyDescent="0.3"/>
    <row r="9815" customFormat="1" x14ac:dyDescent="0.3"/>
    <row r="9816" customFormat="1" x14ac:dyDescent="0.3"/>
    <row r="9817" customFormat="1" x14ac:dyDescent="0.3"/>
    <row r="9818" customFormat="1" x14ac:dyDescent="0.3"/>
    <row r="9819" customFormat="1" x14ac:dyDescent="0.3"/>
    <row r="9820" customFormat="1" x14ac:dyDescent="0.3"/>
    <row r="9821" customFormat="1" x14ac:dyDescent="0.3"/>
    <row r="9822" customFormat="1" x14ac:dyDescent="0.3"/>
    <row r="9823" customFormat="1" x14ac:dyDescent="0.3"/>
    <row r="9824" customFormat="1" x14ac:dyDescent="0.3"/>
    <row r="9825" customFormat="1" x14ac:dyDescent="0.3"/>
    <row r="9826" customFormat="1" x14ac:dyDescent="0.3"/>
    <row r="9827" customFormat="1" x14ac:dyDescent="0.3"/>
    <row r="9828" customFormat="1" x14ac:dyDescent="0.3"/>
    <row r="9829" customFormat="1" x14ac:dyDescent="0.3"/>
    <row r="9830" customFormat="1" x14ac:dyDescent="0.3"/>
    <row r="9831" customFormat="1" x14ac:dyDescent="0.3"/>
    <row r="9832" customFormat="1" x14ac:dyDescent="0.3"/>
    <row r="9833" customFormat="1" x14ac:dyDescent="0.3"/>
    <row r="9834" customFormat="1" x14ac:dyDescent="0.3"/>
    <row r="9835" customFormat="1" x14ac:dyDescent="0.3"/>
    <row r="9836" customFormat="1" x14ac:dyDescent="0.3"/>
    <row r="9837" customFormat="1" x14ac:dyDescent="0.3"/>
    <row r="9838" customFormat="1" x14ac:dyDescent="0.3"/>
    <row r="9839" customFormat="1" x14ac:dyDescent="0.3"/>
    <row r="9840" customFormat="1" x14ac:dyDescent="0.3"/>
    <row r="9841" customFormat="1" x14ac:dyDescent="0.3"/>
    <row r="9842" customFormat="1" x14ac:dyDescent="0.3"/>
    <row r="9843" customFormat="1" x14ac:dyDescent="0.3"/>
    <row r="9844" customFormat="1" x14ac:dyDescent="0.3"/>
    <row r="9845" customFormat="1" x14ac:dyDescent="0.3"/>
    <row r="9846" customFormat="1" x14ac:dyDescent="0.3"/>
    <row r="9847" customFormat="1" x14ac:dyDescent="0.3"/>
    <row r="9848" customFormat="1" x14ac:dyDescent="0.3"/>
    <row r="9849" customFormat="1" x14ac:dyDescent="0.3"/>
    <row r="9850" customFormat="1" x14ac:dyDescent="0.3"/>
    <row r="9851" customFormat="1" x14ac:dyDescent="0.3"/>
    <row r="9852" customFormat="1" x14ac:dyDescent="0.3"/>
    <row r="9853" customFormat="1" x14ac:dyDescent="0.3"/>
    <row r="9854" customFormat="1" x14ac:dyDescent="0.3"/>
    <row r="9855" customFormat="1" x14ac:dyDescent="0.3"/>
    <row r="9856" customFormat="1" x14ac:dyDescent="0.3"/>
    <row r="9857" customFormat="1" x14ac:dyDescent="0.3"/>
    <row r="9858" customFormat="1" x14ac:dyDescent="0.3"/>
    <row r="9859" customFormat="1" x14ac:dyDescent="0.3"/>
    <row r="9860" customFormat="1" x14ac:dyDescent="0.3"/>
    <row r="9861" customFormat="1" x14ac:dyDescent="0.3"/>
    <row r="9862" customFormat="1" x14ac:dyDescent="0.3"/>
    <row r="9863" customFormat="1" x14ac:dyDescent="0.3"/>
    <row r="9864" customFormat="1" x14ac:dyDescent="0.3"/>
    <row r="9865" customFormat="1" x14ac:dyDescent="0.3"/>
    <row r="9866" customFormat="1" x14ac:dyDescent="0.3"/>
    <row r="9867" customFormat="1" x14ac:dyDescent="0.3"/>
    <row r="9868" customFormat="1" x14ac:dyDescent="0.3"/>
    <row r="9869" customFormat="1" x14ac:dyDescent="0.3"/>
    <row r="9870" customFormat="1" x14ac:dyDescent="0.3"/>
    <row r="9871" customFormat="1" x14ac:dyDescent="0.3"/>
    <row r="9872" customFormat="1" x14ac:dyDescent="0.3"/>
    <row r="9873" customFormat="1" x14ac:dyDescent="0.3"/>
    <row r="9874" customFormat="1" x14ac:dyDescent="0.3"/>
    <row r="9875" customFormat="1" x14ac:dyDescent="0.3"/>
    <row r="9876" customFormat="1" x14ac:dyDescent="0.3"/>
    <row r="9877" customFormat="1" x14ac:dyDescent="0.3"/>
    <row r="9878" customFormat="1" x14ac:dyDescent="0.3"/>
    <row r="9879" customFormat="1" x14ac:dyDescent="0.3"/>
    <row r="9880" customFormat="1" x14ac:dyDescent="0.3"/>
    <row r="9881" customFormat="1" x14ac:dyDescent="0.3"/>
    <row r="9882" customFormat="1" x14ac:dyDescent="0.3"/>
    <row r="9883" customFormat="1" x14ac:dyDescent="0.3"/>
    <row r="9884" customFormat="1" x14ac:dyDescent="0.3"/>
    <row r="9885" customFormat="1" x14ac:dyDescent="0.3"/>
    <row r="9886" customFormat="1" x14ac:dyDescent="0.3"/>
    <row r="9887" customFormat="1" x14ac:dyDescent="0.3"/>
    <row r="9888" customFormat="1" x14ac:dyDescent="0.3"/>
    <row r="9889" customFormat="1" x14ac:dyDescent="0.3"/>
    <row r="9890" customFormat="1" x14ac:dyDescent="0.3"/>
    <row r="9891" customFormat="1" x14ac:dyDescent="0.3"/>
    <row r="9892" customFormat="1" x14ac:dyDescent="0.3"/>
    <row r="9893" customFormat="1" x14ac:dyDescent="0.3"/>
    <row r="9894" customFormat="1" x14ac:dyDescent="0.3"/>
    <row r="9895" customFormat="1" x14ac:dyDescent="0.3"/>
    <row r="9896" customFormat="1" x14ac:dyDescent="0.3"/>
    <row r="9897" customFormat="1" x14ac:dyDescent="0.3"/>
    <row r="9898" customFormat="1" x14ac:dyDescent="0.3"/>
    <row r="9899" customFormat="1" x14ac:dyDescent="0.3"/>
    <row r="9900" customFormat="1" x14ac:dyDescent="0.3"/>
    <row r="9901" customFormat="1" x14ac:dyDescent="0.3"/>
    <row r="9902" customFormat="1" x14ac:dyDescent="0.3"/>
    <row r="9903" customFormat="1" x14ac:dyDescent="0.3"/>
    <row r="9904" customFormat="1" x14ac:dyDescent="0.3"/>
    <row r="9905" customFormat="1" x14ac:dyDescent="0.3"/>
    <row r="9906" customFormat="1" x14ac:dyDescent="0.3"/>
    <row r="9907" customFormat="1" x14ac:dyDescent="0.3"/>
    <row r="9908" customFormat="1" x14ac:dyDescent="0.3"/>
    <row r="9909" customFormat="1" x14ac:dyDescent="0.3"/>
    <row r="9910" customFormat="1" x14ac:dyDescent="0.3"/>
    <row r="9911" customFormat="1" x14ac:dyDescent="0.3"/>
    <row r="9912" customFormat="1" x14ac:dyDescent="0.3"/>
    <row r="9913" customFormat="1" x14ac:dyDescent="0.3"/>
    <row r="9914" customFormat="1" x14ac:dyDescent="0.3"/>
    <row r="9915" customFormat="1" x14ac:dyDescent="0.3"/>
    <row r="9916" customFormat="1" x14ac:dyDescent="0.3"/>
    <row r="9917" customFormat="1" x14ac:dyDescent="0.3"/>
    <row r="9918" customFormat="1" x14ac:dyDescent="0.3"/>
    <row r="9919" customFormat="1" x14ac:dyDescent="0.3"/>
    <row r="9920" customFormat="1" x14ac:dyDescent="0.3"/>
    <row r="9921" customFormat="1" x14ac:dyDescent="0.3"/>
    <row r="9922" customFormat="1" x14ac:dyDescent="0.3"/>
    <row r="9923" customFormat="1" x14ac:dyDescent="0.3"/>
    <row r="9924" customFormat="1" x14ac:dyDescent="0.3"/>
    <row r="9925" customFormat="1" x14ac:dyDescent="0.3"/>
    <row r="9926" customFormat="1" x14ac:dyDescent="0.3"/>
    <row r="9927" customFormat="1" x14ac:dyDescent="0.3"/>
    <row r="9928" customFormat="1" x14ac:dyDescent="0.3"/>
    <row r="9929" customFormat="1" x14ac:dyDescent="0.3"/>
    <row r="9930" customFormat="1" x14ac:dyDescent="0.3"/>
    <row r="9931" customFormat="1" x14ac:dyDescent="0.3"/>
    <row r="9932" customFormat="1" x14ac:dyDescent="0.3"/>
    <row r="9933" customFormat="1" x14ac:dyDescent="0.3"/>
    <row r="9934" customFormat="1" x14ac:dyDescent="0.3"/>
    <row r="9935" customFormat="1" x14ac:dyDescent="0.3"/>
    <row r="9936" customFormat="1" x14ac:dyDescent="0.3"/>
    <row r="9937" customFormat="1" x14ac:dyDescent="0.3"/>
    <row r="9938" customFormat="1" x14ac:dyDescent="0.3"/>
    <row r="9939" customFormat="1" x14ac:dyDescent="0.3"/>
    <row r="9940" customFormat="1" x14ac:dyDescent="0.3"/>
    <row r="9941" customFormat="1" x14ac:dyDescent="0.3"/>
    <row r="9942" customFormat="1" x14ac:dyDescent="0.3"/>
    <row r="9943" customFormat="1" x14ac:dyDescent="0.3"/>
    <row r="9944" customFormat="1" x14ac:dyDescent="0.3"/>
    <row r="9945" customFormat="1" x14ac:dyDescent="0.3"/>
    <row r="9946" customFormat="1" x14ac:dyDescent="0.3"/>
    <row r="9947" customFormat="1" x14ac:dyDescent="0.3"/>
    <row r="9948" customFormat="1" x14ac:dyDescent="0.3"/>
    <row r="9949" customFormat="1" x14ac:dyDescent="0.3"/>
    <row r="9950" customFormat="1" x14ac:dyDescent="0.3"/>
    <row r="9951" customFormat="1" x14ac:dyDescent="0.3"/>
    <row r="9952" customFormat="1" x14ac:dyDescent="0.3"/>
    <row r="9953" customFormat="1" x14ac:dyDescent="0.3"/>
    <row r="9954" customFormat="1" x14ac:dyDescent="0.3"/>
    <row r="9955" customFormat="1" x14ac:dyDescent="0.3"/>
    <row r="9956" customFormat="1" x14ac:dyDescent="0.3"/>
    <row r="9957" customFormat="1" x14ac:dyDescent="0.3"/>
    <row r="9958" customFormat="1" x14ac:dyDescent="0.3"/>
    <row r="9959" customFormat="1" x14ac:dyDescent="0.3"/>
    <row r="9960" customFormat="1" x14ac:dyDescent="0.3"/>
    <row r="9961" customFormat="1" x14ac:dyDescent="0.3"/>
    <row r="9962" customFormat="1" x14ac:dyDescent="0.3"/>
    <row r="9963" customFormat="1" x14ac:dyDescent="0.3"/>
    <row r="9964" customFormat="1" x14ac:dyDescent="0.3"/>
    <row r="9965" customFormat="1" x14ac:dyDescent="0.3"/>
    <row r="9966" customFormat="1" x14ac:dyDescent="0.3"/>
    <row r="9967" customFormat="1" x14ac:dyDescent="0.3"/>
    <row r="9968" customFormat="1" x14ac:dyDescent="0.3"/>
    <row r="9969" customFormat="1" x14ac:dyDescent="0.3"/>
    <row r="9970" customFormat="1" x14ac:dyDescent="0.3"/>
    <row r="9971" customFormat="1" x14ac:dyDescent="0.3"/>
    <row r="9972" customFormat="1" x14ac:dyDescent="0.3"/>
    <row r="9973" customFormat="1" x14ac:dyDescent="0.3"/>
    <row r="9974" customFormat="1" x14ac:dyDescent="0.3"/>
    <row r="9975" customFormat="1" x14ac:dyDescent="0.3"/>
    <row r="9976" customFormat="1" x14ac:dyDescent="0.3"/>
    <row r="9977" customFormat="1" x14ac:dyDescent="0.3"/>
    <row r="9978" customFormat="1" x14ac:dyDescent="0.3"/>
    <row r="9979" customFormat="1" x14ac:dyDescent="0.3"/>
    <row r="9980" customFormat="1" x14ac:dyDescent="0.3"/>
    <row r="9981" customFormat="1" x14ac:dyDescent="0.3"/>
    <row r="9982" customFormat="1" x14ac:dyDescent="0.3"/>
    <row r="9983" customFormat="1" x14ac:dyDescent="0.3"/>
    <row r="9984" customFormat="1" x14ac:dyDescent="0.3"/>
    <row r="9985" customFormat="1" x14ac:dyDescent="0.3"/>
    <row r="9986" customFormat="1" x14ac:dyDescent="0.3"/>
    <row r="9987" customFormat="1" x14ac:dyDescent="0.3"/>
    <row r="9988" customFormat="1" x14ac:dyDescent="0.3"/>
    <row r="9989" customFormat="1" x14ac:dyDescent="0.3"/>
    <row r="9990" customFormat="1" x14ac:dyDescent="0.3"/>
    <row r="9991" customFormat="1" x14ac:dyDescent="0.3"/>
    <row r="9992" customFormat="1" x14ac:dyDescent="0.3"/>
    <row r="9993" customFormat="1" x14ac:dyDescent="0.3"/>
    <row r="9994" customFormat="1" x14ac:dyDescent="0.3"/>
    <row r="9995" customFormat="1" x14ac:dyDescent="0.3"/>
    <row r="9996" customFormat="1" x14ac:dyDescent="0.3"/>
    <row r="9997" customFormat="1" x14ac:dyDescent="0.3"/>
    <row r="9998" customFormat="1" x14ac:dyDescent="0.3"/>
    <row r="9999" customFormat="1" x14ac:dyDescent="0.3"/>
    <row r="10000" customFormat="1" x14ac:dyDescent="0.3"/>
    <row r="10001" customFormat="1" x14ac:dyDescent="0.3"/>
    <row r="10002" customFormat="1" x14ac:dyDescent="0.3"/>
    <row r="10003" customFormat="1" x14ac:dyDescent="0.3"/>
    <row r="10004" customFormat="1" x14ac:dyDescent="0.3"/>
    <row r="10005" customFormat="1" x14ac:dyDescent="0.3"/>
    <row r="10006" customFormat="1" x14ac:dyDescent="0.3"/>
    <row r="10007" customFormat="1" x14ac:dyDescent="0.3"/>
    <row r="10008" customFormat="1" x14ac:dyDescent="0.3"/>
    <row r="10009" customFormat="1" x14ac:dyDescent="0.3"/>
    <row r="10010" customFormat="1" x14ac:dyDescent="0.3"/>
    <row r="10011" customFormat="1" x14ac:dyDescent="0.3"/>
    <row r="10012" customFormat="1" x14ac:dyDescent="0.3"/>
    <row r="10013" customFormat="1" x14ac:dyDescent="0.3"/>
    <row r="10014" customFormat="1" x14ac:dyDescent="0.3"/>
    <row r="10015" customFormat="1" x14ac:dyDescent="0.3"/>
    <row r="10016" customFormat="1" x14ac:dyDescent="0.3"/>
    <row r="10017" customFormat="1" x14ac:dyDescent="0.3"/>
    <row r="10018" customFormat="1" x14ac:dyDescent="0.3"/>
    <row r="10019" customFormat="1" x14ac:dyDescent="0.3"/>
    <row r="10020" customFormat="1" x14ac:dyDescent="0.3"/>
    <row r="10021" customFormat="1" x14ac:dyDescent="0.3"/>
    <row r="10022" customFormat="1" x14ac:dyDescent="0.3"/>
    <row r="10023" customFormat="1" x14ac:dyDescent="0.3"/>
    <row r="10024" customFormat="1" x14ac:dyDescent="0.3"/>
    <row r="10025" customFormat="1" x14ac:dyDescent="0.3"/>
    <row r="10026" customFormat="1" x14ac:dyDescent="0.3"/>
    <row r="10027" customFormat="1" x14ac:dyDescent="0.3"/>
    <row r="10028" customFormat="1" x14ac:dyDescent="0.3"/>
    <row r="10029" customFormat="1" x14ac:dyDescent="0.3"/>
    <row r="10030" customFormat="1" x14ac:dyDescent="0.3"/>
    <row r="10031" customFormat="1" x14ac:dyDescent="0.3"/>
    <row r="10032" customFormat="1" x14ac:dyDescent="0.3"/>
    <row r="10033" customFormat="1" x14ac:dyDescent="0.3"/>
    <row r="10034" customFormat="1" x14ac:dyDescent="0.3"/>
    <row r="10035" customFormat="1" x14ac:dyDescent="0.3"/>
    <row r="10036" customFormat="1" x14ac:dyDescent="0.3"/>
    <row r="10037" customFormat="1" x14ac:dyDescent="0.3"/>
    <row r="10038" customFormat="1" x14ac:dyDescent="0.3"/>
    <row r="10039" customFormat="1" x14ac:dyDescent="0.3"/>
    <row r="10040" customFormat="1" x14ac:dyDescent="0.3"/>
    <row r="10041" customFormat="1" x14ac:dyDescent="0.3"/>
    <row r="10042" customFormat="1" x14ac:dyDescent="0.3"/>
    <row r="10043" customFormat="1" x14ac:dyDescent="0.3"/>
    <row r="10044" customFormat="1" x14ac:dyDescent="0.3"/>
    <row r="10045" customFormat="1" x14ac:dyDescent="0.3"/>
    <row r="10046" customFormat="1" x14ac:dyDescent="0.3"/>
    <row r="10047" customFormat="1" x14ac:dyDescent="0.3"/>
    <row r="10048" customFormat="1" x14ac:dyDescent="0.3"/>
    <row r="10049" customFormat="1" x14ac:dyDescent="0.3"/>
    <row r="10050" customFormat="1" x14ac:dyDescent="0.3"/>
    <row r="10051" customFormat="1" x14ac:dyDescent="0.3"/>
    <row r="10052" customFormat="1" x14ac:dyDescent="0.3"/>
    <row r="10053" customFormat="1" x14ac:dyDescent="0.3"/>
    <row r="10054" customFormat="1" x14ac:dyDescent="0.3"/>
    <row r="10055" customFormat="1" x14ac:dyDescent="0.3"/>
    <row r="10056" customFormat="1" x14ac:dyDescent="0.3"/>
    <row r="10057" customFormat="1" x14ac:dyDescent="0.3"/>
    <row r="10058" customFormat="1" x14ac:dyDescent="0.3"/>
    <row r="10059" customFormat="1" x14ac:dyDescent="0.3"/>
    <row r="10060" customFormat="1" x14ac:dyDescent="0.3"/>
    <row r="10061" customFormat="1" x14ac:dyDescent="0.3"/>
    <row r="10062" customFormat="1" x14ac:dyDescent="0.3"/>
    <row r="10063" customFormat="1" x14ac:dyDescent="0.3"/>
    <row r="10064" customFormat="1" x14ac:dyDescent="0.3"/>
    <row r="10065" customFormat="1" x14ac:dyDescent="0.3"/>
    <row r="10066" customFormat="1" x14ac:dyDescent="0.3"/>
    <row r="10067" customFormat="1" x14ac:dyDescent="0.3"/>
    <row r="10068" customFormat="1" x14ac:dyDescent="0.3"/>
    <row r="10069" customFormat="1" x14ac:dyDescent="0.3"/>
    <row r="10070" customFormat="1" x14ac:dyDescent="0.3"/>
    <row r="10071" customFormat="1" x14ac:dyDescent="0.3"/>
    <row r="10072" customFormat="1" x14ac:dyDescent="0.3"/>
    <row r="10073" customFormat="1" x14ac:dyDescent="0.3"/>
    <row r="10074" customFormat="1" x14ac:dyDescent="0.3"/>
    <row r="10075" customFormat="1" x14ac:dyDescent="0.3"/>
    <row r="10076" customFormat="1" x14ac:dyDescent="0.3"/>
    <row r="10077" customFormat="1" x14ac:dyDescent="0.3"/>
    <row r="10078" customFormat="1" x14ac:dyDescent="0.3"/>
    <row r="10079" customFormat="1" x14ac:dyDescent="0.3"/>
    <row r="10080" customFormat="1" x14ac:dyDescent="0.3"/>
    <row r="10081" customFormat="1" x14ac:dyDescent="0.3"/>
    <row r="10082" customFormat="1" x14ac:dyDescent="0.3"/>
    <row r="10083" customFormat="1" x14ac:dyDescent="0.3"/>
    <row r="10084" customFormat="1" x14ac:dyDescent="0.3"/>
    <row r="10085" customFormat="1" x14ac:dyDescent="0.3"/>
    <row r="10086" customFormat="1" x14ac:dyDescent="0.3"/>
    <row r="10087" customFormat="1" x14ac:dyDescent="0.3"/>
    <row r="10088" customFormat="1" x14ac:dyDescent="0.3"/>
    <row r="10089" customFormat="1" x14ac:dyDescent="0.3"/>
    <row r="10090" customFormat="1" x14ac:dyDescent="0.3"/>
    <row r="10091" customFormat="1" x14ac:dyDescent="0.3"/>
    <row r="10092" customFormat="1" x14ac:dyDescent="0.3"/>
    <row r="10093" customFormat="1" x14ac:dyDescent="0.3"/>
    <row r="10094" customFormat="1" x14ac:dyDescent="0.3"/>
    <row r="10095" customFormat="1" x14ac:dyDescent="0.3"/>
    <row r="10096" customFormat="1" x14ac:dyDescent="0.3"/>
    <row r="10097" customFormat="1" x14ac:dyDescent="0.3"/>
    <row r="10098" customFormat="1" x14ac:dyDescent="0.3"/>
    <row r="10099" customFormat="1" x14ac:dyDescent="0.3"/>
    <row r="10100" customFormat="1" x14ac:dyDescent="0.3"/>
    <row r="10101" customFormat="1" x14ac:dyDescent="0.3"/>
    <row r="10102" customFormat="1" x14ac:dyDescent="0.3"/>
    <row r="10103" customFormat="1" x14ac:dyDescent="0.3"/>
    <row r="10104" customFormat="1" x14ac:dyDescent="0.3"/>
    <row r="10105" customFormat="1" x14ac:dyDescent="0.3"/>
    <row r="10106" customFormat="1" x14ac:dyDescent="0.3"/>
    <row r="10107" customFormat="1" x14ac:dyDescent="0.3"/>
    <row r="10108" customFormat="1" x14ac:dyDescent="0.3"/>
    <row r="10109" customFormat="1" x14ac:dyDescent="0.3"/>
    <row r="10110" customFormat="1" x14ac:dyDescent="0.3"/>
    <row r="10111" customFormat="1" x14ac:dyDescent="0.3"/>
    <row r="10112" customFormat="1" x14ac:dyDescent="0.3"/>
    <row r="10113" customFormat="1" x14ac:dyDescent="0.3"/>
    <row r="10114" customFormat="1" x14ac:dyDescent="0.3"/>
    <row r="10115" customFormat="1" x14ac:dyDescent="0.3"/>
    <row r="10116" customFormat="1" x14ac:dyDescent="0.3"/>
    <row r="10117" customFormat="1" x14ac:dyDescent="0.3"/>
    <row r="10118" customFormat="1" x14ac:dyDescent="0.3"/>
    <row r="10119" customFormat="1" x14ac:dyDescent="0.3"/>
    <row r="10120" customFormat="1" x14ac:dyDescent="0.3"/>
    <row r="10121" customFormat="1" x14ac:dyDescent="0.3"/>
    <row r="10122" customFormat="1" x14ac:dyDescent="0.3"/>
    <row r="10123" customFormat="1" x14ac:dyDescent="0.3"/>
    <row r="10124" customFormat="1" x14ac:dyDescent="0.3"/>
    <row r="10125" customFormat="1" x14ac:dyDescent="0.3"/>
    <row r="10126" customFormat="1" x14ac:dyDescent="0.3"/>
    <row r="10127" customFormat="1" x14ac:dyDescent="0.3"/>
    <row r="10128" customFormat="1" x14ac:dyDescent="0.3"/>
    <row r="10129" customFormat="1" x14ac:dyDescent="0.3"/>
    <row r="10130" customFormat="1" x14ac:dyDescent="0.3"/>
    <row r="10131" customFormat="1" x14ac:dyDescent="0.3"/>
    <row r="10132" customFormat="1" x14ac:dyDescent="0.3"/>
    <row r="10133" customFormat="1" x14ac:dyDescent="0.3"/>
    <row r="10134" customFormat="1" x14ac:dyDescent="0.3"/>
    <row r="10135" customFormat="1" x14ac:dyDescent="0.3"/>
    <row r="10136" customFormat="1" x14ac:dyDescent="0.3"/>
    <row r="10137" customFormat="1" x14ac:dyDescent="0.3"/>
    <row r="10138" customFormat="1" x14ac:dyDescent="0.3"/>
    <row r="10139" customFormat="1" x14ac:dyDescent="0.3"/>
    <row r="10140" customFormat="1" x14ac:dyDescent="0.3"/>
    <row r="10141" customFormat="1" x14ac:dyDescent="0.3"/>
    <row r="10142" customFormat="1" x14ac:dyDescent="0.3"/>
    <row r="10143" customFormat="1" x14ac:dyDescent="0.3"/>
    <row r="10144" customFormat="1" x14ac:dyDescent="0.3"/>
    <row r="10145" customFormat="1" x14ac:dyDescent="0.3"/>
    <row r="10146" customFormat="1" x14ac:dyDescent="0.3"/>
    <row r="10147" customFormat="1" x14ac:dyDescent="0.3"/>
    <row r="10148" customFormat="1" x14ac:dyDescent="0.3"/>
    <row r="10149" customFormat="1" x14ac:dyDescent="0.3"/>
    <row r="10150" customFormat="1" x14ac:dyDescent="0.3"/>
    <row r="10151" customFormat="1" x14ac:dyDescent="0.3"/>
    <row r="10152" customFormat="1" x14ac:dyDescent="0.3"/>
    <row r="10153" customFormat="1" x14ac:dyDescent="0.3"/>
    <row r="10154" customFormat="1" x14ac:dyDescent="0.3"/>
    <row r="10155" customFormat="1" x14ac:dyDescent="0.3"/>
    <row r="10156" customFormat="1" x14ac:dyDescent="0.3"/>
    <row r="10157" customFormat="1" x14ac:dyDescent="0.3"/>
    <row r="10158" customFormat="1" x14ac:dyDescent="0.3"/>
    <row r="10159" customFormat="1" x14ac:dyDescent="0.3"/>
    <row r="10160" customFormat="1" x14ac:dyDescent="0.3"/>
    <row r="10161" customFormat="1" x14ac:dyDescent="0.3"/>
    <row r="10162" customFormat="1" x14ac:dyDescent="0.3"/>
    <row r="10163" customFormat="1" x14ac:dyDescent="0.3"/>
    <row r="10164" customFormat="1" x14ac:dyDescent="0.3"/>
    <row r="10165" customFormat="1" x14ac:dyDescent="0.3"/>
    <row r="10166" customFormat="1" x14ac:dyDescent="0.3"/>
    <row r="10167" customFormat="1" x14ac:dyDescent="0.3"/>
    <row r="10168" customFormat="1" x14ac:dyDescent="0.3"/>
    <row r="10169" customFormat="1" x14ac:dyDescent="0.3"/>
    <row r="10170" customFormat="1" x14ac:dyDescent="0.3"/>
    <row r="10171" customFormat="1" x14ac:dyDescent="0.3"/>
    <row r="10172" customFormat="1" x14ac:dyDescent="0.3"/>
    <row r="10173" customFormat="1" x14ac:dyDescent="0.3"/>
    <row r="10174" customFormat="1" x14ac:dyDescent="0.3"/>
    <row r="10175" customFormat="1" x14ac:dyDescent="0.3"/>
    <row r="10176" customFormat="1" x14ac:dyDescent="0.3"/>
    <row r="10177" customFormat="1" x14ac:dyDescent="0.3"/>
    <row r="10178" customFormat="1" x14ac:dyDescent="0.3"/>
    <row r="10179" customFormat="1" x14ac:dyDescent="0.3"/>
    <row r="10180" customFormat="1" x14ac:dyDescent="0.3"/>
    <row r="10181" customFormat="1" x14ac:dyDescent="0.3"/>
    <row r="10182" customFormat="1" x14ac:dyDescent="0.3"/>
    <row r="10183" customFormat="1" x14ac:dyDescent="0.3"/>
    <row r="10184" customFormat="1" x14ac:dyDescent="0.3"/>
    <row r="10185" customFormat="1" x14ac:dyDescent="0.3"/>
    <row r="10186" customFormat="1" x14ac:dyDescent="0.3"/>
    <row r="10187" customFormat="1" x14ac:dyDescent="0.3"/>
    <row r="10188" customFormat="1" x14ac:dyDescent="0.3"/>
    <row r="10189" customFormat="1" x14ac:dyDescent="0.3"/>
    <row r="10190" customFormat="1" x14ac:dyDescent="0.3"/>
    <row r="10191" customFormat="1" x14ac:dyDescent="0.3"/>
    <row r="10192" customFormat="1" x14ac:dyDescent="0.3"/>
    <row r="10193" customFormat="1" x14ac:dyDescent="0.3"/>
    <row r="10194" customFormat="1" x14ac:dyDescent="0.3"/>
    <row r="10195" customFormat="1" x14ac:dyDescent="0.3"/>
    <row r="10196" customFormat="1" x14ac:dyDescent="0.3"/>
    <row r="10197" customFormat="1" x14ac:dyDescent="0.3"/>
    <row r="10198" customFormat="1" x14ac:dyDescent="0.3"/>
    <row r="10199" customFormat="1" x14ac:dyDescent="0.3"/>
    <row r="10200" customFormat="1" x14ac:dyDescent="0.3"/>
    <row r="10201" customFormat="1" x14ac:dyDescent="0.3"/>
    <row r="10202" customFormat="1" x14ac:dyDescent="0.3"/>
    <row r="10203" customFormat="1" x14ac:dyDescent="0.3"/>
    <row r="10204" customFormat="1" x14ac:dyDescent="0.3"/>
    <row r="10205" customFormat="1" x14ac:dyDescent="0.3"/>
    <row r="10206" customFormat="1" x14ac:dyDescent="0.3"/>
    <row r="10207" customFormat="1" x14ac:dyDescent="0.3"/>
    <row r="10208" customFormat="1" x14ac:dyDescent="0.3"/>
    <row r="10209" customFormat="1" x14ac:dyDescent="0.3"/>
    <row r="10210" customFormat="1" x14ac:dyDescent="0.3"/>
    <row r="10211" customFormat="1" x14ac:dyDescent="0.3"/>
    <row r="10212" customFormat="1" x14ac:dyDescent="0.3"/>
    <row r="10213" customFormat="1" x14ac:dyDescent="0.3"/>
    <row r="10214" customFormat="1" x14ac:dyDescent="0.3"/>
    <row r="10215" customFormat="1" x14ac:dyDescent="0.3"/>
    <row r="10216" customFormat="1" x14ac:dyDescent="0.3"/>
    <row r="10217" customFormat="1" x14ac:dyDescent="0.3"/>
    <row r="10218" customFormat="1" x14ac:dyDescent="0.3"/>
    <row r="10219" customFormat="1" x14ac:dyDescent="0.3"/>
    <row r="10220" customFormat="1" x14ac:dyDescent="0.3"/>
    <row r="10221" customFormat="1" x14ac:dyDescent="0.3"/>
    <row r="10222" customFormat="1" x14ac:dyDescent="0.3"/>
    <row r="10223" customFormat="1" x14ac:dyDescent="0.3"/>
    <row r="10224" customFormat="1" x14ac:dyDescent="0.3"/>
    <row r="10225" customFormat="1" x14ac:dyDescent="0.3"/>
    <row r="10226" customFormat="1" x14ac:dyDescent="0.3"/>
    <row r="10227" customFormat="1" x14ac:dyDescent="0.3"/>
    <row r="10228" customFormat="1" x14ac:dyDescent="0.3"/>
    <row r="10229" customFormat="1" x14ac:dyDescent="0.3"/>
    <row r="10230" customFormat="1" x14ac:dyDescent="0.3"/>
    <row r="10231" customFormat="1" x14ac:dyDescent="0.3"/>
    <row r="10232" customFormat="1" x14ac:dyDescent="0.3"/>
    <row r="10233" customFormat="1" x14ac:dyDescent="0.3"/>
    <row r="10234" customFormat="1" x14ac:dyDescent="0.3"/>
    <row r="10235" customFormat="1" x14ac:dyDescent="0.3"/>
    <row r="10236" customFormat="1" x14ac:dyDescent="0.3"/>
    <row r="10237" customFormat="1" x14ac:dyDescent="0.3"/>
    <row r="10238" customFormat="1" x14ac:dyDescent="0.3"/>
    <row r="10239" customFormat="1" x14ac:dyDescent="0.3"/>
    <row r="10240" customFormat="1" x14ac:dyDescent="0.3"/>
    <row r="10241" customFormat="1" x14ac:dyDescent="0.3"/>
    <row r="10242" customFormat="1" x14ac:dyDescent="0.3"/>
    <row r="10243" customFormat="1" x14ac:dyDescent="0.3"/>
    <row r="10244" customFormat="1" x14ac:dyDescent="0.3"/>
    <row r="10245" customFormat="1" x14ac:dyDescent="0.3"/>
    <row r="10246" customFormat="1" x14ac:dyDescent="0.3"/>
    <row r="10247" customFormat="1" x14ac:dyDescent="0.3"/>
    <row r="10248" customFormat="1" x14ac:dyDescent="0.3"/>
    <row r="10249" customFormat="1" x14ac:dyDescent="0.3"/>
    <row r="10250" customFormat="1" x14ac:dyDescent="0.3"/>
    <row r="10251" customFormat="1" x14ac:dyDescent="0.3"/>
    <row r="10252" customFormat="1" x14ac:dyDescent="0.3"/>
    <row r="10253" customFormat="1" x14ac:dyDescent="0.3"/>
    <row r="10254" customFormat="1" x14ac:dyDescent="0.3"/>
    <row r="10255" customFormat="1" x14ac:dyDescent="0.3"/>
    <row r="10256" customFormat="1" x14ac:dyDescent="0.3"/>
    <row r="10257" customFormat="1" x14ac:dyDescent="0.3"/>
    <row r="10258" customFormat="1" x14ac:dyDescent="0.3"/>
    <row r="10259" customFormat="1" x14ac:dyDescent="0.3"/>
    <row r="10260" customFormat="1" x14ac:dyDescent="0.3"/>
    <row r="10261" customFormat="1" x14ac:dyDescent="0.3"/>
    <row r="10262" customFormat="1" x14ac:dyDescent="0.3"/>
    <row r="10263" customFormat="1" x14ac:dyDescent="0.3"/>
    <row r="10264" customFormat="1" x14ac:dyDescent="0.3"/>
    <row r="10265" customFormat="1" x14ac:dyDescent="0.3"/>
    <row r="10266" customFormat="1" x14ac:dyDescent="0.3"/>
    <row r="10267" customFormat="1" x14ac:dyDescent="0.3"/>
    <row r="10268" customFormat="1" x14ac:dyDescent="0.3"/>
    <row r="10269" customFormat="1" x14ac:dyDescent="0.3"/>
    <row r="10270" customFormat="1" x14ac:dyDescent="0.3"/>
    <row r="10271" customFormat="1" x14ac:dyDescent="0.3"/>
    <row r="10272" customFormat="1" x14ac:dyDescent="0.3"/>
    <row r="10273" customFormat="1" x14ac:dyDescent="0.3"/>
    <row r="10274" customFormat="1" x14ac:dyDescent="0.3"/>
    <row r="10275" customFormat="1" x14ac:dyDescent="0.3"/>
    <row r="10276" customFormat="1" x14ac:dyDescent="0.3"/>
    <row r="10277" customFormat="1" x14ac:dyDescent="0.3"/>
    <row r="10278" customFormat="1" x14ac:dyDescent="0.3"/>
    <row r="10279" customFormat="1" x14ac:dyDescent="0.3"/>
    <row r="10280" customFormat="1" x14ac:dyDescent="0.3"/>
    <row r="10281" customFormat="1" x14ac:dyDescent="0.3"/>
    <row r="10282" customFormat="1" x14ac:dyDescent="0.3"/>
    <row r="10283" customFormat="1" x14ac:dyDescent="0.3"/>
    <row r="10284" customFormat="1" x14ac:dyDescent="0.3"/>
    <row r="10285" customFormat="1" x14ac:dyDescent="0.3"/>
    <row r="10286" customFormat="1" x14ac:dyDescent="0.3"/>
    <row r="10287" customFormat="1" x14ac:dyDescent="0.3"/>
    <row r="10288" customFormat="1" x14ac:dyDescent="0.3"/>
    <row r="10289" customFormat="1" x14ac:dyDescent="0.3"/>
    <row r="10290" customFormat="1" x14ac:dyDescent="0.3"/>
    <row r="10291" customFormat="1" x14ac:dyDescent="0.3"/>
    <row r="10292" customFormat="1" x14ac:dyDescent="0.3"/>
    <row r="10293" customFormat="1" x14ac:dyDescent="0.3"/>
    <row r="10294" customFormat="1" x14ac:dyDescent="0.3"/>
    <row r="10295" customFormat="1" x14ac:dyDescent="0.3"/>
    <row r="10296" customFormat="1" x14ac:dyDescent="0.3"/>
    <row r="10297" customFormat="1" x14ac:dyDescent="0.3"/>
    <row r="10298" customFormat="1" x14ac:dyDescent="0.3"/>
    <row r="10299" customFormat="1" x14ac:dyDescent="0.3"/>
    <row r="10300" customFormat="1" x14ac:dyDescent="0.3"/>
    <row r="10301" customFormat="1" x14ac:dyDescent="0.3"/>
    <row r="10302" customFormat="1" x14ac:dyDescent="0.3"/>
    <row r="10303" customFormat="1" x14ac:dyDescent="0.3"/>
    <row r="10304" customFormat="1" x14ac:dyDescent="0.3"/>
    <row r="10305" customFormat="1" x14ac:dyDescent="0.3"/>
    <row r="10306" customFormat="1" x14ac:dyDescent="0.3"/>
    <row r="10307" customFormat="1" x14ac:dyDescent="0.3"/>
    <row r="10308" customFormat="1" x14ac:dyDescent="0.3"/>
    <row r="10309" customFormat="1" x14ac:dyDescent="0.3"/>
    <row r="10310" customFormat="1" x14ac:dyDescent="0.3"/>
    <row r="10311" customFormat="1" x14ac:dyDescent="0.3"/>
    <row r="10312" customFormat="1" x14ac:dyDescent="0.3"/>
    <row r="10313" customFormat="1" x14ac:dyDescent="0.3"/>
    <row r="10314" customFormat="1" x14ac:dyDescent="0.3"/>
    <row r="10315" customFormat="1" x14ac:dyDescent="0.3"/>
    <row r="10316" customFormat="1" x14ac:dyDescent="0.3"/>
    <row r="10317" customFormat="1" x14ac:dyDescent="0.3"/>
    <row r="10318" customFormat="1" x14ac:dyDescent="0.3"/>
    <row r="10319" customFormat="1" x14ac:dyDescent="0.3"/>
    <row r="10320" customFormat="1" x14ac:dyDescent="0.3"/>
    <row r="10321" customFormat="1" x14ac:dyDescent="0.3"/>
    <row r="10322" customFormat="1" x14ac:dyDescent="0.3"/>
    <row r="10323" customFormat="1" x14ac:dyDescent="0.3"/>
    <row r="10324" customFormat="1" x14ac:dyDescent="0.3"/>
    <row r="10325" customFormat="1" x14ac:dyDescent="0.3"/>
    <row r="10326" customFormat="1" x14ac:dyDescent="0.3"/>
    <row r="10327" customFormat="1" x14ac:dyDescent="0.3"/>
    <row r="10328" customFormat="1" x14ac:dyDescent="0.3"/>
    <row r="10329" customFormat="1" x14ac:dyDescent="0.3"/>
    <row r="10330" customFormat="1" x14ac:dyDescent="0.3"/>
    <row r="10331" customFormat="1" x14ac:dyDescent="0.3"/>
    <row r="10332" customFormat="1" x14ac:dyDescent="0.3"/>
    <row r="10333" customFormat="1" x14ac:dyDescent="0.3"/>
    <row r="10334" customFormat="1" x14ac:dyDescent="0.3"/>
    <row r="10335" customFormat="1" x14ac:dyDescent="0.3"/>
    <row r="10336" customFormat="1" x14ac:dyDescent="0.3"/>
    <row r="10337" customFormat="1" x14ac:dyDescent="0.3"/>
    <row r="10338" customFormat="1" x14ac:dyDescent="0.3"/>
    <row r="10339" customFormat="1" x14ac:dyDescent="0.3"/>
    <row r="10340" customFormat="1" x14ac:dyDescent="0.3"/>
    <row r="10341" customFormat="1" x14ac:dyDescent="0.3"/>
    <row r="10342" customFormat="1" x14ac:dyDescent="0.3"/>
    <row r="10343" customFormat="1" x14ac:dyDescent="0.3"/>
    <row r="10344" customFormat="1" x14ac:dyDescent="0.3"/>
    <row r="10345" customFormat="1" x14ac:dyDescent="0.3"/>
    <row r="10346" customFormat="1" x14ac:dyDescent="0.3"/>
    <row r="10347" customFormat="1" x14ac:dyDescent="0.3"/>
    <row r="10348" customFormat="1" x14ac:dyDescent="0.3"/>
    <row r="10349" customFormat="1" x14ac:dyDescent="0.3"/>
    <row r="10350" customFormat="1" x14ac:dyDescent="0.3"/>
    <row r="10351" customFormat="1" x14ac:dyDescent="0.3"/>
    <row r="10352" customFormat="1" x14ac:dyDescent="0.3"/>
    <row r="10353" customFormat="1" x14ac:dyDescent="0.3"/>
    <row r="10354" customFormat="1" x14ac:dyDescent="0.3"/>
    <row r="10355" customFormat="1" x14ac:dyDescent="0.3"/>
    <row r="10356" customFormat="1" x14ac:dyDescent="0.3"/>
    <row r="10357" customFormat="1" x14ac:dyDescent="0.3"/>
    <row r="10358" customFormat="1" x14ac:dyDescent="0.3"/>
    <row r="10359" customFormat="1" x14ac:dyDescent="0.3"/>
    <row r="10360" customFormat="1" x14ac:dyDescent="0.3"/>
    <row r="10361" customFormat="1" x14ac:dyDescent="0.3"/>
    <row r="10362" customFormat="1" x14ac:dyDescent="0.3"/>
    <row r="10363" customFormat="1" x14ac:dyDescent="0.3"/>
    <row r="10364" customFormat="1" x14ac:dyDescent="0.3"/>
    <row r="10365" customFormat="1" x14ac:dyDescent="0.3"/>
    <row r="10366" customFormat="1" x14ac:dyDescent="0.3"/>
    <row r="10367" customFormat="1" x14ac:dyDescent="0.3"/>
    <row r="10368" customFormat="1" x14ac:dyDescent="0.3"/>
    <row r="10369" customFormat="1" x14ac:dyDescent="0.3"/>
    <row r="10370" customFormat="1" x14ac:dyDescent="0.3"/>
    <row r="10371" customFormat="1" x14ac:dyDescent="0.3"/>
    <row r="10372" customFormat="1" x14ac:dyDescent="0.3"/>
    <row r="10373" customFormat="1" x14ac:dyDescent="0.3"/>
    <row r="10374" customFormat="1" x14ac:dyDescent="0.3"/>
    <row r="10375" customFormat="1" x14ac:dyDescent="0.3"/>
    <row r="10376" customFormat="1" x14ac:dyDescent="0.3"/>
    <row r="10377" customFormat="1" x14ac:dyDescent="0.3"/>
    <row r="10378" customFormat="1" x14ac:dyDescent="0.3"/>
    <row r="10379" customFormat="1" x14ac:dyDescent="0.3"/>
    <row r="10380" customFormat="1" x14ac:dyDescent="0.3"/>
    <row r="10381" customFormat="1" x14ac:dyDescent="0.3"/>
    <row r="10382" customFormat="1" x14ac:dyDescent="0.3"/>
    <row r="10383" customFormat="1" x14ac:dyDescent="0.3"/>
    <row r="10384" customFormat="1" x14ac:dyDescent="0.3"/>
    <row r="10385" customFormat="1" x14ac:dyDescent="0.3"/>
    <row r="10386" customFormat="1" x14ac:dyDescent="0.3"/>
    <row r="10387" customFormat="1" x14ac:dyDescent="0.3"/>
    <row r="10388" customFormat="1" x14ac:dyDescent="0.3"/>
    <row r="10389" customFormat="1" x14ac:dyDescent="0.3"/>
    <row r="10390" customFormat="1" x14ac:dyDescent="0.3"/>
    <row r="10391" customFormat="1" x14ac:dyDescent="0.3"/>
    <row r="10392" customFormat="1" x14ac:dyDescent="0.3"/>
    <row r="10393" customFormat="1" x14ac:dyDescent="0.3"/>
    <row r="10394" customFormat="1" x14ac:dyDescent="0.3"/>
    <row r="10395" customFormat="1" x14ac:dyDescent="0.3"/>
  </sheetData>
  <sheetProtection algorithmName="SHA-512" hashValue="avV0nCLlE5HEF/kicy/2YoVmyWHpdzw0uL37yU3y1TRANQhMarjAJM6/kXrQzAlYWNHZPlrbUzp8o2ydWzJxdw==" saltValue="e0lxJJATgILmRIwhoaZY+Q==" spinCount="100000" sheet="1" objects="1" scenarios="1"/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K25"/>
  <sheetViews>
    <sheetView zoomScale="150" workbookViewId="0">
      <selection activeCell="A7" sqref="A7:A10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29</v>
      </c>
    </row>
    <row r="2" spans="1:11" x14ac:dyDescent="0.3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</row>
    <row r="3" spans="1:11" x14ac:dyDescent="0.3">
      <c r="A3" s="6" t="s">
        <v>52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D4" s="9"/>
      <c r="E4" s="10" t="s">
        <v>142</v>
      </c>
    </row>
    <row r="5" spans="1:11" x14ac:dyDescent="0.3">
      <c r="D5" s="9"/>
    </row>
    <row r="6" spans="1:11" x14ac:dyDescent="0.3">
      <c r="A6" s="2" t="s">
        <v>114</v>
      </c>
      <c r="C6" s="11"/>
      <c r="D6" s="9"/>
      <c r="E6" s="19" t="s">
        <v>204</v>
      </c>
      <c r="F6" s="12" t="s">
        <v>169</v>
      </c>
      <c r="G6" s="12" t="s">
        <v>305</v>
      </c>
      <c r="H6" s="12" t="s">
        <v>124</v>
      </c>
      <c r="I6" s="12" t="s">
        <v>193</v>
      </c>
      <c r="J6" s="12" t="s">
        <v>71</v>
      </c>
    </row>
    <row r="7" spans="1:11" x14ac:dyDescent="0.3">
      <c r="A7" t="s">
        <v>91</v>
      </c>
      <c r="D7" s="9"/>
      <c r="E7" s="11">
        <v>2500</v>
      </c>
      <c r="F7" s="11">
        <v>2500</v>
      </c>
      <c r="G7" s="11">
        <v>2500</v>
      </c>
      <c r="H7" s="11">
        <v>2500</v>
      </c>
      <c r="I7" s="11">
        <v>3700</v>
      </c>
      <c r="J7" s="11">
        <v>2500</v>
      </c>
    </row>
    <row r="8" spans="1:11" x14ac:dyDescent="0.3">
      <c r="A8" t="s">
        <v>92</v>
      </c>
      <c r="D8" s="9"/>
      <c r="E8" s="11">
        <v>5500</v>
      </c>
      <c r="F8" s="11">
        <v>5500</v>
      </c>
      <c r="G8" s="11">
        <v>5500</v>
      </c>
      <c r="H8" s="11">
        <v>5500</v>
      </c>
      <c r="I8" s="11">
        <v>0</v>
      </c>
      <c r="J8" s="11">
        <v>5500</v>
      </c>
    </row>
    <row r="9" spans="1:11" x14ac:dyDescent="0.3">
      <c r="A9" s="13" t="s">
        <v>164</v>
      </c>
      <c r="B9" s="13"/>
      <c r="C9" s="13"/>
      <c r="D9" s="14"/>
      <c r="E9" s="3">
        <v>17000</v>
      </c>
      <c r="F9" s="3">
        <v>17000</v>
      </c>
      <c r="G9" s="3">
        <v>17000</v>
      </c>
      <c r="H9" s="3">
        <v>17000</v>
      </c>
      <c r="I9" s="3">
        <v>0</v>
      </c>
      <c r="J9" s="3">
        <v>17000</v>
      </c>
    </row>
    <row r="10" spans="1:11" x14ac:dyDescent="0.3">
      <c r="A10" s="15" t="s">
        <v>93</v>
      </c>
      <c r="B10" s="16"/>
      <c r="C10" s="16"/>
      <c r="D10" s="17"/>
      <c r="E10" s="15">
        <v>167000</v>
      </c>
      <c r="F10" s="15">
        <v>167000</v>
      </c>
      <c r="G10" s="15">
        <v>167000</v>
      </c>
      <c r="H10" s="15">
        <v>167000</v>
      </c>
      <c r="I10" s="3">
        <v>0</v>
      </c>
      <c r="J10" s="15">
        <v>167000</v>
      </c>
    </row>
    <row r="11" spans="1:11" x14ac:dyDescent="0.3">
      <c r="A11" s="3" t="s">
        <v>391</v>
      </c>
      <c r="D11" s="9"/>
      <c r="E11" s="11">
        <v>3.2637</v>
      </c>
      <c r="F11" s="11">
        <v>3.2637</v>
      </c>
      <c r="G11" s="11">
        <v>3.36</v>
      </c>
      <c r="H11" s="3">
        <v>3.2637</v>
      </c>
      <c r="I11" s="71">
        <v>3.4001000000000001</v>
      </c>
      <c r="J11" s="11">
        <v>3.2637</v>
      </c>
    </row>
    <row r="12" spans="1:11" x14ac:dyDescent="0.3">
      <c r="A12" s="3" t="s">
        <v>392</v>
      </c>
      <c r="D12" s="9"/>
      <c r="E12" s="11">
        <v>1.9338</v>
      </c>
      <c r="F12" s="11">
        <v>1.9338</v>
      </c>
      <c r="G12" s="11">
        <v>1.99</v>
      </c>
      <c r="H12" s="3">
        <v>1.9338</v>
      </c>
      <c r="I12" s="3">
        <v>0</v>
      </c>
      <c r="J12" s="11">
        <v>1.9338</v>
      </c>
    </row>
    <row r="13" spans="1:11" x14ac:dyDescent="0.3">
      <c r="A13" s="3" t="s">
        <v>393</v>
      </c>
      <c r="D13" s="9"/>
      <c r="E13" s="11">
        <v>1.9074</v>
      </c>
      <c r="F13" s="11">
        <v>1.9074</v>
      </c>
      <c r="G13" s="11">
        <v>1.96</v>
      </c>
      <c r="H13" s="3">
        <v>1.9074</v>
      </c>
      <c r="I13" s="3">
        <v>0</v>
      </c>
      <c r="J13" s="11">
        <v>1.9074</v>
      </c>
    </row>
    <row r="14" spans="1:11" x14ac:dyDescent="0.3">
      <c r="A14" s="3" t="s">
        <v>97</v>
      </c>
      <c r="D14" s="9"/>
      <c r="E14" s="11">
        <v>1.8919999999999999</v>
      </c>
      <c r="F14" s="11">
        <v>1.8919999999999999</v>
      </c>
      <c r="G14" s="11">
        <v>1.95</v>
      </c>
      <c r="H14" s="3">
        <v>1.8919999999999999</v>
      </c>
      <c r="I14" s="3">
        <v>0</v>
      </c>
      <c r="J14" s="11">
        <v>1.8919999999999999</v>
      </c>
    </row>
    <row r="15" spans="1:11" x14ac:dyDescent="0.3">
      <c r="A15" s="3" t="s">
        <v>390</v>
      </c>
      <c r="D15" s="9"/>
      <c r="E15" s="11">
        <v>1.7919</v>
      </c>
      <c r="F15" s="11">
        <v>1.7919</v>
      </c>
      <c r="G15" s="11">
        <v>1.85</v>
      </c>
      <c r="H15" s="3">
        <v>1.7919</v>
      </c>
      <c r="I15" s="11">
        <v>1.8711</v>
      </c>
      <c r="J15" s="11">
        <v>1.7919</v>
      </c>
    </row>
    <row r="16" spans="1:11" x14ac:dyDescent="0.3">
      <c r="A16" t="s">
        <v>202</v>
      </c>
      <c r="D16" s="9"/>
      <c r="E16" s="11">
        <v>48.73</v>
      </c>
      <c r="F16" s="11">
        <v>48.73</v>
      </c>
      <c r="G16" s="11">
        <v>48.73</v>
      </c>
      <c r="H16" s="3">
        <v>48.73</v>
      </c>
      <c r="I16" s="11">
        <v>53.9</v>
      </c>
      <c r="J16" s="11">
        <v>48.73</v>
      </c>
    </row>
    <row r="17" spans="1:11" x14ac:dyDescent="0.3">
      <c r="A17" s="14"/>
      <c r="B17" s="14"/>
      <c r="C17" s="14"/>
      <c r="D17" s="14"/>
      <c r="E17" s="14"/>
      <c r="F17" s="14"/>
      <c r="G17" s="14"/>
      <c r="H17" s="9"/>
      <c r="I17" s="9"/>
      <c r="J17" s="9"/>
      <c r="K17" s="9"/>
    </row>
    <row r="18" spans="1:11" x14ac:dyDescent="0.3">
      <c r="A18" s="18" t="s">
        <v>171</v>
      </c>
      <c r="B18" s="13"/>
      <c r="C18" s="13"/>
      <c r="D18" s="14"/>
      <c r="E18" s="19" t="s">
        <v>204</v>
      </c>
      <c r="F18" s="12" t="s">
        <v>169</v>
      </c>
      <c r="G18" s="12" t="s">
        <v>305</v>
      </c>
      <c r="H18" s="12" t="s">
        <v>124</v>
      </c>
      <c r="I18" s="12" t="s">
        <v>193</v>
      </c>
      <c r="J18" s="12" t="s">
        <v>71</v>
      </c>
    </row>
    <row r="19" spans="1:11" x14ac:dyDescent="0.3">
      <c r="A19" s="3" t="s">
        <v>144</v>
      </c>
      <c r="C19" s="13"/>
      <c r="D19" s="14"/>
      <c r="E19" s="23" t="s">
        <v>326</v>
      </c>
      <c r="F19" s="24" t="s">
        <v>132</v>
      </c>
      <c r="G19" s="24" t="s">
        <v>306</v>
      </c>
      <c r="H19" s="24" t="s">
        <v>125</v>
      </c>
      <c r="I19" s="24" t="s">
        <v>194</v>
      </c>
      <c r="J19" s="24" t="s">
        <v>165</v>
      </c>
    </row>
    <row r="20" spans="1:11" x14ac:dyDescent="0.3">
      <c r="A20" s="13" t="s">
        <v>174</v>
      </c>
      <c r="C20" s="13"/>
      <c r="D20" s="14"/>
      <c r="E20" s="24" t="s">
        <v>327</v>
      </c>
      <c r="F20" s="24" t="s">
        <v>176</v>
      </c>
      <c r="G20" s="24" t="s">
        <v>195</v>
      </c>
      <c r="H20" s="24" t="s">
        <v>126</v>
      </c>
      <c r="I20" s="24" t="s">
        <v>195</v>
      </c>
      <c r="J20" s="24" t="s">
        <v>343</v>
      </c>
    </row>
    <row r="21" spans="1:11" x14ac:dyDescent="0.3">
      <c r="A21" t="s">
        <v>234</v>
      </c>
      <c r="D21" s="9"/>
      <c r="E21" s="26" t="s">
        <v>273</v>
      </c>
      <c r="F21" s="25">
        <v>70</v>
      </c>
      <c r="G21" s="26" t="s">
        <v>218</v>
      </c>
      <c r="H21" s="11" t="s">
        <v>127</v>
      </c>
      <c r="I21" s="26" t="s">
        <v>196</v>
      </c>
      <c r="J21" s="11" t="s">
        <v>166</v>
      </c>
    </row>
    <row r="22" spans="1:11" x14ac:dyDescent="0.3">
      <c r="A22" t="s">
        <v>177</v>
      </c>
      <c r="D22" s="9"/>
      <c r="E22" s="26" t="s">
        <v>224</v>
      </c>
      <c r="F22" s="26" t="s">
        <v>133</v>
      </c>
      <c r="G22" s="30" t="s">
        <v>217</v>
      </c>
      <c r="H22" s="11" t="s">
        <v>136</v>
      </c>
      <c r="I22" s="24" t="s">
        <v>194</v>
      </c>
      <c r="J22" t="s">
        <v>72</v>
      </c>
    </row>
    <row r="23" spans="1:11" x14ac:dyDescent="0.3">
      <c r="A23" t="s">
        <v>379</v>
      </c>
      <c r="D23" s="9"/>
      <c r="E23" s="27">
        <v>12.8</v>
      </c>
      <c r="F23" s="25">
        <v>12</v>
      </c>
      <c r="G23" s="25">
        <v>10</v>
      </c>
      <c r="H23" s="25">
        <v>12</v>
      </c>
      <c r="I23" s="25" t="s">
        <v>199</v>
      </c>
      <c r="J23" s="25" t="s">
        <v>272</v>
      </c>
    </row>
    <row r="24" spans="1:11" x14ac:dyDescent="0.3">
      <c r="A24" t="s">
        <v>328</v>
      </c>
      <c r="D24" s="9"/>
      <c r="E24" s="68" t="s">
        <v>192</v>
      </c>
      <c r="F24" s="25" t="s">
        <v>134</v>
      </c>
      <c r="G24" s="26" t="s">
        <v>224</v>
      </c>
      <c r="H24" s="11" t="s">
        <v>136</v>
      </c>
      <c r="I24" s="26" t="s">
        <v>224</v>
      </c>
      <c r="J24" s="26" t="s">
        <v>224</v>
      </c>
    </row>
    <row r="25" spans="1:11" x14ac:dyDescent="0.3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</row>
  </sheetData>
  <sheetProtection algorithmName="SHA-512" hashValue="NlXFmjgHVAKzFjBfn2yaOUvEXmaaMDp6GdYucstGLyKcRotnO9CIpovVA0xGWSbsSqDx4bzhm48yZGopLruwNg==" saltValue="NMa307uhtGfOCGxjFnLWZ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A1:K25"/>
  <sheetViews>
    <sheetView zoomScale="150" workbookViewId="0">
      <selection activeCell="C23" sqref="C23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29</v>
      </c>
    </row>
    <row r="2" spans="1:11" x14ac:dyDescent="0.3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</row>
    <row r="3" spans="1:11" x14ac:dyDescent="0.3">
      <c r="A3" s="6" t="s">
        <v>293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108</v>
      </c>
      <c r="B4" s="1"/>
      <c r="D4" s="9"/>
      <c r="E4" s="10" t="s">
        <v>142</v>
      </c>
    </row>
    <row r="5" spans="1:11" x14ac:dyDescent="0.3">
      <c r="A5" s="10" t="s">
        <v>294</v>
      </c>
      <c r="B5" s="1"/>
      <c r="D5" s="9"/>
    </row>
    <row r="6" spans="1:11" x14ac:dyDescent="0.3">
      <c r="A6" s="2" t="s">
        <v>114</v>
      </c>
      <c r="C6" s="11"/>
      <c r="D6" s="9"/>
      <c r="E6" s="12" t="s">
        <v>169</v>
      </c>
      <c r="F6" s="12" t="s">
        <v>193</v>
      </c>
    </row>
    <row r="7" spans="1:11" x14ac:dyDescent="0.3">
      <c r="A7" t="s">
        <v>206</v>
      </c>
      <c r="D7" s="9"/>
      <c r="E7" s="11">
        <v>2500</v>
      </c>
      <c r="F7" s="11">
        <v>3620</v>
      </c>
    </row>
    <row r="8" spans="1:11" x14ac:dyDescent="0.3">
      <c r="A8" t="s">
        <v>201</v>
      </c>
      <c r="D8" s="9"/>
      <c r="E8" s="11">
        <v>5500</v>
      </c>
      <c r="F8" s="11">
        <v>0</v>
      </c>
    </row>
    <row r="9" spans="1:11" x14ac:dyDescent="0.3">
      <c r="A9" s="13" t="s">
        <v>164</v>
      </c>
      <c r="B9" s="13"/>
      <c r="C9" s="13"/>
      <c r="D9" s="14"/>
      <c r="E9" s="70">
        <v>17000</v>
      </c>
      <c r="F9" s="11">
        <v>0</v>
      </c>
    </row>
    <row r="10" spans="1:11" x14ac:dyDescent="0.3">
      <c r="A10" s="15" t="s">
        <v>395</v>
      </c>
      <c r="B10" s="16"/>
      <c r="C10" s="16"/>
      <c r="D10" s="17"/>
      <c r="E10" s="63">
        <v>167000</v>
      </c>
      <c r="F10" s="15">
        <v>0</v>
      </c>
    </row>
    <row r="11" spans="1:11" x14ac:dyDescent="0.3">
      <c r="A11" s="3" t="s">
        <v>391</v>
      </c>
      <c r="D11" s="9"/>
      <c r="E11" s="11">
        <v>3.2637</v>
      </c>
      <c r="F11" s="11">
        <v>2.8060999999999998</v>
      </c>
    </row>
    <row r="12" spans="1:11" x14ac:dyDescent="0.3">
      <c r="A12" s="3" t="s">
        <v>392</v>
      </c>
      <c r="D12" s="9"/>
      <c r="E12" s="11">
        <v>1.9338</v>
      </c>
      <c r="F12" s="11">
        <v>0</v>
      </c>
    </row>
    <row r="13" spans="1:11" x14ac:dyDescent="0.3">
      <c r="A13" s="3" t="s">
        <v>393</v>
      </c>
      <c r="D13" s="9"/>
      <c r="E13" s="11">
        <v>1.9074</v>
      </c>
      <c r="F13" s="11">
        <v>0</v>
      </c>
    </row>
    <row r="14" spans="1:11" x14ac:dyDescent="0.3">
      <c r="A14" s="3" t="s">
        <v>97</v>
      </c>
      <c r="D14" s="9"/>
      <c r="E14" s="11">
        <v>1.8919999999999999</v>
      </c>
      <c r="F14" s="11">
        <v>0</v>
      </c>
    </row>
    <row r="15" spans="1:11" x14ac:dyDescent="0.3">
      <c r="A15" s="3" t="s">
        <v>390</v>
      </c>
      <c r="D15" s="9"/>
      <c r="E15" s="11">
        <v>1.7919</v>
      </c>
      <c r="F15" s="11">
        <v>2.0911</v>
      </c>
    </row>
    <row r="16" spans="1:11" x14ac:dyDescent="0.3">
      <c r="A16" t="s">
        <v>202</v>
      </c>
      <c r="D16" s="9"/>
      <c r="E16" s="11">
        <v>48.73</v>
      </c>
      <c r="F16" s="11">
        <v>68.2</v>
      </c>
    </row>
    <row r="17" spans="1:11" x14ac:dyDescent="0.3">
      <c r="A17" s="14"/>
      <c r="B17" s="14"/>
      <c r="C17" s="14"/>
      <c r="D17" s="14"/>
      <c r="E17" s="14"/>
      <c r="F17" s="14"/>
      <c r="G17" s="14"/>
      <c r="H17" s="9"/>
      <c r="I17" s="9"/>
      <c r="J17" s="9"/>
      <c r="K17" s="9"/>
    </row>
    <row r="18" spans="1:11" x14ac:dyDescent="0.3">
      <c r="A18" s="18" t="s">
        <v>171</v>
      </c>
      <c r="B18" s="13"/>
      <c r="C18" s="13"/>
      <c r="D18" s="14"/>
      <c r="E18" s="12" t="s">
        <v>169</v>
      </c>
      <c r="F18" s="12" t="s">
        <v>193</v>
      </c>
    </row>
    <row r="19" spans="1:11" x14ac:dyDescent="0.3">
      <c r="A19" s="3" t="s">
        <v>144</v>
      </c>
      <c r="C19" s="13"/>
      <c r="D19" s="14"/>
      <c r="E19" s="24" t="s">
        <v>215</v>
      </c>
      <c r="F19" t="s">
        <v>189</v>
      </c>
    </row>
    <row r="20" spans="1:11" x14ac:dyDescent="0.3">
      <c r="A20" s="13" t="s">
        <v>174</v>
      </c>
      <c r="C20" s="13"/>
      <c r="D20" s="14"/>
      <c r="E20" s="24" t="s">
        <v>176</v>
      </c>
      <c r="F20" t="s">
        <v>190</v>
      </c>
    </row>
    <row r="21" spans="1:11" x14ac:dyDescent="0.3">
      <c r="A21" t="s">
        <v>234</v>
      </c>
      <c r="D21" s="9"/>
      <c r="E21" s="25">
        <v>70</v>
      </c>
      <c r="F21" t="s">
        <v>191</v>
      </c>
    </row>
    <row r="22" spans="1:11" x14ac:dyDescent="0.3">
      <c r="A22" t="s">
        <v>177</v>
      </c>
      <c r="D22" s="9"/>
      <c r="E22" s="26" t="s">
        <v>216</v>
      </c>
      <c r="F22" t="s">
        <v>189</v>
      </c>
    </row>
    <row r="23" spans="1:11" x14ac:dyDescent="0.3">
      <c r="A23" t="s">
        <v>379</v>
      </c>
      <c r="D23" s="9"/>
      <c r="E23" s="25">
        <v>12</v>
      </c>
      <c r="F23" t="s">
        <v>214</v>
      </c>
    </row>
    <row r="24" spans="1:11" x14ac:dyDescent="0.3">
      <c r="A24" t="s">
        <v>328</v>
      </c>
      <c r="D24" s="9"/>
      <c r="E24" s="25" t="s">
        <v>325</v>
      </c>
      <c r="F24" t="s">
        <v>214</v>
      </c>
    </row>
    <row r="25" spans="1:11" x14ac:dyDescent="0.3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</row>
  </sheetData>
  <sheetProtection algorithmName="SHA-512" hashValue="mmcK56X4XMc9iw60cRpxbG7T8EWeGA6TPwZWl/VOymRtR4ycojx4b0RfDhHuTBqzRXPffRTKbgKapUNN1IdfLQ==" saltValue="7fllu/KiTNmx1oqQrI/JLA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/>
  <dimension ref="A1:K32"/>
  <sheetViews>
    <sheetView zoomScale="150" workbookViewId="0">
      <selection activeCell="H16" sqref="H16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29</v>
      </c>
    </row>
    <row r="2" spans="1:11" x14ac:dyDescent="0.3">
      <c r="A2" s="59"/>
      <c r="B2" s="60"/>
      <c r="C2" s="60"/>
      <c r="D2" s="60"/>
      <c r="E2" s="60"/>
      <c r="F2" s="60"/>
      <c r="G2" s="60"/>
      <c r="H2" s="60"/>
      <c r="I2" s="60"/>
      <c r="J2" s="60"/>
      <c r="K2" s="60"/>
    </row>
    <row r="3" spans="1:11" x14ac:dyDescent="0.3">
      <c r="A3" s="6" t="s">
        <v>64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298</v>
      </c>
      <c r="B4" s="1"/>
      <c r="D4" s="9"/>
      <c r="E4" s="10" t="s">
        <v>142</v>
      </c>
    </row>
    <row r="5" spans="1:11" x14ac:dyDescent="0.3">
      <c r="A5" s="10"/>
      <c r="B5" s="1"/>
      <c r="D5" s="9"/>
    </row>
    <row r="6" spans="1:11" x14ac:dyDescent="0.3">
      <c r="A6" s="2" t="s">
        <v>179</v>
      </c>
      <c r="C6" s="11"/>
      <c r="D6" s="9"/>
      <c r="E6" s="12" t="s">
        <v>169</v>
      </c>
      <c r="F6" s="12" t="s">
        <v>193</v>
      </c>
    </row>
    <row r="7" spans="1:11" x14ac:dyDescent="0.3">
      <c r="A7" s="21" t="s">
        <v>65</v>
      </c>
      <c r="D7" s="9"/>
      <c r="E7" s="72">
        <v>2</v>
      </c>
      <c r="F7" s="72">
        <v>2</v>
      </c>
    </row>
    <row r="8" spans="1:11" x14ac:dyDescent="0.3">
      <c r="A8" s="21" t="s">
        <v>66</v>
      </c>
      <c r="D8" s="9"/>
      <c r="E8" s="72">
        <v>4</v>
      </c>
      <c r="F8" s="72">
        <v>4</v>
      </c>
    </row>
    <row r="9" spans="1:11" x14ac:dyDescent="0.3">
      <c r="A9" s="16" t="s">
        <v>206</v>
      </c>
      <c r="B9" s="16"/>
      <c r="C9" s="16"/>
      <c r="D9" s="17"/>
      <c r="E9" s="15">
        <v>4000</v>
      </c>
      <c r="F9" s="15">
        <v>4000</v>
      </c>
    </row>
    <row r="10" spans="1:11" x14ac:dyDescent="0.3">
      <c r="A10" s="3" t="s">
        <v>254</v>
      </c>
      <c r="D10" s="9"/>
      <c r="E10" s="11">
        <v>1.5466</v>
      </c>
      <c r="F10" s="11">
        <v>1.859</v>
      </c>
    </row>
    <row r="11" spans="1:11" x14ac:dyDescent="0.3">
      <c r="A11" s="3" t="s">
        <v>236</v>
      </c>
      <c r="D11" s="9"/>
      <c r="E11" s="11">
        <v>1.7116</v>
      </c>
      <c r="F11" s="11">
        <v>1.8149999999999999</v>
      </c>
    </row>
    <row r="12" spans="1:11" x14ac:dyDescent="0.3">
      <c r="A12" s="3" t="s">
        <v>155</v>
      </c>
      <c r="D12" s="9"/>
      <c r="E12" s="11">
        <v>1.4585999999999999</v>
      </c>
      <c r="F12" s="11">
        <v>1.65</v>
      </c>
    </row>
    <row r="13" spans="1:11" x14ac:dyDescent="0.3">
      <c r="A13" s="3" t="s">
        <v>55</v>
      </c>
      <c r="D13" s="9"/>
      <c r="E13" s="11">
        <v>1.5795999999999999</v>
      </c>
      <c r="F13" s="11">
        <v>1.6060000000000001</v>
      </c>
    </row>
    <row r="14" spans="1:11" x14ac:dyDescent="0.3">
      <c r="A14" t="s">
        <v>202</v>
      </c>
      <c r="D14" s="9"/>
      <c r="E14" s="11">
        <v>46.673000000000002</v>
      </c>
      <c r="F14" s="11">
        <v>57.2</v>
      </c>
    </row>
    <row r="15" spans="1:11" x14ac:dyDescent="0.3">
      <c r="D15" s="9"/>
      <c r="E15" s="11"/>
      <c r="F15" s="11"/>
    </row>
    <row r="16" spans="1:11" x14ac:dyDescent="0.3">
      <c r="A16" s="10" t="s">
        <v>299</v>
      </c>
      <c r="D16" s="9"/>
      <c r="E16" s="11"/>
      <c r="F16" s="11"/>
    </row>
    <row r="17" spans="1:11" x14ac:dyDescent="0.3">
      <c r="D17" s="14"/>
      <c r="E17" s="11"/>
      <c r="F17" s="11"/>
    </row>
    <row r="18" spans="1:11" x14ac:dyDescent="0.3">
      <c r="A18" s="2" t="s">
        <v>114</v>
      </c>
      <c r="C18" s="11"/>
      <c r="D18" s="14"/>
      <c r="E18" s="12" t="s">
        <v>169</v>
      </c>
      <c r="F18" s="12" t="s">
        <v>193</v>
      </c>
    </row>
    <row r="19" spans="1:11" x14ac:dyDescent="0.3">
      <c r="A19" s="21" t="s">
        <v>65</v>
      </c>
      <c r="D19" s="9"/>
      <c r="E19" s="73" t="s">
        <v>51</v>
      </c>
      <c r="F19" s="72">
        <v>2</v>
      </c>
    </row>
    <row r="20" spans="1:11" x14ac:dyDescent="0.3">
      <c r="A20" s="62" t="s">
        <v>66</v>
      </c>
      <c r="B20" s="16"/>
      <c r="C20" s="16"/>
      <c r="D20" s="17"/>
      <c r="E20" s="74" t="s">
        <v>51</v>
      </c>
      <c r="F20" s="75">
        <v>4</v>
      </c>
    </row>
    <row r="21" spans="1:11" x14ac:dyDescent="0.3">
      <c r="A21" t="s">
        <v>276</v>
      </c>
      <c r="D21" s="14"/>
      <c r="E21" s="11">
        <v>2.2780999999999998</v>
      </c>
      <c r="F21" s="11">
        <v>2.4529999999999998</v>
      </c>
    </row>
    <row r="22" spans="1:11" x14ac:dyDescent="0.3">
      <c r="A22" t="s">
        <v>277</v>
      </c>
      <c r="D22" s="14"/>
      <c r="E22" s="11">
        <v>0</v>
      </c>
      <c r="F22" s="11">
        <v>2.31</v>
      </c>
    </row>
    <row r="23" spans="1:11" x14ac:dyDescent="0.3">
      <c r="A23" t="s">
        <v>202</v>
      </c>
      <c r="D23" s="14"/>
      <c r="E23" s="11">
        <v>52.854999999999997</v>
      </c>
      <c r="F23" s="11">
        <v>61.6</v>
      </c>
    </row>
    <row r="24" spans="1:11" x14ac:dyDescent="0.3">
      <c r="A24" s="14"/>
      <c r="B24" s="14"/>
      <c r="C24" s="14"/>
      <c r="D24" s="9"/>
      <c r="E24" s="14"/>
      <c r="F24" s="14"/>
      <c r="G24" s="14"/>
      <c r="H24" s="9"/>
      <c r="I24" s="9"/>
      <c r="J24" s="9"/>
      <c r="K24" s="9"/>
    </row>
    <row r="25" spans="1:11" x14ac:dyDescent="0.3">
      <c r="A25" s="18" t="s">
        <v>171</v>
      </c>
      <c r="B25" s="13"/>
      <c r="D25" s="9"/>
      <c r="E25" s="12" t="s">
        <v>169</v>
      </c>
      <c r="F25" s="12" t="s">
        <v>193</v>
      </c>
      <c r="G25" s="11"/>
    </row>
    <row r="26" spans="1:11" x14ac:dyDescent="0.3">
      <c r="A26" s="3" t="s">
        <v>144</v>
      </c>
      <c r="D26" s="9"/>
      <c r="E26" s="24" t="s">
        <v>132</v>
      </c>
      <c r="F26" s="24" t="s">
        <v>194</v>
      </c>
      <c r="G26" s="11"/>
    </row>
    <row r="27" spans="1:11" x14ac:dyDescent="0.3">
      <c r="A27" s="13" t="s">
        <v>174</v>
      </c>
      <c r="D27" s="14"/>
      <c r="E27" s="24" t="s">
        <v>176</v>
      </c>
      <c r="F27" s="24" t="s">
        <v>195</v>
      </c>
      <c r="G27" s="11"/>
    </row>
    <row r="28" spans="1:11" x14ac:dyDescent="0.3">
      <c r="A28" t="s">
        <v>234</v>
      </c>
      <c r="D28" s="14"/>
      <c r="E28" s="25">
        <v>70</v>
      </c>
      <c r="F28" s="26" t="s">
        <v>196</v>
      </c>
      <c r="G28" s="11"/>
    </row>
    <row r="29" spans="1:11" x14ac:dyDescent="0.3">
      <c r="A29" t="s">
        <v>177</v>
      </c>
      <c r="D29" s="14"/>
      <c r="E29" s="26" t="s">
        <v>133</v>
      </c>
      <c r="F29" s="24" t="s">
        <v>194</v>
      </c>
      <c r="G29" s="11"/>
    </row>
    <row r="30" spans="1:11" x14ac:dyDescent="0.3">
      <c r="A30" t="s">
        <v>379</v>
      </c>
      <c r="D30" s="14"/>
      <c r="E30" s="25">
        <v>12</v>
      </c>
      <c r="F30" s="25" t="s">
        <v>224</v>
      </c>
      <c r="G30" s="11"/>
    </row>
    <row r="31" spans="1:11" x14ac:dyDescent="0.3">
      <c r="A31" t="s">
        <v>328</v>
      </c>
      <c r="D31" s="14"/>
      <c r="E31" s="25" t="s">
        <v>134</v>
      </c>
      <c r="F31" s="26" t="s">
        <v>224</v>
      </c>
      <c r="G31" s="11"/>
    </row>
    <row r="32" spans="1:11" x14ac:dyDescent="0.3">
      <c r="A32" s="59"/>
      <c r="B32" s="60"/>
      <c r="C32" s="60"/>
      <c r="D32" s="60"/>
      <c r="E32" s="60"/>
      <c r="F32" s="60"/>
      <c r="G32" s="60"/>
      <c r="H32" s="60"/>
      <c r="I32" s="60"/>
      <c r="J32" s="60"/>
      <c r="K32" s="60"/>
    </row>
  </sheetData>
  <sheetProtection algorithmName="SHA-512" hashValue="arhjoeDsH33OaMgjxqlKznORZfr7Allmpfp7MnqdD2U3pxj3jvhkEitdP0usT1XfmAXEo5bF80oDfuoYsGXKMA==" saltValue="swrIfvZNacSt1tTAEBpl0g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/>
  <dimension ref="A1:K27"/>
  <sheetViews>
    <sheetView zoomScale="150" workbookViewId="0">
      <selection activeCell="K13" sqref="K13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67</v>
      </c>
    </row>
    <row r="2" spans="1:11" x14ac:dyDescent="0.3">
      <c r="A2" s="4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x14ac:dyDescent="0.3">
      <c r="A3" s="6" t="s">
        <v>52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D4" s="9"/>
      <c r="E4" s="10" t="s">
        <v>304</v>
      </c>
    </row>
    <row r="5" spans="1:11" x14ac:dyDescent="0.3">
      <c r="D5" s="9"/>
    </row>
    <row r="6" spans="1:11" x14ac:dyDescent="0.3">
      <c r="A6" s="2" t="s">
        <v>347</v>
      </c>
      <c r="C6" s="11"/>
      <c r="D6" s="9"/>
      <c r="E6" s="12" t="s">
        <v>204</v>
      </c>
      <c r="F6" s="12" t="s">
        <v>169</v>
      </c>
      <c r="G6" s="12" t="s">
        <v>170</v>
      </c>
      <c r="H6" s="12" t="s">
        <v>193</v>
      </c>
    </row>
    <row r="7" spans="1:11" x14ac:dyDescent="0.3">
      <c r="A7" t="s">
        <v>206</v>
      </c>
      <c r="D7" s="9"/>
      <c r="E7">
        <v>2500</v>
      </c>
      <c r="F7">
        <v>2500</v>
      </c>
      <c r="G7">
        <v>2500</v>
      </c>
      <c r="H7">
        <v>3616</v>
      </c>
    </row>
    <row r="8" spans="1:11" x14ac:dyDescent="0.3">
      <c r="A8" t="s">
        <v>201</v>
      </c>
      <c r="D8" s="9"/>
      <c r="E8">
        <v>8000</v>
      </c>
      <c r="F8">
        <v>8000</v>
      </c>
      <c r="G8">
        <v>8000</v>
      </c>
      <c r="H8">
        <v>0</v>
      </c>
    </row>
    <row r="9" spans="1:11" x14ac:dyDescent="0.3">
      <c r="A9" s="13" t="s">
        <v>164</v>
      </c>
      <c r="B9" s="13"/>
      <c r="C9" s="13"/>
      <c r="D9" s="14"/>
      <c r="E9" s="13">
        <v>25000</v>
      </c>
      <c r="F9" s="13">
        <v>25000</v>
      </c>
      <c r="G9" s="13">
        <v>25000</v>
      </c>
      <c r="H9" s="3">
        <v>0</v>
      </c>
    </row>
    <row r="10" spans="1:11" x14ac:dyDescent="0.3">
      <c r="A10" s="15" t="s">
        <v>395</v>
      </c>
      <c r="B10" s="16"/>
      <c r="C10" s="16"/>
      <c r="D10" s="17"/>
      <c r="E10" s="15">
        <v>192000</v>
      </c>
      <c r="F10" s="15">
        <v>192000</v>
      </c>
      <c r="G10" s="15">
        <v>192000</v>
      </c>
      <c r="H10" s="3">
        <v>0</v>
      </c>
    </row>
    <row r="11" spans="1:11" x14ac:dyDescent="0.3">
      <c r="A11" s="3" t="s">
        <v>391</v>
      </c>
      <c r="D11" s="9"/>
      <c r="E11">
        <v>2.7401</v>
      </c>
      <c r="F11">
        <v>2.7401</v>
      </c>
      <c r="G11">
        <v>2.7401</v>
      </c>
      <c r="H11" s="7">
        <v>3</v>
      </c>
    </row>
    <row r="12" spans="1:11" x14ac:dyDescent="0.3">
      <c r="A12" s="3" t="s">
        <v>392</v>
      </c>
      <c r="D12" s="9"/>
      <c r="E12">
        <v>1.6489000000000003</v>
      </c>
      <c r="F12">
        <v>1.6489000000000003</v>
      </c>
      <c r="G12">
        <v>1.6489000000000003</v>
      </c>
      <c r="H12" s="3">
        <v>0</v>
      </c>
    </row>
    <row r="13" spans="1:11" x14ac:dyDescent="0.3">
      <c r="A13" s="3" t="s">
        <v>393</v>
      </c>
      <c r="D13" s="9"/>
      <c r="E13">
        <v>1.6257999999999999</v>
      </c>
      <c r="F13">
        <v>1.6257999999999999</v>
      </c>
      <c r="G13">
        <v>1.6257999999999999</v>
      </c>
      <c r="H13" s="3">
        <v>0</v>
      </c>
    </row>
    <row r="14" spans="1:11" x14ac:dyDescent="0.3">
      <c r="A14" s="3" t="s">
        <v>97</v>
      </c>
      <c r="D14" s="9"/>
      <c r="E14">
        <v>1.6115000000000002</v>
      </c>
      <c r="F14">
        <v>1.6115000000000002</v>
      </c>
      <c r="G14">
        <v>1.6115000000000002</v>
      </c>
      <c r="H14" s="3">
        <v>0</v>
      </c>
    </row>
    <row r="15" spans="1:11" x14ac:dyDescent="0.3">
      <c r="A15" s="3" t="s">
        <v>390</v>
      </c>
      <c r="D15" s="9"/>
      <c r="E15">
        <v>1.5224</v>
      </c>
      <c r="F15">
        <v>1.5224</v>
      </c>
      <c r="G15">
        <v>1.5224</v>
      </c>
      <c r="H15">
        <v>1.68</v>
      </c>
    </row>
    <row r="16" spans="1:11" x14ac:dyDescent="0.3">
      <c r="A16" t="s">
        <v>202</v>
      </c>
      <c r="D16" s="9"/>
      <c r="E16">
        <v>47.497999999999998</v>
      </c>
      <c r="F16">
        <v>47.52</v>
      </c>
      <c r="G16">
        <v>47.52</v>
      </c>
      <c r="H16">
        <v>47.3</v>
      </c>
    </row>
    <row r="17" spans="1:11" x14ac:dyDescent="0.3">
      <c r="A17" s="14"/>
      <c r="B17" s="14"/>
      <c r="C17" s="14"/>
      <c r="D17" s="14"/>
      <c r="E17" s="14"/>
      <c r="F17" s="14"/>
      <c r="G17" s="14"/>
      <c r="H17" s="9"/>
      <c r="I17" s="9"/>
      <c r="J17" s="9"/>
      <c r="K17" s="9"/>
    </row>
    <row r="18" spans="1:11" x14ac:dyDescent="0.3">
      <c r="A18" s="18" t="s">
        <v>171</v>
      </c>
      <c r="B18" s="13"/>
      <c r="C18" s="13"/>
      <c r="D18" s="14"/>
      <c r="E18" s="19" t="s">
        <v>204</v>
      </c>
      <c r="F18" s="19" t="s">
        <v>168</v>
      </c>
      <c r="G18" s="12" t="s">
        <v>170</v>
      </c>
      <c r="H18" s="12" t="s">
        <v>193</v>
      </c>
    </row>
    <row r="19" spans="1:11" x14ac:dyDescent="0.3">
      <c r="A19" s="3" t="s">
        <v>144</v>
      </c>
      <c r="C19" s="13"/>
      <c r="D19" s="14"/>
      <c r="E19" s="23" t="s">
        <v>172</v>
      </c>
      <c r="F19" s="24" t="s">
        <v>173</v>
      </c>
      <c r="G19" s="24" t="s">
        <v>342</v>
      </c>
      <c r="H19" s="24" t="s">
        <v>194</v>
      </c>
    </row>
    <row r="20" spans="1:11" x14ac:dyDescent="0.3">
      <c r="A20" s="13" t="s">
        <v>174</v>
      </c>
      <c r="C20" s="13"/>
      <c r="D20" s="14"/>
      <c r="E20" s="24" t="s">
        <v>175</v>
      </c>
      <c r="F20" s="24" t="s">
        <v>176</v>
      </c>
      <c r="G20" s="24" t="s">
        <v>343</v>
      </c>
      <c r="H20" s="24" t="s">
        <v>195</v>
      </c>
    </row>
    <row r="21" spans="1:11" x14ac:dyDescent="0.3">
      <c r="A21" t="s">
        <v>234</v>
      </c>
      <c r="D21" s="9"/>
      <c r="E21" s="26" t="s">
        <v>273</v>
      </c>
      <c r="F21" s="25">
        <v>44</v>
      </c>
      <c r="G21" s="26" t="s">
        <v>49</v>
      </c>
      <c r="H21" s="26" t="s">
        <v>196</v>
      </c>
    </row>
    <row r="22" spans="1:11" x14ac:dyDescent="0.3">
      <c r="A22" t="s">
        <v>177</v>
      </c>
      <c r="D22" s="9"/>
      <c r="E22" s="26" t="s">
        <v>274</v>
      </c>
      <c r="F22" s="26" t="s">
        <v>178</v>
      </c>
      <c r="G22" s="30" t="s">
        <v>297</v>
      </c>
      <c r="H22" s="24" t="s">
        <v>194</v>
      </c>
    </row>
    <row r="23" spans="1:11" x14ac:dyDescent="0.3">
      <c r="A23" t="s">
        <v>379</v>
      </c>
      <c r="D23" s="9"/>
      <c r="E23" s="27">
        <v>12.1</v>
      </c>
      <c r="F23" s="25">
        <v>12</v>
      </c>
      <c r="G23" s="25">
        <v>10</v>
      </c>
      <c r="H23" s="25" t="s">
        <v>199</v>
      </c>
    </row>
    <row r="24" spans="1:11" x14ac:dyDescent="0.3">
      <c r="A24" t="s">
        <v>281</v>
      </c>
      <c r="D24" s="9"/>
      <c r="E24" s="26" t="s">
        <v>275</v>
      </c>
      <c r="F24" s="26" t="s">
        <v>341</v>
      </c>
      <c r="G24" s="26" t="s">
        <v>50</v>
      </c>
      <c r="H24" s="26" t="s">
        <v>121</v>
      </c>
    </row>
    <row r="25" spans="1:11" x14ac:dyDescent="0.3">
      <c r="A25" t="s">
        <v>233</v>
      </c>
      <c r="D25" s="9"/>
      <c r="E25" s="29">
        <v>29.7</v>
      </c>
      <c r="F25" s="27">
        <v>34.83</v>
      </c>
      <c r="G25" s="26" t="s">
        <v>50</v>
      </c>
      <c r="H25" s="26" t="s">
        <v>274</v>
      </c>
    </row>
    <row r="26" spans="1:11" x14ac:dyDescent="0.3">
      <c r="A26" t="s">
        <v>328</v>
      </c>
      <c r="D26" s="9"/>
      <c r="E26" s="26" t="s">
        <v>192</v>
      </c>
      <c r="F26" s="25" t="s">
        <v>224</v>
      </c>
      <c r="G26" s="26" t="s">
        <v>50</v>
      </c>
      <c r="H26" s="26" t="s">
        <v>274</v>
      </c>
    </row>
    <row r="27" spans="1:11" x14ac:dyDescent="0.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</sheetData>
  <sheetProtection algorithmName="SHA-512" hashValue="OcdERy9svHiiN9ZZExd0s5K/F/+L+7gJyNjq4+xh5lSoIcqDqI5RDhHBAjewvrsixB97k5NPnfoCHieB/iz01Q==" saltValue="WY1r4Cl8mdMUTsennghjs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/>
  <dimension ref="A1:K19"/>
  <sheetViews>
    <sheetView zoomScale="150" workbookViewId="0">
      <selection activeCell="G25" sqref="G25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67</v>
      </c>
    </row>
    <row r="2" spans="1:11" x14ac:dyDescent="0.3">
      <c r="A2" s="4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x14ac:dyDescent="0.3">
      <c r="A3" s="6" t="s">
        <v>115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295</v>
      </c>
      <c r="D4" s="9"/>
      <c r="E4" s="10" t="s">
        <v>212</v>
      </c>
    </row>
    <row r="5" spans="1:11" x14ac:dyDescent="0.3">
      <c r="D5" s="9"/>
    </row>
    <row r="6" spans="1:11" x14ac:dyDescent="0.3">
      <c r="A6" s="2" t="s">
        <v>114</v>
      </c>
      <c r="C6" s="11"/>
      <c r="D6" s="9"/>
      <c r="E6" s="20" t="s">
        <v>308</v>
      </c>
    </row>
    <row r="7" spans="1:11" x14ac:dyDescent="0.3">
      <c r="A7" t="s">
        <v>348</v>
      </c>
      <c r="D7" s="9"/>
      <c r="E7">
        <v>2.7609999999999997</v>
      </c>
    </row>
    <row r="8" spans="1:11" x14ac:dyDescent="0.3">
      <c r="A8" t="s">
        <v>202</v>
      </c>
      <c r="D8" s="9"/>
      <c r="E8">
        <v>44</v>
      </c>
    </row>
    <row r="9" spans="1:11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3">
      <c r="A10" s="18" t="s">
        <v>171</v>
      </c>
      <c r="B10" s="13"/>
      <c r="C10" s="13"/>
      <c r="D10" s="14"/>
      <c r="E10" s="19" t="s">
        <v>349</v>
      </c>
    </row>
    <row r="11" spans="1:11" x14ac:dyDescent="0.3">
      <c r="A11" s="3" t="s">
        <v>144</v>
      </c>
      <c r="C11" s="13"/>
      <c r="D11" s="14"/>
      <c r="E11" s="23" t="s">
        <v>282</v>
      </c>
    </row>
    <row r="12" spans="1:11" x14ac:dyDescent="0.3">
      <c r="A12" s="13" t="s">
        <v>174</v>
      </c>
      <c r="C12" s="13"/>
      <c r="D12" s="14"/>
      <c r="E12" s="24" t="s">
        <v>175</v>
      </c>
    </row>
    <row r="13" spans="1:11" x14ac:dyDescent="0.3">
      <c r="A13" t="s">
        <v>234</v>
      </c>
      <c r="D13" s="9"/>
      <c r="E13" s="25">
        <v>65</v>
      </c>
    </row>
    <row r="14" spans="1:11" x14ac:dyDescent="0.3">
      <c r="A14" t="s">
        <v>177</v>
      </c>
      <c r="D14" s="9"/>
      <c r="E14" s="26" t="s">
        <v>178</v>
      </c>
    </row>
    <row r="15" spans="1:11" x14ac:dyDescent="0.3">
      <c r="A15" t="s">
        <v>379</v>
      </c>
      <c r="D15" s="9"/>
      <c r="E15" s="27">
        <v>7.7</v>
      </c>
    </row>
    <row r="16" spans="1:11" x14ac:dyDescent="0.3">
      <c r="A16" t="s">
        <v>281</v>
      </c>
      <c r="D16" s="9"/>
      <c r="E16" t="s">
        <v>223</v>
      </c>
    </row>
    <row r="17" spans="1:11" x14ac:dyDescent="0.3">
      <c r="A17" t="s">
        <v>233</v>
      </c>
      <c r="D17" s="9"/>
      <c r="E17" s="28">
        <v>41.8</v>
      </c>
    </row>
    <row r="18" spans="1:11" x14ac:dyDescent="0.3">
      <c r="A18" t="s">
        <v>328</v>
      </c>
      <c r="D18" s="9"/>
      <c r="E18" t="s">
        <v>224</v>
      </c>
    </row>
    <row r="19" spans="1:11" x14ac:dyDescent="0.3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</sheetData>
  <sheetProtection algorithmName="SHA-512" hashValue="YO+MqHfk+ZElbYaitBQ+IdICNjqx9FX7/0lDkeStaWwKE/v4spaD2doTDhbHp617dT0yMZGVKdxVETl6z0n56g==" saltValue="rBabjvfD1fKgu3pKvxHGc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1:K27"/>
  <sheetViews>
    <sheetView zoomScale="150" workbookViewId="0">
      <selection activeCell="H11" sqref="H11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67</v>
      </c>
    </row>
    <row r="2" spans="1:11" x14ac:dyDescent="0.3">
      <c r="A2" s="4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x14ac:dyDescent="0.3">
      <c r="A3" s="6" t="s">
        <v>293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108</v>
      </c>
      <c r="B4" s="1"/>
      <c r="D4" s="9"/>
      <c r="E4" s="10" t="s">
        <v>304</v>
      </c>
    </row>
    <row r="5" spans="1:11" x14ac:dyDescent="0.3">
      <c r="A5" s="10" t="s">
        <v>294</v>
      </c>
      <c r="B5" s="1"/>
      <c r="D5" s="9"/>
    </row>
    <row r="6" spans="1:11" x14ac:dyDescent="0.3">
      <c r="A6" s="2" t="s">
        <v>347</v>
      </c>
      <c r="C6" s="11"/>
      <c r="D6" s="9"/>
      <c r="E6" s="12" t="s">
        <v>169</v>
      </c>
    </row>
    <row r="7" spans="1:11" x14ac:dyDescent="0.3">
      <c r="A7" t="s">
        <v>206</v>
      </c>
      <c r="D7" s="9"/>
      <c r="E7">
        <v>2500</v>
      </c>
    </row>
    <row r="8" spans="1:11" x14ac:dyDescent="0.3">
      <c r="A8" t="s">
        <v>201</v>
      </c>
      <c r="D8" s="9"/>
      <c r="E8">
        <v>5500</v>
      </c>
    </row>
    <row r="9" spans="1:11" x14ac:dyDescent="0.3">
      <c r="A9" s="13" t="s">
        <v>164</v>
      </c>
      <c r="B9" s="13"/>
      <c r="C9" s="13"/>
      <c r="D9" s="14"/>
      <c r="E9" s="77">
        <v>17000</v>
      </c>
    </row>
    <row r="10" spans="1:11" x14ac:dyDescent="0.3">
      <c r="A10" s="15" t="s">
        <v>395</v>
      </c>
      <c r="B10" s="16"/>
      <c r="C10" s="16"/>
      <c r="D10" s="17"/>
      <c r="E10" s="63">
        <v>167000</v>
      </c>
    </row>
    <row r="11" spans="1:11" x14ac:dyDescent="0.3">
      <c r="A11" s="3" t="s">
        <v>391</v>
      </c>
      <c r="D11" s="9"/>
      <c r="E11">
        <v>2.7401</v>
      </c>
    </row>
    <row r="12" spans="1:11" x14ac:dyDescent="0.3">
      <c r="A12" s="3" t="s">
        <v>392</v>
      </c>
      <c r="D12" s="9"/>
      <c r="E12">
        <v>1.6489000000000003</v>
      </c>
    </row>
    <row r="13" spans="1:11" x14ac:dyDescent="0.3">
      <c r="A13" s="3" t="s">
        <v>393</v>
      </c>
      <c r="D13" s="9"/>
      <c r="E13">
        <v>1.6257999999999999</v>
      </c>
    </row>
    <row r="14" spans="1:11" x14ac:dyDescent="0.3">
      <c r="A14" s="3" t="s">
        <v>97</v>
      </c>
      <c r="D14" s="9"/>
      <c r="E14">
        <v>1.6115000000000002</v>
      </c>
    </row>
    <row r="15" spans="1:11" x14ac:dyDescent="0.3">
      <c r="A15" s="3" t="s">
        <v>390</v>
      </c>
      <c r="D15" s="9"/>
      <c r="E15">
        <v>1.5224</v>
      </c>
    </row>
    <row r="16" spans="1:11" x14ac:dyDescent="0.3">
      <c r="A16" t="s">
        <v>202</v>
      </c>
      <c r="D16" s="9"/>
      <c r="E16">
        <v>47.52</v>
      </c>
    </row>
    <row r="17" spans="1:11" x14ac:dyDescent="0.3">
      <c r="A17" s="14"/>
      <c r="B17" s="14"/>
      <c r="C17" s="14"/>
      <c r="D17" s="14"/>
      <c r="E17" s="14"/>
      <c r="F17" s="14"/>
      <c r="G17" s="14"/>
      <c r="H17" s="9"/>
      <c r="I17" s="9"/>
      <c r="J17" s="9"/>
      <c r="K17" s="9"/>
    </row>
    <row r="18" spans="1:11" x14ac:dyDescent="0.3">
      <c r="A18" s="18" t="s">
        <v>171</v>
      </c>
      <c r="B18" s="13"/>
      <c r="C18" s="13"/>
      <c r="D18" s="14"/>
      <c r="E18" s="19" t="s">
        <v>168</v>
      </c>
    </row>
    <row r="19" spans="1:11" x14ac:dyDescent="0.3">
      <c r="A19" s="3" t="s">
        <v>144</v>
      </c>
      <c r="C19" s="13"/>
      <c r="D19" s="14"/>
      <c r="E19" s="24" t="s">
        <v>173</v>
      </c>
    </row>
    <row r="20" spans="1:11" x14ac:dyDescent="0.3">
      <c r="A20" s="13" t="s">
        <v>174</v>
      </c>
      <c r="C20" s="13"/>
      <c r="D20" s="14"/>
      <c r="E20" s="24" t="s">
        <v>176</v>
      </c>
    </row>
    <row r="21" spans="1:11" x14ac:dyDescent="0.3">
      <c r="A21" t="s">
        <v>234</v>
      </c>
      <c r="D21" s="9"/>
      <c r="E21" s="25">
        <v>44</v>
      </c>
    </row>
    <row r="22" spans="1:11" x14ac:dyDescent="0.3">
      <c r="A22" t="s">
        <v>177</v>
      </c>
      <c r="D22" s="9"/>
      <c r="E22" s="26" t="s">
        <v>178</v>
      </c>
    </row>
    <row r="23" spans="1:11" x14ac:dyDescent="0.3">
      <c r="A23" t="s">
        <v>379</v>
      </c>
      <c r="D23" s="9"/>
      <c r="E23" s="25">
        <v>12</v>
      </c>
    </row>
    <row r="24" spans="1:11" x14ac:dyDescent="0.3">
      <c r="A24" t="s">
        <v>281</v>
      </c>
      <c r="D24" s="9"/>
      <c r="E24" s="26" t="s">
        <v>141</v>
      </c>
    </row>
    <row r="25" spans="1:11" x14ac:dyDescent="0.3">
      <c r="A25" t="s">
        <v>233</v>
      </c>
      <c r="D25" s="9"/>
      <c r="E25" s="27">
        <v>29.7</v>
      </c>
    </row>
    <row r="26" spans="1:11" x14ac:dyDescent="0.3">
      <c r="A26" t="s">
        <v>328</v>
      </c>
      <c r="D26" s="9"/>
      <c r="E26" s="25" t="s">
        <v>224</v>
      </c>
    </row>
    <row r="27" spans="1:11" x14ac:dyDescent="0.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</sheetData>
  <sheetProtection algorithmName="SHA-512" hashValue="ChmO3d9ByEvJ6SbFNyBoHXZ3c/kFweo+66dyCgKwa8TKeKfLJ155sGQGzGnhltqkZW+6E460XsZRr8rfRJeU6A==" saltValue="G7QImV3n+F030DwsGlWkVQ==" spinCount="100000" sheet="1" objects="1" scenarios="1"/>
  <phoneticPr fontId="11" type="noConversion"/>
  <pageMargins left="0.75" right="0.75" top="1" bottom="1" header="0.5" footer="0.5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1:K34"/>
  <sheetViews>
    <sheetView zoomScale="150" workbookViewId="0">
      <selection activeCell="G16" sqref="G16"/>
    </sheetView>
  </sheetViews>
  <sheetFormatPr defaultColWidth="11.07421875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1" width="10" customWidth="1"/>
  </cols>
  <sheetData>
    <row r="1" spans="1:11" x14ac:dyDescent="0.3">
      <c r="A1" s="1" t="s">
        <v>67</v>
      </c>
    </row>
    <row r="2" spans="1:11" x14ac:dyDescent="0.3">
      <c r="A2" s="4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x14ac:dyDescent="0.3">
      <c r="A3" s="6" t="s">
        <v>64</v>
      </c>
      <c r="B3" s="7"/>
      <c r="C3" s="7"/>
      <c r="D3" s="8"/>
      <c r="E3" s="7"/>
      <c r="F3" s="7"/>
      <c r="G3" s="7"/>
      <c r="H3" s="7"/>
      <c r="I3" s="7"/>
      <c r="J3" s="7"/>
      <c r="K3" s="7"/>
    </row>
    <row r="4" spans="1:11" x14ac:dyDescent="0.3">
      <c r="A4" s="10" t="s">
        <v>298</v>
      </c>
      <c r="B4" s="1"/>
      <c r="D4" s="9"/>
      <c r="E4" s="10" t="s">
        <v>304</v>
      </c>
    </row>
    <row r="5" spans="1:11" x14ac:dyDescent="0.3">
      <c r="A5" s="10"/>
      <c r="B5" s="1"/>
      <c r="D5" s="9"/>
    </row>
    <row r="6" spans="1:11" x14ac:dyDescent="0.3">
      <c r="A6" s="2" t="s">
        <v>179</v>
      </c>
      <c r="C6" s="11"/>
      <c r="D6" s="9"/>
      <c r="E6" s="12" t="s">
        <v>169</v>
      </c>
      <c r="F6" s="12" t="s">
        <v>193</v>
      </c>
    </row>
    <row r="7" spans="1:11" x14ac:dyDescent="0.3">
      <c r="A7" s="21" t="s">
        <v>65</v>
      </c>
      <c r="D7" s="9"/>
      <c r="E7" s="22">
        <v>2</v>
      </c>
      <c r="F7" s="22">
        <v>2</v>
      </c>
    </row>
    <row r="8" spans="1:11" x14ac:dyDescent="0.3">
      <c r="A8" s="21" t="s">
        <v>66</v>
      </c>
      <c r="D8" s="9"/>
      <c r="E8" s="22">
        <v>4</v>
      </c>
      <c r="F8" s="22">
        <v>4</v>
      </c>
    </row>
    <row r="9" spans="1:11" x14ac:dyDescent="0.3">
      <c r="A9" s="16" t="s">
        <v>206</v>
      </c>
      <c r="B9" s="16"/>
      <c r="C9" s="16"/>
      <c r="D9" s="17"/>
      <c r="E9" s="16">
        <v>4000</v>
      </c>
      <c r="F9" s="16">
        <v>4000</v>
      </c>
    </row>
    <row r="10" spans="1:11" x14ac:dyDescent="0.3">
      <c r="A10" s="3" t="s">
        <v>254</v>
      </c>
      <c r="D10" s="9"/>
      <c r="E10">
        <v>1.3222</v>
      </c>
      <c r="F10">
        <v>1.6</v>
      </c>
    </row>
    <row r="11" spans="1:11" x14ac:dyDescent="0.3">
      <c r="A11" s="3" t="s">
        <v>236</v>
      </c>
      <c r="D11" s="9"/>
      <c r="E11">
        <v>1.4795</v>
      </c>
      <c r="F11">
        <v>1.65</v>
      </c>
    </row>
    <row r="12" spans="1:11" x14ac:dyDescent="0.3">
      <c r="A12" s="3" t="s">
        <v>155</v>
      </c>
      <c r="D12" s="9"/>
      <c r="E12">
        <v>1.2375</v>
      </c>
      <c r="F12">
        <v>1.43</v>
      </c>
    </row>
    <row r="13" spans="1:11" x14ac:dyDescent="0.3">
      <c r="A13" s="3" t="s">
        <v>55</v>
      </c>
      <c r="D13" s="9"/>
      <c r="E13">
        <v>1.3541000000000001</v>
      </c>
      <c r="F13">
        <v>1.52</v>
      </c>
    </row>
    <row r="14" spans="1:11" x14ac:dyDescent="0.3">
      <c r="A14" t="s">
        <v>202</v>
      </c>
      <c r="D14" s="9"/>
      <c r="E14">
        <v>44.55</v>
      </c>
      <c r="F14">
        <v>48.4</v>
      </c>
    </row>
    <row r="15" spans="1:11" x14ac:dyDescent="0.3">
      <c r="D15" s="9"/>
    </row>
    <row r="16" spans="1:11" x14ac:dyDescent="0.3">
      <c r="A16" s="10" t="s">
        <v>299</v>
      </c>
      <c r="D16" s="9"/>
    </row>
    <row r="17" spans="1:11" x14ac:dyDescent="0.3">
      <c r="D17" s="14"/>
    </row>
    <row r="18" spans="1:11" x14ac:dyDescent="0.3">
      <c r="A18" s="2" t="s">
        <v>114</v>
      </c>
      <c r="C18" s="11"/>
      <c r="D18" s="14"/>
      <c r="E18" s="12" t="s">
        <v>169</v>
      </c>
      <c r="F18" s="12" t="s">
        <v>193</v>
      </c>
    </row>
    <row r="19" spans="1:11" x14ac:dyDescent="0.3">
      <c r="A19" s="21" t="s">
        <v>65</v>
      </c>
      <c r="D19" s="9"/>
      <c r="E19" s="33" t="s">
        <v>123</v>
      </c>
      <c r="F19" s="22">
        <v>2</v>
      </c>
    </row>
    <row r="20" spans="1:11" x14ac:dyDescent="0.3">
      <c r="A20" s="21" t="s">
        <v>66</v>
      </c>
      <c r="D20" s="9"/>
      <c r="E20" s="33" t="s">
        <v>123</v>
      </c>
      <c r="F20" s="22">
        <v>4</v>
      </c>
    </row>
    <row r="21" spans="1:11" x14ac:dyDescent="0.3">
      <c r="A21" t="s">
        <v>276</v>
      </c>
      <c r="D21" s="14"/>
      <c r="E21">
        <v>2.0394000000000001</v>
      </c>
      <c r="F21">
        <v>2.2599999999999998</v>
      </c>
    </row>
    <row r="22" spans="1:11" x14ac:dyDescent="0.3">
      <c r="A22" t="s">
        <v>277</v>
      </c>
      <c r="D22" s="14"/>
      <c r="E22">
        <v>0</v>
      </c>
      <c r="F22">
        <v>2.15</v>
      </c>
    </row>
    <row r="23" spans="1:11" x14ac:dyDescent="0.3">
      <c r="A23" t="s">
        <v>202</v>
      </c>
      <c r="D23" s="14"/>
      <c r="E23">
        <v>50.93</v>
      </c>
      <c r="F23">
        <v>53.35</v>
      </c>
    </row>
    <row r="24" spans="1:11" x14ac:dyDescent="0.3">
      <c r="A24" s="14"/>
      <c r="B24" s="14"/>
      <c r="C24" s="14"/>
      <c r="D24" s="9"/>
      <c r="E24" s="14"/>
      <c r="F24" s="14"/>
      <c r="G24" s="14"/>
      <c r="H24" s="9"/>
      <c r="I24" s="9"/>
      <c r="J24" s="9"/>
      <c r="K24" s="9"/>
    </row>
    <row r="25" spans="1:11" x14ac:dyDescent="0.3">
      <c r="A25" s="18" t="s">
        <v>171</v>
      </c>
      <c r="B25" s="13"/>
      <c r="D25" s="9"/>
      <c r="E25" s="19" t="s">
        <v>168</v>
      </c>
      <c r="F25" s="12" t="s">
        <v>193</v>
      </c>
    </row>
    <row r="26" spans="1:11" x14ac:dyDescent="0.3">
      <c r="A26" s="3" t="s">
        <v>144</v>
      </c>
      <c r="D26" s="9"/>
      <c r="E26" s="24" t="s">
        <v>173</v>
      </c>
      <c r="F26" s="24" t="s">
        <v>194</v>
      </c>
    </row>
    <row r="27" spans="1:11" x14ac:dyDescent="0.3">
      <c r="A27" s="13" t="s">
        <v>174</v>
      </c>
      <c r="D27" s="14"/>
      <c r="E27" s="24" t="s">
        <v>176</v>
      </c>
      <c r="F27" s="24" t="s">
        <v>195</v>
      </c>
    </row>
    <row r="28" spans="1:11" x14ac:dyDescent="0.3">
      <c r="A28" t="s">
        <v>234</v>
      </c>
      <c r="D28" s="14"/>
      <c r="E28" s="25">
        <v>44</v>
      </c>
      <c r="F28" s="26" t="s">
        <v>196</v>
      </c>
    </row>
    <row r="29" spans="1:11" x14ac:dyDescent="0.3">
      <c r="A29" t="s">
        <v>177</v>
      </c>
      <c r="D29" s="14"/>
      <c r="E29" s="26" t="s">
        <v>178</v>
      </c>
      <c r="F29" s="24" t="s">
        <v>194</v>
      </c>
    </row>
    <row r="30" spans="1:11" x14ac:dyDescent="0.3">
      <c r="A30" t="s">
        <v>379</v>
      </c>
      <c r="D30" s="14"/>
      <c r="E30" s="25">
        <v>12</v>
      </c>
      <c r="F30" s="25" t="s">
        <v>199</v>
      </c>
    </row>
    <row r="31" spans="1:11" x14ac:dyDescent="0.3">
      <c r="A31" t="s">
        <v>281</v>
      </c>
      <c r="D31" s="14"/>
      <c r="E31" s="26" t="s">
        <v>118</v>
      </c>
      <c r="F31" s="26" t="s">
        <v>122</v>
      </c>
    </row>
    <row r="32" spans="1:11" x14ac:dyDescent="0.3">
      <c r="A32" t="s">
        <v>233</v>
      </c>
      <c r="D32" s="14"/>
      <c r="E32" s="27">
        <v>34.83</v>
      </c>
      <c r="F32" s="26" t="s">
        <v>274</v>
      </c>
    </row>
    <row r="33" spans="1:11" x14ac:dyDescent="0.3">
      <c r="A33" t="s">
        <v>328</v>
      </c>
      <c r="D33" s="14"/>
      <c r="E33" s="25" t="s">
        <v>224</v>
      </c>
      <c r="F33" s="26" t="s">
        <v>274</v>
      </c>
    </row>
    <row r="34" spans="1:11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</row>
  </sheetData>
  <sheetProtection algorithmName="SHA-512" hashValue="+1z0ILMmLYcM7VHINjwHSpojSpyTlXnNNgOmteit38ftn5LrOV0n7eJxrC4gFilhADhQ5W9VXuVsSMMK+d+Wfg==" saltValue="RewBS9yTKITtHgYpNUKIrw==" spinCount="100000" sheet="1" objects="1" scenarios="1"/>
  <phoneticPr fontId="11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8296-1E04-5D42-BB25-5E8F9CD9330F}">
  <sheetPr codeName="Sheet2"/>
  <dimension ref="A1:AA36"/>
  <sheetViews>
    <sheetView workbookViewId="0">
      <selection activeCell="A13" sqref="A13"/>
    </sheetView>
  </sheetViews>
  <sheetFormatPr defaultColWidth="10.84375" defaultRowHeight="13.5" x14ac:dyDescent="0.3"/>
  <cols>
    <col min="1" max="1" width="18.69140625" style="326" customWidth="1"/>
    <col min="2" max="2" width="30.4609375" style="326" bestFit="1" customWidth="1"/>
    <col min="3" max="3" width="18.15234375" style="326" bestFit="1" customWidth="1"/>
    <col min="4" max="11" width="12.15234375" style="326" customWidth="1"/>
    <col min="12" max="12" width="10.69140625" style="326" hidden="1" customWidth="1"/>
    <col min="13" max="13" width="12.15234375" style="326" hidden="1" customWidth="1"/>
    <col min="14" max="18" width="12.15234375" style="326" customWidth="1"/>
    <col min="19" max="20" width="12.15234375" style="326" hidden="1" customWidth="1"/>
    <col min="21" max="22" width="10.69140625" style="326" hidden="1" customWidth="1"/>
    <col min="23" max="26" width="12.15234375" style="326" customWidth="1"/>
    <col min="27" max="27" width="10.84375" style="326"/>
    <col min="28" max="16384" width="10.84375" style="365"/>
  </cols>
  <sheetData>
    <row r="1" spans="1:27" ht="14" x14ac:dyDescent="0.3">
      <c r="A1" s="325" t="s">
        <v>483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</row>
    <row r="2" spans="1:27" ht="14" x14ac:dyDescent="0.3">
      <c r="A2" s="327" t="s">
        <v>484</v>
      </c>
      <c r="B2" s="327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</row>
    <row r="3" spans="1:27" ht="14.5" thickBot="1" x14ac:dyDescent="0.35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8"/>
    </row>
    <row r="4" spans="1:27" ht="14" x14ac:dyDescent="0.3">
      <c r="A4" s="300" t="s">
        <v>423</v>
      </c>
      <c r="B4" s="301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3"/>
    </row>
    <row r="5" spans="1:27" ht="14" x14ac:dyDescent="0.3">
      <c r="A5" s="304" t="s">
        <v>662</v>
      </c>
      <c r="B5" s="305"/>
      <c r="C5" s="306">
        <v>4000</v>
      </c>
      <c r="D5" s="307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8"/>
    </row>
    <row r="6" spans="1:27" ht="14" x14ac:dyDescent="0.3">
      <c r="A6" s="304"/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8"/>
    </row>
    <row r="7" spans="1:27" ht="70" x14ac:dyDescent="0.3">
      <c r="A7" s="330" t="s">
        <v>267</v>
      </c>
      <c r="B7" s="331" t="s">
        <v>424</v>
      </c>
      <c r="C7" s="332" t="s">
        <v>351</v>
      </c>
      <c r="D7" s="332" t="s">
        <v>352</v>
      </c>
      <c r="E7" s="332" t="s">
        <v>425</v>
      </c>
      <c r="F7" s="332" t="s">
        <v>426</v>
      </c>
      <c r="G7" s="332" t="s">
        <v>471</v>
      </c>
      <c r="H7" s="332" t="s">
        <v>398</v>
      </c>
      <c r="I7" s="332" t="s">
        <v>399</v>
      </c>
      <c r="J7" s="332" t="s">
        <v>427</v>
      </c>
      <c r="K7" s="332" t="s">
        <v>120</v>
      </c>
      <c r="L7" s="368" t="s">
        <v>401</v>
      </c>
      <c r="M7" s="369" t="s">
        <v>402</v>
      </c>
      <c r="N7" s="333" t="s">
        <v>437</v>
      </c>
      <c r="O7" s="334" t="s">
        <v>403</v>
      </c>
      <c r="P7" s="335" t="s">
        <v>404</v>
      </c>
      <c r="Q7" s="335" t="s">
        <v>405</v>
      </c>
      <c r="R7" s="335" t="s">
        <v>406</v>
      </c>
      <c r="S7" s="336" t="s">
        <v>658</v>
      </c>
      <c r="T7" s="336" t="s">
        <v>659</v>
      </c>
      <c r="U7" s="337" t="s">
        <v>53</v>
      </c>
      <c r="V7" s="337" t="s">
        <v>0</v>
      </c>
      <c r="W7" s="389" t="s">
        <v>419</v>
      </c>
      <c r="X7" s="389" t="s">
        <v>420</v>
      </c>
      <c r="Y7" s="335" t="s">
        <v>421</v>
      </c>
      <c r="Z7" s="335" t="s">
        <v>422</v>
      </c>
      <c r="AA7" s="396" t="s">
        <v>438</v>
      </c>
    </row>
    <row r="8" spans="1:27" ht="25" customHeight="1" x14ac:dyDescent="0.3">
      <c r="A8" s="309" t="str">
        <f>'Tariffs 2020'!F2</f>
        <v>AGL</v>
      </c>
      <c r="B8" s="307" t="str">
        <f>'Tariffs 2020'!D2</f>
        <v>Jemena Coastal Network</v>
      </c>
      <c r="C8" s="307" t="str">
        <f>'Tariffs 2020'!G2</f>
        <v>Essentials Saver</v>
      </c>
      <c r="D8" s="310">
        <f>60*'Tariffs 2020'!H2/100</f>
        <v>35.438181818181818</v>
      </c>
      <c r="E8" s="310">
        <f>IF('Tariffs 2020'!K2="",$C$5*'Tariffs 2020'!W2/100,IF($C$5&gt;='Tariffs 2020'!L2,('Tariffs 2020'!L2*'Tariffs 2020'!W2/100),($C$5*'Tariffs 2020'!W2/100)))</f>
        <v>31.418181818181811</v>
      </c>
      <c r="F8" s="310">
        <f>IF(AND('Tariffs 2020'!L2&gt;0,'Tariffs 2020'!M2&gt;0),IF($C$5&lt;'Tariffs 2020'!L2,0,IF(($C$5-'Tariffs 2020'!L2)&lt;=('Tariffs 2020'!M2+'Tariffs 2020'!L2),(($C$5-'Tariffs 2020'!L2)*'Tariffs 2020'!X2/100),(('Tariffs 2020'!M2)*'Tariffs 2020'!X2/100))),0)</f>
        <v>29.672727272727272</v>
      </c>
      <c r="G8" s="310">
        <f>IF(AND('Tariffs 2020'!M2&gt;0,'Tariffs 2020'!N2&gt;0),IF($C$5&lt;('Tariffs 2020'!L2+'Tariffs 2020'!M2),0,IF(($C$5-'Tariffs 2020'!L2+'Tariffs 2020'!M2)&lt;=('Tariffs 2020'!L2+'Tariffs 2020'!M2+'Tariffs 2020'!N2),(($C$5-('Tariffs 2020'!L2+'Tariffs 2020'!M2))*'Tariffs 2020'!Y2/100),('Tariffs 2020'!N2*'Tariffs 2020'!Y2/100))),0)</f>
        <v>37.527272727272724</v>
      </c>
      <c r="H8" s="310">
        <f>IF(AND('Tariffs 2020'!N2&gt;0,'Tariffs 2020'!O2&gt;0),IF($C$5&lt;('Tariffs 2020'!L2+'Tariffs 2020'!M2+'Tariffs 2020'!N2),0,IF(($C$5-'Tariffs 2020'!L2+'Tariffs 2020'!M2+'Tariffs 2020'!N2)&lt;=('Tariffs 2020'!L2+'Tariffs 2020'!M2+'Tariffs 2020'!N2+'Tariffs 2020'!O2),(($C$5-('Tariffs 2020'!L2+'Tariffs 2020'!M2+'Tariffs 2020'!N2))*'Tariffs 2020'!Z2/100),('Tariffs 2020'!O2*'Tariffs 2020'!Z2/100))),0)</f>
        <v>0</v>
      </c>
      <c r="I8" s="310">
        <f>IF(AND('Tariffs 2020'!O2&gt;0,'Tariffs 2020'!P2&gt;0),IF($C$5&lt;('Tariffs 2020'!L2+'Tariffs 2020'!M2+'Tariffs 2020'!N2+'Tariffs 2020'!O2),0,IF(($C$5-'Tariffs 2020'!L2+'Tariffs 2020'!M2+'Tariffs 2020'!N2+'Tariffs 2020'!O2)&lt;=('Tariffs 2020'!L2+'Tariffs 2020'!M2+'Tariffs 2020'!N2+'Tariffs 2020'!O2+'Tariffs 2020'!P2),(($C$5-('Tariffs 2020'!L2+'Tariffs 2020'!M2+'Tariffs 2020'!N2+'Tariffs 2020'!O2))*'Tariffs 2020'!AA2/100),('Tariffs 2020'!P2*'Tariffs 2020'!AA2/100))),0)</f>
        <v>0</v>
      </c>
      <c r="J8" s="310">
        <f>IF(AND('Tariffs 2020'!P2&gt;0,'Tariffs 2020'!O2&gt;0),IF(($C$5&lt;SUM('Tariffs 2020'!L2:P2)),(0),($C$5-SUM('Tariffs 2020'!L2:P2))*'Tariffs 2020'!AB2/100),IF(AND('Tariffs 2020'!O2&gt;0,'Tariffs 2020'!P2=""),IF(($C$5&lt; SUM('Tariffs 2020'!L2:O2)),(0),($C$5-SUM('Tariffs 2020'!L2:O2))*'Tariffs 2020'!AA2/100),IF(AND('Tariffs 2020'!N2&gt;0,'Tariffs 2020'!O2=""),IF(($C$5&lt; SUM('Tariffs 2020'!L2:N2)),(0),($C$5-SUM('Tariffs 2020'!L2:N2))*'Tariffs 2020'!Z2/100),IF(AND('Tariffs 2020'!M2&gt;0,'Tariffs 2020'!N2=""),IF(($C$5&lt;'Tariffs 2020'!M2+'Tariffs 2020'!L2),(0),(($C$5-('Tariffs 2020'!M2+'Tariffs 2020'!L2))*'Tariffs 2020'!Y2/100)),IF(AND('Tariffs 2020'!L2&gt;0,'Tariffs 2020'!M2=""&gt;0),IF(($C$5&lt;'Tariffs 2020'!L2),(0),($C$5-'Tariffs 2020'!L2)*'Tariffs 2020'!X2/100),0)))))</f>
        <v>0</v>
      </c>
      <c r="K8" s="310">
        <f t="shared" ref="K8:K36" si="0">SUM(D8:J8)</f>
        <v>134.05636363636361</v>
      </c>
      <c r="L8" s="370">
        <f>(K8*6)-(D8*6)</f>
        <v>591.70909090909083</v>
      </c>
      <c r="M8" s="371">
        <f>K8*6</f>
        <v>804.33818181818174</v>
      </c>
      <c r="N8" s="311">
        <f>M8*1.1</f>
        <v>884.77199999999993</v>
      </c>
      <c r="O8" s="307">
        <f>'Tariffs 2020'!AT2</f>
        <v>0</v>
      </c>
      <c r="P8" s="307">
        <f>'Tariffs 2020'!AU2</f>
        <v>0</v>
      </c>
      <c r="Q8" s="307">
        <f>'Tariffs 2020'!AV2</f>
        <v>0</v>
      </c>
      <c r="R8" s="307">
        <f>'Tariffs 2020'!AW2</f>
        <v>0</v>
      </c>
      <c r="S8" s="312" t="str">
        <f t="shared" ref="S8" si="1">IF(SUM(O8:R8)=0,"No discount",IF(O8&gt;0,"Guaranteed off bill",IF(P8&gt;0,"Guaranteed off usage",IF(Q8&gt;0,"Pay-on-time off bill","Pay-on-time off usage"))))</f>
        <v>No discount</v>
      </c>
      <c r="T8" s="312" t="str">
        <f t="shared" ref="T8:T16" si="2">IF(OR(A8="Origin Energy",A8="Red Energy",A8="Powershop"),"Inclusive","Exclusive")</f>
        <v>Exclusive</v>
      </c>
      <c r="U8" s="382">
        <f t="shared" ref="U8:U16" si="3">IF(AND(S8="Guaranteed off bill",T8="Inclusive"),((M8*1.1)-((M8*1.1)*O8/100))/1.1,IF(AND(S8="Guaranteed off usage",T8="Inclusive"),((M8*1.1)-((L8*1.1)*P8/100))/1.1,IF(AND(S8="Guaranteed off bill",T8="Exclusive"),M8-(M8*O8/100),IF(AND(S8="Guaranteed off usage",T8="Exclusive"),M8-(L8*P8/100),IF(T8="Inclusive",((M8*1.1))/1.1,M8)))))</f>
        <v>804.33818181818174</v>
      </c>
      <c r="V8" s="382">
        <f t="shared" ref="V8:V16" si="4">IF(AND(S8="Pay-on-time off bill",T8="Inclusive"),((U8*1.1)-((U8*1.1)*Q8/100))/1.1,IF(AND(S8="Pay-on-time off usage",T8="Inclusive"),((U8*1.1)-((L8*1.1)*R8/100))/1.1,IF(AND(S8="Pay-on-time off bill",T8="Exclusive"),U8-(U8*Q8/100),IF(AND(S8="Pay-on-time off usage",T8="Exclusive"),U8-(L8*R8/100),IF(T8="Inclusive",((U8*1.1))/1.1,U8)))))</f>
        <v>804.33818181818174</v>
      </c>
      <c r="W8" s="390">
        <f t="shared" ref="W8:X16" si="5">U8*1.1</f>
        <v>884.77199999999993</v>
      </c>
      <c r="X8" s="390">
        <f t="shared" si="5"/>
        <v>884.77199999999993</v>
      </c>
      <c r="Y8" s="313">
        <f>'Tariffs 2020'!BF2</f>
        <v>0</v>
      </c>
      <c r="Z8" s="313" t="str">
        <f>'Tariffs 2020'!BG2</f>
        <v>n</v>
      </c>
      <c r="AA8" s="314" t="s">
        <v>288</v>
      </c>
    </row>
    <row r="9" spans="1:27" ht="25" customHeight="1" x14ac:dyDescent="0.3">
      <c r="A9" s="309" t="str">
        <f>'Tariffs 2020'!F3</f>
        <v>Alinta Energy</v>
      </c>
      <c r="B9" s="307" t="str">
        <f>'Tariffs 2020'!D3</f>
        <v>Jemena Coastal Network</v>
      </c>
      <c r="C9" s="307" t="str">
        <f>'Tariffs 2020'!G3</f>
        <v>Home Deal</v>
      </c>
      <c r="D9" s="310">
        <f>60*'Tariffs 2020'!H3/100</f>
        <v>35.46</v>
      </c>
      <c r="E9" s="310">
        <f>IF('Tariffs 2020'!K3="",$C$5*'Tariffs 2020'!W3/100,IF($C$5&gt;='Tariffs 2020'!L3,('Tariffs 2020'!L3*'Tariffs 2020'!W3/100),($C$5*'Tariffs 2020'!W3/100)))</f>
        <v>37.309090909090905</v>
      </c>
      <c r="F9" s="310">
        <f>IF(AND('Tariffs 2020'!L3&gt;0,'Tariffs 2020'!M3&gt;0),IF($C$5&lt;'Tariffs 2020'!L3,0,IF(($C$5-'Tariffs 2020'!L3)&lt;=('Tariffs 2020'!M3+'Tariffs 2020'!L3),(($C$5-'Tariffs 2020'!L3)*'Tariffs 2020'!X3/100),(('Tariffs 2020'!M3)*'Tariffs 2020'!X3/100))),0)</f>
        <v>24.654545454545449</v>
      </c>
      <c r="G9" s="310">
        <f>IF(AND('Tariffs 2020'!M3&gt;0,'Tariffs 2020'!N3&gt;0),IF($C$5&lt;('Tariffs 2020'!L3+'Tariffs 2020'!M3),0,IF(($C$5-'Tariffs 2020'!L3+'Tariffs 2020'!M3)&lt;=('Tariffs 2020'!L3+'Tariffs 2020'!M3+'Tariffs 2020'!N3),(($C$5-('Tariffs 2020'!L3+'Tariffs 2020'!M3))*'Tariffs 2020'!Y3/100),('Tariffs 2020'!N3*'Tariffs 2020'!Y3/100))),0)</f>
        <v>30.836363636363636</v>
      </c>
      <c r="H9" s="310">
        <f>IF(AND('Tariffs 2020'!N3&gt;0,'Tariffs 2020'!O3&gt;0),IF($C$5&lt;('Tariffs 2020'!L3+'Tariffs 2020'!M3+'Tariffs 2020'!N3),0,IF(($C$5-'Tariffs 2020'!L3+'Tariffs 2020'!M3+'Tariffs 2020'!N3)&lt;=('Tariffs 2020'!L3+'Tariffs 2020'!M3+'Tariffs 2020'!N3+'Tariffs 2020'!O3),(($C$5-('Tariffs 2020'!L3+'Tariffs 2020'!M3+'Tariffs 2020'!N3))*'Tariffs 2020'!Z3/100),('Tariffs 2020'!O3*'Tariffs 2020'!Z3/100))),0)</f>
        <v>0</v>
      </c>
      <c r="I9" s="310">
        <f>IF(AND('Tariffs 2020'!O3&gt;0,'Tariffs 2020'!P3&gt;0),IF($C$5&lt;('Tariffs 2020'!L3+'Tariffs 2020'!M3+'Tariffs 2020'!N3+'Tariffs 2020'!O3),0,IF(($C$5-'Tariffs 2020'!L3+'Tariffs 2020'!M3+'Tariffs 2020'!N3+'Tariffs 2020'!O3)&lt;=('Tariffs 2020'!L3+'Tariffs 2020'!M3+'Tariffs 2020'!N3+'Tariffs 2020'!O3+'Tariffs 2020'!P3),(($C$5-('Tariffs 2020'!L3+'Tariffs 2020'!M3+'Tariffs 2020'!N3+'Tariffs 2020'!O3))*'Tariffs 2020'!AA3/100),('Tariffs 2020'!P3*'Tariffs 2020'!AA3/100))),0)</f>
        <v>0</v>
      </c>
      <c r="J9" s="310">
        <f>IF(AND('Tariffs 2020'!P3&gt;0,'Tariffs 2020'!O3&gt;0),IF(($C$5&lt;SUM('Tariffs 2020'!L3:P3)),(0),($C$5-SUM('Tariffs 2020'!L3:P3))*'Tariffs 2020'!AB3/100),IF(AND('Tariffs 2020'!O3&gt;0,'Tariffs 2020'!P3=""),IF(($C$5&lt; SUM('Tariffs 2020'!L3:O3)),(0),($C$5-SUM('Tariffs 2020'!L3:O3))*'Tariffs 2020'!AA3/100),IF(AND('Tariffs 2020'!N3&gt;0,'Tariffs 2020'!O3=""),IF(($C$5&lt; SUM('Tariffs 2020'!L3:N3)),(0),($C$5-SUM('Tariffs 2020'!L3:N3))*'Tariffs 2020'!Z3/100),IF(AND('Tariffs 2020'!M3&gt;0,'Tariffs 2020'!N3=""),IF(($C$5&lt;'Tariffs 2020'!M3+'Tariffs 2020'!L3),(0),(($C$5-('Tariffs 2020'!M3+'Tariffs 2020'!L3))*'Tariffs 2020'!Y3/100)),IF(AND('Tariffs 2020'!L3&gt;0,'Tariffs 2020'!M3=""&gt;0),IF(($C$5&lt;'Tariffs 2020'!L3),(0),($C$5-'Tariffs 2020'!L3)*'Tariffs 2020'!X3/100),0)))))</f>
        <v>0</v>
      </c>
      <c r="K9" s="310">
        <f t="shared" si="0"/>
        <v>128.26</v>
      </c>
      <c r="L9" s="370">
        <f t="shared" ref="L9:L36" si="6">(K9*6)-(D9*6)</f>
        <v>556.79999999999995</v>
      </c>
      <c r="M9" s="371">
        <f t="shared" ref="M9:M36" si="7">K9*6</f>
        <v>769.56</v>
      </c>
      <c r="N9" s="311">
        <f t="shared" ref="N9:N36" si="8">M9*1.1</f>
        <v>846.51599999999996</v>
      </c>
      <c r="O9" s="307">
        <f>'Tariffs 2020'!AT3</f>
        <v>0</v>
      </c>
      <c r="P9" s="307">
        <f>'Tariffs 2020'!AU3</f>
        <v>0</v>
      </c>
      <c r="Q9" s="307">
        <f>'Tariffs 2020'!AV3</f>
        <v>0</v>
      </c>
      <c r="R9" s="307">
        <f>'Tariffs 2020'!AW3</f>
        <v>0</v>
      </c>
      <c r="S9" s="312" t="str">
        <f t="shared" ref="S9:S16" si="9">IF(SUM(O9:R9)=0,"No discount",IF(O9&gt;0,"Guaranteed off bill",IF(P9&gt;0,"Guaranteed off usage",IF(Q9&gt;0,"Pay-on-time off bill","Pay-on-time off usage"))))</f>
        <v>No discount</v>
      </c>
      <c r="T9" s="312" t="str">
        <f t="shared" si="2"/>
        <v>Exclusive</v>
      </c>
      <c r="U9" s="382">
        <f t="shared" si="3"/>
        <v>769.56</v>
      </c>
      <c r="V9" s="382">
        <f t="shared" si="4"/>
        <v>769.56</v>
      </c>
      <c r="W9" s="391">
        <f t="shared" si="5"/>
        <v>846.51599999999996</v>
      </c>
      <c r="X9" s="391">
        <f t="shared" si="5"/>
        <v>846.51599999999996</v>
      </c>
      <c r="Y9" s="313">
        <f>'Tariffs 2020'!BF3</f>
        <v>0</v>
      </c>
      <c r="Z9" s="313" t="str">
        <f>'Tariffs 2020'!BG3</f>
        <v>n</v>
      </c>
      <c r="AA9" s="314" t="s">
        <v>288</v>
      </c>
    </row>
    <row r="10" spans="1:27" ht="25" customHeight="1" x14ac:dyDescent="0.3">
      <c r="A10" s="309" t="str">
        <f>'Tariffs 2020'!F4</f>
        <v>EnergyAustralia</v>
      </c>
      <c r="B10" s="307" t="str">
        <f>'Tariffs 2020'!D4</f>
        <v>Jemena Coastal Network</v>
      </c>
      <c r="C10" s="307" t="str">
        <f>'Tariffs 2020'!G4</f>
        <v>Total Plan</v>
      </c>
      <c r="D10" s="310">
        <f>60*'Tariffs 2020'!H4/100</f>
        <v>36.239999999999995</v>
      </c>
      <c r="E10" s="310">
        <f>IF('Tariffs 2020'!K4="",$C$5*'Tariffs 2020'!W4/100,IF($C$5&gt;='Tariffs 2020'!L4,('Tariffs 2020'!L4*'Tariffs 2020'!W4/100),($C$5*'Tariffs 2020'!W4/100)))</f>
        <v>46.997410909090917</v>
      </c>
      <c r="F10" s="310">
        <f>IF(AND('Tariffs 2020'!L4&gt;0,'Tariffs 2020'!M4&gt;0),IF($C$5&lt;'Tariffs 2020'!L4,0,IF(($C$5-'Tariffs 2020'!L4)&lt;=('Tariffs 2020'!M4+'Tariffs 2020'!L4),(($C$5-'Tariffs 2020'!L4)*'Tariffs 2020'!X4/100),(('Tariffs 2020'!M4)*'Tariffs 2020'!X4/100))),0)</f>
        <v>32.243781818181816</v>
      </c>
      <c r="G10" s="310">
        <f>IF(AND('Tariffs 2020'!M4&gt;0,'Tariffs 2020'!N4&gt;0),IF($C$5&lt;('Tariffs 2020'!L4+'Tariffs 2020'!M4),0,IF(($C$5-'Tariffs 2020'!L4+'Tariffs 2020'!M4)&lt;=('Tariffs 2020'!L4+'Tariffs 2020'!M4+'Tariffs 2020'!N4),(($C$5-('Tariffs 2020'!L4+'Tariffs 2020'!M4))*'Tariffs 2020'!Y4/100),('Tariffs 2020'!N4*'Tariffs 2020'!Y4/100))),0)</f>
        <v>38.634952727272719</v>
      </c>
      <c r="H10" s="310">
        <f>IF(AND('Tariffs 2020'!N4&gt;0,'Tariffs 2020'!O4&gt;0),IF($C$5&lt;('Tariffs 2020'!L4+'Tariffs 2020'!M4+'Tariffs 2020'!N4),0,IF(($C$5-'Tariffs 2020'!L4+'Tariffs 2020'!M4+'Tariffs 2020'!N4)&lt;=('Tariffs 2020'!L4+'Tariffs 2020'!M4+'Tariffs 2020'!N4+'Tariffs 2020'!O4),(($C$5-('Tariffs 2020'!L4+'Tariffs 2020'!M4+'Tariffs 2020'!N4))*'Tariffs 2020'!Z4/100),('Tariffs 2020'!O4*'Tariffs 2020'!Z4/100))),0)</f>
        <v>0</v>
      </c>
      <c r="I10" s="310">
        <f>IF(AND('Tariffs 2020'!O4&gt;0,'Tariffs 2020'!P4&gt;0),IF($C$5&lt;('Tariffs 2020'!L4+'Tariffs 2020'!M4+'Tariffs 2020'!N4+'Tariffs 2020'!O4),0,IF(($C$5-'Tariffs 2020'!L4+'Tariffs 2020'!M4+'Tariffs 2020'!N4+'Tariffs 2020'!O4)&lt;=('Tariffs 2020'!L4+'Tariffs 2020'!M4+'Tariffs 2020'!N4+'Tariffs 2020'!O4+'Tariffs 2020'!P4),(($C$5-('Tariffs 2020'!L4+'Tariffs 2020'!M4+'Tariffs 2020'!N4+'Tariffs 2020'!O4))*'Tariffs 2020'!AA4/100),('Tariffs 2020'!P4*'Tariffs 2020'!AA4/100))),0)</f>
        <v>0</v>
      </c>
      <c r="J10" s="310">
        <f>IF(AND('Tariffs 2020'!P4&gt;0,'Tariffs 2020'!O4&gt;0),IF(($C$5&lt;SUM('Tariffs 2020'!L4:P4)),(0),($C$5-SUM('Tariffs 2020'!L4:P4))*'Tariffs 2020'!AB4/100),IF(AND('Tariffs 2020'!O4&gt;0,'Tariffs 2020'!P4=""),IF(($C$5&lt; SUM('Tariffs 2020'!L4:O4)),(0),($C$5-SUM('Tariffs 2020'!L4:O4))*'Tariffs 2020'!AA4/100),IF(AND('Tariffs 2020'!N4&gt;0,'Tariffs 2020'!O4=""),IF(($C$5&lt; SUM('Tariffs 2020'!L4:N4)),(0),($C$5-SUM('Tariffs 2020'!L4:N4))*'Tariffs 2020'!Z4/100),IF(AND('Tariffs 2020'!M4&gt;0,'Tariffs 2020'!N4=""),IF(($C$5&lt;'Tariffs 2020'!M4+'Tariffs 2020'!L4),(0),(($C$5-('Tariffs 2020'!M4+'Tariffs 2020'!L4))*'Tariffs 2020'!Y4/100)),IF(AND('Tariffs 2020'!L4&gt;0,'Tariffs 2020'!M4=""&gt;0),IF(($C$5&lt;'Tariffs 2020'!L4),(0),($C$5-'Tariffs 2020'!L4)*'Tariffs 2020'!X4/100),0)))))</f>
        <v>0</v>
      </c>
      <c r="K10" s="310">
        <f t="shared" si="0"/>
        <v>154.11614545454546</v>
      </c>
      <c r="L10" s="370">
        <f t="shared" si="6"/>
        <v>707.25687272727282</v>
      </c>
      <c r="M10" s="371">
        <f t="shared" si="7"/>
        <v>924.69687272727276</v>
      </c>
      <c r="N10" s="311">
        <f t="shared" si="8"/>
        <v>1017.1665600000001</v>
      </c>
      <c r="O10" s="307">
        <f>'Tariffs 2020'!AT4</f>
        <v>16</v>
      </c>
      <c r="P10" s="307">
        <f>'Tariffs 2020'!AU4</f>
        <v>0</v>
      </c>
      <c r="Q10" s="307">
        <f>'Tariffs 2020'!AV4</f>
        <v>0</v>
      </c>
      <c r="R10" s="307">
        <f>'Tariffs 2020'!AW4</f>
        <v>0</v>
      </c>
      <c r="S10" s="312" t="str">
        <f t="shared" si="9"/>
        <v>Guaranteed off bill</v>
      </c>
      <c r="T10" s="312" t="str">
        <f t="shared" si="2"/>
        <v>Exclusive</v>
      </c>
      <c r="U10" s="382">
        <f t="shared" si="3"/>
        <v>776.74537309090908</v>
      </c>
      <c r="V10" s="382">
        <f t="shared" si="4"/>
        <v>776.74537309090908</v>
      </c>
      <c r="W10" s="391">
        <f t="shared" si="5"/>
        <v>854.41991040000005</v>
      </c>
      <c r="X10" s="391">
        <f t="shared" si="5"/>
        <v>854.41991040000005</v>
      </c>
      <c r="Y10" s="313">
        <f>'Tariffs 2020'!BF4</f>
        <v>0</v>
      </c>
      <c r="Z10" s="313" t="str">
        <f>'Tariffs 2020'!BG4</f>
        <v>n</v>
      </c>
      <c r="AA10" s="314" t="s">
        <v>400</v>
      </c>
    </row>
    <row r="11" spans="1:27" ht="25" customHeight="1" x14ac:dyDescent="0.3">
      <c r="A11" s="309" t="str">
        <f>'Tariffs 2020'!F5</f>
        <v>Origin Energy</v>
      </c>
      <c r="B11" s="307" t="str">
        <f>'Tariffs 2020'!D5</f>
        <v>Jemena Coastal Network</v>
      </c>
      <c r="C11" s="307" t="str">
        <f>'Tariffs 2020'!G5</f>
        <v>Max Saver</v>
      </c>
      <c r="D11" s="310">
        <f>60*'Tariffs 2020'!H5/100</f>
        <v>35.454545454545453</v>
      </c>
      <c r="E11" s="310">
        <f>IF('Tariffs 2020'!K5="",$C$5*'Tariffs 2020'!W5/100,IF($C$5&gt;='Tariffs 2020'!L5,('Tariffs 2020'!L5*'Tariffs 2020'!W5/100),($C$5*'Tariffs 2020'!W5/100)))</f>
        <v>43.47</v>
      </c>
      <c r="F11" s="310">
        <f>IF(AND('Tariffs 2020'!L5&gt;0,'Tariffs 2020'!M5&gt;0),IF($C$5&lt;'Tariffs 2020'!L5,0,IF(($C$5-'Tariffs 2020'!L5)&lt;=('Tariffs 2020'!M5+'Tariffs 2020'!L5),(($C$5-'Tariffs 2020'!L5)*'Tariffs 2020'!X5/100),(('Tariffs 2020'!M5)*'Tariffs 2020'!X5/100))),0)</f>
        <v>57.66727272727271</v>
      </c>
      <c r="G11" s="310">
        <f>IF(AND('Tariffs 2020'!M5&gt;0,'Tariffs 2020'!N5&gt;0),IF($C$5&lt;('Tariffs 2020'!L5+'Tariffs 2020'!M5),0,IF(($C$5-'Tariffs 2020'!L5+'Tariffs 2020'!M5)&lt;=('Tariffs 2020'!L5+'Tariffs 2020'!M5+'Tariffs 2020'!N5),(($C$5-('Tariffs 2020'!L5+'Tariffs 2020'!M5))*'Tariffs 2020'!Y5/100),('Tariffs 2020'!N5*'Tariffs 2020'!Y5/100))),0)</f>
        <v>0</v>
      </c>
      <c r="H11" s="310">
        <f>IF(AND('Tariffs 2020'!N5&gt;0,'Tariffs 2020'!O5&gt;0),IF($C$5&lt;('Tariffs 2020'!L5+'Tariffs 2020'!M5+'Tariffs 2020'!N5),0,IF(($C$5-'Tariffs 2020'!L5+'Tariffs 2020'!M5+'Tariffs 2020'!N5)&lt;=('Tariffs 2020'!L5+'Tariffs 2020'!M5+'Tariffs 2020'!N5+'Tariffs 2020'!O5),(($C$5-('Tariffs 2020'!L5+'Tariffs 2020'!M5+'Tariffs 2020'!N5))*'Tariffs 2020'!Z5/100),('Tariffs 2020'!O5*'Tariffs 2020'!Z5/100))),0)</f>
        <v>0</v>
      </c>
      <c r="I11" s="310">
        <f>IF(AND('Tariffs 2020'!O5&gt;0,'Tariffs 2020'!P5&gt;0),IF($C$5&lt;('Tariffs 2020'!L5+'Tariffs 2020'!M5+'Tariffs 2020'!N5+'Tariffs 2020'!O5),0,IF(($C$5-'Tariffs 2020'!L5+'Tariffs 2020'!M5+'Tariffs 2020'!N5+'Tariffs 2020'!O5)&lt;=('Tariffs 2020'!L5+'Tariffs 2020'!M5+'Tariffs 2020'!N5+'Tariffs 2020'!O5+'Tariffs 2020'!P5),(($C$5-('Tariffs 2020'!L5+'Tariffs 2020'!M5+'Tariffs 2020'!N5+'Tariffs 2020'!O5))*'Tariffs 2020'!AA5/100),('Tariffs 2020'!P5*'Tariffs 2020'!AA5/100))),0)</f>
        <v>0</v>
      </c>
      <c r="J11" s="310">
        <f>IF(AND('Tariffs 2020'!P5&gt;0,'Tariffs 2020'!O5&gt;0),IF(($C$5&lt;SUM('Tariffs 2020'!L5:P5)),(0),($C$5-SUM('Tariffs 2020'!L5:P5))*'Tariffs 2020'!AB5/100),IF(AND('Tariffs 2020'!O5&gt;0,'Tariffs 2020'!P5=""),IF(($C$5&lt; SUM('Tariffs 2020'!L5:O5)),(0),($C$5-SUM('Tariffs 2020'!L5:O5))*'Tariffs 2020'!AA5/100),IF(AND('Tariffs 2020'!N5&gt;0,'Tariffs 2020'!O5=""),IF(($C$5&lt; SUM('Tariffs 2020'!L5:N5)),(0),($C$5-SUM('Tariffs 2020'!L5:N5))*'Tariffs 2020'!Z5/100),IF(AND('Tariffs 2020'!M5&gt;0,'Tariffs 2020'!N5=""),IF(($C$5&lt;'Tariffs 2020'!M5+'Tariffs 2020'!L5),(0),(($C$5-('Tariffs 2020'!M5+'Tariffs 2020'!L5))*'Tariffs 2020'!Y5/100)),IF(AND('Tariffs 2020'!L5&gt;0,'Tariffs 2020'!M5=""&gt;0),IF(($C$5&lt;'Tariffs 2020'!L5),(0),($C$5-'Tariffs 2020'!L5)*'Tariffs 2020'!X5/100),0)))))</f>
        <v>0</v>
      </c>
      <c r="K11" s="310">
        <f t="shared" si="0"/>
        <v>136.59181818181816</v>
      </c>
      <c r="L11" s="370">
        <f t="shared" si="6"/>
        <v>606.82363636363618</v>
      </c>
      <c r="M11" s="371">
        <f t="shared" si="7"/>
        <v>819.55090909090893</v>
      </c>
      <c r="N11" s="311">
        <f t="shared" si="8"/>
        <v>901.50599999999986</v>
      </c>
      <c r="O11" s="307">
        <f>'Tariffs 2020'!AT5</f>
        <v>10</v>
      </c>
      <c r="P11" s="307">
        <f>'Tariffs 2020'!AU5</f>
        <v>0</v>
      </c>
      <c r="Q11" s="307">
        <f>'Tariffs 2020'!AV5</f>
        <v>0</v>
      </c>
      <c r="R11" s="307">
        <f>'Tariffs 2020'!AW5</f>
        <v>0</v>
      </c>
      <c r="S11" s="312" t="str">
        <f t="shared" si="9"/>
        <v>Guaranteed off bill</v>
      </c>
      <c r="T11" s="312" t="str">
        <f t="shared" si="2"/>
        <v>Inclusive</v>
      </c>
      <c r="U11" s="382">
        <f t="shared" si="3"/>
        <v>737.595818181818</v>
      </c>
      <c r="V11" s="382">
        <f t="shared" si="4"/>
        <v>737.595818181818</v>
      </c>
      <c r="W11" s="391">
        <f t="shared" si="5"/>
        <v>811.35539999999992</v>
      </c>
      <c r="X11" s="391">
        <f t="shared" si="5"/>
        <v>811.35539999999992</v>
      </c>
      <c r="Y11" s="313">
        <f>'Tariffs 2020'!BF5</f>
        <v>0</v>
      </c>
      <c r="Z11" s="313" t="str">
        <f>'Tariffs 2020'!BG5</f>
        <v>n</v>
      </c>
      <c r="AA11" s="314" t="s">
        <v>288</v>
      </c>
    </row>
    <row r="12" spans="1:27" ht="25" customHeight="1" x14ac:dyDescent="0.3">
      <c r="A12" s="309" t="str">
        <f>'Tariffs 2020'!F6</f>
        <v>Red Energy</v>
      </c>
      <c r="B12" s="307" t="str">
        <f>'Tariffs 2020'!D6</f>
        <v>Jemena Coastal Network</v>
      </c>
      <c r="C12" s="307" t="str">
        <f>'Tariffs 2020'!G6</f>
        <v>Living Energy Saver</v>
      </c>
      <c r="D12" s="310">
        <f>60*'Tariffs 2020'!H6/100</f>
        <v>37.799999999999997</v>
      </c>
      <c r="E12" s="310">
        <f>IF('Tariffs 2020'!K6="",$C$5*'Tariffs 2020'!W6/100,IF($C$5&gt;='Tariffs 2020'!L6,('Tariffs 2020'!L6*'Tariffs 2020'!W6/100),($C$5*'Tariffs 2020'!W6/100)))</f>
        <v>42.002181818181818</v>
      </c>
      <c r="F12" s="310">
        <f>IF(AND('Tariffs 2020'!L6&gt;0,'Tariffs 2020'!M6&gt;0),IF($C$5&lt;'Tariffs 2020'!L6,0,IF(($C$5-'Tariffs 2020'!L6)&lt;=('Tariffs 2020'!M6+'Tariffs 2020'!L6),(($C$5-'Tariffs 2020'!L6)*'Tariffs 2020'!X6/100),(('Tariffs 2020'!M6)*'Tariffs 2020'!X6/100))),0)</f>
        <v>25.662000000000003</v>
      </c>
      <c r="G12" s="310">
        <f>IF(AND('Tariffs 2020'!M6&gt;0,'Tariffs 2020'!N6&gt;0),IF($C$5&lt;('Tariffs 2020'!L6+'Tariffs 2020'!M6),0,IF(($C$5-'Tariffs 2020'!L6+'Tariffs 2020'!M6)&lt;=('Tariffs 2020'!L6+'Tariffs 2020'!M6+'Tariffs 2020'!N6),(($C$5-('Tariffs 2020'!L6+'Tariffs 2020'!M6))*'Tariffs 2020'!Y6/100),('Tariffs 2020'!N6*'Tariffs 2020'!Y6/100))),0)</f>
        <v>30.72</v>
      </c>
      <c r="H12" s="310">
        <f>IF(AND('Tariffs 2020'!N6&gt;0,'Tariffs 2020'!O6&gt;0),IF($C$5&lt;('Tariffs 2020'!L6+'Tariffs 2020'!M6+'Tariffs 2020'!N6),0,IF(($C$5-'Tariffs 2020'!L6+'Tariffs 2020'!M6+'Tariffs 2020'!N6)&lt;=('Tariffs 2020'!L6+'Tariffs 2020'!M6+'Tariffs 2020'!N6+'Tariffs 2020'!O6),(($C$5-('Tariffs 2020'!L6+'Tariffs 2020'!M6+'Tariffs 2020'!N6))*'Tariffs 2020'!Z6/100),('Tariffs 2020'!O6*'Tariffs 2020'!Z6/100))),0)</f>
        <v>0</v>
      </c>
      <c r="I12" s="310">
        <f>IF(AND('Tariffs 2020'!O6&gt;0,'Tariffs 2020'!P6&gt;0),IF($C$5&lt;('Tariffs 2020'!L6+'Tariffs 2020'!M6+'Tariffs 2020'!N6+'Tariffs 2020'!O6),0,IF(($C$5-'Tariffs 2020'!L6+'Tariffs 2020'!M6+'Tariffs 2020'!N6+'Tariffs 2020'!O6)&lt;=('Tariffs 2020'!L6+'Tariffs 2020'!M6+'Tariffs 2020'!N6+'Tariffs 2020'!O6+'Tariffs 2020'!P6),(($C$5-('Tariffs 2020'!L6+'Tariffs 2020'!M6+'Tariffs 2020'!N6+'Tariffs 2020'!O6))*'Tariffs 2020'!AA6/100),('Tariffs 2020'!P6*'Tariffs 2020'!AA6/100))),0)</f>
        <v>0</v>
      </c>
      <c r="J12" s="310">
        <f>IF(AND('Tariffs 2020'!P6&gt;0,'Tariffs 2020'!O6&gt;0),IF(($C$5&lt;SUM('Tariffs 2020'!L6:P6)),(0),($C$5-SUM('Tariffs 2020'!L6:P6))*'Tariffs 2020'!AB6/100),IF(AND('Tariffs 2020'!O6&gt;0,'Tariffs 2020'!P6=""),IF(($C$5&lt; SUM('Tariffs 2020'!L6:O6)),(0),($C$5-SUM('Tariffs 2020'!L6:O6))*'Tariffs 2020'!AA6/100),IF(AND('Tariffs 2020'!N6&gt;0,'Tariffs 2020'!O6=""),IF(($C$5&lt; SUM('Tariffs 2020'!L6:N6)),(0),($C$5-SUM('Tariffs 2020'!L6:N6))*'Tariffs 2020'!Z6/100),IF(AND('Tariffs 2020'!M6&gt;0,'Tariffs 2020'!N6=""),IF(($C$5&lt;'Tariffs 2020'!M6+'Tariffs 2020'!L6),(0),(($C$5-('Tariffs 2020'!M6+'Tariffs 2020'!L6))*'Tariffs 2020'!Y6/100)),IF(AND('Tariffs 2020'!L6&gt;0,'Tariffs 2020'!M6=""&gt;0),IF(($C$5&lt;'Tariffs 2020'!L6),(0),($C$5-'Tariffs 2020'!L6)*'Tariffs 2020'!X6/100),0)))))</f>
        <v>0</v>
      </c>
      <c r="K12" s="310">
        <f t="shared" si="0"/>
        <v>136.18418181818183</v>
      </c>
      <c r="L12" s="370">
        <f t="shared" si="6"/>
        <v>590.30509090909095</v>
      </c>
      <c r="M12" s="371">
        <f t="shared" si="7"/>
        <v>817.1050909090909</v>
      </c>
      <c r="N12" s="311">
        <f t="shared" si="8"/>
        <v>898.81560000000002</v>
      </c>
      <c r="O12" s="307">
        <f>'Tariffs 2020'!AT6</f>
        <v>0</v>
      </c>
      <c r="P12" s="307">
        <f>'Tariffs 2020'!AU6</f>
        <v>0</v>
      </c>
      <c r="Q12" s="307">
        <f>'Tariffs 2020'!AV6</f>
        <v>0</v>
      </c>
      <c r="R12" s="307">
        <f>'Tariffs 2020'!AW6</f>
        <v>0</v>
      </c>
      <c r="S12" s="312" t="str">
        <f t="shared" si="9"/>
        <v>No discount</v>
      </c>
      <c r="T12" s="312" t="str">
        <f t="shared" si="2"/>
        <v>Inclusive</v>
      </c>
      <c r="U12" s="382">
        <f t="shared" si="3"/>
        <v>817.1050909090909</v>
      </c>
      <c r="V12" s="382">
        <f t="shared" si="4"/>
        <v>817.1050909090909</v>
      </c>
      <c r="W12" s="391">
        <f t="shared" si="5"/>
        <v>898.81560000000002</v>
      </c>
      <c r="X12" s="391">
        <f t="shared" si="5"/>
        <v>898.81560000000002</v>
      </c>
      <c r="Y12" s="313">
        <f>'Tariffs 2020'!BF6</f>
        <v>0</v>
      </c>
      <c r="Z12" s="322" t="str">
        <f>'Tariffs 2020'!BG6</f>
        <v>n</v>
      </c>
      <c r="AA12" s="314" t="s">
        <v>288</v>
      </c>
    </row>
    <row r="13" spans="1:27" ht="25" customHeight="1" x14ac:dyDescent="0.3">
      <c r="A13" s="309" t="str">
        <f>'Tariffs 2020'!F7</f>
        <v>Amaysim</v>
      </c>
      <c r="B13" s="307" t="str">
        <f>'Tariffs 2020'!D7</f>
        <v>Jemena Coastal Network</v>
      </c>
      <c r="C13" s="307" t="str">
        <f>'Tariffs 2020'!G7</f>
        <v>Post-paid gas</v>
      </c>
      <c r="D13" s="310">
        <f>60*'Tariffs 2020'!H7/100</f>
        <v>21.158181818181816</v>
      </c>
      <c r="E13" s="310">
        <f>IF('Tariffs 2020'!K7="",$C$5*'Tariffs 2020'!W7/100,IF($C$5&gt;='Tariffs 2020'!L7,('Tariffs 2020'!L7*'Tariffs 2020'!W7/100),($C$5*'Tariffs 2020'!W7/100)))</f>
        <v>45.385909090909088</v>
      </c>
      <c r="F13" s="310">
        <f>IF(AND('Tariffs 2020'!L7&gt;0,'Tariffs 2020'!M7&gt;0),IF($C$5&lt;'Tariffs 2020'!L7,0,IF(($C$5-'Tariffs 2020'!L7)&lt;=('Tariffs 2020'!M7+'Tariffs 2020'!L7),(($C$5-'Tariffs 2020'!L7)*'Tariffs 2020'!X7/100),(('Tariffs 2020'!M7)*'Tariffs 2020'!X7/100))),0)</f>
        <v>29.772727272727273</v>
      </c>
      <c r="G13" s="310">
        <f>IF(AND('Tariffs 2020'!M7&gt;0,'Tariffs 2020'!N7&gt;0),IF($C$5&lt;('Tariffs 2020'!L7+'Tariffs 2020'!M7),0,IF(($C$5-'Tariffs 2020'!L7+'Tariffs 2020'!M7)&lt;=('Tariffs 2020'!L7+'Tariffs 2020'!M7+'Tariffs 2020'!N7),(($C$5-('Tariffs 2020'!L7+'Tariffs 2020'!M7))*'Tariffs 2020'!Y7/100),('Tariffs 2020'!N7*'Tariffs 2020'!Y7/100))),0)</f>
        <v>35.162272727272722</v>
      </c>
      <c r="H13" s="310">
        <f>IF(AND('Tariffs 2020'!N7&gt;0,'Tariffs 2020'!O7&gt;0),IF($C$5&lt;('Tariffs 2020'!L7+'Tariffs 2020'!M7+'Tariffs 2020'!N7),0,IF(($C$5-'Tariffs 2020'!L7+'Tariffs 2020'!M7+'Tariffs 2020'!N7)&lt;=('Tariffs 2020'!L7+'Tariffs 2020'!M7+'Tariffs 2020'!N7+'Tariffs 2020'!O7),(($C$5-('Tariffs 2020'!L7+'Tariffs 2020'!M7+'Tariffs 2020'!N7))*'Tariffs 2020'!Z7/100),('Tariffs 2020'!O7*'Tariffs 2020'!Z7/100))),0)</f>
        <v>0</v>
      </c>
      <c r="I13" s="310">
        <f>IF(AND('Tariffs 2020'!O7&gt;0,'Tariffs 2020'!P7&gt;0),IF($C$5&lt;('Tariffs 2020'!L7+'Tariffs 2020'!M7+'Tariffs 2020'!N7+'Tariffs 2020'!O7),0,IF(($C$5-'Tariffs 2020'!L7+'Tariffs 2020'!M7+'Tariffs 2020'!N7+'Tariffs 2020'!O7)&lt;=('Tariffs 2020'!L7+'Tariffs 2020'!M7+'Tariffs 2020'!N7+'Tariffs 2020'!O7+'Tariffs 2020'!P7),(($C$5-('Tariffs 2020'!L7+'Tariffs 2020'!M7+'Tariffs 2020'!N7+'Tariffs 2020'!O7))*'Tariffs 2020'!AA7/100),('Tariffs 2020'!P7*'Tariffs 2020'!AA7/100))),0)</f>
        <v>0</v>
      </c>
      <c r="J13" s="310">
        <f>IF(AND('Tariffs 2020'!P7&gt;0,'Tariffs 2020'!O7&gt;0),IF(($C$5&lt;SUM('Tariffs 2020'!L7:P7)),(0),($C$5-SUM('Tariffs 2020'!L7:P7))*'Tariffs 2020'!AB7/100),IF(AND('Tariffs 2020'!O7&gt;0,'Tariffs 2020'!P7=""),IF(($C$5&lt; SUM('Tariffs 2020'!L7:O7)),(0),($C$5-SUM('Tariffs 2020'!L7:O7))*'Tariffs 2020'!AA7/100),IF(AND('Tariffs 2020'!N7&gt;0,'Tariffs 2020'!O7=""),IF(($C$5&lt; SUM('Tariffs 2020'!L7:N7)),(0),($C$5-SUM('Tariffs 2020'!L7:N7))*'Tariffs 2020'!Z7/100),IF(AND('Tariffs 2020'!M7&gt;0,'Tariffs 2020'!N7=""),IF(($C$5&lt;'Tariffs 2020'!M7+'Tariffs 2020'!L7),(0),(($C$5-('Tariffs 2020'!M7+'Tariffs 2020'!L7))*'Tariffs 2020'!Y7/100)),IF(AND('Tariffs 2020'!L7&gt;0,'Tariffs 2020'!M7=""&gt;0),IF(($C$5&lt;'Tariffs 2020'!L7),(0),($C$5-'Tariffs 2020'!L7)*'Tariffs 2020'!X7/100),0)))))</f>
        <v>0</v>
      </c>
      <c r="K13" s="310">
        <f t="shared" si="0"/>
        <v>131.4790909090909</v>
      </c>
      <c r="L13" s="370">
        <f t="shared" si="6"/>
        <v>661.92545454545439</v>
      </c>
      <c r="M13" s="371">
        <f t="shared" si="7"/>
        <v>788.87454545454534</v>
      </c>
      <c r="N13" s="311">
        <f t="shared" si="8"/>
        <v>867.76199999999994</v>
      </c>
      <c r="O13" s="307">
        <f>'Tariffs 2020'!AT7</f>
        <v>0</v>
      </c>
      <c r="P13" s="307">
        <f>'Tariffs 2020'!AU7</f>
        <v>0</v>
      </c>
      <c r="Q13" s="307">
        <f>'Tariffs 2020'!AV7</f>
        <v>0</v>
      </c>
      <c r="R13" s="307">
        <f>'Tariffs 2020'!AW7</f>
        <v>0</v>
      </c>
      <c r="S13" s="312" t="str">
        <f t="shared" si="9"/>
        <v>No discount</v>
      </c>
      <c r="T13" s="312" t="str">
        <f t="shared" si="2"/>
        <v>Exclusive</v>
      </c>
      <c r="U13" s="382">
        <f t="shared" si="3"/>
        <v>788.87454545454534</v>
      </c>
      <c r="V13" s="382">
        <f t="shared" si="4"/>
        <v>788.87454545454534</v>
      </c>
      <c r="W13" s="391">
        <f t="shared" si="5"/>
        <v>867.76199999999994</v>
      </c>
      <c r="X13" s="391">
        <f t="shared" si="5"/>
        <v>867.76199999999994</v>
      </c>
      <c r="Y13" s="313">
        <f>'Tariffs 2020'!BF7</f>
        <v>0</v>
      </c>
      <c r="Z13" s="313" t="str">
        <f>'Tariffs 2020'!BG7</f>
        <v>n</v>
      </c>
      <c r="AA13" s="314" t="s">
        <v>400</v>
      </c>
    </row>
    <row r="14" spans="1:27" ht="25" customHeight="1" x14ac:dyDescent="0.3">
      <c r="A14" s="309" t="str">
        <f>'Tariffs 2020'!F8</f>
        <v>Click Energy</v>
      </c>
      <c r="B14" s="307" t="str">
        <f>'Tariffs 2020'!D8</f>
        <v>Jemena Coastal Network</v>
      </c>
      <c r="C14" s="307" t="str">
        <f>'Tariffs 2020'!G8</f>
        <v>Flora</v>
      </c>
      <c r="D14" s="310">
        <f>60*'Tariffs 2020'!H8/100</f>
        <v>19.609090909090909</v>
      </c>
      <c r="E14" s="310">
        <f>IF('Tariffs 2020'!K8="",$C$5*'Tariffs 2020'!W8/100,IF($C$5&gt;='Tariffs 2020'!L8,('Tariffs 2020'!L8*'Tariffs 2020'!W8/100),($C$5*'Tariffs 2020'!W8/100)))</f>
        <v>42.036000000000001</v>
      </c>
      <c r="F14" s="310">
        <f>IF(AND('Tariffs 2020'!L8&gt;0,'Tariffs 2020'!M8&gt;0),IF($C$5&lt;'Tariffs 2020'!L8,0,IF(($C$5-'Tariffs 2020'!L8)&lt;=('Tariffs 2020'!M8+'Tariffs 2020'!L8),(($C$5-'Tariffs 2020'!L8)*'Tariffs 2020'!X8/100),(('Tariffs 2020'!M8)*'Tariffs 2020'!X8/100))),0)</f>
        <v>26.905999999999995</v>
      </c>
      <c r="G14" s="310">
        <f>IF(AND('Tariffs 2020'!M8&gt;0,'Tariffs 2020'!N8&gt;0),IF($C$5&lt;('Tariffs 2020'!L8+'Tariffs 2020'!M8),0,IF(($C$5-'Tariffs 2020'!L8+'Tariffs 2020'!M8)&lt;=('Tariffs 2020'!L8+'Tariffs 2020'!M8+'Tariffs 2020'!N8),(($C$5-('Tariffs 2020'!L8+'Tariffs 2020'!M8))*'Tariffs 2020'!Y8/100),('Tariffs 2020'!N8*'Tariffs 2020'!Y8/100))),0)</f>
        <v>33.19018181818182</v>
      </c>
      <c r="H14" s="310">
        <f>IF(AND('Tariffs 2020'!N8&gt;0,'Tariffs 2020'!O8&gt;0),IF($C$5&lt;('Tariffs 2020'!L8+'Tariffs 2020'!M8+'Tariffs 2020'!N8),0,IF(($C$5-'Tariffs 2020'!L8+'Tariffs 2020'!M8+'Tariffs 2020'!N8)&lt;=('Tariffs 2020'!L8+'Tariffs 2020'!M8+'Tariffs 2020'!N8+'Tariffs 2020'!O8),(($C$5-('Tariffs 2020'!L8+'Tariffs 2020'!M8+'Tariffs 2020'!N8))*'Tariffs 2020'!Z8/100),('Tariffs 2020'!O8*'Tariffs 2020'!Z8/100))),0)</f>
        <v>0</v>
      </c>
      <c r="I14" s="310">
        <f>IF(AND('Tariffs 2020'!O8&gt;0,'Tariffs 2020'!P8&gt;0),IF($C$5&lt;('Tariffs 2020'!L8+'Tariffs 2020'!M8+'Tariffs 2020'!N8+'Tariffs 2020'!O8),0,IF(($C$5-'Tariffs 2020'!L8+'Tariffs 2020'!M8+'Tariffs 2020'!N8+'Tariffs 2020'!O8)&lt;=('Tariffs 2020'!L8+'Tariffs 2020'!M8+'Tariffs 2020'!N8+'Tariffs 2020'!O8+'Tariffs 2020'!P8),(($C$5-('Tariffs 2020'!L8+'Tariffs 2020'!M8+'Tariffs 2020'!N8+'Tariffs 2020'!O8))*'Tariffs 2020'!AA8/100),('Tariffs 2020'!P8*'Tariffs 2020'!AA8/100))),0)</f>
        <v>0</v>
      </c>
      <c r="J14" s="310">
        <f>IF(AND('Tariffs 2020'!P8&gt;0,'Tariffs 2020'!O8&gt;0),IF(($C$5&lt;SUM('Tariffs 2020'!L8:P8)),(0),($C$5-SUM('Tariffs 2020'!L8:P8))*'Tariffs 2020'!AB8/100),IF(AND('Tariffs 2020'!O8&gt;0,'Tariffs 2020'!P8=""),IF(($C$5&lt; SUM('Tariffs 2020'!L8:O8)),(0),($C$5-SUM('Tariffs 2020'!L8:O8))*'Tariffs 2020'!AA8/100),IF(AND('Tariffs 2020'!N8&gt;0,'Tariffs 2020'!O8=""),IF(($C$5&lt; SUM('Tariffs 2020'!L8:N8)),(0),($C$5-SUM('Tariffs 2020'!L8:N8))*'Tariffs 2020'!Z8/100),IF(AND('Tariffs 2020'!M8&gt;0,'Tariffs 2020'!N8=""),IF(($C$5&lt;'Tariffs 2020'!M8+'Tariffs 2020'!L8),(0),(($C$5-('Tariffs 2020'!M8+'Tariffs 2020'!L8))*'Tariffs 2020'!Y8/100)),IF(AND('Tariffs 2020'!L8&gt;0,'Tariffs 2020'!M8=""&gt;0),IF(($C$5&lt;'Tariffs 2020'!L8),(0),($C$5-'Tariffs 2020'!L8)*'Tariffs 2020'!X8/100),0)))))</f>
        <v>0</v>
      </c>
      <c r="K14" s="310">
        <f t="shared" si="0"/>
        <v>121.74127272727273</v>
      </c>
      <c r="L14" s="370">
        <f t="shared" si="6"/>
        <v>612.79309090909089</v>
      </c>
      <c r="M14" s="371">
        <f t="shared" si="7"/>
        <v>730.44763636363632</v>
      </c>
      <c r="N14" s="311">
        <f t="shared" si="8"/>
        <v>803.49239999999998</v>
      </c>
      <c r="O14" s="307">
        <f>'Tariffs 2020'!AT8</f>
        <v>0</v>
      </c>
      <c r="P14" s="307">
        <f>'Tariffs 2020'!AU8</f>
        <v>0</v>
      </c>
      <c r="Q14" s="307">
        <f>'Tariffs 2020'!AV8</f>
        <v>0</v>
      </c>
      <c r="R14" s="307">
        <f>'Tariffs 2020'!AW8</f>
        <v>0</v>
      </c>
      <c r="S14" s="312" t="str">
        <f t="shared" si="9"/>
        <v>No discount</v>
      </c>
      <c r="T14" s="312" t="str">
        <f t="shared" si="2"/>
        <v>Exclusive</v>
      </c>
      <c r="U14" s="382">
        <f t="shared" si="3"/>
        <v>730.44763636363632</v>
      </c>
      <c r="V14" s="382">
        <f t="shared" si="4"/>
        <v>730.44763636363632</v>
      </c>
      <c r="W14" s="391">
        <f t="shared" si="5"/>
        <v>803.49239999999998</v>
      </c>
      <c r="X14" s="391">
        <f t="shared" si="5"/>
        <v>803.49239999999998</v>
      </c>
      <c r="Y14" s="313">
        <f>'Tariffs 2020'!BF8</f>
        <v>0</v>
      </c>
      <c r="Z14" s="313" t="str">
        <f>'Tariffs 2020'!BG8</f>
        <v>n</v>
      </c>
      <c r="AA14" s="314" t="s">
        <v>400</v>
      </c>
    </row>
    <row r="15" spans="1:27" ht="25" customHeight="1" x14ac:dyDescent="0.3">
      <c r="A15" s="309" t="str">
        <f>'Tariffs 2020'!F9</f>
        <v>Simply Energy</v>
      </c>
      <c r="B15" s="307" t="str">
        <f>'Tariffs 2020'!D9</f>
        <v>Jemena Coastal Network</v>
      </c>
      <c r="C15" s="307" t="str">
        <f>'Tariffs 2020'!G9</f>
        <v>Saver</v>
      </c>
      <c r="D15" s="310">
        <f>60*'Tariffs 2020'!H9/100</f>
        <v>31.799999999999997</v>
      </c>
      <c r="E15" s="310">
        <f>IF('Tariffs 2020'!K9="",$C$5*'Tariffs 2020'!W9/100,IF($C$5&gt;='Tariffs 2020'!L9,('Tariffs 2020'!L9*'Tariffs 2020'!W9/100),($C$5*'Tariffs 2020'!W9/100)))</f>
        <v>42.272727272727273</v>
      </c>
      <c r="F15" s="310">
        <f>IF(AND('Tariffs 2020'!L9&gt;0,'Tariffs 2020'!M9&gt;0),IF($C$5&lt;'Tariffs 2020'!L9,0,IF(($C$5-'Tariffs 2020'!L9)&lt;=('Tariffs 2020'!M9+'Tariffs 2020'!L9),(($C$5-'Tariffs 2020'!L9)*'Tariffs 2020'!X9/100),(('Tariffs 2020'!M9)*'Tariffs 2020'!X9/100))),0)</f>
        <v>27.727272727272727</v>
      </c>
      <c r="G15" s="310">
        <f>IF(AND('Tariffs 2020'!M9&gt;0,'Tariffs 2020'!N9&gt;0),IF($C$5&lt;('Tariffs 2020'!L9+'Tariffs 2020'!M9),0,IF(($C$5-'Tariffs 2020'!L9+'Tariffs 2020'!M9)&lt;=('Tariffs 2020'!L9+'Tariffs 2020'!M9+'Tariffs 2020'!N9),(($C$5-('Tariffs 2020'!L9+'Tariffs 2020'!M9))*'Tariffs 2020'!Y9/100),('Tariffs 2020'!N9*'Tariffs 2020'!Y9/100))),0)</f>
        <v>32.340000000000003</v>
      </c>
      <c r="H15" s="310">
        <f>IF(AND('Tariffs 2020'!N9&gt;0,'Tariffs 2020'!O9&gt;0),IF($C$5&lt;('Tariffs 2020'!L9+'Tariffs 2020'!M9+'Tariffs 2020'!N9),0,IF(($C$5-'Tariffs 2020'!L9+'Tariffs 2020'!M9+'Tariffs 2020'!N9)&lt;=('Tariffs 2020'!L9+'Tariffs 2020'!M9+'Tariffs 2020'!N9+'Tariffs 2020'!O9),(($C$5-('Tariffs 2020'!L9+'Tariffs 2020'!M9+'Tariffs 2020'!N9))*'Tariffs 2020'!Z9/100),('Tariffs 2020'!O9*'Tariffs 2020'!Z9/100))),0)</f>
        <v>0</v>
      </c>
      <c r="I15" s="310">
        <f>IF(AND('Tariffs 2020'!O9&gt;0,'Tariffs 2020'!P9&gt;0),IF($C$5&lt;('Tariffs 2020'!L9+'Tariffs 2020'!M9+'Tariffs 2020'!N9+'Tariffs 2020'!O9),0,IF(($C$5-'Tariffs 2020'!L9+'Tariffs 2020'!M9+'Tariffs 2020'!N9+'Tariffs 2020'!O9)&lt;=('Tariffs 2020'!L9+'Tariffs 2020'!M9+'Tariffs 2020'!N9+'Tariffs 2020'!O9+'Tariffs 2020'!P9),(($C$5-('Tariffs 2020'!L9+'Tariffs 2020'!M9+'Tariffs 2020'!N9+'Tariffs 2020'!O9))*'Tariffs 2020'!AA9/100),('Tariffs 2020'!P9*'Tariffs 2020'!AA9/100))),0)</f>
        <v>0</v>
      </c>
      <c r="J15" s="310">
        <f>IF(AND('Tariffs 2020'!P9&gt;0,'Tariffs 2020'!O9&gt;0),IF(($C$5&lt;SUM('Tariffs 2020'!L9:P9)),(0),($C$5-SUM('Tariffs 2020'!L9:P9))*'Tariffs 2020'!AB9/100),IF(AND('Tariffs 2020'!O9&gt;0,'Tariffs 2020'!P9=""),IF(($C$5&lt; SUM('Tariffs 2020'!L9:O9)),(0),($C$5-SUM('Tariffs 2020'!L9:O9))*'Tariffs 2020'!AA9/100),IF(AND('Tariffs 2020'!N9&gt;0,'Tariffs 2020'!O9=""),IF(($C$5&lt; SUM('Tariffs 2020'!L9:N9)),(0),($C$5-SUM('Tariffs 2020'!L9:N9))*'Tariffs 2020'!Z9/100),IF(AND('Tariffs 2020'!M9&gt;0,'Tariffs 2020'!N9=""),IF(($C$5&lt;'Tariffs 2020'!M9+'Tariffs 2020'!L9),(0),(($C$5-('Tariffs 2020'!M9+'Tariffs 2020'!L9))*'Tariffs 2020'!Y9/100)),IF(AND('Tariffs 2020'!L9&gt;0,'Tariffs 2020'!M9=""&gt;0),IF(($C$5&lt;'Tariffs 2020'!L9),(0),($C$5-'Tariffs 2020'!L9)*'Tariffs 2020'!X9/100),0)))))</f>
        <v>0</v>
      </c>
      <c r="K15" s="310">
        <f t="shared" si="0"/>
        <v>134.13999999999999</v>
      </c>
      <c r="L15" s="370">
        <f t="shared" si="6"/>
        <v>614.04</v>
      </c>
      <c r="M15" s="371">
        <f t="shared" si="7"/>
        <v>804.83999999999992</v>
      </c>
      <c r="N15" s="311">
        <f t="shared" si="8"/>
        <v>885.32399999999996</v>
      </c>
      <c r="O15" s="307">
        <f>'Tariffs 2020'!AT9</f>
        <v>20</v>
      </c>
      <c r="P15" s="307">
        <f>'Tariffs 2020'!AU9</f>
        <v>0</v>
      </c>
      <c r="Q15" s="307">
        <f>'Tariffs 2020'!AV9</f>
        <v>0</v>
      </c>
      <c r="R15" s="307">
        <f>'Tariffs 2020'!AW9</f>
        <v>0</v>
      </c>
      <c r="S15" s="312" t="str">
        <f t="shared" si="9"/>
        <v>Guaranteed off bill</v>
      </c>
      <c r="T15" s="312" t="str">
        <f t="shared" si="2"/>
        <v>Exclusive</v>
      </c>
      <c r="U15" s="382">
        <f t="shared" si="3"/>
        <v>643.87199999999996</v>
      </c>
      <c r="V15" s="382">
        <f t="shared" si="4"/>
        <v>643.87199999999996</v>
      </c>
      <c r="W15" s="391">
        <f t="shared" si="5"/>
        <v>708.25919999999996</v>
      </c>
      <c r="X15" s="391">
        <f t="shared" si="5"/>
        <v>708.25919999999996</v>
      </c>
      <c r="Y15" s="313">
        <f>'Tariffs 2020'!BF9</f>
        <v>0</v>
      </c>
      <c r="Z15" s="313" t="str">
        <f>'Tariffs 2020'!BG9</f>
        <v>n</v>
      </c>
      <c r="AA15" s="314" t="s">
        <v>400</v>
      </c>
    </row>
    <row r="16" spans="1:27" ht="25" customHeight="1" thickBot="1" x14ac:dyDescent="0.35">
      <c r="A16" s="309" t="str">
        <f>'Tariffs 2020'!F10</f>
        <v>GloBird Energy</v>
      </c>
      <c r="B16" s="307" t="str">
        <f>'Tariffs 2020'!D10</f>
        <v>Jemena Coastal Network</v>
      </c>
      <c r="C16" s="307" t="str">
        <f>'Tariffs 2020'!G10</f>
        <v>GloSave</v>
      </c>
      <c r="D16" s="310">
        <f>60*'Tariffs 2020'!H10/100</f>
        <v>26.999999999999996</v>
      </c>
      <c r="E16" s="310">
        <f>IF('Tariffs 2020'!K10="",$C$5*'Tariffs 2020'!W10/100,IF($C$5&gt;='Tariffs 2020'!L10,('Tariffs 2020'!L10*'Tariffs 2020'!W10/100),($C$5*'Tariffs 2020'!W10/100)))</f>
        <v>43.47</v>
      </c>
      <c r="F16" s="310">
        <f>IF(AND('Tariffs 2020'!L10&gt;0,'Tariffs 2020'!M10&gt;0),IF($C$5&lt;'Tariffs 2020'!L10,0,IF(($C$5-'Tariffs 2020'!L10)&lt;=('Tariffs 2020'!M10+'Tariffs 2020'!L10),(($C$5-'Tariffs 2020'!L10)*'Tariffs 2020'!X10/100),(('Tariffs 2020'!M10)*'Tariffs 2020'!X10/100))),0)</f>
        <v>0</v>
      </c>
      <c r="G16" s="310">
        <f>IF(AND('Tariffs 2020'!M10&gt;0,'Tariffs 2020'!N10&gt;0),IF($C$5&lt;('Tariffs 2020'!L10+'Tariffs 2020'!M10),0,IF(($C$5-'Tariffs 2020'!L10+'Tariffs 2020'!M10)&lt;=('Tariffs 2020'!L10+'Tariffs 2020'!M10+'Tariffs 2020'!N10),(($C$5-('Tariffs 2020'!L10+'Tariffs 2020'!M10))*'Tariffs 2020'!Y10/100),('Tariffs 2020'!N10*'Tariffs 2020'!Y10/100))),0)</f>
        <v>0</v>
      </c>
      <c r="H16" s="310">
        <f>IF(AND('Tariffs 2020'!N10&gt;0,'Tariffs 2020'!O10&gt;0),IF($C$5&lt;('Tariffs 2020'!L10+'Tariffs 2020'!M10+'Tariffs 2020'!N10),0,IF(($C$5-'Tariffs 2020'!L10+'Tariffs 2020'!M10+'Tariffs 2020'!N10)&lt;=('Tariffs 2020'!L10+'Tariffs 2020'!M10+'Tariffs 2020'!N10+'Tariffs 2020'!O10),(($C$5-('Tariffs 2020'!L10+'Tariffs 2020'!M10+'Tariffs 2020'!N10))*'Tariffs 2020'!Z10/100),('Tariffs 2020'!O10*'Tariffs 2020'!Z10/100))),0)</f>
        <v>0</v>
      </c>
      <c r="I16" s="310">
        <f>IF(AND('Tariffs 2020'!O10&gt;0,'Tariffs 2020'!P10&gt;0),IF($C$5&lt;('Tariffs 2020'!L10+'Tariffs 2020'!M10+'Tariffs 2020'!N10+'Tariffs 2020'!O10),0,IF(($C$5-'Tariffs 2020'!L10+'Tariffs 2020'!M10+'Tariffs 2020'!N10+'Tariffs 2020'!O10)&lt;=('Tariffs 2020'!L10+'Tariffs 2020'!M10+'Tariffs 2020'!N10+'Tariffs 2020'!O10+'Tariffs 2020'!P10),(($C$5-('Tariffs 2020'!L10+'Tariffs 2020'!M10+'Tariffs 2020'!N10+'Tariffs 2020'!O10))*'Tariffs 2020'!AA10/100),('Tariffs 2020'!P10*'Tariffs 2020'!AA10/100))),0)</f>
        <v>0</v>
      </c>
      <c r="J16" s="310">
        <f>IF(AND('Tariffs 2020'!P10&gt;0,'Tariffs 2020'!O10&gt;0),IF(($C$5&lt;SUM('Tariffs 2020'!L10:P10)),(0),($C$5-SUM('Tariffs 2020'!L10:P10))*'Tariffs 2020'!AB10/100),IF(AND('Tariffs 2020'!O10&gt;0,'Tariffs 2020'!P10=""),IF(($C$5&lt; SUM('Tariffs 2020'!L10:O10)),(0),($C$5-SUM('Tariffs 2020'!L10:O10))*'Tariffs 2020'!AA10/100),IF(AND('Tariffs 2020'!N10&gt;0,'Tariffs 2020'!O10=""),IF(($C$5&lt; SUM('Tariffs 2020'!L10:N10)),(0),($C$5-SUM('Tariffs 2020'!L10:N10))*'Tariffs 2020'!Z10/100),IF(AND('Tariffs 2020'!M10&gt;0,'Tariffs 2020'!N10=""),IF(($C$5&lt;'Tariffs 2020'!M10+'Tariffs 2020'!L10),(0),(($C$5-('Tariffs 2020'!M10+'Tariffs 2020'!L10))*'Tariffs 2020'!Y10/100)),IF(AND('Tariffs 2020'!L10&gt;0,'Tariffs 2020'!M10=""&gt;0),IF(($C$5&lt;'Tariffs 2020'!L10),(0),($C$5-'Tariffs 2020'!L10)*'Tariffs 2020'!X10/100),0)))))</f>
        <v>63.433999999999997</v>
      </c>
      <c r="K16" s="310">
        <f t="shared" si="0"/>
        <v>133.904</v>
      </c>
      <c r="L16" s="370">
        <f t="shared" si="6"/>
        <v>641.42399999999998</v>
      </c>
      <c r="M16" s="371">
        <f t="shared" si="7"/>
        <v>803.42399999999998</v>
      </c>
      <c r="N16" s="311">
        <f t="shared" si="8"/>
        <v>883.76640000000009</v>
      </c>
      <c r="O16" s="307">
        <f>'Tariffs 2020'!AT10</f>
        <v>0</v>
      </c>
      <c r="P16" s="307">
        <f>'Tariffs 2020'!AU10</f>
        <v>0</v>
      </c>
      <c r="Q16" s="307">
        <f>'Tariffs 2020'!AV10</f>
        <v>5</v>
      </c>
      <c r="R16" s="307">
        <f>'Tariffs 2020'!AW10</f>
        <v>0</v>
      </c>
      <c r="S16" s="312" t="str">
        <f t="shared" si="9"/>
        <v>Pay-on-time off bill</v>
      </c>
      <c r="T16" s="312" t="str">
        <f t="shared" si="2"/>
        <v>Exclusive</v>
      </c>
      <c r="U16" s="382">
        <f t="shared" si="3"/>
        <v>803.42399999999998</v>
      </c>
      <c r="V16" s="382">
        <f t="shared" si="4"/>
        <v>763.25279999999998</v>
      </c>
      <c r="W16" s="391">
        <f t="shared" si="5"/>
        <v>883.76640000000009</v>
      </c>
      <c r="X16" s="391">
        <f t="shared" si="5"/>
        <v>839.57808</v>
      </c>
      <c r="Y16" s="313">
        <f>'Tariffs 2020'!BF10</f>
        <v>0</v>
      </c>
      <c r="Z16" s="313" t="str">
        <f>'Tariffs 2020'!BG10</f>
        <v>n</v>
      </c>
      <c r="AA16" s="314" t="s">
        <v>400</v>
      </c>
    </row>
    <row r="17" spans="1:27" ht="25" customHeight="1" thickTop="1" x14ac:dyDescent="0.3">
      <c r="A17" s="338" t="str">
        <f>'Tariffs 2020'!F11</f>
        <v>EnergyAustralia</v>
      </c>
      <c r="B17" s="339" t="str">
        <f>'Tariffs 2020'!D11</f>
        <v>Jemena Capital Region</v>
      </c>
      <c r="C17" s="339" t="str">
        <f>'Tariffs 2020'!G11</f>
        <v>Total Plan</v>
      </c>
      <c r="D17" s="340">
        <f>60*'Tariffs 2020'!H11/100</f>
        <v>36.179999999999993</v>
      </c>
      <c r="E17" s="340">
        <f>IF('Tariffs 2020'!K11="",$C$5*'Tariffs 2020'!W11/100,IF($C$5&gt;='Tariffs 2020'!L11,('Tariffs 2020'!L11*'Tariffs 2020'!W11/100),($C$5*'Tariffs 2020'!W11/100)))</f>
        <v>51.403418181818182</v>
      </c>
      <c r="F17" s="340">
        <f>IF(AND('Tariffs 2020'!L11&gt;0,'Tariffs 2020'!M11&gt;0),IF($C$5&lt;'Tariffs 2020'!L11,0,IF(($C$5-'Tariffs 2020'!L11)&lt;=('Tariffs 2020'!M11+'Tariffs 2020'!L11),(($C$5-'Tariffs 2020'!L11)*'Tariffs 2020'!X11/100),(('Tariffs 2020'!M11)*'Tariffs 2020'!X11/100))),0)</f>
        <v>33.800378181818175</v>
      </c>
      <c r="G17" s="340">
        <f>IF(AND('Tariffs 2020'!M11&gt;0,'Tariffs 2020'!N11&gt;0),IF($C$5&lt;('Tariffs 2020'!L11+'Tariffs 2020'!M11),0,IF(($C$5-'Tariffs 2020'!L11+'Tariffs 2020'!M11)&lt;=('Tariffs 2020'!L11+'Tariffs 2020'!M11+'Tariffs 2020'!N11),(($C$5-('Tariffs 2020'!L11+'Tariffs 2020'!M11))*'Tariffs 2020'!Y11/100),('Tariffs 2020'!N11*'Tariffs 2020'!Y11/100))),0)</f>
        <v>40.587621818181816</v>
      </c>
      <c r="H17" s="340">
        <f>IF(AND('Tariffs 2020'!N11&gt;0,'Tariffs 2020'!O11&gt;0),IF($C$5&lt;('Tariffs 2020'!L11+'Tariffs 2020'!M11+'Tariffs 2020'!N11),0,IF(($C$5-'Tariffs 2020'!L11+'Tariffs 2020'!M11+'Tariffs 2020'!N11)&lt;=('Tariffs 2020'!L11+'Tariffs 2020'!M11+'Tariffs 2020'!N11+'Tariffs 2020'!O11),(($C$5-('Tariffs 2020'!L11+'Tariffs 2020'!M11+'Tariffs 2020'!N11))*'Tariffs 2020'!Z11/100),('Tariffs 2020'!O11*'Tariffs 2020'!Z11/100))),0)</f>
        <v>0</v>
      </c>
      <c r="I17" s="340">
        <f>IF(AND('Tariffs 2020'!O11&gt;0,'Tariffs 2020'!P11&gt;0),IF($C$5&lt;('Tariffs 2020'!L11+'Tariffs 2020'!M11+'Tariffs 2020'!N11+'Tariffs 2020'!O11),0,IF(($C$5-'Tariffs 2020'!L11+'Tariffs 2020'!M11+'Tariffs 2020'!N11+'Tariffs 2020'!O11)&lt;=('Tariffs 2020'!L11+'Tariffs 2020'!M11+'Tariffs 2020'!N11+'Tariffs 2020'!O11+'Tariffs 2020'!P11),(($C$5-('Tariffs 2020'!L11+'Tariffs 2020'!M11+'Tariffs 2020'!N11+'Tariffs 2020'!O11))*'Tariffs 2020'!AA11/100),('Tariffs 2020'!P11*'Tariffs 2020'!AA11/100))),0)</f>
        <v>0</v>
      </c>
      <c r="J17" s="340">
        <f>IF(AND('Tariffs 2020'!P11&gt;0,'Tariffs 2020'!O11&gt;0),IF(($C$5&lt;SUM('Tariffs 2020'!L11:P11)),(0),($C$5-SUM('Tariffs 2020'!L11:P11))*'Tariffs 2020'!AB11/100),IF(AND('Tariffs 2020'!O11&gt;0,'Tariffs 2020'!P11=""),IF(($C$5&lt; SUM('Tariffs 2020'!L11:O11)),(0),($C$5-SUM('Tariffs 2020'!L11:O11))*'Tariffs 2020'!AA11/100),IF(AND('Tariffs 2020'!N11&gt;0,'Tariffs 2020'!O11=""),IF(($C$5&lt; SUM('Tariffs 2020'!L11:N11)),(0),($C$5-SUM('Tariffs 2020'!L11:N11))*'Tariffs 2020'!Z11/100),IF(AND('Tariffs 2020'!M11&gt;0,'Tariffs 2020'!N11=""),IF(($C$5&lt;'Tariffs 2020'!M11+'Tariffs 2020'!L11),(0),(($C$5-('Tariffs 2020'!M11+'Tariffs 2020'!L11))*'Tariffs 2020'!Y11/100)),IF(AND('Tariffs 2020'!L11&gt;0,'Tariffs 2020'!M11=""&gt;0),IF(($C$5&lt;'Tariffs 2020'!L11),(0),($C$5-'Tariffs 2020'!L11)*'Tariffs 2020'!X11/100),0)))))</f>
        <v>0</v>
      </c>
      <c r="K17" s="340">
        <f t="shared" si="0"/>
        <v>161.97141818181817</v>
      </c>
      <c r="L17" s="372">
        <f t="shared" si="6"/>
        <v>754.74850909090901</v>
      </c>
      <c r="M17" s="373">
        <f t="shared" si="7"/>
        <v>971.82850909090894</v>
      </c>
      <c r="N17" s="341">
        <f t="shared" si="8"/>
        <v>1069.01136</v>
      </c>
      <c r="O17" s="339">
        <f>'Tariffs 2020'!AT11</f>
        <v>16</v>
      </c>
      <c r="P17" s="339">
        <f>'Tariffs 2020'!AU11</f>
        <v>0</v>
      </c>
      <c r="Q17" s="339">
        <f>'Tariffs 2020'!AV11</f>
        <v>0</v>
      </c>
      <c r="R17" s="339">
        <f>'Tariffs 2020'!AW11</f>
        <v>0</v>
      </c>
      <c r="S17" s="342" t="str">
        <f t="shared" ref="S17:S18" si="10">IF(SUM(O17:R17)=0,"No discount",IF(O17&gt;0,"Guaranteed off bill",IF(P17&gt;0,"Guaranteed off usage",IF(Q17&gt;0,"Pay-on-time off bill","Pay-on-time off usage"))))</f>
        <v>Guaranteed off bill</v>
      </c>
      <c r="T17" s="342" t="str">
        <f t="shared" ref="T17:T36" si="11">IF(OR(A17="Origin Energy",A17="Red Energy",A17="Powershop"),"Inclusive","Exclusive")</f>
        <v>Exclusive</v>
      </c>
      <c r="U17" s="383">
        <f t="shared" ref="U17:U36" si="12">IF(AND(S17="Guaranteed off bill",T17="Inclusive"),((M17*1.1)-((M17*1.1)*O17/100))/1.1,IF(AND(S17="Guaranteed off usage",T17="Inclusive"),((M17*1.1)-((L17*1.1)*P17/100))/1.1,IF(AND(S17="Guaranteed off bill",T17="Exclusive"),M17-(M17*O17/100),IF(AND(S17="Guaranteed off usage",T17="Exclusive"),M17-(L17*P17/100),IF(T17="Inclusive",((M17*1.1))/1.1,M17)))))</f>
        <v>816.33594763636347</v>
      </c>
      <c r="V17" s="383">
        <f t="shared" ref="V17:V36" si="13">IF(AND(S17="Pay-on-time off bill",T17="Inclusive"),((U17*1.1)-((U17*1.1)*Q17/100))/1.1,IF(AND(S17="Pay-on-time off usage",T17="Inclusive"),((U17*1.1)-((L17*1.1)*R17/100))/1.1,IF(AND(S17="Pay-on-time off bill",T17="Exclusive"),U17-(U17*Q17/100),IF(AND(S17="Pay-on-time off usage",T17="Exclusive"),U17-(L17*R17/100),IF(T17="Inclusive",((U17*1.1))/1.1,U17)))))</f>
        <v>816.33594763636347</v>
      </c>
      <c r="W17" s="392">
        <f t="shared" ref="W17:X21" si="14">U17*1.1</f>
        <v>897.96954239999991</v>
      </c>
      <c r="X17" s="392">
        <f t="shared" si="14"/>
        <v>897.96954239999991</v>
      </c>
      <c r="Y17" s="343">
        <f>'Tariffs 2020'!BF11</f>
        <v>0</v>
      </c>
      <c r="Z17" s="343" t="str">
        <f>'Tariffs 2020'!BG11</f>
        <v>n</v>
      </c>
      <c r="AA17" s="344" t="s">
        <v>288</v>
      </c>
    </row>
    <row r="18" spans="1:27" ht="25" customHeight="1" thickBot="1" x14ac:dyDescent="0.35">
      <c r="A18" s="309" t="str">
        <f>'Tariffs 2020'!F12</f>
        <v>ActewAGL</v>
      </c>
      <c r="B18" s="307" t="str">
        <f>'Tariffs 2020'!D12</f>
        <v>Jemena Capital Region</v>
      </c>
      <c r="C18" s="307" t="str">
        <f>'Tariffs 2020'!G12</f>
        <v>Reward</v>
      </c>
      <c r="D18" s="310">
        <f>60*'Tariffs 2020'!H12/100</f>
        <v>35.252727272727263</v>
      </c>
      <c r="E18" s="310">
        <f>IF('Tariffs 2020'!K12="",$C$5*'Tariffs 2020'!W12/100,IF($C$5&gt;='Tariffs 2020'!L12,('Tariffs 2020'!L12*'Tariffs 2020'!W12/100),($C$5*'Tariffs 2020'!W12/100)))</f>
        <v>48.353805818181819</v>
      </c>
      <c r="F18" s="310">
        <f>IF(AND('Tariffs 2020'!L12&gt;0,'Tariffs 2020'!M12&gt;0),IF($C$5&lt;'Tariffs 2020'!L12,0,IF(($C$5-'Tariffs 2020'!L12)&lt;=('Tariffs 2020'!M12+'Tariffs 2020'!L12),(($C$5-'Tariffs 2020'!L12)*'Tariffs 2020'!X12/100),(('Tariffs 2020'!M12)*'Tariffs 2020'!X12/100))),0)</f>
        <v>31.576049454545455</v>
      </c>
      <c r="G18" s="310">
        <f>IF(AND('Tariffs 2020'!M12&gt;0,'Tariffs 2020'!N12&gt;0),IF($C$5&lt;('Tariffs 2020'!L12+'Tariffs 2020'!M12),0,IF(($C$5-'Tariffs 2020'!L12+'Tariffs 2020'!M12)&lt;=('Tariffs 2020'!L12+'Tariffs 2020'!M12+'Tariffs 2020'!N12),(($C$5-('Tariffs 2020'!L12+'Tariffs 2020'!M12))*'Tariffs 2020'!Y12/100),('Tariffs 2020'!N12*'Tariffs 2020'!Y12/100))),0)</f>
        <v>39.193011454545456</v>
      </c>
      <c r="H18" s="310">
        <f>IF(AND('Tariffs 2020'!N12&gt;0,'Tariffs 2020'!O12&gt;0),IF($C$5&lt;('Tariffs 2020'!L12+'Tariffs 2020'!M12+'Tariffs 2020'!N12),0,IF(($C$5-'Tariffs 2020'!L12+'Tariffs 2020'!M12+'Tariffs 2020'!N12)&lt;=('Tariffs 2020'!L12+'Tariffs 2020'!M12+'Tariffs 2020'!N12+'Tariffs 2020'!O12),(($C$5-('Tariffs 2020'!L12+'Tariffs 2020'!M12+'Tariffs 2020'!N12))*'Tariffs 2020'!Z12/100),('Tariffs 2020'!O12*'Tariffs 2020'!Z12/100))),0)</f>
        <v>0</v>
      </c>
      <c r="I18" s="310">
        <f>IF(AND('Tariffs 2020'!O12&gt;0,'Tariffs 2020'!P12&gt;0),IF($C$5&lt;('Tariffs 2020'!L12+'Tariffs 2020'!M12+'Tariffs 2020'!N12+'Tariffs 2020'!O12),0,IF(($C$5-'Tariffs 2020'!L12+'Tariffs 2020'!M12+'Tariffs 2020'!N12+'Tariffs 2020'!O12)&lt;=('Tariffs 2020'!L12+'Tariffs 2020'!M12+'Tariffs 2020'!N12+'Tariffs 2020'!O12+'Tariffs 2020'!P12),(($C$5-('Tariffs 2020'!L12+'Tariffs 2020'!M12+'Tariffs 2020'!N12+'Tariffs 2020'!O12))*'Tariffs 2020'!AA12/100),('Tariffs 2020'!P12*'Tariffs 2020'!AA12/100))),0)</f>
        <v>0</v>
      </c>
      <c r="J18" s="310">
        <f>IF(AND('Tariffs 2020'!P12&gt;0,'Tariffs 2020'!O12&gt;0),IF(($C$5&lt;SUM('Tariffs 2020'!L12:P12)),(0),($C$5-SUM('Tariffs 2020'!L12:P12))*'Tariffs 2020'!AB12/100),IF(AND('Tariffs 2020'!O12&gt;0,'Tariffs 2020'!P12=""),IF(($C$5&lt; SUM('Tariffs 2020'!L12:O12)),(0),($C$5-SUM('Tariffs 2020'!L12:O12))*'Tariffs 2020'!AA12/100),IF(AND('Tariffs 2020'!N12&gt;0,'Tariffs 2020'!O12=""),IF(($C$5&lt; SUM('Tariffs 2020'!L12:N12)),(0),($C$5-SUM('Tariffs 2020'!L12:N12))*'Tariffs 2020'!Z12/100),IF(AND('Tariffs 2020'!M12&gt;0,'Tariffs 2020'!N12=""),IF(($C$5&lt;'Tariffs 2020'!M12+'Tariffs 2020'!L12),(0),(($C$5-('Tariffs 2020'!M12+'Tariffs 2020'!L12))*'Tariffs 2020'!Y12/100)),IF(AND('Tariffs 2020'!L12&gt;0,'Tariffs 2020'!M12=""&gt;0),IF(($C$5&lt;'Tariffs 2020'!L12),(0),($C$5-'Tariffs 2020'!L12)*'Tariffs 2020'!X12/100),0)))))</f>
        <v>0</v>
      </c>
      <c r="K18" s="310">
        <f t="shared" si="0"/>
        <v>154.37559399999998</v>
      </c>
      <c r="L18" s="370">
        <f t="shared" si="6"/>
        <v>714.73720036363625</v>
      </c>
      <c r="M18" s="371">
        <f t="shared" si="7"/>
        <v>926.25356399999987</v>
      </c>
      <c r="N18" s="311">
        <f t="shared" si="8"/>
        <v>1018.8789204</v>
      </c>
      <c r="O18" s="307">
        <f>'Tariffs 2020'!AT12</f>
        <v>11</v>
      </c>
      <c r="P18" s="307">
        <f>'Tariffs 2020'!AU12</f>
        <v>0</v>
      </c>
      <c r="Q18" s="307">
        <f>'Tariffs 2020'!AV12</f>
        <v>0</v>
      </c>
      <c r="R18" s="307">
        <f>'Tariffs 2020'!AW12</f>
        <v>0</v>
      </c>
      <c r="S18" s="312" t="str">
        <f t="shared" si="10"/>
        <v>Guaranteed off bill</v>
      </c>
      <c r="T18" s="312" t="str">
        <f t="shared" si="11"/>
        <v>Exclusive</v>
      </c>
      <c r="U18" s="382">
        <f t="shared" si="12"/>
        <v>824.36567195999987</v>
      </c>
      <c r="V18" s="382">
        <f t="shared" si="13"/>
        <v>824.36567195999987</v>
      </c>
      <c r="W18" s="391">
        <f t="shared" si="14"/>
        <v>906.80223915599993</v>
      </c>
      <c r="X18" s="391">
        <f t="shared" si="14"/>
        <v>906.80223915599993</v>
      </c>
      <c r="Y18" s="313">
        <f>'Tariffs 2020'!BF12</f>
        <v>12</v>
      </c>
      <c r="Z18" s="313" t="str">
        <f>'Tariffs 2020'!BG12</f>
        <v>n</v>
      </c>
      <c r="AA18" s="314" t="s">
        <v>288</v>
      </c>
    </row>
    <row r="19" spans="1:27" ht="25" customHeight="1" thickTop="1" x14ac:dyDescent="0.3">
      <c r="A19" s="338" t="str">
        <f>'Tariffs 2020'!F13</f>
        <v>EnergyAustralia</v>
      </c>
      <c r="B19" s="339" t="str">
        <f>'Tariffs 2020'!D13</f>
        <v xml:space="preserve">Evoenergy Queanbeyan </v>
      </c>
      <c r="C19" s="339" t="str">
        <f>'Tariffs 2020'!G13</f>
        <v>Total Plan</v>
      </c>
      <c r="D19" s="340">
        <f>60*'Tariffs 2020'!H13/100</f>
        <v>43.919999999999987</v>
      </c>
      <c r="E19" s="340">
        <f>IF('Tariffs 2020'!K13="",$C$5*'Tariffs 2020'!W13/100,IF($C$5&gt;='Tariffs 2020'!L13,('Tariffs 2020'!L13*'Tariffs 2020'!W13/100),($C$5*'Tariffs 2020'!W13/100)))</f>
        <v>74.869439999999983</v>
      </c>
      <c r="F19" s="340">
        <f>IF(AND('Tariffs 2020'!L13&gt;0,'Tariffs 2020'!M13&gt;0),IF($C$5&lt;'Tariffs 2020'!L13,0,IF(($C$5-'Tariffs 2020'!L13)&lt;=('Tariffs 2020'!M13+'Tariffs 2020'!L13),(($C$5-'Tariffs 2020'!L13)*'Tariffs 2020'!X13/100),(('Tariffs 2020'!M13)*'Tariffs 2020'!X13/100))),0)</f>
        <v>42.400814545454551</v>
      </c>
      <c r="G19" s="340">
        <f>IF(AND('Tariffs 2020'!M13&gt;0,'Tariffs 2020'!N13&gt;0),IF($C$5&lt;('Tariffs 2020'!L13+'Tariffs 2020'!M13),0,IF(($C$5-'Tariffs 2020'!L13+'Tariffs 2020'!M13)&lt;=('Tariffs 2020'!L13+'Tariffs 2020'!M13+'Tariffs 2020'!N13),(($C$5-('Tariffs 2020'!L13+'Tariffs 2020'!M13))*'Tariffs 2020'!Y13/100),('Tariffs 2020'!N13*'Tariffs 2020'!Y13/100))),0)</f>
        <v>0</v>
      </c>
      <c r="H19" s="340">
        <f>IF(AND('Tariffs 2020'!N13&gt;0,'Tariffs 2020'!O13&gt;0),IF($C$5&lt;('Tariffs 2020'!L13+'Tariffs 2020'!M13+'Tariffs 2020'!N13),0,IF(($C$5-'Tariffs 2020'!L13+'Tariffs 2020'!M13+'Tariffs 2020'!N13)&lt;=('Tariffs 2020'!L13+'Tariffs 2020'!M13+'Tariffs 2020'!N13+'Tariffs 2020'!O13),(($C$5-('Tariffs 2020'!L13+'Tariffs 2020'!M13+'Tariffs 2020'!N13))*'Tariffs 2020'!Z13/100),('Tariffs 2020'!O13*'Tariffs 2020'!Z13/100))),0)</f>
        <v>0</v>
      </c>
      <c r="I19" s="340">
        <f>IF(AND('Tariffs 2020'!O13&gt;0,'Tariffs 2020'!P13&gt;0),IF($C$5&lt;('Tariffs 2020'!L13+'Tariffs 2020'!M13+'Tariffs 2020'!N13+'Tariffs 2020'!O13),0,IF(($C$5-'Tariffs 2020'!L13+'Tariffs 2020'!M13+'Tariffs 2020'!N13+'Tariffs 2020'!O13)&lt;=('Tariffs 2020'!L13+'Tariffs 2020'!M13+'Tariffs 2020'!N13+'Tariffs 2020'!O13+'Tariffs 2020'!P13),(($C$5-('Tariffs 2020'!L13+'Tariffs 2020'!M13+'Tariffs 2020'!N13+'Tariffs 2020'!O13))*'Tariffs 2020'!AA13/100),('Tariffs 2020'!P13*'Tariffs 2020'!AA13/100))),0)</f>
        <v>0</v>
      </c>
      <c r="J19" s="340">
        <f>IF(AND('Tariffs 2020'!P13&gt;0,'Tariffs 2020'!O13&gt;0),IF(($C$5&lt;SUM('Tariffs 2020'!L13:P13)),(0),($C$5-SUM('Tariffs 2020'!L13:P13))*'Tariffs 2020'!AB13/100),IF(AND('Tariffs 2020'!O13&gt;0,'Tariffs 2020'!P13=""),IF(($C$5&lt; SUM('Tariffs 2020'!L13:O13)),(0),($C$5-SUM('Tariffs 2020'!L13:O13))*'Tariffs 2020'!AA13/100),IF(AND('Tariffs 2020'!N13&gt;0,'Tariffs 2020'!O13=""),IF(($C$5&lt; SUM('Tariffs 2020'!L13:N13)),(0),($C$5-SUM('Tariffs 2020'!L13:N13))*'Tariffs 2020'!Z13/100),IF(AND('Tariffs 2020'!M13&gt;0,'Tariffs 2020'!N13=""),IF(($C$5&lt;'Tariffs 2020'!M13+'Tariffs 2020'!L13),(0),(($C$5-('Tariffs 2020'!M13+'Tariffs 2020'!L13))*'Tariffs 2020'!Y13/100)),IF(AND('Tariffs 2020'!L13&gt;0,'Tariffs 2020'!M13=""&gt;0),IF(($C$5&lt;'Tariffs 2020'!L13),(0),($C$5-'Tariffs 2020'!L13)*'Tariffs 2020'!X13/100),0)))))</f>
        <v>0</v>
      </c>
      <c r="K19" s="340">
        <f t="shared" ref="K19:K21" si="15">SUM(D19:J19)</f>
        <v>161.19025454545454</v>
      </c>
      <c r="L19" s="372">
        <f t="shared" ref="L19:L21" si="16">(K19*6)-(D19*6)</f>
        <v>703.62152727272723</v>
      </c>
      <c r="M19" s="373">
        <f t="shared" ref="M19:M21" si="17">K19*6</f>
        <v>967.14152727272722</v>
      </c>
      <c r="N19" s="341">
        <f t="shared" si="8"/>
        <v>1063.8556800000001</v>
      </c>
      <c r="O19" s="339">
        <f>'Tariffs 2020'!AT13</f>
        <v>16</v>
      </c>
      <c r="P19" s="339">
        <f>'Tariffs 2020'!AU13</f>
        <v>0</v>
      </c>
      <c r="Q19" s="339">
        <f>'Tariffs 2020'!AV13</f>
        <v>0</v>
      </c>
      <c r="R19" s="339">
        <f>'Tariffs 2020'!AW13</f>
        <v>0</v>
      </c>
      <c r="S19" s="342" t="str">
        <f t="shared" ref="S19:S20" si="18">IF(SUM(O19:R19)=0,"No discount",IF(O19&gt;0,"Guaranteed off bill",IF(P19&gt;0,"Guaranteed off usage",IF(Q19&gt;0,"Pay-on-time off bill","Pay-on-time off usage"))))</f>
        <v>Guaranteed off bill</v>
      </c>
      <c r="T19" s="342" t="str">
        <f t="shared" si="11"/>
        <v>Exclusive</v>
      </c>
      <c r="U19" s="383">
        <f t="shared" si="12"/>
        <v>812.39888290909084</v>
      </c>
      <c r="V19" s="383">
        <f t="shared" si="13"/>
        <v>812.39888290909084</v>
      </c>
      <c r="W19" s="392">
        <f t="shared" si="14"/>
        <v>893.63877119999995</v>
      </c>
      <c r="X19" s="392">
        <f t="shared" si="14"/>
        <v>893.63877119999995</v>
      </c>
      <c r="Y19" s="343">
        <f>'Tariffs 2020'!BF13</f>
        <v>0</v>
      </c>
      <c r="Z19" s="343" t="str">
        <f>'Tariffs 2020'!BG13</f>
        <v>n</v>
      </c>
      <c r="AA19" s="344" t="s">
        <v>288</v>
      </c>
    </row>
    <row r="20" spans="1:27" ht="25" customHeight="1" thickBot="1" x14ac:dyDescent="0.35">
      <c r="A20" s="345" t="str">
        <f>'Tariffs 2020'!F14</f>
        <v>ActewAGL</v>
      </c>
      <c r="B20" s="346" t="str">
        <f>'Tariffs 2020'!D14</f>
        <v xml:space="preserve">Evoenergy Queanbeyan </v>
      </c>
      <c r="C20" s="346" t="str">
        <f>'Tariffs 2020'!G14</f>
        <v>Reward</v>
      </c>
      <c r="D20" s="347">
        <f>60*'Tariffs 2020'!H14/100</f>
        <v>48.812727272727273</v>
      </c>
      <c r="E20" s="347">
        <f>IF('Tariffs 2020'!K14="",$C$5*'Tariffs 2020'!W14/100,IF($C$5&gt;='Tariffs 2020'!L14,('Tariffs 2020'!L14*'Tariffs 2020'!W14/100),($C$5*'Tariffs 2020'!W14/100)))</f>
        <v>77.783330727272713</v>
      </c>
      <c r="F20" s="347">
        <f>IF(AND('Tariffs 2020'!L14&gt;0,'Tariffs 2020'!M14&gt;0),IF($C$5&lt;'Tariffs 2020'!L14,0,IF(($C$5-'Tariffs 2020'!L14)&lt;=('Tariffs 2020'!M14+'Tariffs 2020'!L14),(($C$5-'Tariffs 2020'!L14)*'Tariffs 2020'!X14/100),(('Tariffs 2020'!M14)*'Tariffs 2020'!X14/100))),0)</f>
        <v>40.308826727272724</v>
      </c>
      <c r="G20" s="347">
        <f>IF(AND('Tariffs 2020'!M14&gt;0,'Tariffs 2020'!N14&gt;0),IF($C$5&lt;('Tariffs 2020'!L14+'Tariffs 2020'!M14),0,IF(($C$5-'Tariffs 2020'!L14+'Tariffs 2020'!M14)&lt;=('Tariffs 2020'!L14+'Tariffs 2020'!M14+'Tariffs 2020'!N14),(($C$5-('Tariffs 2020'!L14+'Tariffs 2020'!M14))*'Tariffs 2020'!Y14/100),('Tariffs 2020'!N14*'Tariffs 2020'!Y14/100))),0)</f>
        <v>0</v>
      </c>
      <c r="H20" s="347">
        <f>IF(AND('Tariffs 2020'!N14&gt;0,'Tariffs 2020'!O14&gt;0),IF($C$5&lt;('Tariffs 2020'!L14+'Tariffs 2020'!M14+'Tariffs 2020'!N14),0,IF(($C$5-'Tariffs 2020'!L14+'Tariffs 2020'!M14+'Tariffs 2020'!N14)&lt;=('Tariffs 2020'!L14+'Tariffs 2020'!M14+'Tariffs 2020'!N14+'Tariffs 2020'!O14),(($C$5-('Tariffs 2020'!L14+'Tariffs 2020'!M14+'Tariffs 2020'!N14))*'Tariffs 2020'!Z14/100),('Tariffs 2020'!O14*'Tariffs 2020'!Z14/100))),0)</f>
        <v>0</v>
      </c>
      <c r="I20" s="347">
        <f>IF(AND('Tariffs 2020'!O14&gt;0,'Tariffs 2020'!P14&gt;0),IF($C$5&lt;('Tariffs 2020'!L14+'Tariffs 2020'!M14+'Tariffs 2020'!N14+'Tariffs 2020'!O14),0,IF(($C$5-'Tariffs 2020'!L14+'Tariffs 2020'!M14+'Tariffs 2020'!N14+'Tariffs 2020'!O14)&lt;=('Tariffs 2020'!L14+'Tariffs 2020'!M14+'Tariffs 2020'!N14+'Tariffs 2020'!O14+'Tariffs 2020'!P14),(($C$5-('Tariffs 2020'!L14+'Tariffs 2020'!M14+'Tariffs 2020'!N14+'Tariffs 2020'!O14))*'Tariffs 2020'!AA14/100),('Tariffs 2020'!P14*'Tariffs 2020'!AA14/100))),0)</f>
        <v>0</v>
      </c>
      <c r="J20" s="347">
        <f>IF(AND('Tariffs 2020'!P14&gt;0,'Tariffs 2020'!O14&gt;0),IF(($C$5&lt;SUM('Tariffs 2020'!L14:P14)),(0),($C$5-SUM('Tariffs 2020'!L14:P14))*'Tariffs 2020'!AB14/100),IF(AND('Tariffs 2020'!O14&gt;0,'Tariffs 2020'!P14=""),IF(($C$5&lt; SUM('Tariffs 2020'!L14:O14)),(0),($C$5-SUM('Tariffs 2020'!L14:O14))*'Tariffs 2020'!AA14/100),IF(AND('Tariffs 2020'!N14&gt;0,'Tariffs 2020'!O14=""),IF(($C$5&lt; SUM('Tariffs 2020'!L14:N14)),(0),($C$5-SUM('Tariffs 2020'!L14:N14))*'Tariffs 2020'!Z14/100),IF(AND('Tariffs 2020'!M14&gt;0,'Tariffs 2020'!N14=""),IF(($C$5&lt;'Tariffs 2020'!M14+'Tariffs 2020'!L14),(0),(($C$5-('Tariffs 2020'!M14+'Tariffs 2020'!L14))*'Tariffs 2020'!Y14/100)),IF(AND('Tariffs 2020'!L14&gt;0,'Tariffs 2020'!M14=""&gt;0),IF(($C$5&lt;'Tariffs 2020'!L14),(0),($C$5-'Tariffs 2020'!L14)*'Tariffs 2020'!X14/100),0)))))</f>
        <v>0</v>
      </c>
      <c r="K20" s="347">
        <f t="shared" si="15"/>
        <v>166.9048847272727</v>
      </c>
      <c r="L20" s="374">
        <f t="shared" si="16"/>
        <v>708.55294472727257</v>
      </c>
      <c r="M20" s="375">
        <f t="shared" si="17"/>
        <v>1001.4293083636362</v>
      </c>
      <c r="N20" s="348">
        <f t="shared" si="8"/>
        <v>1101.5722392</v>
      </c>
      <c r="O20" s="346">
        <f>'Tariffs 2020'!AT14</f>
        <v>11</v>
      </c>
      <c r="P20" s="346">
        <f>'Tariffs 2020'!AU14</f>
        <v>0</v>
      </c>
      <c r="Q20" s="346">
        <f>'Tariffs 2020'!AV14</f>
        <v>0</v>
      </c>
      <c r="R20" s="346">
        <f>'Tariffs 2020'!AW14</f>
        <v>0</v>
      </c>
      <c r="S20" s="349" t="str">
        <f t="shared" si="18"/>
        <v>Guaranteed off bill</v>
      </c>
      <c r="T20" s="349" t="str">
        <f t="shared" si="11"/>
        <v>Exclusive</v>
      </c>
      <c r="U20" s="384">
        <f t="shared" si="12"/>
        <v>891.27208444363623</v>
      </c>
      <c r="V20" s="384">
        <f t="shared" si="13"/>
        <v>891.27208444363623</v>
      </c>
      <c r="W20" s="393">
        <f t="shared" si="14"/>
        <v>980.39929288799988</v>
      </c>
      <c r="X20" s="393">
        <f t="shared" si="14"/>
        <v>980.39929288799988</v>
      </c>
      <c r="Y20" s="350">
        <f>'Tariffs 2020'!BF14</f>
        <v>0</v>
      </c>
      <c r="Z20" s="350" t="str">
        <f>'Tariffs 2020'!BG14</f>
        <v>n</v>
      </c>
      <c r="AA20" s="351" t="s">
        <v>288</v>
      </c>
    </row>
    <row r="21" spans="1:27" ht="25" customHeight="1" thickTop="1" thickBot="1" x14ac:dyDescent="0.35">
      <c r="A21" s="352" t="str">
        <f>'Tariffs 2020'!F15</f>
        <v>ActewAGL</v>
      </c>
      <c r="B21" s="353" t="str">
        <f>'Tariffs 2020'!D15</f>
        <v>Evoenergy Shoalhaven</v>
      </c>
      <c r="C21" s="353" t="str">
        <f>'Tariffs 2020'!G15</f>
        <v>Reward</v>
      </c>
      <c r="D21" s="354">
        <f>60*'Tariffs 2020'!H15/100</f>
        <v>52.494545454545452</v>
      </c>
      <c r="E21" s="354">
        <f>IF('Tariffs 2020'!K15="",$C$5*'Tariffs 2020'!W15/100,IF($C$5&gt;='Tariffs 2020'!L15,('Tariffs 2020'!L15*'Tariffs 2020'!W15/100),($C$5*'Tariffs 2020'!W15/100)))</f>
        <v>115.63636363636363</v>
      </c>
      <c r="F21" s="354">
        <f>IF(AND('Tariffs 2020'!L15&gt;0,'Tariffs 2020'!M15&gt;0),IF($C$5&lt;'Tariffs 2020'!L15,0,IF(($C$5-'Tariffs 2020'!L15)&lt;=('Tariffs 2020'!M15+'Tariffs 2020'!L15),(($C$5-'Tariffs 2020'!L15)*'Tariffs 2020'!X15/100),(('Tariffs 2020'!M15)*'Tariffs 2020'!X15/100))),0)</f>
        <v>0</v>
      </c>
      <c r="G21" s="354">
        <f>IF(AND('Tariffs 2020'!M15&gt;0,'Tariffs 2020'!N15&gt;0),IF($C$5&lt;('Tariffs 2020'!L15+'Tariffs 2020'!M15),0,IF(($C$5-'Tariffs 2020'!L15+'Tariffs 2020'!M15)&lt;=('Tariffs 2020'!L15+'Tariffs 2020'!M15+'Tariffs 2020'!N15),(($C$5-('Tariffs 2020'!L15+'Tariffs 2020'!M15))*'Tariffs 2020'!Y15/100),('Tariffs 2020'!N15*'Tariffs 2020'!Y15/100))),0)</f>
        <v>0</v>
      </c>
      <c r="H21" s="354">
        <f>IF(AND('Tariffs 2020'!N15&gt;0,'Tariffs 2020'!O15&gt;0),IF($C$5&lt;('Tariffs 2020'!L15+'Tariffs 2020'!M15+'Tariffs 2020'!N15),0,IF(($C$5-'Tariffs 2020'!L15+'Tariffs 2020'!M15+'Tariffs 2020'!N15)&lt;=('Tariffs 2020'!L15+'Tariffs 2020'!M15+'Tariffs 2020'!N15+'Tariffs 2020'!O15),(($C$5-('Tariffs 2020'!L15+'Tariffs 2020'!M15+'Tariffs 2020'!N15))*'Tariffs 2020'!Z15/100),('Tariffs 2020'!O15*'Tariffs 2020'!Z15/100))),0)</f>
        <v>0</v>
      </c>
      <c r="I21" s="354">
        <f>IF(AND('Tariffs 2020'!O15&gt;0,'Tariffs 2020'!P15&gt;0),IF($C$5&lt;('Tariffs 2020'!L15+'Tariffs 2020'!M15+'Tariffs 2020'!N15+'Tariffs 2020'!O15),0,IF(($C$5-'Tariffs 2020'!L15+'Tariffs 2020'!M15+'Tariffs 2020'!N15+'Tariffs 2020'!O15)&lt;=('Tariffs 2020'!L15+'Tariffs 2020'!M15+'Tariffs 2020'!N15+'Tariffs 2020'!O15+'Tariffs 2020'!P15),(($C$5-('Tariffs 2020'!L15+'Tariffs 2020'!M15+'Tariffs 2020'!N15+'Tariffs 2020'!O15))*'Tariffs 2020'!AA15/100),('Tariffs 2020'!P15*'Tariffs 2020'!AA15/100))),0)</f>
        <v>0</v>
      </c>
      <c r="J21" s="354">
        <f>IF(AND('Tariffs 2020'!P15&gt;0,'Tariffs 2020'!O15&gt;0),IF(($C$5&lt;SUM('Tariffs 2020'!L15:P15)),(0),($C$5-SUM('Tariffs 2020'!L15:P15))*'Tariffs 2020'!AB15/100),IF(AND('Tariffs 2020'!O15&gt;0,'Tariffs 2020'!P15=""),IF(($C$5&lt; SUM('Tariffs 2020'!L15:O15)),(0),($C$5-SUM('Tariffs 2020'!L15:O15))*'Tariffs 2020'!AA15/100),IF(AND('Tariffs 2020'!N15&gt;0,'Tariffs 2020'!O15=""),IF(($C$5&lt; SUM('Tariffs 2020'!L15:N15)),(0),($C$5-SUM('Tariffs 2020'!L15:N15))*'Tariffs 2020'!Z15/100),IF(AND('Tariffs 2020'!M15&gt;0,'Tariffs 2020'!N15=""),IF(($C$5&lt;'Tariffs 2020'!M15+'Tariffs 2020'!L15),(0),(($C$5-('Tariffs 2020'!M15+'Tariffs 2020'!L15))*'Tariffs 2020'!Y15/100)),IF(AND('Tariffs 2020'!L15&gt;0,'Tariffs 2020'!M15=""&gt;0),IF(($C$5&lt;'Tariffs 2020'!L15),(0),($C$5-'Tariffs 2020'!L15)*'Tariffs 2020'!X15/100),0)))))</f>
        <v>0</v>
      </c>
      <c r="K21" s="354">
        <f t="shared" si="15"/>
        <v>168.13090909090909</v>
      </c>
      <c r="L21" s="376">
        <f t="shared" si="16"/>
        <v>693.81818181818176</v>
      </c>
      <c r="M21" s="377">
        <f t="shared" si="17"/>
        <v>1008.7854545454545</v>
      </c>
      <c r="N21" s="355">
        <f t="shared" si="8"/>
        <v>1109.664</v>
      </c>
      <c r="O21" s="353">
        <f>'Tariffs 2020'!AT15</f>
        <v>6</v>
      </c>
      <c r="P21" s="353">
        <f>'Tariffs 2020'!AU15</f>
        <v>0</v>
      </c>
      <c r="Q21" s="353">
        <f>'Tariffs 2020'!AV15</f>
        <v>0</v>
      </c>
      <c r="R21" s="353">
        <f>'Tariffs 2020'!AW15</f>
        <v>0</v>
      </c>
      <c r="S21" s="356" t="str">
        <f t="shared" ref="S21" si="19">IF(SUM(O21:R21)=0,"No discount",IF(O21&gt;0,"Guaranteed off bill",IF(P21&gt;0,"Guaranteed off usage",IF(Q21&gt;0,"Pay-on-time off bill","Pay-on-time off usage"))))</f>
        <v>Guaranteed off bill</v>
      </c>
      <c r="T21" s="356" t="str">
        <f t="shared" si="11"/>
        <v>Exclusive</v>
      </c>
      <c r="U21" s="385">
        <f t="shared" si="12"/>
        <v>948.25832727272723</v>
      </c>
      <c r="V21" s="385">
        <f t="shared" si="13"/>
        <v>948.25832727272723</v>
      </c>
      <c r="W21" s="394">
        <f t="shared" si="14"/>
        <v>1043.0841600000001</v>
      </c>
      <c r="X21" s="394">
        <f t="shared" si="14"/>
        <v>1043.0841600000001</v>
      </c>
      <c r="Y21" s="357">
        <f>'Tariffs 2020'!BF15</f>
        <v>0</v>
      </c>
      <c r="Z21" s="357" t="str">
        <f>'Tariffs 2020'!BG15</f>
        <v>n</v>
      </c>
      <c r="AA21" s="358" t="s">
        <v>288</v>
      </c>
    </row>
    <row r="22" spans="1:27" ht="25" customHeight="1" thickTop="1" x14ac:dyDescent="0.3">
      <c r="A22" s="338" t="str">
        <f>'Tariffs 2020'!F16</f>
        <v>AGL</v>
      </c>
      <c r="B22" s="339" t="str">
        <f>'Tariffs 2020'!D16</f>
        <v>AGN Albury</v>
      </c>
      <c r="C22" s="339" t="str">
        <f>'Tariffs 2020'!G16</f>
        <v>Essentials Saver</v>
      </c>
      <c r="D22" s="340">
        <f>60*'Tariffs 2020'!H16/100</f>
        <v>34.450909090909086</v>
      </c>
      <c r="E22" s="340">
        <f>IF('Tariffs 2020'!K16="",$C$5*'Tariffs 2020'!W16/100,IF($C$5&gt;='Tariffs 2020'!L16,('Tariffs 2020'!L16*'Tariffs 2020'!W16/100),($C$5*'Tariffs 2020'!W16/100)))</f>
        <v>30.189818181818179</v>
      </c>
      <c r="F22" s="340">
        <f>IF(AND('Tariffs 2020'!L16&gt;0,'Tariffs 2020'!M16&gt;0),IF($C$5&lt;'Tariffs 2020'!L16,0,IF(($C$5-'Tariffs 2020'!L16)&lt;=('Tariffs 2020'!M16+'Tariffs 2020'!L16),(($C$5-'Tariffs 2020'!L16)*'Tariffs 2020'!X16/100),(('Tariffs 2020'!M16)*'Tariffs 2020'!X16/100))),0)</f>
        <v>38.981090909090909</v>
      </c>
      <c r="G22" s="340">
        <f>IF(AND('Tariffs 2020'!M16&gt;0,'Tariffs 2020'!N16&gt;0),IF($C$5&lt;('Tariffs 2020'!L16+'Tariffs 2020'!M16),0,IF(($C$5-'Tariffs 2020'!L16+'Tariffs 2020'!M16)&lt;=('Tariffs 2020'!L16+'Tariffs 2020'!M16+'Tariffs 2020'!N16),(($C$5-('Tariffs 2020'!L16+'Tariffs 2020'!M16))*'Tariffs 2020'!Y16/100),('Tariffs 2020'!N16*'Tariffs 2020'!Y16/100))),0)</f>
        <v>0</v>
      </c>
      <c r="H22" s="340">
        <f>IF(AND('Tariffs 2020'!N16&gt;0,'Tariffs 2020'!O16&gt;0),IF($C$5&lt;('Tariffs 2020'!L16+'Tariffs 2020'!M16+'Tariffs 2020'!N16),0,IF(($C$5-'Tariffs 2020'!L16+'Tariffs 2020'!M16+'Tariffs 2020'!N16)&lt;=('Tariffs 2020'!L16+'Tariffs 2020'!M16+'Tariffs 2020'!N16+'Tariffs 2020'!O16),(($C$5-('Tariffs 2020'!L16+'Tariffs 2020'!M16+'Tariffs 2020'!N16))*'Tariffs 2020'!Z16/100),('Tariffs 2020'!O16*'Tariffs 2020'!Z16/100))),0)</f>
        <v>0</v>
      </c>
      <c r="I22" s="340">
        <f>IF(AND('Tariffs 2020'!O16&gt;0,'Tariffs 2020'!P16&gt;0),IF($C$5&lt;('Tariffs 2020'!L16+'Tariffs 2020'!M16+'Tariffs 2020'!N16+'Tariffs 2020'!O16),0,IF(($C$5-'Tariffs 2020'!L16+'Tariffs 2020'!M16+'Tariffs 2020'!N16+'Tariffs 2020'!O16)&lt;=('Tariffs 2020'!L16+'Tariffs 2020'!M16+'Tariffs 2020'!N16+'Tariffs 2020'!O16+'Tariffs 2020'!P16),(($C$5-('Tariffs 2020'!L16+'Tariffs 2020'!M16+'Tariffs 2020'!N16+'Tariffs 2020'!O16))*'Tariffs 2020'!AA16/100),('Tariffs 2020'!P16*'Tariffs 2020'!AA16/100))),0)</f>
        <v>0</v>
      </c>
      <c r="J22" s="340">
        <f>IF(AND('Tariffs 2020'!P16&gt;0,'Tariffs 2020'!O16&gt;0),IF(($C$5&lt;SUM('Tariffs 2020'!L16:P16)),(0),($C$5-SUM('Tariffs 2020'!L16:P16))*'Tariffs 2020'!AB16/100),IF(AND('Tariffs 2020'!O16&gt;0,'Tariffs 2020'!P16=""),IF(($C$5&lt; SUM('Tariffs 2020'!L16:O16)),(0),($C$5-SUM('Tariffs 2020'!L16:O16))*'Tariffs 2020'!AA16/100),IF(AND('Tariffs 2020'!N16&gt;0,'Tariffs 2020'!O16=""),IF(($C$5&lt; SUM('Tariffs 2020'!L16:N16)),(0),($C$5-SUM('Tariffs 2020'!L16:N16))*'Tariffs 2020'!Z16/100),IF(AND('Tariffs 2020'!M16&gt;0,'Tariffs 2020'!N16=""),IF(($C$5&lt;'Tariffs 2020'!M16+'Tariffs 2020'!L16),(0),(($C$5-('Tariffs 2020'!M16+'Tariffs 2020'!L16))*'Tariffs 2020'!Y16/100)),IF(AND('Tariffs 2020'!L16&gt;0,'Tariffs 2020'!M16=""&gt;0),IF(($C$5&lt;'Tariffs 2020'!L16),(0),($C$5-'Tariffs 2020'!L16)*'Tariffs 2020'!X16/100),0)))))</f>
        <v>16.387818181818179</v>
      </c>
      <c r="K22" s="340">
        <f t="shared" si="0"/>
        <v>120.00963636363635</v>
      </c>
      <c r="L22" s="372">
        <f t="shared" si="6"/>
        <v>513.35236363636363</v>
      </c>
      <c r="M22" s="373">
        <f t="shared" si="7"/>
        <v>720.05781818181811</v>
      </c>
      <c r="N22" s="359">
        <f t="shared" si="8"/>
        <v>792.06359999999995</v>
      </c>
      <c r="O22" s="339">
        <f>'Tariffs 2020'!AT16</f>
        <v>0</v>
      </c>
      <c r="P22" s="339">
        <f>'Tariffs 2020'!AU16</f>
        <v>0</v>
      </c>
      <c r="Q22" s="339">
        <f>'Tariffs 2020'!AV16</f>
        <v>0</v>
      </c>
      <c r="R22" s="339">
        <f>'Tariffs 2020'!AW16</f>
        <v>0</v>
      </c>
      <c r="S22" s="342" t="str">
        <f t="shared" ref="S22:S24" si="20">IF(SUM(O22:R22)=0,"No discount",IF(O22&gt;0,"Guaranteed off bill",IF(P22&gt;0,"Guaranteed off usage",IF(Q22&gt;0,"Pay-on-time off bill","Pay-on-time off usage"))))</f>
        <v>No discount</v>
      </c>
      <c r="T22" s="342" t="str">
        <f t="shared" si="11"/>
        <v>Exclusive</v>
      </c>
      <c r="U22" s="383">
        <f t="shared" si="12"/>
        <v>720.05781818181811</v>
      </c>
      <c r="V22" s="383">
        <f t="shared" si="13"/>
        <v>720.05781818181811</v>
      </c>
      <c r="W22" s="392">
        <f t="shared" ref="W22:X24" si="21">U22*1.1</f>
        <v>792.06359999999995</v>
      </c>
      <c r="X22" s="392">
        <f t="shared" si="21"/>
        <v>792.06359999999995</v>
      </c>
      <c r="Y22" s="343">
        <f>'Tariffs 2020'!BF16</f>
        <v>0</v>
      </c>
      <c r="Z22" s="343" t="str">
        <f>'Tariffs 2020'!BG16</f>
        <v>n</v>
      </c>
      <c r="AA22" s="344" t="s">
        <v>288</v>
      </c>
    </row>
    <row r="23" spans="1:27" ht="25" customHeight="1" x14ac:dyDescent="0.3">
      <c r="A23" s="309" t="str">
        <f>'Tariffs 2020'!F17</f>
        <v>EnergyAustralia</v>
      </c>
      <c r="B23" s="360" t="str">
        <f>'Tariffs 2020'!D17</f>
        <v>AGN Albury</v>
      </c>
      <c r="C23" s="360" t="str">
        <f>'Tariffs 2020'!G17</f>
        <v>Total Plan</v>
      </c>
      <c r="D23" s="361">
        <f>60*'Tariffs 2020'!H17/100</f>
        <v>47.76</v>
      </c>
      <c r="E23" s="361">
        <f>IF('Tariffs 2020'!K17="",$C$5*'Tariffs 2020'!W17/100,IF($C$5&gt;='Tariffs 2020'!L17,('Tariffs 2020'!L17*'Tariffs 2020'!W17/100),($C$5*'Tariffs 2020'!W17/100)))</f>
        <v>100</v>
      </c>
      <c r="F23" s="361">
        <f>IF(AND('Tariffs 2020'!L17&gt;0,'Tariffs 2020'!M17&gt;0),IF($C$5&lt;'Tariffs 2020'!L17,0,IF(($C$5-'Tariffs 2020'!L17)&lt;=('Tariffs 2020'!M17+'Tariffs 2020'!L17),(($C$5-'Tariffs 2020'!L17)*'Tariffs 2020'!X17/100),(('Tariffs 2020'!M17)*'Tariffs 2020'!X17/100))),0)</f>
        <v>0</v>
      </c>
      <c r="G23" s="361">
        <f>IF(AND('Tariffs 2020'!M17&gt;0,'Tariffs 2020'!N17&gt;0),IF($C$5&lt;('Tariffs 2020'!L17+'Tariffs 2020'!M17),0,IF(($C$5-'Tariffs 2020'!L17+'Tariffs 2020'!M17)&lt;=('Tariffs 2020'!L17+'Tariffs 2020'!M17+'Tariffs 2020'!N17),(($C$5-('Tariffs 2020'!L17+'Tariffs 2020'!M17))*'Tariffs 2020'!Y17/100),('Tariffs 2020'!N17*'Tariffs 2020'!Y17/100))),0)</f>
        <v>0</v>
      </c>
      <c r="H23" s="361">
        <f>IF(AND('Tariffs 2020'!N17&gt;0,'Tariffs 2020'!O17&gt;0),IF($C$5&lt;('Tariffs 2020'!L17+'Tariffs 2020'!M17+'Tariffs 2020'!N17),0,IF(($C$5-'Tariffs 2020'!L17+'Tariffs 2020'!M17+'Tariffs 2020'!N17)&lt;=('Tariffs 2020'!L17+'Tariffs 2020'!M17+'Tariffs 2020'!N17+'Tariffs 2020'!O17),(($C$5-('Tariffs 2020'!L17+'Tariffs 2020'!M17+'Tariffs 2020'!N17))*'Tariffs 2020'!Z17/100),('Tariffs 2020'!O17*'Tariffs 2020'!Z17/100))),0)</f>
        <v>0</v>
      </c>
      <c r="I23" s="361">
        <f>IF(AND('Tariffs 2020'!O17&gt;0,'Tariffs 2020'!P17&gt;0),IF($C$5&lt;('Tariffs 2020'!L17+'Tariffs 2020'!M17+'Tariffs 2020'!N17+'Tariffs 2020'!O17),0,IF(($C$5-'Tariffs 2020'!L17+'Tariffs 2020'!M17+'Tariffs 2020'!N17+'Tariffs 2020'!O17)&lt;=('Tariffs 2020'!L17+'Tariffs 2020'!M17+'Tariffs 2020'!N17+'Tariffs 2020'!O17+'Tariffs 2020'!P17),(($C$5-('Tariffs 2020'!L17+'Tariffs 2020'!M17+'Tariffs 2020'!N17+'Tariffs 2020'!O17))*'Tariffs 2020'!AA17/100),('Tariffs 2020'!P17*'Tariffs 2020'!AA17/100))),0)</f>
        <v>0</v>
      </c>
      <c r="J23" s="361">
        <f>IF(AND('Tariffs 2020'!P17&gt;0,'Tariffs 2020'!O17&gt;0),IF(($C$5&lt;SUM('Tariffs 2020'!L17:P17)),(0),($C$5-SUM('Tariffs 2020'!L17:P17))*'Tariffs 2020'!AB17/100),IF(AND('Tariffs 2020'!O17&gt;0,'Tariffs 2020'!P17=""),IF(($C$5&lt; SUM('Tariffs 2020'!L17:O17)),(0),($C$5-SUM('Tariffs 2020'!L17:O17))*'Tariffs 2020'!AA17/100),IF(AND('Tariffs 2020'!N17&gt;0,'Tariffs 2020'!O17=""),IF(($C$5&lt; SUM('Tariffs 2020'!L17:N17)),(0),($C$5-SUM('Tariffs 2020'!L17:N17))*'Tariffs 2020'!Z17/100),IF(AND('Tariffs 2020'!M17&gt;0,'Tariffs 2020'!N17=""),IF(($C$5&lt;'Tariffs 2020'!M17+'Tariffs 2020'!L17),(0),(($C$5-('Tariffs 2020'!M17+'Tariffs 2020'!L17))*'Tariffs 2020'!Y17/100)),IF(AND('Tariffs 2020'!L17&gt;0,'Tariffs 2020'!M17=""&gt;0),IF(($C$5&lt;'Tariffs 2020'!L17),(0),($C$5-'Tariffs 2020'!L17)*'Tariffs 2020'!X17/100),0)))))</f>
        <v>0</v>
      </c>
      <c r="K23" s="361">
        <f t="shared" si="0"/>
        <v>147.76</v>
      </c>
      <c r="L23" s="378">
        <f t="shared" si="6"/>
        <v>600</v>
      </c>
      <c r="M23" s="379">
        <f t="shared" si="7"/>
        <v>886.56</v>
      </c>
      <c r="N23" s="362">
        <f t="shared" si="8"/>
        <v>975.21600000000001</v>
      </c>
      <c r="O23" s="360">
        <f>'Tariffs 2020'!AT17</f>
        <v>16</v>
      </c>
      <c r="P23" s="360">
        <f>'Tariffs 2020'!AU17</f>
        <v>0</v>
      </c>
      <c r="Q23" s="360">
        <f>'Tariffs 2020'!AV17</f>
        <v>0</v>
      </c>
      <c r="R23" s="360">
        <f>'Tariffs 2020'!AW17</f>
        <v>0</v>
      </c>
      <c r="S23" s="312" t="str">
        <f t="shared" si="20"/>
        <v>Guaranteed off bill</v>
      </c>
      <c r="T23" s="312" t="str">
        <f t="shared" si="11"/>
        <v>Exclusive</v>
      </c>
      <c r="U23" s="386">
        <f t="shared" si="12"/>
        <v>744.71039999999994</v>
      </c>
      <c r="V23" s="386">
        <f t="shared" si="13"/>
        <v>744.71039999999994</v>
      </c>
      <c r="W23" s="391">
        <f t="shared" si="21"/>
        <v>819.18143999999995</v>
      </c>
      <c r="X23" s="391">
        <f t="shared" si="21"/>
        <v>819.18143999999995</v>
      </c>
      <c r="Y23" s="363">
        <f>'Tariffs 2020'!BF17</f>
        <v>0</v>
      </c>
      <c r="Z23" s="364" t="str">
        <f>'Tariffs 2020'!BG17</f>
        <v>n</v>
      </c>
      <c r="AA23" s="314" t="s">
        <v>288</v>
      </c>
    </row>
    <row r="24" spans="1:27" ht="25" customHeight="1" thickBot="1" x14ac:dyDescent="0.35">
      <c r="A24" s="345" t="str">
        <f>'Tariffs 2020'!F18</f>
        <v>Origin Energy</v>
      </c>
      <c r="B24" s="346" t="str">
        <f>'Tariffs 2020'!D18</f>
        <v>AGN Albury</v>
      </c>
      <c r="C24" s="346" t="str">
        <f>'Tariffs 2020'!G18</f>
        <v>Max Saver</v>
      </c>
      <c r="D24" s="347">
        <f>60*'Tariffs 2020'!H18/100</f>
        <v>32.672727272727265</v>
      </c>
      <c r="E24" s="347">
        <f>IF('Tariffs 2020'!K18="",$C$5*'Tariffs 2020'!W18/100,IF($C$5&gt;='Tariffs 2020'!L18,('Tariffs 2020'!L18*'Tariffs 2020'!W18/100),($C$5*'Tariffs 2020'!W18/100)))</f>
        <v>34.374545454545448</v>
      </c>
      <c r="F24" s="347">
        <f>IF(AND('Tariffs 2020'!L18&gt;0,'Tariffs 2020'!M18&gt;0),IF($C$5&lt;'Tariffs 2020'!L18,0,IF(($C$5-'Tariffs 2020'!L18)&lt;=('Tariffs 2020'!M18+'Tariffs 2020'!L18),(($C$5-'Tariffs 2020'!L18)*'Tariffs 2020'!X18/100),(('Tariffs 2020'!M18)*'Tariffs 2020'!X18/100))),0)</f>
        <v>0</v>
      </c>
      <c r="G24" s="347">
        <f>IF(AND('Tariffs 2020'!M18&gt;0,'Tariffs 2020'!N18&gt;0),IF($C$5&lt;('Tariffs 2020'!L18+'Tariffs 2020'!M18),0,IF(($C$5-'Tariffs 2020'!L18+'Tariffs 2020'!M18)&lt;=('Tariffs 2020'!L18+'Tariffs 2020'!M18+'Tariffs 2020'!N18),(($C$5-('Tariffs 2020'!L18+'Tariffs 2020'!M18))*'Tariffs 2020'!Y18/100),('Tariffs 2020'!N18*'Tariffs 2020'!Y18/100))),0)</f>
        <v>0</v>
      </c>
      <c r="H24" s="347">
        <f>IF(AND('Tariffs 2020'!N18&gt;0,'Tariffs 2020'!O18&gt;0),IF($C$5&lt;('Tariffs 2020'!L18+'Tariffs 2020'!M18+'Tariffs 2020'!N18),0,IF(($C$5-'Tariffs 2020'!L18+'Tariffs 2020'!M18+'Tariffs 2020'!N18)&lt;=('Tariffs 2020'!L18+'Tariffs 2020'!M18+'Tariffs 2020'!N18+'Tariffs 2020'!O18),(($C$5-('Tariffs 2020'!L18+'Tariffs 2020'!M18+'Tariffs 2020'!N18))*'Tariffs 2020'!Z18/100),('Tariffs 2020'!O18*'Tariffs 2020'!Z18/100))),0)</f>
        <v>0</v>
      </c>
      <c r="I24" s="347">
        <f>IF(AND('Tariffs 2020'!O18&gt;0,'Tariffs 2020'!P18&gt;0),IF($C$5&lt;('Tariffs 2020'!L18+'Tariffs 2020'!M18+'Tariffs 2020'!N18+'Tariffs 2020'!O18),0,IF(($C$5-'Tariffs 2020'!L18+'Tariffs 2020'!M18+'Tariffs 2020'!N18+'Tariffs 2020'!O18)&lt;=('Tariffs 2020'!L18+'Tariffs 2020'!M18+'Tariffs 2020'!N18+'Tariffs 2020'!O18+'Tariffs 2020'!P18),(($C$5-('Tariffs 2020'!L18+'Tariffs 2020'!M18+'Tariffs 2020'!N18+'Tariffs 2020'!O18))*'Tariffs 2020'!AA18/100),('Tariffs 2020'!P18*'Tariffs 2020'!AA18/100))),0)</f>
        <v>0</v>
      </c>
      <c r="J24" s="347">
        <f>IF(AND('Tariffs 2020'!P18&gt;0,'Tariffs 2020'!O18&gt;0),IF(($C$5&lt;SUM('Tariffs 2020'!L18:P18)),(0),($C$5-SUM('Tariffs 2020'!L18:P18))*'Tariffs 2020'!AB18/100),IF(AND('Tariffs 2020'!O18&gt;0,'Tariffs 2020'!P18=""),IF(($C$5&lt; SUM('Tariffs 2020'!L18:O18)),(0),($C$5-SUM('Tariffs 2020'!L18:O18))*'Tariffs 2020'!AA18/100),IF(AND('Tariffs 2020'!N18&gt;0,'Tariffs 2020'!O18=""),IF(($C$5&lt; SUM('Tariffs 2020'!L18:N18)),(0),($C$5-SUM('Tariffs 2020'!L18:N18))*'Tariffs 2020'!Z18/100),IF(AND('Tariffs 2020'!M18&gt;0,'Tariffs 2020'!N18=""),IF(($C$5&lt;'Tariffs 2020'!M18+'Tariffs 2020'!L18),(0),(($C$5-('Tariffs 2020'!M18+'Tariffs 2020'!L18))*'Tariffs 2020'!Y18/100)),IF(AND('Tariffs 2020'!L18&gt;0,'Tariffs 2020'!M18=""&gt;0),IF(($C$5&lt;'Tariffs 2020'!L18),(0),($C$5-'Tariffs 2020'!L18)*'Tariffs 2020'!X18/100),0)))))</f>
        <v>41.765454545454539</v>
      </c>
      <c r="K24" s="347">
        <f t="shared" si="0"/>
        <v>108.81272727272724</v>
      </c>
      <c r="L24" s="374">
        <f t="shared" si="6"/>
        <v>456.83999999999992</v>
      </c>
      <c r="M24" s="375">
        <f t="shared" si="7"/>
        <v>652.87636363636352</v>
      </c>
      <c r="N24" s="366">
        <f t="shared" si="8"/>
        <v>718.16399999999999</v>
      </c>
      <c r="O24" s="346">
        <f>'Tariffs 2020'!AT18</f>
        <v>10</v>
      </c>
      <c r="P24" s="346">
        <f>'Tariffs 2020'!AU18</f>
        <v>0</v>
      </c>
      <c r="Q24" s="346">
        <f>'Tariffs 2020'!AV18</f>
        <v>0</v>
      </c>
      <c r="R24" s="346">
        <f>'Tariffs 2020'!AW18</f>
        <v>0</v>
      </c>
      <c r="S24" s="349" t="str">
        <f t="shared" si="20"/>
        <v>Guaranteed off bill</v>
      </c>
      <c r="T24" s="349" t="str">
        <f t="shared" si="11"/>
        <v>Inclusive</v>
      </c>
      <c r="U24" s="384">
        <f t="shared" si="12"/>
        <v>587.58872727272728</v>
      </c>
      <c r="V24" s="384">
        <f t="shared" si="13"/>
        <v>587.58872727272728</v>
      </c>
      <c r="W24" s="393">
        <f t="shared" si="21"/>
        <v>646.34760000000006</v>
      </c>
      <c r="X24" s="393">
        <f t="shared" si="21"/>
        <v>646.34760000000006</v>
      </c>
      <c r="Y24" s="350">
        <f>'Tariffs 2020'!BF18</f>
        <v>0</v>
      </c>
      <c r="Z24" s="350" t="str">
        <f>'Tariffs 2020'!BG18</f>
        <v>n</v>
      </c>
      <c r="AA24" s="351" t="s">
        <v>288</v>
      </c>
    </row>
    <row r="25" spans="1:27" ht="25" customHeight="1" thickTop="1" x14ac:dyDescent="0.3">
      <c r="A25" s="338" t="str">
        <f>'Tariffs 2020'!F19</f>
        <v>AGL</v>
      </c>
      <c r="B25" s="339" t="str">
        <f>'Tariffs 2020'!D19</f>
        <v>AGN Murray Valley</v>
      </c>
      <c r="C25" s="339" t="str">
        <f>'Tariffs 2020'!G19</f>
        <v>Essentials Saver</v>
      </c>
      <c r="D25" s="340">
        <f>60*'Tariffs 2020'!H19/100</f>
        <v>39.458181818181821</v>
      </c>
      <c r="E25" s="340">
        <f>IF('Tariffs 2020'!K19="",$C$5*'Tariffs 2020'!W19/100,IF($C$5&gt;='Tariffs 2020'!L19,('Tariffs 2020'!L19*'Tariffs 2020'!W19/100),($C$5*'Tariffs 2020'!W19/100)))</f>
        <v>47.377090909090903</v>
      </c>
      <c r="F25" s="340">
        <f>IF(AND('Tariffs 2020'!L19&gt;0,'Tariffs 2020'!M19&gt;0),IF($C$5&lt;'Tariffs 2020'!L19,0,IF(($C$5-'Tariffs 2020'!L19)&lt;=('Tariffs 2020'!M19+'Tariffs 2020'!L19),(($C$5-'Tariffs 2020'!L19)*'Tariffs 2020'!X19/100),(('Tariffs 2020'!M19)*'Tariffs 2020'!X19/100))),0)</f>
        <v>61.898545454545449</v>
      </c>
      <c r="G25" s="340">
        <f>IF(AND('Tariffs 2020'!M19&gt;0,'Tariffs 2020'!N19&gt;0),IF($C$5&lt;('Tariffs 2020'!L19+'Tariffs 2020'!M19),0,IF(($C$5-'Tariffs 2020'!L19+'Tariffs 2020'!M19)&lt;=('Tariffs 2020'!L19+'Tariffs 2020'!M19+'Tariffs 2020'!N19),(($C$5-('Tariffs 2020'!L19+'Tariffs 2020'!M19))*'Tariffs 2020'!Y19/100),('Tariffs 2020'!N19*'Tariffs 2020'!Y19/100))),0)</f>
        <v>0</v>
      </c>
      <c r="H25" s="340">
        <f>IF(AND('Tariffs 2020'!N19&gt;0,'Tariffs 2020'!O19&gt;0),IF($C$5&lt;('Tariffs 2020'!L19+'Tariffs 2020'!M19+'Tariffs 2020'!N19),0,IF(($C$5-'Tariffs 2020'!L19+'Tariffs 2020'!M19+'Tariffs 2020'!N19)&lt;=('Tariffs 2020'!L19+'Tariffs 2020'!M19+'Tariffs 2020'!N19+'Tariffs 2020'!O19),(($C$5-('Tariffs 2020'!L19+'Tariffs 2020'!M19+'Tariffs 2020'!N19))*'Tariffs 2020'!Z19/100),('Tariffs 2020'!O19*'Tariffs 2020'!Z19/100))),0)</f>
        <v>0</v>
      </c>
      <c r="I25" s="340">
        <f>IF(AND('Tariffs 2020'!O19&gt;0,'Tariffs 2020'!P19&gt;0),IF($C$5&lt;('Tariffs 2020'!L19+'Tariffs 2020'!M19+'Tariffs 2020'!N19+'Tariffs 2020'!O19),0,IF(($C$5-'Tariffs 2020'!L19+'Tariffs 2020'!M19+'Tariffs 2020'!N19+'Tariffs 2020'!O19)&lt;=('Tariffs 2020'!L19+'Tariffs 2020'!M19+'Tariffs 2020'!N19+'Tariffs 2020'!O19+'Tariffs 2020'!P19),(($C$5-('Tariffs 2020'!L19+'Tariffs 2020'!M19+'Tariffs 2020'!N19+'Tariffs 2020'!O19))*'Tariffs 2020'!AA19/100),('Tariffs 2020'!P19*'Tariffs 2020'!AA19/100))),0)</f>
        <v>0</v>
      </c>
      <c r="J25" s="340">
        <f>IF(AND('Tariffs 2020'!P19&gt;0,'Tariffs 2020'!O19&gt;0),IF(($C$5&lt;SUM('Tariffs 2020'!L19:P19)),(0),($C$5-SUM('Tariffs 2020'!L19:P19))*'Tariffs 2020'!AB19/100),IF(AND('Tariffs 2020'!O19&gt;0,'Tariffs 2020'!P19=""),IF(($C$5&lt; SUM('Tariffs 2020'!L19:O19)),(0),($C$5-SUM('Tariffs 2020'!L19:O19))*'Tariffs 2020'!AA19/100),IF(AND('Tariffs 2020'!N19&gt;0,'Tariffs 2020'!O19=""),IF(($C$5&lt; SUM('Tariffs 2020'!L19:N19)),(0),($C$5-SUM('Tariffs 2020'!L19:N19))*'Tariffs 2020'!Z19/100),IF(AND('Tariffs 2020'!M19&gt;0,'Tariffs 2020'!N19=""),IF(($C$5&lt;'Tariffs 2020'!M19+'Tariffs 2020'!L19),(0),(($C$5-('Tariffs 2020'!M19+'Tariffs 2020'!L19))*'Tariffs 2020'!Y19/100)),IF(AND('Tariffs 2020'!L19&gt;0,'Tariffs 2020'!M19=""&gt;0),IF(($C$5&lt;'Tariffs 2020'!L19),(0),($C$5-'Tariffs 2020'!L19)*'Tariffs 2020'!X19/100),0)))))</f>
        <v>21.787272727272722</v>
      </c>
      <c r="K25" s="340">
        <f t="shared" si="0"/>
        <v>170.5210909090909</v>
      </c>
      <c r="L25" s="372">
        <f t="shared" si="6"/>
        <v>786.3774545454545</v>
      </c>
      <c r="M25" s="373">
        <f t="shared" si="7"/>
        <v>1023.1265454545454</v>
      </c>
      <c r="N25" s="359">
        <f t="shared" si="8"/>
        <v>1125.4392</v>
      </c>
      <c r="O25" s="339">
        <f>'Tariffs 2020'!AT19</f>
        <v>0</v>
      </c>
      <c r="P25" s="339">
        <f>'Tariffs 2020'!AU19</f>
        <v>0</v>
      </c>
      <c r="Q25" s="339">
        <f>'Tariffs 2020'!AV19</f>
        <v>0</v>
      </c>
      <c r="R25" s="339">
        <f>'Tariffs 2020'!AW19</f>
        <v>0</v>
      </c>
      <c r="S25" s="342" t="str">
        <f t="shared" ref="S25:S27" si="22">IF(SUM(O25:R25)=0,"No discount",IF(O25&gt;0,"Guaranteed off bill",IF(P25&gt;0,"Guaranteed off usage",IF(Q25&gt;0,"Pay-on-time off bill","Pay-on-time off usage"))))</f>
        <v>No discount</v>
      </c>
      <c r="T25" s="342" t="str">
        <f t="shared" si="11"/>
        <v>Exclusive</v>
      </c>
      <c r="U25" s="383">
        <f t="shared" si="12"/>
        <v>1023.1265454545454</v>
      </c>
      <c r="V25" s="383">
        <f t="shared" si="13"/>
        <v>1023.1265454545454</v>
      </c>
      <c r="W25" s="392">
        <f t="shared" ref="W25:X27" si="23">U25*1.1</f>
        <v>1125.4392</v>
      </c>
      <c r="X25" s="392">
        <f t="shared" si="23"/>
        <v>1125.4392</v>
      </c>
      <c r="Y25" s="343">
        <f>'Tariffs 2020'!BF19</f>
        <v>0</v>
      </c>
      <c r="Z25" s="343" t="str">
        <f>'Tariffs 2020'!BG19</f>
        <v>n</v>
      </c>
      <c r="AA25" s="344" t="s">
        <v>288</v>
      </c>
    </row>
    <row r="26" spans="1:27" ht="25" customHeight="1" x14ac:dyDescent="0.3">
      <c r="A26" s="309" t="str">
        <f>'Tariffs 2020'!F20</f>
        <v>EnergyAustralia</v>
      </c>
      <c r="B26" s="360" t="str">
        <f>'Tariffs 2020'!D20</f>
        <v>AGN Murray Valley</v>
      </c>
      <c r="C26" s="360" t="str">
        <f>'Tariffs 2020'!G20</f>
        <v>Total Plan</v>
      </c>
      <c r="D26" s="361">
        <f>60*'Tariffs 2020'!H20/100</f>
        <v>45.84</v>
      </c>
      <c r="E26" s="361">
        <f>IF('Tariffs 2020'!K20="",$C$5*'Tariffs 2020'!W20/100,IF($C$5&gt;='Tariffs 2020'!L20,('Tariffs 2020'!L20*'Tariffs 2020'!W20/100),($C$5*'Tariffs 2020'!W20/100)))</f>
        <v>145.45454545454544</v>
      </c>
      <c r="F26" s="361">
        <f>IF(AND('Tariffs 2020'!L20&gt;0,'Tariffs 2020'!M20&gt;0),IF($C$5&lt;'Tariffs 2020'!L20,0,IF(($C$5-'Tariffs 2020'!L20)&lt;=('Tariffs 2020'!M20+'Tariffs 2020'!L20),(($C$5-'Tariffs 2020'!L20)*'Tariffs 2020'!X20/100),(('Tariffs 2020'!M20)*'Tariffs 2020'!X20/100))),0)</f>
        <v>0</v>
      </c>
      <c r="G26" s="361">
        <f>IF(AND('Tariffs 2020'!M20&gt;0,'Tariffs 2020'!N20&gt;0),IF($C$5&lt;('Tariffs 2020'!L20+'Tariffs 2020'!M20),0,IF(($C$5-'Tariffs 2020'!L20+'Tariffs 2020'!M20)&lt;=('Tariffs 2020'!L20+'Tariffs 2020'!M20+'Tariffs 2020'!N20),(($C$5-('Tariffs 2020'!L20+'Tariffs 2020'!M20))*'Tariffs 2020'!Y20/100),('Tariffs 2020'!N20*'Tariffs 2020'!Y20/100))),0)</f>
        <v>0</v>
      </c>
      <c r="H26" s="361">
        <f>IF(AND('Tariffs 2020'!N20&gt;0,'Tariffs 2020'!O20&gt;0),IF($C$5&lt;('Tariffs 2020'!L20+'Tariffs 2020'!M20+'Tariffs 2020'!N20),0,IF(($C$5-'Tariffs 2020'!L20+'Tariffs 2020'!M20+'Tariffs 2020'!N20)&lt;=('Tariffs 2020'!L20+'Tariffs 2020'!M20+'Tariffs 2020'!N20+'Tariffs 2020'!O20),(($C$5-('Tariffs 2020'!L20+'Tariffs 2020'!M20+'Tariffs 2020'!N20))*'Tariffs 2020'!Z20/100),('Tariffs 2020'!O20*'Tariffs 2020'!Z20/100))),0)</f>
        <v>0</v>
      </c>
      <c r="I26" s="361">
        <f>IF(AND('Tariffs 2020'!O20&gt;0,'Tariffs 2020'!P20&gt;0),IF($C$5&lt;('Tariffs 2020'!L20+'Tariffs 2020'!M20+'Tariffs 2020'!N20+'Tariffs 2020'!O20),0,IF(($C$5-'Tariffs 2020'!L20+'Tariffs 2020'!M20+'Tariffs 2020'!N20+'Tariffs 2020'!O20)&lt;=('Tariffs 2020'!L20+'Tariffs 2020'!M20+'Tariffs 2020'!N20+'Tariffs 2020'!O20+'Tariffs 2020'!P20),(($C$5-('Tariffs 2020'!L20+'Tariffs 2020'!M20+'Tariffs 2020'!N20+'Tariffs 2020'!O20))*'Tariffs 2020'!AA20/100),('Tariffs 2020'!P20*'Tariffs 2020'!AA20/100))),0)</f>
        <v>0</v>
      </c>
      <c r="J26" s="361">
        <f>IF(AND('Tariffs 2020'!P20&gt;0,'Tariffs 2020'!O20&gt;0),IF(($C$5&lt;SUM('Tariffs 2020'!L20:P20)),(0),($C$5-SUM('Tariffs 2020'!L20:P20))*'Tariffs 2020'!AB20/100),IF(AND('Tariffs 2020'!O20&gt;0,'Tariffs 2020'!P20=""),IF(($C$5&lt; SUM('Tariffs 2020'!L20:O20)),(0),($C$5-SUM('Tariffs 2020'!L20:O20))*'Tariffs 2020'!AA20/100),IF(AND('Tariffs 2020'!N20&gt;0,'Tariffs 2020'!O20=""),IF(($C$5&lt; SUM('Tariffs 2020'!L20:N20)),(0),($C$5-SUM('Tariffs 2020'!L20:N20))*'Tariffs 2020'!Z20/100),IF(AND('Tariffs 2020'!M20&gt;0,'Tariffs 2020'!N20=""),IF(($C$5&lt;'Tariffs 2020'!M20+'Tariffs 2020'!L20),(0),(($C$5-('Tariffs 2020'!M20+'Tariffs 2020'!L20))*'Tariffs 2020'!Y20/100)),IF(AND('Tariffs 2020'!L20&gt;0,'Tariffs 2020'!M20=""&gt;0),IF(($C$5&lt;'Tariffs 2020'!L20),(0),($C$5-'Tariffs 2020'!L20)*'Tariffs 2020'!X20/100),0)))))</f>
        <v>0</v>
      </c>
      <c r="K26" s="361">
        <f t="shared" si="0"/>
        <v>191.29454545454544</v>
      </c>
      <c r="L26" s="378">
        <f t="shared" si="6"/>
        <v>872.72727272727275</v>
      </c>
      <c r="M26" s="379">
        <f t="shared" si="7"/>
        <v>1147.7672727272727</v>
      </c>
      <c r="N26" s="362">
        <f t="shared" si="8"/>
        <v>1262.5440000000001</v>
      </c>
      <c r="O26" s="360">
        <f>'Tariffs 2020'!AT20</f>
        <v>16</v>
      </c>
      <c r="P26" s="360">
        <f>'Tariffs 2020'!AU20</f>
        <v>0</v>
      </c>
      <c r="Q26" s="360">
        <f>'Tariffs 2020'!AV20</f>
        <v>0</v>
      </c>
      <c r="R26" s="360">
        <f>'Tariffs 2020'!AW20</f>
        <v>0</v>
      </c>
      <c r="S26" s="312" t="str">
        <f t="shared" si="22"/>
        <v>Guaranteed off bill</v>
      </c>
      <c r="T26" s="312" t="str">
        <f t="shared" si="11"/>
        <v>Exclusive</v>
      </c>
      <c r="U26" s="386">
        <f t="shared" si="12"/>
        <v>964.1245090909091</v>
      </c>
      <c r="V26" s="386">
        <f t="shared" si="13"/>
        <v>964.1245090909091</v>
      </c>
      <c r="W26" s="391">
        <f t="shared" si="23"/>
        <v>1060.5369600000001</v>
      </c>
      <c r="X26" s="391">
        <f t="shared" si="23"/>
        <v>1060.5369600000001</v>
      </c>
      <c r="Y26" s="363">
        <f>'Tariffs 2020'!BF20</f>
        <v>0</v>
      </c>
      <c r="Z26" s="364" t="str">
        <f>'Tariffs 2020'!BG20</f>
        <v>n</v>
      </c>
      <c r="AA26" s="314" t="s">
        <v>288</v>
      </c>
    </row>
    <row r="27" spans="1:27" ht="25" customHeight="1" thickBot="1" x14ac:dyDescent="0.35">
      <c r="A27" s="345" t="str">
        <f>'Tariffs 2020'!F21</f>
        <v>Origin Energy</v>
      </c>
      <c r="B27" s="346" t="str">
        <f>'Tariffs 2020'!D21</f>
        <v>AGN Murray Valley</v>
      </c>
      <c r="C27" s="346" t="str">
        <f>'Tariffs 2020'!G21</f>
        <v>Max Saver</v>
      </c>
      <c r="D27" s="347">
        <f>60*'Tariffs 2020'!H21/100</f>
        <v>37.36363636363636</v>
      </c>
      <c r="E27" s="347">
        <f>IF('Tariffs 2020'!K21="",$C$5*'Tariffs 2020'!W21/100,IF($C$5&gt;='Tariffs 2020'!L21,('Tariffs 2020'!L21*'Tariffs 2020'!W21/100),($C$5*'Tariffs 2020'!W21/100)))</f>
        <v>52.757454545454536</v>
      </c>
      <c r="F27" s="347">
        <f>IF(AND('Tariffs 2020'!L21&gt;0,'Tariffs 2020'!M21&gt;0),IF($C$5&lt;'Tariffs 2020'!L21,0,IF(($C$5-'Tariffs 2020'!L21)&lt;=('Tariffs 2020'!M21+'Tariffs 2020'!L21),(($C$5-'Tariffs 2020'!L21)*'Tariffs 2020'!X21/100),(('Tariffs 2020'!M21)*'Tariffs 2020'!X21/100))),0)</f>
        <v>0</v>
      </c>
      <c r="G27" s="347">
        <f>IF(AND('Tariffs 2020'!M21&gt;0,'Tariffs 2020'!N21&gt;0),IF($C$5&lt;('Tariffs 2020'!L21+'Tariffs 2020'!M21),0,IF(($C$5-'Tariffs 2020'!L21+'Tariffs 2020'!M21)&lt;=('Tariffs 2020'!L21+'Tariffs 2020'!M21+'Tariffs 2020'!N21),(($C$5-('Tariffs 2020'!L21+'Tariffs 2020'!M21))*'Tariffs 2020'!Y21/100),('Tariffs 2020'!N21*'Tariffs 2020'!Y21/100))),0)</f>
        <v>0</v>
      </c>
      <c r="H27" s="347">
        <f>IF(AND('Tariffs 2020'!N21&gt;0,'Tariffs 2020'!O21&gt;0),IF($C$5&lt;('Tariffs 2020'!L21+'Tariffs 2020'!M21+'Tariffs 2020'!N21),0,IF(($C$5-'Tariffs 2020'!L21+'Tariffs 2020'!M21+'Tariffs 2020'!N21)&lt;=('Tariffs 2020'!L21+'Tariffs 2020'!M21+'Tariffs 2020'!N21+'Tariffs 2020'!O21),(($C$5-('Tariffs 2020'!L21+'Tariffs 2020'!M21+'Tariffs 2020'!N21))*'Tariffs 2020'!Z21/100),('Tariffs 2020'!O21*'Tariffs 2020'!Z21/100))),0)</f>
        <v>0</v>
      </c>
      <c r="I27" s="347">
        <f>IF(AND('Tariffs 2020'!O21&gt;0,'Tariffs 2020'!P21&gt;0),IF($C$5&lt;('Tariffs 2020'!L21+'Tariffs 2020'!M21+'Tariffs 2020'!N21+'Tariffs 2020'!O21),0,IF(($C$5-'Tariffs 2020'!L21+'Tariffs 2020'!M21+'Tariffs 2020'!N21+'Tariffs 2020'!O21)&lt;=('Tariffs 2020'!L21+'Tariffs 2020'!M21+'Tariffs 2020'!N21+'Tariffs 2020'!O21+'Tariffs 2020'!P21),(($C$5-('Tariffs 2020'!L21+'Tariffs 2020'!M21+'Tariffs 2020'!N21+'Tariffs 2020'!O21))*'Tariffs 2020'!AA21/100),('Tariffs 2020'!P21*'Tariffs 2020'!AA21/100))),0)</f>
        <v>0</v>
      </c>
      <c r="J27" s="347">
        <f>IF(AND('Tariffs 2020'!P21&gt;0,'Tariffs 2020'!O21&gt;0),IF(($C$5&lt;SUM('Tariffs 2020'!L21:P21)),(0),($C$5-SUM('Tariffs 2020'!L21:P21))*'Tariffs 2020'!AB21/100),IF(AND('Tariffs 2020'!O21&gt;0,'Tariffs 2020'!P21=""),IF(($C$5&lt; SUM('Tariffs 2020'!L21:O21)),(0),($C$5-SUM('Tariffs 2020'!L21:O21))*'Tariffs 2020'!AA21/100),IF(AND('Tariffs 2020'!N21&gt;0,'Tariffs 2020'!O21=""),IF(($C$5&lt; SUM('Tariffs 2020'!L21:N21)),(0),($C$5-SUM('Tariffs 2020'!L21:N21))*'Tariffs 2020'!Z21/100),IF(AND('Tariffs 2020'!M21&gt;0,'Tariffs 2020'!N21=""),IF(($C$5&lt;'Tariffs 2020'!M21+'Tariffs 2020'!L21),(0),(($C$5-('Tariffs 2020'!M21+'Tariffs 2020'!L21))*'Tariffs 2020'!Y21/100)),IF(AND('Tariffs 2020'!L21&gt;0,'Tariffs 2020'!M21=""&gt;0),IF(($C$5&lt;'Tariffs 2020'!L21),(0),($C$5-'Tariffs 2020'!L21)*'Tariffs 2020'!X21/100),0)))))</f>
        <v>55.901454545454541</v>
      </c>
      <c r="K27" s="347">
        <f t="shared" si="0"/>
        <v>146.02254545454542</v>
      </c>
      <c r="L27" s="374">
        <f t="shared" si="6"/>
        <v>651.95345454545441</v>
      </c>
      <c r="M27" s="375">
        <f t="shared" si="7"/>
        <v>876.13527272727254</v>
      </c>
      <c r="N27" s="366">
        <f t="shared" si="8"/>
        <v>963.74879999999985</v>
      </c>
      <c r="O27" s="346">
        <f>'Tariffs 2020'!AT21</f>
        <v>10</v>
      </c>
      <c r="P27" s="346">
        <f>'Tariffs 2020'!AU21</f>
        <v>0</v>
      </c>
      <c r="Q27" s="346">
        <f>'Tariffs 2020'!AV21</f>
        <v>0</v>
      </c>
      <c r="R27" s="346">
        <f>'Tariffs 2020'!AW21</f>
        <v>0</v>
      </c>
      <c r="S27" s="349" t="str">
        <f t="shared" si="22"/>
        <v>Guaranteed off bill</v>
      </c>
      <c r="T27" s="349" t="str">
        <f t="shared" si="11"/>
        <v>Inclusive</v>
      </c>
      <c r="U27" s="384">
        <f t="shared" si="12"/>
        <v>788.52174545454534</v>
      </c>
      <c r="V27" s="384">
        <f t="shared" si="13"/>
        <v>788.52174545454534</v>
      </c>
      <c r="W27" s="393">
        <f t="shared" si="23"/>
        <v>867.37392</v>
      </c>
      <c r="X27" s="393">
        <f t="shared" si="23"/>
        <v>867.37392</v>
      </c>
      <c r="Y27" s="350">
        <f>'Tariffs 2020'!BF21</f>
        <v>0</v>
      </c>
      <c r="Z27" s="350" t="str">
        <f>'Tariffs 2020'!BG21</f>
        <v>n</v>
      </c>
      <c r="AA27" s="351" t="s">
        <v>288</v>
      </c>
    </row>
    <row r="28" spans="1:27" ht="25" customHeight="1" thickTop="1" x14ac:dyDescent="0.3">
      <c r="A28" s="338" t="str">
        <f>'Tariffs 2020'!F22</f>
        <v>Origin Energy</v>
      </c>
      <c r="B28" s="339" t="str">
        <f>'Tariffs 2020'!D22</f>
        <v>AGN Cooma</v>
      </c>
      <c r="C28" s="339" t="str">
        <f>'Tariffs 2020'!G22</f>
        <v>Max Saver</v>
      </c>
      <c r="D28" s="340">
        <f>60*'Tariffs 2020'!H22/100</f>
        <v>42.54545454545454</v>
      </c>
      <c r="E28" s="340">
        <f>IF('Tariffs 2020'!K22="",$C$5*'Tariffs 2020'!W22/100,IF($C$5&gt;='Tariffs 2020'!L22,('Tariffs 2020'!L22*'Tariffs 2020'!W22/100),($C$5*'Tariffs 2020'!W22/100)))</f>
        <v>107.27272727272727</v>
      </c>
      <c r="F28" s="340">
        <f>IF(AND('Tariffs 2020'!L22&gt;0,'Tariffs 2020'!M22&gt;0),IF($C$5&lt;'Tariffs 2020'!L22,0,IF(($C$5-'Tariffs 2020'!L22)&lt;=('Tariffs 2020'!M22+'Tariffs 2020'!L22),(($C$5-'Tariffs 2020'!L22)*'Tariffs 2020'!X22/100),(('Tariffs 2020'!M22)*'Tariffs 2020'!X22/100))),0)</f>
        <v>0</v>
      </c>
      <c r="G28" s="340">
        <f>IF(AND('Tariffs 2020'!M22&gt;0,'Tariffs 2020'!N22&gt;0),IF($C$5&lt;('Tariffs 2020'!L22+'Tariffs 2020'!M22),0,IF(($C$5-'Tariffs 2020'!L22+'Tariffs 2020'!M22)&lt;=('Tariffs 2020'!L22+'Tariffs 2020'!M22+'Tariffs 2020'!N22),(($C$5-('Tariffs 2020'!L22+'Tariffs 2020'!M22))*'Tariffs 2020'!Y22/100),('Tariffs 2020'!N22*'Tariffs 2020'!Y22/100))),0)</f>
        <v>0</v>
      </c>
      <c r="H28" s="340">
        <f>IF(AND('Tariffs 2020'!N22&gt;0,'Tariffs 2020'!O22&gt;0),IF($C$5&lt;('Tariffs 2020'!L22+'Tariffs 2020'!M22+'Tariffs 2020'!N22),0,IF(($C$5-'Tariffs 2020'!L22+'Tariffs 2020'!M22+'Tariffs 2020'!N22)&lt;=('Tariffs 2020'!L22+'Tariffs 2020'!M22+'Tariffs 2020'!N22+'Tariffs 2020'!O22),(($C$5-('Tariffs 2020'!L22+'Tariffs 2020'!M22+'Tariffs 2020'!N22))*'Tariffs 2020'!Z22/100),('Tariffs 2020'!O22*'Tariffs 2020'!Z22/100))),0)</f>
        <v>0</v>
      </c>
      <c r="I28" s="340">
        <f>IF(AND('Tariffs 2020'!O22&gt;0,'Tariffs 2020'!P22&gt;0),IF($C$5&lt;('Tariffs 2020'!L22+'Tariffs 2020'!M22+'Tariffs 2020'!N22+'Tariffs 2020'!O22),0,IF(($C$5-'Tariffs 2020'!L22+'Tariffs 2020'!M22+'Tariffs 2020'!N22+'Tariffs 2020'!O22)&lt;=('Tariffs 2020'!L22+'Tariffs 2020'!M22+'Tariffs 2020'!N22+'Tariffs 2020'!O22+'Tariffs 2020'!P22),(($C$5-('Tariffs 2020'!L22+'Tariffs 2020'!M22+'Tariffs 2020'!N22+'Tariffs 2020'!O22))*'Tariffs 2020'!AA22/100),('Tariffs 2020'!P22*'Tariffs 2020'!AA22/100))),0)</f>
        <v>0</v>
      </c>
      <c r="J28" s="340">
        <f>IF(AND('Tariffs 2020'!P22&gt;0,'Tariffs 2020'!O22&gt;0),IF(($C$5&lt;SUM('Tariffs 2020'!L22:P22)),(0),($C$5-SUM('Tariffs 2020'!L22:P22))*'Tariffs 2020'!AB22/100),IF(AND('Tariffs 2020'!O22&gt;0,'Tariffs 2020'!P22=""),IF(($C$5&lt; SUM('Tariffs 2020'!L22:O22)),(0),($C$5-SUM('Tariffs 2020'!L22:O22))*'Tariffs 2020'!AA22/100),IF(AND('Tariffs 2020'!N22&gt;0,'Tariffs 2020'!O22=""),IF(($C$5&lt; SUM('Tariffs 2020'!L22:N22)),(0),($C$5-SUM('Tariffs 2020'!L22:N22))*'Tariffs 2020'!Z22/100),IF(AND('Tariffs 2020'!M22&gt;0,'Tariffs 2020'!N22=""),IF(($C$5&lt;'Tariffs 2020'!M22+'Tariffs 2020'!L22),(0),(($C$5-('Tariffs 2020'!M22+'Tariffs 2020'!L22))*'Tariffs 2020'!Y22/100)),IF(AND('Tariffs 2020'!L22&gt;0,'Tariffs 2020'!M22=""&gt;0),IF(($C$5&lt;'Tariffs 2020'!L22),(0),($C$5-'Tariffs 2020'!L22)*'Tariffs 2020'!X22/100),0)))))</f>
        <v>0</v>
      </c>
      <c r="K28" s="340">
        <f t="shared" si="0"/>
        <v>149.81818181818181</v>
      </c>
      <c r="L28" s="372">
        <f t="shared" si="6"/>
        <v>643.63636363636363</v>
      </c>
      <c r="M28" s="373">
        <f t="shared" si="7"/>
        <v>898.90909090909088</v>
      </c>
      <c r="N28" s="341">
        <f t="shared" si="8"/>
        <v>988.80000000000007</v>
      </c>
      <c r="O28" s="339">
        <f>'Tariffs 2020'!AT22</f>
        <v>10</v>
      </c>
      <c r="P28" s="339">
        <f>'Tariffs 2020'!AU22</f>
        <v>0</v>
      </c>
      <c r="Q28" s="339">
        <f>'Tariffs 2020'!AV22</f>
        <v>0</v>
      </c>
      <c r="R28" s="339">
        <f>'Tariffs 2020'!AW22</f>
        <v>0</v>
      </c>
      <c r="S28" s="342" t="str">
        <f t="shared" ref="S28:S29" si="24">IF(SUM(O28:R28)=0,"No discount",IF(O28&gt;0,"Guaranteed off bill",IF(P28&gt;0,"Guaranteed off usage",IF(Q28&gt;0,"Pay-on-time off bill","Pay-on-time off usage"))))</f>
        <v>Guaranteed off bill</v>
      </c>
      <c r="T28" s="342" t="str">
        <f t="shared" si="11"/>
        <v>Inclusive</v>
      </c>
      <c r="U28" s="383">
        <f t="shared" si="12"/>
        <v>809.0181818181818</v>
      </c>
      <c r="V28" s="383">
        <f t="shared" si="13"/>
        <v>809.0181818181818</v>
      </c>
      <c r="W28" s="392">
        <f t="shared" ref="W28:W36" si="25">U28*1.1</f>
        <v>889.92000000000007</v>
      </c>
      <c r="X28" s="392">
        <f t="shared" ref="X28:X36" si="26">V28*1.1</f>
        <v>889.92000000000007</v>
      </c>
      <c r="Y28" s="343">
        <f>'Tariffs 2020'!BF22</f>
        <v>0</v>
      </c>
      <c r="Z28" s="367" t="str">
        <f>'Tariffs 2020'!BG22</f>
        <v>n</v>
      </c>
      <c r="AA28" s="344" t="s">
        <v>288</v>
      </c>
    </row>
    <row r="29" spans="1:27" ht="25" customHeight="1" thickBot="1" x14ac:dyDescent="0.35">
      <c r="A29" s="345" t="str">
        <f>'Tariffs 2020'!F23</f>
        <v>Red Energy</v>
      </c>
      <c r="B29" s="346" t="str">
        <f>'Tariffs 2020'!D23</f>
        <v>AGN Cooma</v>
      </c>
      <c r="C29" s="346" t="str">
        <f>'Tariffs 2020'!G23</f>
        <v>Living Energy Saver</v>
      </c>
      <c r="D29" s="347">
        <f>60*'Tariffs 2020'!H23/100</f>
        <v>38.4</v>
      </c>
      <c r="E29" s="347">
        <f>IF('Tariffs 2020'!K23="",$C$5*'Tariffs 2020'!W23/100,IF($C$5&gt;='Tariffs 2020'!L23,('Tariffs 2020'!L23*'Tariffs 2020'!W23/100),($C$5*'Tariffs 2020'!W23/100)))</f>
        <v>103.99999999999999</v>
      </c>
      <c r="F29" s="347">
        <f>IF(AND('Tariffs 2020'!L23&gt;0,'Tariffs 2020'!M23&gt;0),IF($C$5&lt;'Tariffs 2020'!L23,0,IF(($C$5-'Tariffs 2020'!L23)&lt;=('Tariffs 2020'!M23+'Tariffs 2020'!L23),(($C$5-'Tariffs 2020'!L23)*'Tariffs 2020'!X23/100),(('Tariffs 2020'!M23)*'Tariffs 2020'!X23/100))),0)</f>
        <v>0</v>
      </c>
      <c r="G29" s="347">
        <f>IF(AND('Tariffs 2020'!M23&gt;0,'Tariffs 2020'!N23&gt;0),IF($C$5&lt;('Tariffs 2020'!L23+'Tariffs 2020'!M23),0,IF(($C$5-'Tariffs 2020'!L23+'Tariffs 2020'!M23)&lt;=('Tariffs 2020'!L23+'Tariffs 2020'!M23+'Tariffs 2020'!N23),(($C$5-('Tariffs 2020'!L23+'Tariffs 2020'!M23))*'Tariffs 2020'!Y23/100),('Tariffs 2020'!N23*'Tariffs 2020'!Y23/100))),0)</f>
        <v>0</v>
      </c>
      <c r="H29" s="347">
        <f>IF(AND('Tariffs 2020'!N23&gt;0,'Tariffs 2020'!O23&gt;0),IF($C$5&lt;('Tariffs 2020'!L23+'Tariffs 2020'!M23+'Tariffs 2020'!N23),0,IF(($C$5-'Tariffs 2020'!L23+'Tariffs 2020'!M23+'Tariffs 2020'!N23)&lt;=('Tariffs 2020'!L23+'Tariffs 2020'!M23+'Tariffs 2020'!N23+'Tariffs 2020'!O23),(($C$5-('Tariffs 2020'!L23+'Tariffs 2020'!M23+'Tariffs 2020'!N23))*'Tariffs 2020'!Z23/100),('Tariffs 2020'!O23*'Tariffs 2020'!Z23/100))),0)</f>
        <v>0</v>
      </c>
      <c r="I29" s="347">
        <f>IF(AND('Tariffs 2020'!O23&gt;0,'Tariffs 2020'!P23&gt;0),IF($C$5&lt;('Tariffs 2020'!L23+'Tariffs 2020'!M23+'Tariffs 2020'!N23+'Tariffs 2020'!O23),0,IF(($C$5-'Tariffs 2020'!L23+'Tariffs 2020'!M23+'Tariffs 2020'!N23+'Tariffs 2020'!O23)&lt;=('Tariffs 2020'!L23+'Tariffs 2020'!M23+'Tariffs 2020'!N23+'Tariffs 2020'!O23+'Tariffs 2020'!P23),(($C$5-('Tariffs 2020'!L23+'Tariffs 2020'!M23+'Tariffs 2020'!N23+'Tariffs 2020'!O23))*'Tariffs 2020'!AA23/100),('Tariffs 2020'!P23*'Tariffs 2020'!AA23/100))),0)</f>
        <v>0</v>
      </c>
      <c r="J29" s="347">
        <f>IF(AND('Tariffs 2020'!P23&gt;0,'Tariffs 2020'!O23&gt;0),IF(($C$5&lt;SUM('Tariffs 2020'!L23:P23)),(0),($C$5-SUM('Tariffs 2020'!L23:P23))*'Tariffs 2020'!AB23/100),IF(AND('Tariffs 2020'!O23&gt;0,'Tariffs 2020'!P23=""),IF(($C$5&lt; SUM('Tariffs 2020'!L23:O23)),(0),($C$5-SUM('Tariffs 2020'!L23:O23))*'Tariffs 2020'!AA23/100),IF(AND('Tariffs 2020'!N23&gt;0,'Tariffs 2020'!O23=""),IF(($C$5&lt; SUM('Tariffs 2020'!L23:N23)),(0),($C$5-SUM('Tariffs 2020'!L23:N23))*'Tariffs 2020'!Z23/100),IF(AND('Tariffs 2020'!M23&gt;0,'Tariffs 2020'!N23=""),IF(($C$5&lt;'Tariffs 2020'!M23+'Tariffs 2020'!L23),(0),(($C$5-('Tariffs 2020'!M23+'Tariffs 2020'!L23))*'Tariffs 2020'!Y23/100)),IF(AND('Tariffs 2020'!L23&gt;0,'Tariffs 2020'!M23=""&gt;0),IF(($C$5&lt;'Tariffs 2020'!L23),(0),($C$5-'Tariffs 2020'!L23)*'Tariffs 2020'!X23/100),0)))))</f>
        <v>0</v>
      </c>
      <c r="K29" s="347">
        <f t="shared" si="0"/>
        <v>142.39999999999998</v>
      </c>
      <c r="L29" s="374">
        <f t="shared" si="6"/>
        <v>623.99999999999989</v>
      </c>
      <c r="M29" s="375">
        <f t="shared" si="7"/>
        <v>854.39999999999986</v>
      </c>
      <c r="N29" s="348">
        <f t="shared" si="8"/>
        <v>939.83999999999992</v>
      </c>
      <c r="O29" s="346">
        <f>'Tariffs 2020'!AT23</f>
        <v>0</v>
      </c>
      <c r="P29" s="346">
        <f>'Tariffs 2020'!AU23</f>
        <v>0</v>
      </c>
      <c r="Q29" s="346">
        <f>'Tariffs 2020'!AV23</f>
        <v>0</v>
      </c>
      <c r="R29" s="346">
        <f>'Tariffs 2020'!AW23</f>
        <v>0</v>
      </c>
      <c r="S29" s="349" t="str">
        <f t="shared" si="24"/>
        <v>No discount</v>
      </c>
      <c r="T29" s="349" t="str">
        <f t="shared" si="11"/>
        <v>Inclusive</v>
      </c>
      <c r="U29" s="384">
        <f t="shared" si="12"/>
        <v>854.39999999999986</v>
      </c>
      <c r="V29" s="384">
        <f t="shared" si="13"/>
        <v>854.39999999999986</v>
      </c>
      <c r="W29" s="393">
        <f t="shared" si="25"/>
        <v>939.83999999999992</v>
      </c>
      <c r="X29" s="393">
        <f t="shared" si="26"/>
        <v>939.83999999999992</v>
      </c>
      <c r="Y29" s="350">
        <f>'Tariffs 2020'!BF23</f>
        <v>0</v>
      </c>
      <c r="Z29" s="350" t="str">
        <f>'Tariffs 2020'!BG23</f>
        <v>n</v>
      </c>
      <c r="AA29" s="351" t="s">
        <v>400</v>
      </c>
    </row>
    <row r="30" spans="1:27" ht="25" customHeight="1" thickTop="1" x14ac:dyDescent="0.3">
      <c r="A30" s="338" t="str">
        <f>'Tariffs 2020'!F24</f>
        <v>AGL</v>
      </c>
      <c r="B30" s="339" t="str">
        <f>'Tariffs 2020'!D24</f>
        <v>AGN Temora</v>
      </c>
      <c r="C30" s="339" t="str">
        <f>'Tariffs 2020'!G24</f>
        <v>Essentials Saver</v>
      </c>
      <c r="D30" s="340">
        <f>60*'Tariffs 2020'!H24/100</f>
        <v>47.230909090909087</v>
      </c>
      <c r="E30" s="340">
        <f>IF('Tariffs 2020'!K24="",$C$5*'Tariffs 2020'!W24/100,IF($C$5&gt;='Tariffs 2020'!L24,('Tariffs 2020'!L24*'Tariffs 2020'!W24/100),($C$5*'Tariffs 2020'!W24/100)))</f>
        <v>97.818181818181813</v>
      </c>
      <c r="F30" s="340">
        <f>IF(AND('Tariffs 2020'!L24&gt;0,'Tariffs 2020'!M24&gt;0),IF($C$5&lt;'Tariffs 2020'!L24,0,IF(($C$5-'Tariffs 2020'!L24)&lt;=('Tariffs 2020'!M24+'Tariffs 2020'!L24),(($C$5-'Tariffs 2020'!L24)*'Tariffs 2020'!X24/100),(('Tariffs 2020'!M24)*'Tariffs 2020'!X24/100))),0)</f>
        <v>0</v>
      </c>
      <c r="G30" s="340">
        <f>IF(AND('Tariffs 2020'!M24&gt;0,'Tariffs 2020'!N24&gt;0),IF($C$5&lt;('Tariffs 2020'!L24+'Tariffs 2020'!M24),0,IF(($C$5-'Tariffs 2020'!L24+'Tariffs 2020'!M24)&lt;=('Tariffs 2020'!L24+'Tariffs 2020'!M24+'Tariffs 2020'!N24),(($C$5-('Tariffs 2020'!L24+'Tariffs 2020'!M24))*'Tariffs 2020'!Y24/100),('Tariffs 2020'!N24*'Tariffs 2020'!Y24/100))),0)</f>
        <v>0</v>
      </c>
      <c r="H30" s="340">
        <f>IF(AND('Tariffs 2020'!N24&gt;0,'Tariffs 2020'!O24&gt;0),IF($C$5&lt;('Tariffs 2020'!L24+'Tariffs 2020'!M24+'Tariffs 2020'!N24),0,IF(($C$5-'Tariffs 2020'!L24+'Tariffs 2020'!M24+'Tariffs 2020'!N24)&lt;=('Tariffs 2020'!L24+'Tariffs 2020'!M24+'Tariffs 2020'!N24+'Tariffs 2020'!O24),(($C$5-('Tariffs 2020'!L24+'Tariffs 2020'!M24+'Tariffs 2020'!N24))*'Tariffs 2020'!Z24/100),('Tariffs 2020'!O24*'Tariffs 2020'!Z24/100))),0)</f>
        <v>0</v>
      </c>
      <c r="I30" s="340">
        <f>IF(AND('Tariffs 2020'!O24&gt;0,'Tariffs 2020'!P24&gt;0),IF($C$5&lt;('Tariffs 2020'!L24+'Tariffs 2020'!M24+'Tariffs 2020'!N24+'Tariffs 2020'!O24),0,IF(($C$5-'Tariffs 2020'!L24+'Tariffs 2020'!M24+'Tariffs 2020'!N24+'Tariffs 2020'!O24)&lt;=('Tariffs 2020'!L24+'Tariffs 2020'!M24+'Tariffs 2020'!N24+'Tariffs 2020'!O24+'Tariffs 2020'!P24),(($C$5-('Tariffs 2020'!L24+'Tariffs 2020'!M24+'Tariffs 2020'!N24+'Tariffs 2020'!O24))*'Tariffs 2020'!AA24/100),('Tariffs 2020'!P24*'Tariffs 2020'!AA24/100))),0)</f>
        <v>0</v>
      </c>
      <c r="J30" s="340">
        <f>IF(AND('Tariffs 2020'!P24&gt;0,'Tariffs 2020'!O24&gt;0),IF(($C$5&lt;SUM('Tariffs 2020'!L24:P24)),(0),($C$5-SUM('Tariffs 2020'!L24:P24))*'Tariffs 2020'!AB24/100),IF(AND('Tariffs 2020'!O24&gt;0,'Tariffs 2020'!P24=""),IF(($C$5&lt; SUM('Tariffs 2020'!L24:O24)),(0),($C$5-SUM('Tariffs 2020'!L24:O24))*'Tariffs 2020'!AA24/100),IF(AND('Tariffs 2020'!N24&gt;0,'Tariffs 2020'!O24=""),IF(($C$5&lt; SUM('Tariffs 2020'!L24:N24)),(0),($C$5-SUM('Tariffs 2020'!L24:N24))*'Tariffs 2020'!Z24/100),IF(AND('Tariffs 2020'!M24&gt;0,'Tariffs 2020'!N24=""),IF(($C$5&lt;'Tariffs 2020'!M24+'Tariffs 2020'!L24),(0),(($C$5-('Tariffs 2020'!M24+'Tariffs 2020'!L24))*'Tariffs 2020'!Y24/100)),IF(AND('Tariffs 2020'!L24&gt;0,'Tariffs 2020'!M24=""&gt;0),IF(($C$5&lt;'Tariffs 2020'!L24),(0),($C$5-'Tariffs 2020'!L24)*'Tariffs 2020'!X24/100),0)))))</f>
        <v>0</v>
      </c>
      <c r="K30" s="340">
        <f t="shared" si="0"/>
        <v>145.04909090909089</v>
      </c>
      <c r="L30" s="372">
        <f t="shared" si="6"/>
        <v>586.90909090909088</v>
      </c>
      <c r="M30" s="373">
        <f t="shared" si="7"/>
        <v>870.29454545454541</v>
      </c>
      <c r="N30" s="341">
        <f t="shared" si="8"/>
        <v>957.32400000000007</v>
      </c>
      <c r="O30" s="339">
        <f>'Tariffs 2020'!AT24</f>
        <v>0</v>
      </c>
      <c r="P30" s="339">
        <f>'Tariffs 2020'!AU24</f>
        <v>0</v>
      </c>
      <c r="Q30" s="339">
        <f>'Tariffs 2020'!AV24</f>
        <v>0</v>
      </c>
      <c r="R30" s="339">
        <f>'Tariffs 2020'!AW24</f>
        <v>0</v>
      </c>
      <c r="S30" s="342" t="str">
        <f t="shared" ref="S30:S31" si="27">IF(SUM(O30:R30)=0,"No discount",IF(O30&gt;0,"Guaranteed off bill",IF(P30&gt;0,"Guaranteed off usage",IF(Q30&gt;0,"Pay-on-time off bill","Pay-on-time off usage"))))</f>
        <v>No discount</v>
      </c>
      <c r="T30" s="342" t="str">
        <f t="shared" si="11"/>
        <v>Exclusive</v>
      </c>
      <c r="U30" s="383">
        <f t="shared" si="12"/>
        <v>870.29454545454541</v>
      </c>
      <c r="V30" s="383">
        <f t="shared" si="13"/>
        <v>870.29454545454541</v>
      </c>
      <c r="W30" s="392">
        <f t="shared" si="25"/>
        <v>957.32400000000007</v>
      </c>
      <c r="X30" s="392">
        <f t="shared" si="26"/>
        <v>957.32400000000007</v>
      </c>
      <c r="Y30" s="343">
        <f>'Tariffs 2020'!BF24</f>
        <v>0</v>
      </c>
      <c r="Z30" s="367" t="str">
        <f>'Tariffs 2020'!BG24</f>
        <v>n</v>
      </c>
      <c r="AA30" s="344" t="s">
        <v>288</v>
      </c>
    </row>
    <row r="31" spans="1:27" ht="25" customHeight="1" thickBot="1" x14ac:dyDescent="0.35">
      <c r="A31" s="345" t="str">
        <f>'Tariffs 2020'!F25</f>
        <v>Origin Energy</v>
      </c>
      <c r="B31" s="346" t="str">
        <f>'Tariffs 2020'!D25</f>
        <v>AGN Temora</v>
      </c>
      <c r="C31" s="346" t="str">
        <f>'Tariffs 2020'!G25</f>
        <v>Max Saver</v>
      </c>
      <c r="D31" s="347">
        <f>60*'Tariffs 2020'!H25/100</f>
        <v>45.54545454545454</v>
      </c>
      <c r="E31" s="347">
        <f>IF('Tariffs 2020'!K25="",$C$5*'Tariffs 2020'!W25/100,IF($C$5&gt;='Tariffs 2020'!L25,('Tariffs 2020'!L25*'Tariffs 2020'!W25/100),($C$5*'Tariffs 2020'!W25/100)))</f>
        <v>107.27272727272727</v>
      </c>
      <c r="F31" s="347">
        <f>IF(AND('Tariffs 2020'!L25&gt;0,'Tariffs 2020'!M25&gt;0),IF($C$5&lt;'Tariffs 2020'!L25,0,IF(($C$5-'Tariffs 2020'!L25)&lt;=('Tariffs 2020'!M25+'Tariffs 2020'!L25),(($C$5-'Tariffs 2020'!L25)*'Tariffs 2020'!X25/100),(('Tariffs 2020'!M25)*'Tariffs 2020'!X25/100))),0)</f>
        <v>0</v>
      </c>
      <c r="G31" s="347">
        <f>IF(AND('Tariffs 2020'!M25&gt;0,'Tariffs 2020'!N25&gt;0),IF($C$5&lt;('Tariffs 2020'!L25+'Tariffs 2020'!M25),0,IF(($C$5-'Tariffs 2020'!L25+'Tariffs 2020'!M25)&lt;=('Tariffs 2020'!L25+'Tariffs 2020'!M25+'Tariffs 2020'!N25),(($C$5-('Tariffs 2020'!L25+'Tariffs 2020'!M25))*'Tariffs 2020'!Y25/100),('Tariffs 2020'!N25*'Tariffs 2020'!Y25/100))),0)</f>
        <v>0</v>
      </c>
      <c r="H31" s="347">
        <f>IF(AND('Tariffs 2020'!N25&gt;0,'Tariffs 2020'!O25&gt;0),IF($C$5&lt;('Tariffs 2020'!L25+'Tariffs 2020'!M25+'Tariffs 2020'!N25),0,IF(($C$5-'Tariffs 2020'!L25+'Tariffs 2020'!M25+'Tariffs 2020'!N25)&lt;=('Tariffs 2020'!L25+'Tariffs 2020'!M25+'Tariffs 2020'!N25+'Tariffs 2020'!O25),(($C$5-('Tariffs 2020'!L25+'Tariffs 2020'!M25+'Tariffs 2020'!N25))*'Tariffs 2020'!Z25/100),('Tariffs 2020'!O25*'Tariffs 2020'!Z25/100))),0)</f>
        <v>0</v>
      </c>
      <c r="I31" s="347">
        <f>IF(AND('Tariffs 2020'!O25&gt;0,'Tariffs 2020'!P25&gt;0),IF($C$5&lt;('Tariffs 2020'!L25+'Tariffs 2020'!M25+'Tariffs 2020'!N25+'Tariffs 2020'!O25),0,IF(($C$5-'Tariffs 2020'!L25+'Tariffs 2020'!M25+'Tariffs 2020'!N25+'Tariffs 2020'!O25)&lt;=('Tariffs 2020'!L25+'Tariffs 2020'!M25+'Tariffs 2020'!N25+'Tariffs 2020'!O25+'Tariffs 2020'!P25),(($C$5-('Tariffs 2020'!L25+'Tariffs 2020'!M25+'Tariffs 2020'!N25+'Tariffs 2020'!O25))*'Tariffs 2020'!AA25/100),('Tariffs 2020'!P25*'Tariffs 2020'!AA25/100))),0)</f>
        <v>0</v>
      </c>
      <c r="J31" s="347">
        <f>IF(AND('Tariffs 2020'!P25&gt;0,'Tariffs 2020'!O25&gt;0),IF(($C$5&lt;SUM('Tariffs 2020'!L25:P25)),(0),($C$5-SUM('Tariffs 2020'!L25:P25))*'Tariffs 2020'!AB25/100),IF(AND('Tariffs 2020'!O25&gt;0,'Tariffs 2020'!P25=""),IF(($C$5&lt; SUM('Tariffs 2020'!L25:O25)),(0),($C$5-SUM('Tariffs 2020'!L25:O25))*'Tariffs 2020'!AA25/100),IF(AND('Tariffs 2020'!N25&gt;0,'Tariffs 2020'!O25=""),IF(($C$5&lt; SUM('Tariffs 2020'!L25:N25)),(0),($C$5-SUM('Tariffs 2020'!L25:N25))*'Tariffs 2020'!Z25/100),IF(AND('Tariffs 2020'!M25&gt;0,'Tariffs 2020'!N25=""),IF(($C$5&lt;'Tariffs 2020'!M25+'Tariffs 2020'!L25),(0),(($C$5-('Tariffs 2020'!M25+'Tariffs 2020'!L25))*'Tariffs 2020'!Y25/100)),IF(AND('Tariffs 2020'!L25&gt;0,'Tariffs 2020'!M25=""&gt;0),IF(($C$5&lt;'Tariffs 2020'!L25),(0),($C$5-'Tariffs 2020'!L25)*'Tariffs 2020'!X25/100),0)))))</f>
        <v>0</v>
      </c>
      <c r="K31" s="347">
        <f t="shared" ref="K31" si="28">SUM(D31:J31)</f>
        <v>152.81818181818181</v>
      </c>
      <c r="L31" s="374">
        <f t="shared" si="6"/>
        <v>643.63636363636363</v>
      </c>
      <c r="M31" s="375">
        <f t="shared" si="7"/>
        <v>916.90909090909088</v>
      </c>
      <c r="N31" s="348">
        <f t="shared" si="8"/>
        <v>1008.6</v>
      </c>
      <c r="O31" s="346">
        <f>'Tariffs 2020'!AT25</f>
        <v>10</v>
      </c>
      <c r="P31" s="346">
        <f>'Tariffs 2020'!AU25</f>
        <v>0</v>
      </c>
      <c r="Q31" s="346">
        <f>'Tariffs 2020'!AV25</f>
        <v>0</v>
      </c>
      <c r="R31" s="346">
        <f>'Tariffs 2020'!AW25</f>
        <v>0</v>
      </c>
      <c r="S31" s="349" t="str">
        <f t="shared" si="27"/>
        <v>Guaranteed off bill</v>
      </c>
      <c r="T31" s="349" t="str">
        <f t="shared" si="11"/>
        <v>Inclusive</v>
      </c>
      <c r="U31" s="384">
        <f t="shared" si="12"/>
        <v>825.21818181818173</v>
      </c>
      <c r="V31" s="384">
        <f t="shared" si="13"/>
        <v>825.21818181818173</v>
      </c>
      <c r="W31" s="393">
        <f t="shared" si="25"/>
        <v>907.74</v>
      </c>
      <c r="X31" s="393">
        <f t="shared" si="26"/>
        <v>907.74</v>
      </c>
      <c r="Y31" s="350">
        <f>'Tariffs 2020'!BF25</f>
        <v>0</v>
      </c>
      <c r="Z31" s="350" t="str">
        <f>'Tariffs 2020'!BG25</f>
        <v>n</v>
      </c>
      <c r="AA31" s="351" t="s">
        <v>288</v>
      </c>
    </row>
    <row r="32" spans="1:27" ht="25" customHeight="1" thickTop="1" x14ac:dyDescent="0.3">
      <c r="A32" s="338" t="str">
        <f>'Tariffs 2020'!F26</f>
        <v>Origin Energy</v>
      </c>
      <c r="B32" s="339" t="str">
        <f>'Tariffs 2020'!D26</f>
        <v>AGN Tumut</v>
      </c>
      <c r="C32" s="339" t="str">
        <f>'Tariffs 2020'!G26</f>
        <v>Max Saver</v>
      </c>
      <c r="D32" s="340">
        <f>60*'Tariffs 2020'!H26/100</f>
        <v>48.81818181818182</v>
      </c>
      <c r="E32" s="340">
        <f>IF('Tariffs 2020'!K26="",$C$5*'Tariffs 2020'!W26/100,IF($C$5&gt;='Tariffs 2020'!L26,('Tariffs 2020'!L26*'Tariffs 2020'!W26/100),($C$5*'Tariffs 2020'!W26/100)))</f>
        <v>107.27272727272727</v>
      </c>
      <c r="F32" s="340">
        <f>IF(AND('Tariffs 2020'!L26&gt;0,'Tariffs 2020'!M26&gt;0),IF($C$5&lt;'Tariffs 2020'!L26,0,IF(($C$5-'Tariffs 2020'!L26)&lt;=('Tariffs 2020'!M26+'Tariffs 2020'!L26),(($C$5-'Tariffs 2020'!L26)*'Tariffs 2020'!X26/100),(('Tariffs 2020'!M26)*'Tariffs 2020'!X26/100))),0)</f>
        <v>0</v>
      </c>
      <c r="G32" s="340">
        <f>IF(AND('Tariffs 2020'!M26&gt;0,'Tariffs 2020'!N26&gt;0),IF($C$5&lt;('Tariffs 2020'!L26+'Tariffs 2020'!M26),0,IF(($C$5-'Tariffs 2020'!L26+'Tariffs 2020'!M26)&lt;=('Tariffs 2020'!L26+'Tariffs 2020'!M26+'Tariffs 2020'!N26),(($C$5-('Tariffs 2020'!L26+'Tariffs 2020'!M26))*'Tariffs 2020'!Y26/100),('Tariffs 2020'!N26*'Tariffs 2020'!Y26/100))),0)</f>
        <v>0</v>
      </c>
      <c r="H32" s="340">
        <f>IF(AND('Tariffs 2020'!N26&gt;0,'Tariffs 2020'!O26&gt;0),IF($C$5&lt;('Tariffs 2020'!L26+'Tariffs 2020'!M26+'Tariffs 2020'!N26),0,IF(($C$5-'Tariffs 2020'!L26+'Tariffs 2020'!M26+'Tariffs 2020'!N26)&lt;=('Tariffs 2020'!L26+'Tariffs 2020'!M26+'Tariffs 2020'!N26+'Tariffs 2020'!O26),(($C$5-('Tariffs 2020'!L26+'Tariffs 2020'!M26+'Tariffs 2020'!N26))*'Tariffs 2020'!Z26/100),('Tariffs 2020'!O26*'Tariffs 2020'!Z26/100))),0)</f>
        <v>0</v>
      </c>
      <c r="I32" s="340">
        <f>IF(AND('Tariffs 2020'!O26&gt;0,'Tariffs 2020'!P26&gt;0),IF($C$5&lt;('Tariffs 2020'!L26+'Tariffs 2020'!M26+'Tariffs 2020'!N26+'Tariffs 2020'!O26),0,IF(($C$5-'Tariffs 2020'!L26+'Tariffs 2020'!M26+'Tariffs 2020'!N26+'Tariffs 2020'!O26)&lt;=('Tariffs 2020'!L26+'Tariffs 2020'!M26+'Tariffs 2020'!N26+'Tariffs 2020'!O26+'Tariffs 2020'!P26),(($C$5-('Tariffs 2020'!L26+'Tariffs 2020'!M26+'Tariffs 2020'!N26+'Tariffs 2020'!O26))*'Tariffs 2020'!AA26/100),('Tariffs 2020'!P26*'Tariffs 2020'!AA26/100))),0)</f>
        <v>0</v>
      </c>
      <c r="J32" s="340">
        <f>IF(AND('Tariffs 2020'!P26&gt;0,'Tariffs 2020'!O26&gt;0),IF(($C$5&lt;SUM('Tariffs 2020'!L26:P26)),(0),($C$5-SUM('Tariffs 2020'!L26:P26))*'Tariffs 2020'!AB26/100),IF(AND('Tariffs 2020'!O26&gt;0,'Tariffs 2020'!P26=""),IF(($C$5&lt; SUM('Tariffs 2020'!L26:O26)),(0),($C$5-SUM('Tariffs 2020'!L26:O26))*'Tariffs 2020'!AA26/100),IF(AND('Tariffs 2020'!N26&gt;0,'Tariffs 2020'!O26=""),IF(($C$5&lt; SUM('Tariffs 2020'!L26:N26)),(0),($C$5-SUM('Tariffs 2020'!L26:N26))*'Tariffs 2020'!Z26/100),IF(AND('Tariffs 2020'!M26&gt;0,'Tariffs 2020'!N26=""),IF(($C$5&lt;'Tariffs 2020'!M26+'Tariffs 2020'!L26),(0),(($C$5-('Tariffs 2020'!M26+'Tariffs 2020'!L26))*'Tariffs 2020'!Y26/100)),IF(AND('Tariffs 2020'!L26&gt;0,'Tariffs 2020'!M26=""&gt;0),IF(($C$5&lt;'Tariffs 2020'!L26),(0),($C$5-'Tariffs 2020'!L26)*'Tariffs 2020'!X26/100),0)))))</f>
        <v>0</v>
      </c>
      <c r="K32" s="340">
        <f t="shared" si="0"/>
        <v>156.09090909090909</v>
      </c>
      <c r="L32" s="372">
        <f t="shared" si="6"/>
        <v>643.63636363636351</v>
      </c>
      <c r="M32" s="373">
        <f t="shared" si="7"/>
        <v>936.5454545454545</v>
      </c>
      <c r="N32" s="341">
        <f t="shared" si="8"/>
        <v>1030.2</v>
      </c>
      <c r="O32" s="339">
        <f>'Tariffs 2020'!AT26</f>
        <v>10</v>
      </c>
      <c r="P32" s="339">
        <f>'Tariffs 2020'!AU26</f>
        <v>0</v>
      </c>
      <c r="Q32" s="339">
        <f>'Tariffs 2020'!AV26</f>
        <v>0</v>
      </c>
      <c r="R32" s="339">
        <f>'Tariffs 2020'!AW26</f>
        <v>0</v>
      </c>
      <c r="S32" s="342" t="str">
        <f t="shared" ref="S32:S33" si="29">IF(SUM(O32:R32)=0,"No discount",IF(O32&gt;0,"Guaranteed off bill",IF(P32&gt;0,"Guaranteed off usage",IF(Q32&gt;0,"Pay-on-time off bill","Pay-on-time off usage"))))</f>
        <v>Guaranteed off bill</v>
      </c>
      <c r="T32" s="342" t="str">
        <f t="shared" si="11"/>
        <v>Inclusive</v>
      </c>
      <c r="U32" s="383">
        <f t="shared" si="12"/>
        <v>842.89090909090908</v>
      </c>
      <c r="V32" s="383">
        <f t="shared" si="13"/>
        <v>842.89090909090908</v>
      </c>
      <c r="W32" s="392">
        <f t="shared" si="25"/>
        <v>927.18000000000006</v>
      </c>
      <c r="X32" s="392">
        <f t="shared" si="26"/>
        <v>927.18000000000006</v>
      </c>
      <c r="Y32" s="343">
        <f>'Tariffs 2020'!BF26</f>
        <v>0</v>
      </c>
      <c r="Z32" s="367" t="str">
        <f>'Tariffs 2020'!BG26</f>
        <v>n</v>
      </c>
      <c r="AA32" s="344" t="s">
        <v>288</v>
      </c>
    </row>
    <row r="33" spans="1:27" ht="25" customHeight="1" thickBot="1" x14ac:dyDescent="0.35">
      <c r="A33" s="345" t="str">
        <f>'Tariffs 2020'!F27</f>
        <v>Red Energy</v>
      </c>
      <c r="B33" s="346" t="str">
        <f>'Tariffs 2020'!D27</f>
        <v>AGN Tumut</v>
      </c>
      <c r="C33" s="346" t="str">
        <f>'Tariffs 2020'!G27</f>
        <v>Living Energy Saver</v>
      </c>
      <c r="D33" s="347">
        <f>60*'Tariffs 2020'!H27/100</f>
        <v>44.4</v>
      </c>
      <c r="E33" s="347">
        <f>IF('Tariffs 2020'!K27="",$C$5*'Tariffs 2020'!W27/100,IF($C$5&gt;='Tariffs 2020'!L27,('Tariffs 2020'!L27*'Tariffs 2020'!W27/100),($C$5*'Tariffs 2020'!W27/100)))</f>
        <v>108</v>
      </c>
      <c r="F33" s="347">
        <f>IF(AND('Tariffs 2020'!L27&gt;0,'Tariffs 2020'!M27&gt;0),IF($C$5&lt;'Tariffs 2020'!L27,0,IF(($C$5-'Tariffs 2020'!L27)&lt;=('Tariffs 2020'!M27+'Tariffs 2020'!L27),(($C$5-'Tariffs 2020'!L27)*'Tariffs 2020'!X27/100),(('Tariffs 2020'!M27)*'Tariffs 2020'!X27/100))),0)</f>
        <v>0</v>
      </c>
      <c r="G33" s="347">
        <f>IF(AND('Tariffs 2020'!M27&gt;0,'Tariffs 2020'!N27&gt;0),IF($C$5&lt;('Tariffs 2020'!L27+'Tariffs 2020'!M27),0,IF(($C$5-'Tariffs 2020'!L27+'Tariffs 2020'!M27)&lt;=('Tariffs 2020'!L27+'Tariffs 2020'!M27+'Tariffs 2020'!N27),(($C$5-('Tariffs 2020'!L27+'Tariffs 2020'!M27))*'Tariffs 2020'!Y27/100),('Tariffs 2020'!N27*'Tariffs 2020'!Y27/100))),0)</f>
        <v>0</v>
      </c>
      <c r="H33" s="347">
        <f>IF(AND('Tariffs 2020'!N27&gt;0,'Tariffs 2020'!O27&gt;0),IF($C$5&lt;('Tariffs 2020'!L27+'Tariffs 2020'!M27+'Tariffs 2020'!N27),0,IF(($C$5-'Tariffs 2020'!L27+'Tariffs 2020'!M27+'Tariffs 2020'!N27)&lt;=('Tariffs 2020'!L27+'Tariffs 2020'!M27+'Tariffs 2020'!N27+'Tariffs 2020'!O27),(($C$5-('Tariffs 2020'!L27+'Tariffs 2020'!M27+'Tariffs 2020'!N27))*'Tariffs 2020'!Z27/100),('Tariffs 2020'!O27*'Tariffs 2020'!Z27/100))),0)</f>
        <v>0</v>
      </c>
      <c r="I33" s="347">
        <f>IF(AND('Tariffs 2020'!O27&gt;0,'Tariffs 2020'!P27&gt;0),IF($C$5&lt;('Tariffs 2020'!L27+'Tariffs 2020'!M27+'Tariffs 2020'!N27+'Tariffs 2020'!O27),0,IF(($C$5-'Tariffs 2020'!L27+'Tariffs 2020'!M27+'Tariffs 2020'!N27+'Tariffs 2020'!O27)&lt;=('Tariffs 2020'!L27+'Tariffs 2020'!M27+'Tariffs 2020'!N27+'Tariffs 2020'!O27+'Tariffs 2020'!P27),(($C$5-('Tariffs 2020'!L27+'Tariffs 2020'!M27+'Tariffs 2020'!N27+'Tariffs 2020'!O27))*'Tariffs 2020'!AA27/100),('Tariffs 2020'!P27*'Tariffs 2020'!AA27/100))),0)</f>
        <v>0</v>
      </c>
      <c r="J33" s="347">
        <f>IF(AND('Tariffs 2020'!P27&gt;0,'Tariffs 2020'!O27&gt;0),IF(($C$5&lt;SUM('Tariffs 2020'!L27:P27)),(0),($C$5-SUM('Tariffs 2020'!L27:P27))*'Tariffs 2020'!AB27/100),IF(AND('Tariffs 2020'!O27&gt;0,'Tariffs 2020'!P27=""),IF(($C$5&lt; SUM('Tariffs 2020'!L27:O27)),(0),($C$5-SUM('Tariffs 2020'!L27:O27))*'Tariffs 2020'!AA27/100),IF(AND('Tariffs 2020'!N27&gt;0,'Tariffs 2020'!O27=""),IF(($C$5&lt; SUM('Tariffs 2020'!L27:N27)),(0),($C$5-SUM('Tariffs 2020'!L27:N27))*'Tariffs 2020'!Z27/100),IF(AND('Tariffs 2020'!M27&gt;0,'Tariffs 2020'!N27=""),IF(($C$5&lt;'Tariffs 2020'!M27+'Tariffs 2020'!L27),(0),(($C$5-('Tariffs 2020'!M27+'Tariffs 2020'!L27))*'Tariffs 2020'!Y27/100)),IF(AND('Tariffs 2020'!L27&gt;0,'Tariffs 2020'!M27=""&gt;0),IF(($C$5&lt;'Tariffs 2020'!L27),(0),($C$5-'Tariffs 2020'!L27)*'Tariffs 2020'!X27/100),0)))))</f>
        <v>0</v>
      </c>
      <c r="K33" s="347">
        <f t="shared" si="0"/>
        <v>152.4</v>
      </c>
      <c r="L33" s="374">
        <f t="shared" si="6"/>
        <v>648.00000000000011</v>
      </c>
      <c r="M33" s="375">
        <f t="shared" si="7"/>
        <v>914.40000000000009</v>
      </c>
      <c r="N33" s="348">
        <f t="shared" si="8"/>
        <v>1005.8400000000001</v>
      </c>
      <c r="O33" s="346">
        <f>'Tariffs 2020'!AT27</f>
        <v>0</v>
      </c>
      <c r="P33" s="346">
        <f>'Tariffs 2020'!AU27</f>
        <v>0</v>
      </c>
      <c r="Q33" s="346">
        <f>'Tariffs 2020'!AV27</f>
        <v>0</v>
      </c>
      <c r="R33" s="346">
        <f>'Tariffs 2020'!AW27</f>
        <v>0</v>
      </c>
      <c r="S33" s="349" t="str">
        <f t="shared" si="29"/>
        <v>No discount</v>
      </c>
      <c r="T33" s="349" t="str">
        <f t="shared" si="11"/>
        <v>Inclusive</v>
      </c>
      <c r="U33" s="384">
        <f t="shared" si="12"/>
        <v>914.40000000000009</v>
      </c>
      <c r="V33" s="384">
        <f t="shared" si="13"/>
        <v>914.40000000000009</v>
      </c>
      <c r="W33" s="393">
        <f t="shared" si="25"/>
        <v>1005.8400000000001</v>
      </c>
      <c r="X33" s="393">
        <f t="shared" si="26"/>
        <v>1005.8400000000001</v>
      </c>
      <c r="Y33" s="350">
        <f>'Tariffs 2020'!BF27</f>
        <v>0</v>
      </c>
      <c r="Z33" s="350" t="str">
        <f>'Tariffs 2020'!BG27</f>
        <v>n</v>
      </c>
      <c r="AA33" s="351" t="s">
        <v>400</v>
      </c>
    </row>
    <row r="34" spans="1:27" ht="25" customHeight="1" thickTop="1" x14ac:dyDescent="0.3">
      <c r="A34" s="338" t="str">
        <f>'Tariffs 2020'!F28</f>
        <v>AGL</v>
      </c>
      <c r="B34" s="339" t="str">
        <f>'Tariffs 2020'!D28</f>
        <v>AGN Wagga Wagga</v>
      </c>
      <c r="C34" s="339" t="str">
        <f>'Tariffs 2020'!G28</f>
        <v>Essentials Saver</v>
      </c>
      <c r="D34" s="340">
        <f>60*'Tariffs 2020'!H28/100</f>
        <v>53.34545454545453</v>
      </c>
      <c r="E34" s="340">
        <f>IF('Tariffs 2020'!K28="",$C$5*'Tariffs 2020'!W28/100,IF($C$5&gt;='Tariffs 2020'!L28,('Tariffs 2020'!L28*'Tariffs 2020'!W28/100),($C$5*'Tariffs 2020'!W28/100)))</f>
        <v>80.363636363636346</v>
      </c>
      <c r="F34" s="340">
        <f>IF(AND('Tariffs 2020'!L28&gt;0,'Tariffs 2020'!M28&gt;0),IF($C$5&lt;'Tariffs 2020'!L28,0,IF(($C$5-'Tariffs 2020'!L28)&lt;=('Tariffs 2020'!M28+'Tariffs 2020'!L28),(($C$5-'Tariffs 2020'!L28)*'Tariffs 2020'!X28/100),(('Tariffs 2020'!M28)*'Tariffs 2020'!X28/100))),0)</f>
        <v>0</v>
      </c>
      <c r="G34" s="340">
        <f>IF(AND('Tariffs 2020'!M28&gt;0,'Tariffs 2020'!N28&gt;0),IF($C$5&lt;('Tariffs 2020'!L28+'Tariffs 2020'!M28),0,IF(($C$5-'Tariffs 2020'!L28+'Tariffs 2020'!M28)&lt;=('Tariffs 2020'!L28+'Tariffs 2020'!M28+'Tariffs 2020'!N28),(($C$5-('Tariffs 2020'!L28+'Tariffs 2020'!M28))*'Tariffs 2020'!Y28/100),('Tariffs 2020'!N28*'Tariffs 2020'!Y28/100))),0)</f>
        <v>0</v>
      </c>
      <c r="H34" s="340">
        <f>IF(AND('Tariffs 2020'!N28&gt;0,'Tariffs 2020'!O28&gt;0),IF($C$5&lt;('Tariffs 2020'!L28+'Tariffs 2020'!M28+'Tariffs 2020'!N28),0,IF(($C$5-'Tariffs 2020'!L28+'Tariffs 2020'!M28+'Tariffs 2020'!N28)&lt;=('Tariffs 2020'!L28+'Tariffs 2020'!M28+'Tariffs 2020'!N28+'Tariffs 2020'!O28),(($C$5-('Tariffs 2020'!L28+'Tariffs 2020'!M28+'Tariffs 2020'!N28))*'Tariffs 2020'!Z28/100),('Tariffs 2020'!O28*'Tariffs 2020'!Z28/100))),0)</f>
        <v>0</v>
      </c>
      <c r="I34" s="340">
        <f>IF(AND('Tariffs 2020'!O28&gt;0,'Tariffs 2020'!P28&gt;0),IF($C$5&lt;('Tariffs 2020'!L28+'Tariffs 2020'!M28+'Tariffs 2020'!N28+'Tariffs 2020'!O28),0,IF(($C$5-'Tariffs 2020'!L28+'Tariffs 2020'!M28+'Tariffs 2020'!N28+'Tariffs 2020'!O28)&lt;=('Tariffs 2020'!L28+'Tariffs 2020'!M28+'Tariffs 2020'!N28+'Tariffs 2020'!O28+'Tariffs 2020'!P28),(($C$5-('Tariffs 2020'!L28+'Tariffs 2020'!M28+'Tariffs 2020'!N28+'Tariffs 2020'!O28))*'Tariffs 2020'!AA28/100),('Tariffs 2020'!P28*'Tariffs 2020'!AA28/100))),0)</f>
        <v>0</v>
      </c>
      <c r="J34" s="340">
        <f>IF(AND('Tariffs 2020'!P28&gt;0,'Tariffs 2020'!O28&gt;0),IF(($C$5&lt;SUM('Tariffs 2020'!L28:P28)),(0),($C$5-SUM('Tariffs 2020'!L28:P28))*'Tariffs 2020'!AB28/100),IF(AND('Tariffs 2020'!O28&gt;0,'Tariffs 2020'!P28=""),IF(($C$5&lt; SUM('Tariffs 2020'!L28:O28)),(0),($C$5-SUM('Tariffs 2020'!L28:O28))*'Tariffs 2020'!AA28/100),IF(AND('Tariffs 2020'!N28&gt;0,'Tariffs 2020'!O28=""),IF(($C$5&lt; SUM('Tariffs 2020'!L28:N28)),(0),($C$5-SUM('Tariffs 2020'!L28:N28))*'Tariffs 2020'!Z28/100),IF(AND('Tariffs 2020'!M28&gt;0,'Tariffs 2020'!N28=""),IF(($C$5&lt;'Tariffs 2020'!M28+'Tariffs 2020'!L28),(0),(($C$5-('Tariffs 2020'!M28+'Tariffs 2020'!L28))*'Tariffs 2020'!Y28/100)),IF(AND('Tariffs 2020'!L28&gt;0,'Tariffs 2020'!M28=""&gt;0),IF(($C$5&lt;'Tariffs 2020'!L28),(0),($C$5-'Tariffs 2020'!L28)*'Tariffs 2020'!X28/100),0)))))</f>
        <v>0</v>
      </c>
      <c r="K34" s="340">
        <f t="shared" si="0"/>
        <v>133.70909090909089</v>
      </c>
      <c r="L34" s="372">
        <f t="shared" si="6"/>
        <v>482.18181818181813</v>
      </c>
      <c r="M34" s="373">
        <f t="shared" si="7"/>
        <v>802.25454545454534</v>
      </c>
      <c r="N34" s="341">
        <f t="shared" si="8"/>
        <v>882.4799999999999</v>
      </c>
      <c r="O34" s="339">
        <f>'Tariffs 2020'!AT28</f>
        <v>0</v>
      </c>
      <c r="P34" s="339">
        <f>'Tariffs 2020'!AU28</f>
        <v>0</v>
      </c>
      <c r="Q34" s="339">
        <f>'Tariffs 2020'!AV28</f>
        <v>0</v>
      </c>
      <c r="R34" s="339">
        <f>'Tariffs 2020'!AW28</f>
        <v>0</v>
      </c>
      <c r="S34" s="342" t="str">
        <f t="shared" ref="S34:S35" si="30">IF(SUM(O34:R34)=0,"No discount",IF(O34&gt;0,"Guaranteed off bill",IF(P34&gt;0,"Guaranteed off usage",IF(Q34&gt;0,"Pay-on-time off bill","Pay-on-time off usage"))))</f>
        <v>No discount</v>
      </c>
      <c r="T34" s="342" t="str">
        <f t="shared" si="11"/>
        <v>Exclusive</v>
      </c>
      <c r="U34" s="383">
        <f t="shared" si="12"/>
        <v>802.25454545454534</v>
      </c>
      <c r="V34" s="383">
        <f t="shared" si="13"/>
        <v>802.25454545454534</v>
      </c>
      <c r="W34" s="392">
        <f t="shared" si="25"/>
        <v>882.4799999999999</v>
      </c>
      <c r="X34" s="392">
        <f t="shared" si="26"/>
        <v>882.4799999999999</v>
      </c>
      <c r="Y34" s="343">
        <f>'Tariffs 2020'!BF28</f>
        <v>0</v>
      </c>
      <c r="Z34" s="367" t="str">
        <f>'Tariffs 2020'!BG28</f>
        <v>n</v>
      </c>
      <c r="AA34" s="344" t="s">
        <v>288</v>
      </c>
    </row>
    <row r="35" spans="1:27" ht="25" customHeight="1" thickBot="1" x14ac:dyDescent="0.35">
      <c r="A35" s="345" t="str">
        <f>'Tariffs 2020'!F29</f>
        <v>Origin Energy</v>
      </c>
      <c r="B35" s="346" t="str">
        <f>'Tariffs 2020'!D29</f>
        <v>AGN Wagga Wagga</v>
      </c>
      <c r="C35" s="346" t="str">
        <f>'Tariffs 2020'!G29</f>
        <v>Max Saver</v>
      </c>
      <c r="D35" s="347">
        <f>60*'Tariffs 2020'!H29/100</f>
        <v>51.81818181818182</v>
      </c>
      <c r="E35" s="347">
        <f>IF('Tariffs 2020'!K29="",$C$5*'Tariffs 2020'!W29/100,IF($C$5&gt;='Tariffs 2020'!L29,('Tariffs 2020'!L29*'Tariffs 2020'!W29/100),($C$5*'Tariffs 2020'!W29/100)))</f>
        <v>88.72727272727272</v>
      </c>
      <c r="F35" s="347">
        <f>IF(AND('Tariffs 2020'!L29&gt;0,'Tariffs 2020'!M29&gt;0),IF($C$5&lt;'Tariffs 2020'!L29,0,IF(($C$5-'Tariffs 2020'!L29)&lt;=('Tariffs 2020'!M29+'Tariffs 2020'!L29),(($C$5-'Tariffs 2020'!L29)*'Tariffs 2020'!X29/100),(('Tariffs 2020'!M29)*'Tariffs 2020'!X29/100))),0)</f>
        <v>0</v>
      </c>
      <c r="G35" s="347">
        <f>IF(AND('Tariffs 2020'!M29&gt;0,'Tariffs 2020'!N29&gt;0),IF($C$5&lt;('Tariffs 2020'!L29+'Tariffs 2020'!M29),0,IF(($C$5-'Tariffs 2020'!L29+'Tariffs 2020'!M29)&lt;=('Tariffs 2020'!L29+'Tariffs 2020'!M29+'Tariffs 2020'!N29),(($C$5-('Tariffs 2020'!L29+'Tariffs 2020'!M29))*'Tariffs 2020'!Y29/100),('Tariffs 2020'!N29*'Tariffs 2020'!Y29/100))),0)</f>
        <v>0</v>
      </c>
      <c r="H35" s="347">
        <f>IF(AND('Tariffs 2020'!N29&gt;0,'Tariffs 2020'!O29&gt;0),IF($C$5&lt;('Tariffs 2020'!L29+'Tariffs 2020'!M29+'Tariffs 2020'!N29),0,IF(($C$5-'Tariffs 2020'!L29+'Tariffs 2020'!M29+'Tariffs 2020'!N29)&lt;=('Tariffs 2020'!L29+'Tariffs 2020'!M29+'Tariffs 2020'!N29+'Tariffs 2020'!O29),(($C$5-('Tariffs 2020'!L29+'Tariffs 2020'!M29+'Tariffs 2020'!N29))*'Tariffs 2020'!Z29/100),('Tariffs 2020'!O29*'Tariffs 2020'!Z29/100))),0)</f>
        <v>0</v>
      </c>
      <c r="I35" s="347">
        <f>IF(AND('Tariffs 2020'!O29&gt;0,'Tariffs 2020'!P29&gt;0),IF($C$5&lt;('Tariffs 2020'!L29+'Tariffs 2020'!M29+'Tariffs 2020'!N29+'Tariffs 2020'!O29),0,IF(($C$5-'Tariffs 2020'!L29+'Tariffs 2020'!M29+'Tariffs 2020'!N29+'Tariffs 2020'!O29)&lt;=('Tariffs 2020'!L29+'Tariffs 2020'!M29+'Tariffs 2020'!N29+'Tariffs 2020'!O29+'Tariffs 2020'!P29),(($C$5-('Tariffs 2020'!L29+'Tariffs 2020'!M29+'Tariffs 2020'!N29+'Tariffs 2020'!O29))*'Tariffs 2020'!AA29/100),('Tariffs 2020'!P29*'Tariffs 2020'!AA29/100))),0)</f>
        <v>0</v>
      </c>
      <c r="J35" s="347">
        <f>IF(AND('Tariffs 2020'!P29&gt;0,'Tariffs 2020'!O29&gt;0),IF(($C$5&lt;SUM('Tariffs 2020'!L29:P29)),(0),($C$5-SUM('Tariffs 2020'!L29:P29))*'Tariffs 2020'!AB29/100),IF(AND('Tariffs 2020'!O29&gt;0,'Tariffs 2020'!P29=""),IF(($C$5&lt; SUM('Tariffs 2020'!L29:O29)),(0),($C$5-SUM('Tariffs 2020'!L29:O29))*'Tariffs 2020'!AA29/100),IF(AND('Tariffs 2020'!N29&gt;0,'Tariffs 2020'!O29=""),IF(($C$5&lt; SUM('Tariffs 2020'!L29:N29)),(0),($C$5-SUM('Tariffs 2020'!L29:N29))*'Tariffs 2020'!Z29/100),IF(AND('Tariffs 2020'!M29&gt;0,'Tariffs 2020'!N29=""),IF(($C$5&lt;'Tariffs 2020'!M29+'Tariffs 2020'!L29),(0),(($C$5-('Tariffs 2020'!M29+'Tariffs 2020'!L29))*'Tariffs 2020'!Y29/100)),IF(AND('Tariffs 2020'!L29&gt;0,'Tariffs 2020'!M29=""&gt;0),IF(($C$5&lt;'Tariffs 2020'!L29),(0),($C$5-'Tariffs 2020'!L29)*'Tariffs 2020'!X29/100),0)))))</f>
        <v>0</v>
      </c>
      <c r="K35" s="347">
        <f t="shared" ref="K35" si="31">SUM(D35:J35)</f>
        <v>140.54545454545453</v>
      </c>
      <c r="L35" s="374">
        <f t="shared" si="6"/>
        <v>532.36363636363626</v>
      </c>
      <c r="M35" s="375">
        <f t="shared" si="7"/>
        <v>843.27272727272725</v>
      </c>
      <c r="N35" s="348">
        <f t="shared" si="8"/>
        <v>927.6</v>
      </c>
      <c r="O35" s="346">
        <f>'Tariffs 2020'!AT29</f>
        <v>10</v>
      </c>
      <c r="P35" s="346">
        <f>'Tariffs 2020'!AU29</f>
        <v>0</v>
      </c>
      <c r="Q35" s="346">
        <f>'Tariffs 2020'!AV29</f>
        <v>0</v>
      </c>
      <c r="R35" s="346">
        <f>'Tariffs 2020'!AW29</f>
        <v>0</v>
      </c>
      <c r="S35" s="349" t="str">
        <f t="shared" si="30"/>
        <v>Guaranteed off bill</v>
      </c>
      <c r="T35" s="349" t="str">
        <f t="shared" si="11"/>
        <v>Inclusive</v>
      </c>
      <c r="U35" s="384">
        <f t="shared" si="12"/>
        <v>758.94545454545448</v>
      </c>
      <c r="V35" s="384">
        <f t="shared" si="13"/>
        <v>758.94545454545448</v>
      </c>
      <c r="W35" s="393">
        <f t="shared" si="25"/>
        <v>834.84</v>
      </c>
      <c r="X35" s="393">
        <f t="shared" si="26"/>
        <v>834.84</v>
      </c>
      <c r="Y35" s="350">
        <f>'Tariffs 2020'!BF29</f>
        <v>0</v>
      </c>
      <c r="Z35" s="350" t="str">
        <f>'Tariffs 2020'!BG29</f>
        <v>n</v>
      </c>
      <c r="AA35" s="351" t="s">
        <v>288</v>
      </c>
    </row>
    <row r="36" spans="1:27" ht="25" customHeight="1" thickTop="1" thickBot="1" x14ac:dyDescent="0.35">
      <c r="A36" s="315" t="str">
        <f>'Tariffs 2020'!F30</f>
        <v>Origin Energy</v>
      </c>
      <c r="B36" s="316" t="str">
        <f>'Tariffs 2020'!D30</f>
        <v>Central Ranges Pipeline Tamworth</v>
      </c>
      <c r="C36" s="316" t="str">
        <f>'Tariffs 2020'!G30</f>
        <v>Max Saver</v>
      </c>
      <c r="D36" s="317">
        <f>60*'Tariffs 2020'!H30/100</f>
        <v>38.18181818181818</v>
      </c>
      <c r="E36" s="317">
        <f>IF('Tariffs 2020'!K30="",$C$5*'Tariffs 2020'!W30/100,IF($C$5&gt;='Tariffs 2020'!L30,('Tariffs 2020'!L30*'Tariffs 2020'!W30/100),($C$5*'Tariffs 2020'!W30/100)))</f>
        <v>154.54545454545453</v>
      </c>
      <c r="F36" s="317">
        <f>IF(AND('Tariffs 2020'!L30&gt;0,'Tariffs 2020'!M30&gt;0),IF($C$5&lt;'Tariffs 2020'!L30,0,IF(($C$5-'Tariffs 2020'!L30)&lt;=('Tariffs 2020'!M30+'Tariffs 2020'!L30),(($C$5-'Tariffs 2020'!L30)*'Tariffs 2020'!X30/100),(('Tariffs 2020'!M30)*'Tariffs 2020'!X30/100))),0)</f>
        <v>0</v>
      </c>
      <c r="G36" s="317">
        <f>IF(AND('Tariffs 2020'!M30&gt;0,'Tariffs 2020'!N30&gt;0),IF($C$5&lt;('Tariffs 2020'!L30+'Tariffs 2020'!M30),0,IF(($C$5-'Tariffs 2020'!L30+'Tariffs 2020'!M30)&lt;=('Tariffs 2020'!L30+'Tariffs 2020'!M30+'Tariffs 2020'!N30),(($C$5-('Tariffs 2020'!L30+'Tariffs 2020'!M30))*'Tariffs 2020'!Y30/100),('Tariffs 2020'!N30*'Tariffs 2020'!Y30/100))),0)</f>
        <v>0</v>
      </c>
      <c r="H36" s="317">
        <f>IF(AND('Tariffs 2020'!N30&gt;0,'Tariffs 2020'!O30&gt;0),IF($C$5&lt;('Tariffs 2020'!L30+'Tariffs 2020'!M30+'Tariffs 2020'!N30),0,IF(($C$5-'Tariffs 2020'!L30+'Tariffs 2020'!M30+'Tariffs 2020'!N30)&lt;=('Tariffs 2020'!L30+'Tariffs 2020'!M30+'Tariffs 2020'!N30+'Tariffs 2020'!O30),(($C$5-('Tariffs 2020'!L30+'Tariffs 2020'!M30+'Tariffs 2020'!N30))*'Tariffs 2020'!Z30/100),('Tariffs 2020'!O30*'Tariffs 2020'!Z30/100))),0)</f>
        <v>0</v>
      </c>
      <c r="I36" s="317">
        <f>IF(AND('Tariffs 2020'!O30&gt;0,'Tariffs 2020'!P30&gt;0),IF($C$5&lt;('Tariffs 2020'!L30+'Tariffs 2020'!M30+'Tariffs 2020'!N30+'Tariffs 2020'!O30),0,IF(($C$5-'Tariffs 2020'!L30+'Tariffs 2020'!M30+'Tariffs 2020'!N30+'Tariffs 2020'!O30)&lt;=('Tariffs 2020'!L30+'Tariffs 2020'!M30+'Tariffs 2020'!N30+'Tariffs 2020'!O30+'Tariffs 2020'!P30),(($C$5-('Tariffs 2020'!L30+'Tariffs 2020'!M30+'Tariffs 2020'!N30+'Tariffs 2020'!O30))*'Tariffs 2020'!AA30/100),('Tariffs 2020'!P30*'Tariffs 2020'!AA30/100))),0)</f>
        <v>0</v>
      </c>
      <c r="J36" s="317">
        <f>IF(AND('Tariffs 2020'!P30&gt;0,'Tariffs 2020'!O30&gt;0),IF(($C$5&lt;SUM('Tariffs 2020'!L30:P30)),(0),($C$5-SUM('Tariffs 2020'!L30:P30))*'Tariffs 2020'!AB30/100),IF(AND('Tariffs 2020'!O30&gt;0,'Tariffs 2020'!P30=""),IF(($C$5&lt; SUM('Tariffs 2020'!L30:O30)),(0),($C$5-SUM('Tariffs 2020'!L30:O30))*'Tariffs 2020'!AA30/100),IF(AND('Tariffs 2020'!N30&gt;0,'Tariffs 2020'!O30=""),IF(($C$5&lt; SUM('Tariffs 2020'!L30:N30)),(0),($C$5-SUM('Tariffs 2020'!L30:N30))*'Tariffs 2020'!Z30/100),IF(AND('Tariffs 2020'!M30&gt;0,'Tariffs 2020'!N30=""),IF(($C$5&lt;'Tariffs 2020'!M30+'Tariffs 2020'!L30),(0),(($C$5-('Tariffs 2020'!M30+'Tariffs 2020'!L30))*'Tariffs 2020'!Y30/100)),IF(AND('Tariffs 2020'!L30&gt;0,'Tariffs 2020'!M30=""&gt;0),IF(($C$5&lt;'Tariffs 2020'!L30),(0),($C$5-'Tariffs 2020'!L30)*'Tariffs 2020'!X30/100),0)))))</f>
        <v>0</v>
      </c>
      <c r="K36" s="317">
        <f t="shared" si="0"/>
        <v>192.72727272727272</v>
      </c>
      <c r="L36" s="380">
        <f t="shared" si="6"/>
        <v>927.27272727272725</v>
      </c>
      <c r="M36" s="381">
        <f t="shared" si="7"/>
        <v>1156.3636363636363</v>
      </c>
      <c r="N36" s="318">
        <f t="shared" si="8"/>
        <v>1272</v>
      </c>
      <c r="O36" s="316">
        <f>'Tariffs 2020'!AT30</f>
        <v>10</v>
      </c>
      <c r="P36" s="316">
        <f>'Tariffs 2020'!AU30</f>
        <v>0</v>
      </c>
      <c r="Q36" s="316">
        <f>'Tariffs 2020'!AV30</f>
        <v>0</v>
      </c>
      <c r="R36" s="316">
        <f>'Tariffs 2020'!AW30</f>
        <v>0</v>
      </c>
      <c r="S36" s="319" t="str">
        <f t="shared" ref="S36" si="32">IF(SUM(O36:R36)=0,"No discount",IF(O36&gt;0,"Guaranteed off bill",IF(P36&gt;0,"Guaranteed off usage",IF(Q36&gt;0,"Pay-on-time off bill","Pay-on-time off usage"))))</f>
        <v>Guaranteed off bill</v>
      </c>
      <c r="T36" s="319" t="str">
        <f t="shared" si="11"/>
        <v>Inclusive</v>
      </c>
      <c r="U36" s="387">
        <f t="shared" si="12"/>
        <v>1040.7272727272725</v>
      </c>
      <c r="V36" s="388">
        <f t="shared" si="13"/>
        <v>1040.7272727272725</v>
      </c>
      <c r="W36" s="395">
        <f t="shared" si="25"/>
        <v>1144.8</v>
      </c>
      <c r="X36" s="395">
        <f t="shared" si="26"/>
        <v>1144.8</v>
      </c>
      <c r="Y36" s="320">
        <f>'Tariffs 2020'!BF30</f>
        <v>0</v>
      </c>
      <c r="Z36" s="323" t="str">
        <f>'Tariffs 2020'!BG30</f>
        <v>n</v>
      </c>
      <c r="AA36" s="321" t="s">
        <v>288</v>
      </c>
    </row>
  </sheetData>
  <sheetProtection algorithmName="SHA-512" hashValue="4EQ+fBHcBP8L9YT1O2hpd9G/Rqqgop4EzfhSKbJeBYL5dQN/Roh8z+qv+pJEo/V4KRKc6Lh0eXtNFekfkx0/+A==" saltValue="A+eW77eE0buGjIltB87bSg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42107-0627-4A4C-956C-4560C3EB84BE}">
  <sheetPr codeName="Sheet3"/>
  <dimension ref="A1:Y36"/>
  <sheetViews>
    <sheetView workbookViewId="0">
      <selection activeCell="C5" sqref="C5"/>
    </sheetView>
  </sheetViews>
  <sheetFormatPr defaultColWidth="10.84375" defaultRowHeight="13.5" x14ac:dyDescent="0.3"/>
  <cols>
    <col min="1" max="1" width="17" style="251" customWidth="1"/>
    <col min="2" max="2" width="30.4609375" style="251" bestFit="1" customWidth="1"/>
    <col min="3" max="3" width="13.15234375" style="251" bestFit="1" customWidth="1"/>
    <col min="4" max="11" width="12.15234375" style="251" customWidth="1"/>
    <col min="12" max="12" width="10.69140625" style="251" hidden="1" customWidth="1"/>
    <col min="13" max="13" width="12.15234375" style="251" hidden="1" customWidth="1"/>
    <col min="14" max="18" width="12.15234375" style="251" customWidth="1"/>
    <col min="19" max="20" width="10.69140625" style="251" hidden="1" customWidth="1"/>
    <col min="21" max="24" width="12.15234375" style="251" customWidth="1"/>
    <col min="25" max="25" width="10.84375" style="251"/>
    <col min="26" max="16384" width="10.84375" style="451"/>
  </cols>
  <sheetData>
    <row r="1" spans="1:25" ht="14" x14ac:dyDescent="0.3">
      <c r="A1" s="250" t="s">
        <v>483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</row>
    <row r="2" spans="1:25" ht="14" x14ac:dyDescent="0.3">
      <c r="A2" s="252" t="s">
        <v>484</v>
      </c>
      <c r="B2" s="252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</row>
    <row r="3" spans="1:25" ht="14.5" thickBot="1" x14ac:dyDescent="0.35">
      <c r="A3" s="250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3"/>
    </row>
    <row r="4" spans="1:25" ht="14" x14ac:dyDescent="0.3">
      <c r="A4" s="206" t="s">
        <v>423</v>
      </c>
      <c r="B4" s="207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119"/>
    </row>
    <row r="5" spans="1:25" ht="14" x14ac:dyDescent="0.3">
      <c r="A5" s="120" t="s">
        <v>662</v>
      </c>
      <c r="B5" s="209"/>
      <c r="C5" s="224">
        <v>4000</v>
      </c>
      <c r="D5" s="44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121"/>
    </row>
    <row r="6" spans="1:25" ht="14" x14ac:dyDescent="0.3">
      <c r="A6" s="120"/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121"/>
    </row>
    <row r="7" spans="1:25" ht="70" x14ac:dyDescent="0.3">
      <c r="A7" s="397" t="s">
        <v>267</v>
      </c>
      <c r="B7" s="398" t="s">
        <v>424</v>
      </c>
      <c r="C7" s="398" t="s">
        <v>351</v>
      </c>
      <c r="D7" s="399" t="s">
        <v>352</v>
      </c>
      <c r="E7" s="399" t="s">
        <v>425</v>
      </c>
      <c r="F7" s="400" t="s">
        <v>426</v>
      </c>
      <c r="G7" s="400" t="s">
        <v>471</v>
      </c>
      <c r="H7" s="400" t="s">
        <v>398</v>
      </c>
      <c r="I7" s="400" t="s">
        <v>399</v>
      </c>
      <c r="J7" s="400" t="s">
        <v>427</v>
      </c>
      <c r="K7" s="400" t="s">
        <v>120</v>
      </c>
      <c r="L7" s="410" t="s">
        <v>401</v>
      </c>
      <c r="M7" s="411" t="s">
        <v>402</v>
      </c>
      <c r="N7" s="401" t="s">
        <v>437</v>
      </c>
      <c r="O7" s="403" t="s">
        <v>403</v>
      </c>
      <c r="P7" s="404" t="s">
        <v>404</v>
      </c>
      <c r="Q7" s="404" t="s">
        <v>405</v>
      </c>
      <c r="R7" s="404" t="s">
        <v>406</v>
      </c>
      <c r="S7" s="409" t="s">
        <v>53</v>
      </c>
      <c r="T7" s="409" t="s">
        <v>0</v>
      </c>
      <c r="U7" s="405" t="s">
        <v>419</v>
      </c>
      <c r="V7" s="405" t="s">
        <v>420</v>
      </c>
      <c r="W7" s="404" t="s">
        <v>421</v>
      </c>
      <c r="X7" s="404" t="s">
        <v>422</v>
      </c>
      <c r="Y7" s="408" t="s">
        <v>438</v>
      </c>
    </row>
    <row r="8" spans="1:25" ht="25" customHeight="1" x14ac:dyDescent="0.3">
      <c r="A8" s="210" t="str">
        <f>'Tariffs 2019'!F2</f>
        <v>AGL</v>
      </c>
      <c r="B8" s="44" t="str">
        <f>'Tariffs 2019'!D2</f>
        <v>Jemena Coastal Network</v>
      </c>
      <c r="C8" s="44" t="str">
        <f>'Tariffs 2019'!G2</f>
        <v>Smart Saver</v>
      </c>
      <c r="D8" s="211">
        <f>60*'Tariffs 2019'!H2/100</f>
        <v>39.599999999999994</v>
      </c>
      <c r="E8" s="211">
        <f>IF($C$5&gt;='Tariffs 2019'!J2,('Tariffs 2019'!J2*'Tariffs 2019'!O2/100),($C$5*'Tariffs 2019'!O2/100))</f>
        <v>37.854545454545452</v>
      </c>
      <c r="F8" s="211">
        <f>IF($C$5&lt;'Tariffs 2019'!J2,0,IF(($C$5-'Tariffs 2019'!J2)&lt;='Tariffs 2019'!K2,(($C$5-'Tariffs 2019'!J2)*'Tariffs 2019'!P2/100),(('Tariffs 2019'!K2-'Tariffs 2019'!J2)*'Tariffs 2019'!P2/100)))</f>
        <v>35.781818181818174</v>
      </c>
      <c r="G8" s="211">
        <f>IF($C$5&lt;'Tariffs 2019'!K2,0,IF(($C$5-'Tariffs 2019'!K2)&lt;='Tariffs 2019'!L2,(($C$5-'Tariffs 2019'!K2)*'Tariffs 2019'!Q2/100),(('Tariffs 2019'!L2-'Tariffs 2019'!K2)*'Tariffs 2019'!Q2/100)))</f>
        <v>45.236363636363627</v>
      </c>
      <c r="H8" s="211">
        <f>IF($C$5&lt;'Tariffs 2019'!L2,0,IF(($C$5-'Tariffs 2019'!L2)&lt;='Tariffs 2019'!M2,(($C$5-'Tariffs 2019'!L2)*'Tariffs 2019'!R2/100),(('Tariffs 2019'!M2-'Tariffs 2019'!L2)*'Tariffs 2019'!R2/100)))</f>
        <v>0</v>
      </c>
      <c r="I8" s="211">
        <f>IF($C$5&lt;'Tariffs 2019'!M2,0,IF(($C$5-'Tariffs 2019'!M2)&lt;='Tariffs 2019'!N2,(($C$5-'Tariffs 2019'!M2)*'Tariffs 2019'!S2/100),(('Tariffs 2019'!N2-'Tariffs 2019'!M2)*'Tariffs 2019'!S2/100)))</f>
        <v>0</v>
      </c>
      <c r="J8" s="211">
        <f>IF(($C$5&lt;'Tariffs 2019'!N2),(0),($C$5-'Tariffs 2019'!N2)*'Tariffs 2019'!T2/100)</f>
        <v>0</v>
      </c>
      <c r="K8" s="211">
        <f t="shared" ref="K8:K36" si="0">SUM(D8:J8)</f>
        <v>158.47272727272724</v>
      </c>
      <c r="L8" s="412">
        <f>(K8*6)-(D8*6)</f>
        <v>713.23636363636342</v>
      </c>
      <c r="M8" s="413">
        <f>K8*6</f>
        <v>950.83636363636344</v>
      </c>
      <c r="N8" s="414">
        <f>M8*1.1</f>
        <v>1045.9199999999998</v>
      </c>
      <c r="O8" s="45">
        <f>'Tariffs 2019'!AL2</f>
        <v>8</v>
      </c>
      <c r="P8" s="45">
        <f>'Tariffs 2019'!AM2</f>
        <v>0</v>
      </c>
      <c r="Q8" s="45">
        <f>'Tariffs 2019'!AN2</f>
        <v>0</v>
      </c>
      <c r="R8" s="45">
        <f>'Tariffs 2019'!AO2</f>
        <v>0</v>
      </c>
      <c r="S8" s="413">
        <f>M8-(M8*O8/100)</f>
        <v>874.76945454545432</v>
      </c>
      <c r="T8" s="413">
        <f>S8</f>
        <v>874.76945454545432</v>
      </c>
      <c r="U8" s="261">
        <f>S8*1.1</f>
        <v>962.24639999999988</v>
      </c>
      <c r="V8" s="261">
        <f>T8*1.1</f>
        <v>962.24639999999988</v>
      </c>
      <c r="W8" s="215">
        <f>'Tariffs 2019'!AX2</f>
        <v>0</v>
      </c>
      <c r="X8" s="215" t="str">
        <f>'Tariffs 2019'!AY2</f>
        <v>n</v>
      </c>
      <c r="Y8" s="216" t="s">
        <v>288</v>
      </c>
    </row>
    <row r="9" spans="1:25" ht="25" customHeight="1" x14ac:dyDescent="0.3">
      <c r="A9" s="210" t="str">
        <f>'Tariffs 2019'!F3</f>
        <v>Covau</v>
      </c>
      <c r="B9" s="44" t="str">
        <f>'Tariffs 2019'!D3</f>
        <v>Jemena Coastal Network</v>
      </c>
      <c r="C9" s="44" t="str">
        <f>'Tariffs 2019'!G3</f>
        <v>Freedom</v>
      </c>
      <c r="D9" s="211">
        <f>60*'Tariffs 2019'!H3/100</f>
        <v>47.7</v>
      </c>
      <c r="E9" s="211">
        <f>IF($C$5&gt;='Tariffs 2019'!J3,('Tariffs 2019'!J3*'Tariffs 2019'!O3/100),($C$5*'Tariffs 2019'!O3/100))</f>
        <v>50.61818181818181</v>
      </c>
      <c r="F9" s="211">
        <f>IF($C$5&lt;'Tariffs 2019'!J3,0,IF(($C$5-'Tariffs 2019'!J3)&lt;='Tariffs 2019'!K3,(($C$5-'Tariffs 2019'!J3)*'Tariffs 2019'!P3/100),(('Tariffs 2019'!K3-'Tariffs 2019'!J3)*'Tariffs 2019'!P3/100)))</f>
        <v>32.836363636363629</v>
      </c>
      <c r="G9" s="211">
        <f>IF($C$5&lt;'Tariffs 2019'!K3,0,IF(($C$5-'Tariffs 2019'!K3)&lt;='Tariffs 2019'!L3,(($C$5-'Tariffs 2019'!K3)*'Tariffs 2019'!Q3/100),(('Tariffs 2019'!L3-'Tariffs 2019'!K3)*'Tariffs 2019'!Q3/100)))</f>
        <v>41.454545454545453</v>
      </c>
      <c r="H9" s="211">
        <f>IF($C$5&lt;'Tariffs 2019'!L3,0,IF(($C$5-'Tariffs 2019'!L3)&lt;='Tariffs 2019'!M3,(($C$5-'Tariffs 2019'!L3)*'Tariffs 2019'!R3/100),(('Tariffs 2019'!M3-'Tariffs 2019'!L3)*'Tariffs 2019'!R3/100)))</f>
        <v>0</v>
      </c>
      <c r="I9" s="211">
        <f>IF($C$5&lt;'Tariffs 2019'!M3,0,IF(($C$5-'Tariffs 2019'!M3)&lt;='Tariffs 2019'!N3,(($C$5-'Tariffs 2019'!M3)*'Tariffs 2019'!S3/100),(('Tariffs 2019'!N3-'Tariffs 2019'!M3)*'Tariffs 2019'!S3/100)))</f>
        <v>0</v>
      </c>
      <c r="J9" s="211">
        <f>IF(($C$5&lt;'Tariffs 2019'!N3),(0),($C$5-'Tariffs 2019'!N3)*'Tariffs 2019'!T3/100)</f>
        <v>0</v>
      </c>
      <c r="K9" s="211">
        <f t="shared" si="0"/>
        <v>172.60909090909087</v>
      </c>
      <c r="L9" s="412">
        <f t="shared" ref="L9:L36" si="1">(K9*6)-(D9*6)</f>
        <v>749.45454545454527</v>
      </c>
      <c r="M9" s="413">
        <f t="shared" ref="M9:M36" si="2">K9*6</f>
        <v>1035.6545454545453</v>
      </c>
      <c r="N9" s="414">
        <f t="shared" ref="N9:N36" si="3">M9*1.1</f>
        <v>1139.22</v>
      </c>
      <c r="O9" s="45">
        <f>'Tariffs 2019'!AL3</f>
        <v>0</v>
      </c>
      <c r="P9" s="45">
        <f>'Tariffs 2019'!AM3</f>
        <v>0</v>
      </c>
      <c r="Q9" s="45">
        <f>'Tariffs 2019'!AN3</f>
        <v>20</v>
      </c>
      <c r="R9" s="45">
        <f>'Tariffs 2019'!AO3</f>
        <v>0</v>
      </c>
      <c r="S9" s="413">
        <f t="shared" ref="S9" si="4">M9</f>
        <v>1035.6545454545453</v>
      </c>
      <c r="T9" s="413">
        <f>S9-(S9*Q9/100)</f>
        <v>828.52363636363623</v>
      </c>
      <c r="U9" s="261">
        <f t="shared" ref="U9:V16" si="5">S9*1.1</f>
        <v>1139.22</v>
      </c>
      <c r="V9" s="261">
        <f t="shared" si="5"/>
        <v>911.37599999999998</v>
      </c>
      <c r="W9" s="215">
        <f>'Tariffs 2019'!AX3</f>
        <v>0</v>
      </c>
      <c r="X9" s="215" t="str">
        <f>'Tariffs 2019'!AY3</f>
        <v>n</v>
      </c>
      <c r="Y9" s="216" t="s">
        <v>288</v>
      </c>
    </row>
    <row r="10" spans="1:25" ht="25" customHeight="1" x14ac:dyDescent="0.3">
      <c r="A10" s="210" t="str">
        <f>'Tariffs 2019'!F4</f>
        <v>Alinta Energy</v>
      </c>
      <c r="B10" s="44" t="str">
        <f>'Tariffs 2019'!D4</f>
        <v>Jemena Coastal Network</v>
      </c>
      <c r="C10" s="44" t="str">
        <f>'Tariffs 2019'!G4</f>
        <v>No Fuss</v>
      </c>
      <c r="D10" s="211">
        <f>60*'Tariffs 2019'!H4/100</f>
        <v>35.46</v>
      </c>
      <c r="E10" s="211">
        <f>IF($C$5&gt;='Tariffs 2019'!J4,('Tariffs 2019'!J4*'Tariffs 2019'!O4/100),($C$5*'Tariffs 2019'!O4/100))</f>
        <v>37.309090909090905</v>
      </c>
      <c r="F10" s="211">
        <f>IF($C$5&lt;'Tariffs 2019'!J4,0,IF(($C$5-'Tariffs 2019'!J4)&lt;='Tariffs 2019'!K4,(($C$5-'Tariffs 2019'!J4)*'Tariffs 2019'!P4/100),(('Tariffs 2019'!K4-'Tariffs 2019'!J4)*'Tariffs 2019'!P4/100)))</f>
        <v>24.654545454545449</v>
      </c>
      <c r="G10" s="211">
        <f>IF($C$5&lt;'Tariffs 2019'!K4,0,IF(($C$5-'Tariffs 2019'!K4)&lt;='Tariffs 2019'!L4,(($C$5-'Tariffs 2019'!K4)*'Tariffs 2019'!Q4/100),(('Tariffs 2019'!L4-'Tariffs 2019'!K4)*'Tariffs 2019'!Q4/100)))</f>
        <v>30.836363636363636</v>
      </c>
      <c r="H10" s="211">
        <f>IF($C$5&lt;'Tariffs 2019'!L4,0,IF(($C$5-'Tariffs 2019'!L4)&lt;='Tariffs 2019'!M4,(($C$5-'Tariffs 2019'!L4)*'Tariffs 2019'!R4/100),(('Tariffs 2019'!M4-'Tariffs 2019'!L4)*'Tariffs 2019'!R4/100)))</f>
        <v>0</v>
      </c>
      <c r="I10" s="211">
        <f>IF($C$5&lt;'Tariffs 2019'!M4,0,IF(($C$5-'Tariffs 2019'!M4)&lt;='Tariffs 2019'!N4,(($C$5-'Tariffs 2019'!M4)*'Tariffs 2019'!S4/100),(('Tariffs 2019'!N4-'Tariffs 2019'!M4)*'Tariffs 2019'!S4/100)))</f>
        <v>0</v>
      </c>
      <c r="J10" s="211">
        <f>IF(($C$5&lt;'Tariffs 2019'!N4),(0),($C$5-'Tariffs 2019'!N4)*'Tariffs 2019'!T4/100)</f>
        <v>0</v>
      </c>
      <c r="K10" s="211">
        <f t="shared" si="0"/>
        <v>128.26</v>
      </c>
      <c r="L10" s="412">
        <f t="shared" si="1"/>
        <v>556.79999999999995</v>
      </c>
      <c r="M10" s="413">
        <f t="shared" si="2"/>
        <v>769.56</v>
      </c>
      <c r="N10" s="414">
        <f t="shared" si="3"/>
        <v>846.51599999999996</v>
      </c>
      <c r="O10" s="45">
        <f>'Tariffs 2019'!AL4</f>
        <v>0</v>
      </c>
      <c r="P10" s="45">
        <f>'Tariffs 2019'!AM4</f>
        <v>0</v>
      </c>
      <c r="Q10" s="45">
        <f>'Tariffs 2019'!AN4</f>
        <v>0</v>
      </c>
      <c r="R10" s="45">
        <f>'Tariffs 2019'!AO4</f>
        <v>0</v>
      </c>
      <c r="S10" s="413">
        <f t="shared" ref="S10" si="6">M10</f>
        <v>769.56</v>
      </c>
      <c r="T10" s="413">
        <f t="shared" ref="T10" si="7">S10</f>
        <v>769.56</v>
      </c>
      <c r="U10" s="261">
        <f t="shared" si="5"/>
        <v>846.51599999999996</v>
      </c>
      <c r="V10" s="261">
        <f t="shared" si="5"/>
        <v>846.51599999999996</v>
      </c>
      <c r="W10" s="215">
        <f>'Tariffs 2019'!AX4</f>
        <v>0</v>
      </c>
      <c r="X10" s="215" t="str">
        <f>'Tariffs 2019'!AY4</f>
        <v>n</v>
      </c>
      <c r="Y10" s="216" t="s">
        <v>400</v>
      </c>
    </row>
    <row r="11" spans="1:25" ht="25" customHeight="1" x14ac:dyDescent="0.3">
      <c r="A11" s="210" t="str">
        <f>'Tariffs 2019'!F5</f>
        <v>EnergyAustralia</v>
      </c>
      <c r="B11" s="44" t="str">
        <f>'Tariffs 2019'!D5</f>
        <v>Jemena Coastal Network</v>
      </c>
      <c r="C11" s="44" t="str">
        <f>'Tariffs 2019'!G5</f>
        <v>Total Plan</v>
      </c>
      <c r="D11" s="211">
        <f>60*'Tariffs 2019'!H5/100</f>
        <v>35.58</v>
      </c>
      <c r="E11" s="211">
        <f>IF($C$5&gt;='Tariffs 2019'!J5,('Tariffs 2019'!J5*'Tariffs 2019'!O5/100),($C$5*'Tariffs 2019'!O5/100))</f>
        <v>48.84</v>
      </c>
      <c r="F11" s="211">
        <f>IF($C$5&lt;'Tariffs 2019'!J5,0,IF(($C$5-'Tariffs 2019'!J5)&lt;='Tariffs 2019'!K5,(($C$5-'Tariffs 2019'!J5)*'Tariffs 2019'!P5/100),(('Tariffs 2019'!K5-'Tariffs 2019'!J5)*'Tariffs 2019'!P5/100)))</f>
        <v>32.640000000000008</v>
      </c>
      <c r="G11" s="211">
        <f>IF($C$5&lt;'Tariffs 2019'!K5,0,IF(($C$5-'Tariffs 2019'!K5)&lt;='Tariffs 2019'!L5,(($C$5-'Tariffs 2019'!K5)*'Tariffs 2019'!Q5/100),(('Tariffs 2019'!L5-'Tariffs 2019'!K5)*'Tariffs 2019'!Q5/100)))</f>
        <v>41.6</v>
      </c>
      <c r="H11" s="211">
        <f>IF($C$5&lt;'Tariffs 2019'!L5,0,IF(($C$5-'Tariffs 2019'!L5)&lt;='Tariffs 2019'!M5,(($C$5-'Tariffs 2019'!L5)*'Tariffs 2019'!R5/100),(('Tariffs 2019'!M5-'Tariffs 2019'!L5)*'Tariffs 2019'!R5/100)))</f>
        <v>0</v>
      </c>
      <c r="I11" s="211">
        <f>IF($C$5&lt;'Tariffs 2019'!M5,0,IF(($C$5-'Tariffs 2019'!M5)&lt;='Tariffs 2019'!N5,(($C$5-'Tariffs 2019'!M5)*'Tariffs 2019'!S5/100),(('Tariffs 2019'!N5-'Tariffs 2019'!M5)*'Tariffs 2019'!S5/100)))</f>
        <v>0</v>
      </c>
      <c r="J11" s="211">
        <f>IF(($C$5&lt;'Tariffs 2019'!N5),(0),($C$5-'Tariffs 2019'!N5)*'Tariffs 2019'!T5/100)</f>
        <v>0</v>
      </c>
      <c r="K11" s="211">
        <f t="shared" si="0"/>
        <v>158.66</v>
      </c>
      <c r="L11" s="412">
        <f t="shared" si="1"/>
        <v>738.48</v>
      </c>
      <c r="M11" s="413">
        <f t="shared" si="2"/>
        <v>951.96</v>
      </c>
      <c r="N11" s="414">
        <f t="shared" si="3"/>
        <v>1047.1560000000002</v>
      </c>
      <c r="O11" s="45">
        <f>'Tariffs 2019'!AL5</f>
        <v>16</v>
      </c>
      <c r="P11" s="45">
        <f>'Tariffs 2019'!AM5</f>
        <v>0</v>
      </c>
      <c r="Q11" s="45">
        <f>'Tariffs 2019'!AN5</f>
        <v>0</v>
      </c>
      <c r="R11" s="45">
        <f>'Tariffs 2019'!AO5</f>
        <v>0</v>
      </c>
      <c r="S11" s="413">
        <f>M11-(M11*O11/100)</f>
        <v>799.64640000000009</v>
      </c>
      <c r="T11" s="413">
        <f>S11</f>
        <v>799.64640000000009</v>
      </c>
      <c r="U11" s="261">
        <f t="shared" si="5"/>
        <v>879.61104000000012</v>
      </c>
      <c r="V11" s="261">
        <f t="shared" si="5"/>
        <v>879.61104000000012</v>
      </c>
      <c r="W11" s="215">
        <f>'Tariffs 2019'!AX5</f>
        <v>0</v>
      </c>
      <c r="X11" s="215" t="str">
        <f>'Tariffs 2019'!AY5</f>
        <v>n</v>
      </c>
      <c r="Y11" s="216" t="s">
        <v>288</v>
      </c>
    </row>
    <row r="12" spans="1:25" ht="25" customHeight="1" x14ac:dyDescent="0.3">
      <c r="A12" s="210" t="str">
        <f>'Tariffs 2019'!F6</f>
        <v>Origin Energy</v>
      </c>
      <c r="B12" s="44" t="str">
        <f>'Tariffs 2019'!D6</f>
        <v>Jemena Coastal Network</v>
      </c>
      <c r="C12" s="44" t="str">
        <f>'Tariffs 2019'!G6</f>
        <v xml:space="preserve">Flexi </v>
      </c>
      <c r="D12" s="211">
        <f>60*'Tariffs 2019'!H6/100</f>
        <v>36.621818181818178</v>
      </c>
      <c r="E12" s="211">
        <f>IF($C$5&gt;='Tariffs 2019'!J6,('Tariffs 2019'!J6*'Tariffs 2019'!O6/100),($C$5*'Tariffs 2019'!O6/100))</f>
        <v>44.181818181818173</v>
      </c>
      <c r="F12" s="211">
        <f>IF($C$5&lt;'Tariffs 2019'!J6,0,IF(($C$5-'Tariffs 2019'!J6)&lt;='Tariffs 2019'!K6,(($C$5-'Tariffs 2019'!J6)*'Tariffs 2019'!P6/100),(('Tariffs 2019'!K6-'Tariffs 2019'!J6)*'Tariffs 2019'!P6/100)))</f>
        <v>30.109090909090906</v>
      </c>
      <c r="G12" s="211">
        <f>IF($C$5&lt;'Tariffs 2019'!K6,0,IF(($C$5-'Tariffs 2019'!K6)&lt;='Tariffs 2019'!L6,(($C$5-'Tariffs 2019'!K6)*'Tariffs 2019'!Q6/100),(('Tariffs 2019'!L6-'Tariffs 2019'!K6)*'Tariffs 2019'!Q6/100)))</f>
        <v>38.690909090909088</v>
      </c>
      <c r="H12" s="211">
        <f>IF($C$5&lt;'Tariffs 2019'!L6,0,IF(($C$5-'Tariffs 2019'!L6)&lt;='Tariffs 2019'!M6,(($C$5-'Tariffs 2019'!L6)*'Tariffs 2019'!R6/100),(('Tariffs 2019'!M6-'Tariffs 2019'!L6)*'Tariffs 2019'!R6/100)))</f>
        <v>0</v>
      </c>
      <c r="I12" s="211">
        <f>IF($C$5&lt;'Tariffs 2019'!M6,0,IF(($C$5-'Tariffs 2019'!M6)&lt;='Tariffs 2019'!N6,(($C$5-'Tariffs 2019'!M6)*'Tariffs 2019'!S6/100),(('Tariffs 2019'!N6-'Tariffs 2019'!M6)*'Tariffs 2019'!S6/100)))</f>
        <v>0</v>
      </c>
      <c r="J12" s="211">
        <f>IF(($C$5&lt;'Tariffs 2019'!N6),(0),($C$5-'Tariffs 2019'!N6)*'Tariffs 2019'!T6/100)</f>
        <v>0</v>
      </c>
      <c r="K12" s="211">
        <f t="shared" si="0"/>
        <v>149.60363636363633</v>
      </c>
      <c r="L12" s="412">
        <f t="shared" si="1"/>
        <v>677.89090909090896</v>
      </c>
      <c r="M12" s="413">
        <f t="shared" si="2"/>
        <v>897.62181818181796</v>
      </c>
      <c r="N12" s="414">
        <f t="shared" si="3"/>
        <v>987.38399999999979</v>
      </c>
      <c r="O12" s="45">
        <f>'Tariffs 2019'!AL6</f>
        <v>6</v>
      </c>
      <c r="P12" s="45">
        <f>'Tariffs 2019'!AM6</f>
        <v>0</v>
      </c>
      <c r="Q12" s="45">
        <f>'Tariffs 2019'!AN6</f>
        <v>0</v>
      </c>
      <c r="R12" s="45">
        <f>'Tariffs 2019'!AO6</f>
        <v>0</v>
      </c>
      <c r="S12" s="415">
        <f>N12-(N12*O12/100)</f>
        <v>928.14095999999984</v>
      </c>
      <c r="T12" s="415">
        <f>S12</f>
        <v>928.14095999999984</v>
      </c>
      <c r="U12" s="261">
        <f>S12</f>
        <v>928.14095999999984</v>
      </c>
      <c r="V12" s="261">
        <f>T12</f>
        <v>928.14095999999984</v>
      </c>
      <c r="W12" s="215">
        <f>'Tariffs 2019'!AX6</f>
        <v>0</v>
      </c>
      <c r="X12" s="215" t="str">
        <f>'Tariffs 2019'!AY6</f>
        <v>n</v>
      </c>
      <c r="Y12" s="216" t="s">
        <v>288</v>
      </c>
    </row>
    <row r="13" spans="1:25" ht="25" customHeight="1" x14ac:dyDescent="0.3">
      <c r="A13" s="210" t="str">
        <f>'Tariffs 2019'!F7</f>
        <v>Red Energy</v>
      </c>
      <c r="B13" s="44" t="str">
        <f>'Tariffs 2019'!D7</f>
        <v>Jemena Coastal Network</v>
      </c>
      <c r="C13" s="44" t="str">
        <f>'Tariffs 2019'!G7</f>
        <v>Easy Saver</v>
      </c>
      <c r="D13" s="211">
        <f>60*'Tariffs 2019'!H7/100</f>
        <v>35.999999999999993</v>
      </c>
      <c r="E13" s="211">
        <f>IF($C$5&gt;='Tariffs 2019'!J7,('Tariffs 2019'!J7*'Tariffs 2019'!O7/100),($C$5*'Tariffs 2019'!O7/100))</f>
        <v>43.8</v>
      </c>
      <c r="F13" s="211">
        <f>IF($C$5&lt;'Tariffs 2019'!J7,0,IF(($C$5-'Tariffs 2019'!J7)&lt;='Tariffs 2019'!K7,(($C$5-'Tariffs 2019'!J7)*'Tariffs 2019'!P7/100),(('Tariffs 2019'!K7-'Tariffs 2019'!J7)*'Tariffs 2019'!P7/100)))</f>
        <v>27.6</v>
      </c>
      <c r="G13" s="211">
        <f>IF($C$5&lt;'Tariffs 2019'!K7,0,IF(($C$5-'Tariffs 2019'!K7)&lt;='Tariffs 2019'!L7,(($C$5-'Tariffs 2019'!K7)*'Tariffs 2019'!Q7/100),(('Tariffs 2019'!L7-'Tariffs 2019'!K7)*'Tariffs 2019'!Q7/100)))</f>
        <v>35.200000000000003</v>
      </c>
      <c r="H13" s="211">
        <f>IF($C$5&lt;'Tariffs 2019'!L7,0,IF(($C$5-'Tariffs 2019'!L7)&lt;='Tariffs 2019'!M7,(($C$5-'Tariffs 2019'!L7)*'Tariffs 2019'!R7/100),(('Tariffs 2019'!M7-'Tariffs 2019'!L7)*'Tariffs 2019'!R7/100)))</f>
        <v>0</v>
      </c>
      <c r="I13" s="211">
        <f>IF($C$5&lt;'Tariffs 2019'!M7,0,IF(($C$5-'Tariffs 2019'!M7)&lt;='Tariffs 2019'!N7,(($C$5-'Tariffs 2019'!M7)*'Tariffs 2019'!S7/100),(('Tariffs 2019'!N7-'Tariffs 2019'!M7)*'Tariffs 2019'!S7/100)))</f>
        <v>0</v>
      </c>
      <c r="J13" s="211">
        <f>IF(($C$5&lt;'Tariffs 2019'!N7),(0),($C$5-'Tariffs 2019'!N7)*'Tariffs 2019'!T7/100)</f>
        <v>0</v>
      </c>
      <c r="K13" s="211">
        <f t="shared" si="0"/>
        <v>142.59999999999997</v>
      </c>
      <c r="L13" s="412">
        <f t="shared" si="1"/>
        <v>639.59999999999991</v>
      </c>
      <c r="M13" s="413">
        <f t="shared" si="2"/>
        <v>855.5999999999998</v>
      </c>
      <c r="N13" s="414">
        <f t="shared" si="3"/>
        <v>941.15999999999985</v>
      </c>
      <c r="O13" s="45">
        <f>'Tariffs 2019'!AL7</f>
        <v>0</v>
      </c>
      <c r="P13" s="45">
        <f>'Tariffs 2019'!AM7</f>
        <v>0</v>
      </c>
      <c r="Q13" s="45">
        <f>'Tariffs 2019'!AN7</f>
        <v>10</v>
      </c>
      <c r="R13" s="45">
        <f>'Tariffs 2019'!AO7</f>
        <v>0</v>
      </c>
      <c r="S13" s="415">
        <f>N13</f>
        <v>941.15999999999985</v>
      </c>
      <c r="T13" s="415">
        <f>S13-(S13*Q13/100)</f>
        <v>847.04399999999987</v>
      </c>
      <c r="U13" s="261">
        <f>S13</f>
        <v>941.15999999999985</v>
      </c>
      <c r="V13" s="261">
        <f>T13</f>
        <v>847.04399999999987</v>
      </c>
      <c r="W13" s="215">
        <f>'Tariffs 2019'!AX7</f>
        <v>0</v>
      </c>
      <c r="X13" s="215" t="str">
        <f>'Tariffs 2019'!AY7</f>
        <v>n</v>
      </c>
      <c r="Y13" s="216" t="s">
        <v>400</v>
      </c>
    </row>
    <row r="14" spans="1:25" ht="25" customHeight="1" x14ac:dyDescent="0.3">
      <c r="A14" s="210" t="str">
        <f>'Tariffs 2019'!F8</f>
        <v>Amaysim</v>
      </c>
      <c r="B14" s="44" t="str">
        <f>'Tariffs 2019'!D8</f>
        <v>Jemena Coastal Network</v>
      </c>
      <c r="C14" s="44" t="str">
        <f>'Tariffs 2019'!G8</f>
        <v>Gas as you go</v>
      </c>
      <c r="D14" s="211">
        <f>60*'Tariffs 2019'!H8/100</f>
        <v>20.64</v>
      </c>
      <c r="E14" s="211">
        <f>IF($C$5&gt;='Tariffs 2019'!J8,('Tariffs 2019'!J8*'Tariffs 2019'!O8/100),($C$5*'Tariffs 2019'!O8/100))</f>
        <v>42.72</v>
      </c>
      <c r="F14" s="211">
        <f>IF($C$5&lt;'Tariffs 2019'!J8,0,IF(($C$5-'Tariffs 2019'!J8)&lt;='Tariffs 2019'!K8,(($C$5-'Tariffs 2019'!J8)*'Tariffs 2019'!P8/100),(('Tariffs 2019'!K8-'Tariffs 2019'!J8)*'Tariffs 2019'!P8/100)))</f>
        <v>27.84</v>
      </c>
      <c r="G14" s="211">
        <f>IF($C$5&lt;'Tariffs 2019'!K8,0,IF(($C$5-'Tariffs 2019'!K8)&lt;='Tariffs 2019'!L8,(($C$5-'Tariffs 2019'!K8)*'Tariffs 2019'!Q8/100),(('Tariffs 2019'!L8-'Tariffs 2019'!K8)*'Tariffs 2019'!Q8/100)))</f>
        <v>36.479999999999997</v>
      </c>
      <c r="H14" s="211">
        <f>IF($C$5&lt;'Tariffs 2019'!L8,0,IF(($C$5-'Tariffs 2019'!L8)&lt;='Tariffs 2019'!M8,(($C$5-'Tariffs 2019'!L8)*'Tariffs 2019'!R8/100),(('Tariffs 2019'!M8-'Tariffs 2019'!L8)*'Tariffs 2019'!R8/100)))</f>
        <v>0</v>
      </c>
      <c r="I14" s="211">
        <f>IF($C$5&lt;'Tariffs 2019'!M8,0,IF(($C$5-'Tariffs 2019'!M8)&lt;='Tariffs 2019'!N8,(($C$5-'Tariffs 2019'!M8)*'Tariffs 2019'!S8/100),(('Tariffs 2019'!N8-'Tariffs 2019'!M8)*'Tariffs 2019'!S8/100)))</f>
        <v>0</v>
      </c>
      <c r="J14" s="211">
        <f>IF(($C$5&lt;'Tariffs 2019'!N8),(0),($C$5-'Tariffs 2019'!N8)*'Tariffs 2019'!T8/100)</f>
        <v>0</v>
      </c>
      <c r="K14" s="211">
        <f t="shared" si="0"/>
        <v>127.68</v>
      </c>
      <c r="L14" s="412">
        <f t="shared" si="1"/>
        <v>642.24</v>
      </c>
      <c r="M14" s="413">
        <f t="shared" si="2"/>
        <v>766.08</v>
      </c>
      <c r="N14" s="414">
        <f t="shared" si="3"/>
        <v>842.6880000000001</v>
      </c>
      <c r="O14" s="45">
        <f>'Tariffs 2019'!AL8</f>
        <v>0</v>
      </c>
      <c r="P14" s="45">
        <f>'Tariffs 2019'!AM8</f>
        <v>0</v>
      </c>
      <c r="Q14" s="45">
        <f>'Tariffs 2019'!AN8</f>
        <v>0</v>
      </c>
      <c r="R14" s="45">
        <f>'Tariffs 2019'!AO8</f>
        <v>0</v>
      </c>
      <c r="S14" s="413">
        <f t="shared" ref="S14" si="8">M14</f>
        <v>766.08</v>
      </c>
      <c r="T14" s="413">
        <f t="shared" ref="T14:T16" si="9">S14</f>
        <v>766.08</v>
      </c>
      <c r="U14" s="261">
        <f t="shared" si="5"/>
        <v>842.6880000000001</v>
      </c>
      <c r="V14" s="261">
        <f t="shared" si="5"/>
        <v>842.6880000000001</v>
      </c>
      <c r="W14" s="215">
        <f>'Tariffs 2019'!AX8</f>
        <v>0</v>
      </c>
      <c r="X14" s="215" t="str">
        <f>'Tariffs 2019'!AY8</f>
        <v>n</v>
      </c>
      <c r="Y14" s="216" t="s">
        <v>400</v>
      </c>
    </row>
    <row r="15" spans="1:25" ht="25" customHeight="1" x14ac:dyDescent="0.3">
      <c r="A15" s="210" t="str">
        <f>'Tariffs 2019'!F9</f>
        <v>Click Energy</v>
      </c>
      <c r="B15" s="44" t="str">
        <f>'Tariffs 2019'!D9</f>
        <v>Jemena Coastal Network</v>
      </c>
      <c r="C15" s="44" t="str">
        <f>'Tariffs 2019'!G9</f>
        <v>Banksia</v>
      </c>
      <c r="D15" s="211">
        <f>60*'Tariffs 2019'!H9/100</f>
        <v>21.932727272727274</v>
      </c>
      <c r="E15" s="211">
        <f>IF($C$5&gt;='Tariffs 2019'!J9,('Tariffs 2019'!J9*'Tariffs 2019'!O9/100),($C$5*'Tariffs 2019'!O9/100))</f>
        <v>45.381818181818183</v>
      </c>
      <c r="F15" s="211">
        <f>IF($C$5&lt;'Tariffs 2019'!J9,0,IF(($C$5-'Tariffs 2019'!J9)&lt;='Tariffs 2019'!K9,(($C$5-'Tariffs 2019'!J9)*'Tariffs 2019'!P9/100),(('Tariffs 2019'!K9-'Tariffs 2019'!J9)*'Tariffs 2019'!P9/100)))</f>
        <v>29.563636363636359</v>
      </c>
      <c r="G15" s="211">
        <f>IF($C$5&lt;'Tariffs 2019'!K9,0,IF(($C$5-'Tariffs 2019'!K9)&lt;='Tariffs 2019'!L9,(($C$5-'Tariffs 2019'!K9)*'Tariffs 2019'!Q9/100),(('Tariffs 2019'!L9-'Tariffs 2019'!K9)*'Tariffs 2019'!Q9/100)))</f>
        <v>38.690909090909088</v>
      </c>
      <c r="H15" s="211">
        <f>IF($C$5&lt;'Tariffs 2019'!L9,0,IF(($C$5-'Tariffs 2019'!L9)&lt;='Tariffs 2019'!M9,(($C$5-'Tariffs 2019'!L9)*'Tariffs 2019'!R9/100),(('Tariffs 2019'!M9-'Tariffs 2019'!L9)*'Tariffs 2019'!R9/100)))</f>
        <v>0</v>
      </c>
      <c r="I15" s="211">
        <f>IF($C$5&lt;'Tariffs 2019'!M9,0,IF(($C$5-'Tariffs 2019'!M9)&lt;='Tariffs 2019'!N9,(($C$5-'Tariffs 2019'!M9)*'Tariffs 2019'!S9/100),(('Tariffs 2019'!N9-'Tariffs 2019'!M9)*'Tariffs 2019'!S9/100)))</f>
        <v>0</v>
      </c>
      <c r="J15" s="211">
        <f>IF(($C$5&lt;'Tariffs 2019'!N9),(0),($C$5-'Tariffs 2019'!N9)*'Tariffs 2019'!T9/100)</f>
        <v>0</v>
      </c>
      <c r="K15" s="211">
        <f t="shared" si="0"/>
        <v>135.5690909090909</v>
      </c>
      <c r="L15" s="412">
        <f t="shared" si="1"/>
        <v>681.81818181818176</v>
      </c>
      <c r="M15" s="413">
        <f t="shared" si="2"/>
        <v>813.41454545454542</v>
      </c>
      <c r="N15" s="414">
        <f t="shared" si="3"/>
        <v>894.75600000000009</v>
      </c>
      <c r="O15" s="45">
        <f>'Tariffs 2019'!AL9</f>
        <v>0</v>
      </c>
      <c r="P15" s="45">
        <f>'Tariffs 2019'!AM9</f>
        <v>0</v>
      </c>
      <c r="Q15" s="45">
        <f>'Tariffs 2019'!AN9</f>
        <v>0</v>
      </c>
      <c r="R15" s="45">
        <f>'Tariffs 2019'!AO9</f>
        <v>0</v>
      </c>
      <c r="S15" s="413">
        <f t="shared" ref="S15:S16" si="10">M15</f>
        <v>813.41454545454542</v>
      </c>
      <c r="T15" s="413">
        <f t="shared" si="9"/>
        <v>813.41454545454542</v>
      </c>
      <c r="U15" s="261">
        <f t="shared" si="5"/>
        <v>894.75600000000009</v>
      </c>
      <c r="V15" s="261">
        <f t="shared" si="5"/>
        <v>894.75600000000009</v>
      </c>
      <c r="W15" s="215">
        <f>'Tariffs 2019'!AX9</f>
        <v>0</v>
      </c>
      <c r="X15" s="215" t="str">
        <f>'Tariffs 2019'!AY9</f>
        <v>n</v>
      </c>
      <c r="Y15" s="216" t="s">
        <v>400</v>
      </c>
    </row>
    <row r="16" spans="1:25" ht="25" customHeight="1" thickBot="1" x14ac:dyDescent="0.35">
      <c r="A16" s="210" t="str">
        <f>'Tariffs 2019'!F10</f>
        <v>Simply Energy</v>
      </c>
      <c r="B16" s="44" t="str">
        <f>'Tariffs 2019'!D10</f>
        <v>Jemena Coastal Network</v>
      </c>
      <c r="C16" s="44" t="str">
        <f>'Tariffs 2019'!G10</f>
        <v>Plus</v>
      </c>
      <c r="D16" s="211">
        <f>60*'Tariffs 2019'!H10/100</f>
        <v>36.136363636363633</v>
      </c>
      <c r="E16" s="211">
        <f>IF($C$5&gt;='Tariffs 2019'!J10,('Tariffs 2019'!J10*'Tariffs 2019'!O10/100),($C$5*'Tariffs 2019'!O10/100))</f>
        <v>46.581818181818171</v>
      </c>
      <c r="F16" s="211">
        <f>IF($C$5&lt;'Tariffs 2019'!J10,0,IF(($C$5-'Tariffs 2019'!J10)&lt;='Tariffs 2019'!K10,(($C$5-'Tariffs 2019'!J10)*'Tariffs 2019'!P10/100),(('Tariffs 2019'!K10-'Tariffs 2019'!J10)*'Tariffs 2019'!P10/100)))</f>
        <v>30.981818181818181</v>
      </c>
      <c r="G16" s="211">
        <f>IF($C$5&lt;'Tariffs 2019'!K10,0,IF(($C$5-'Tariffs 2019'!K10)&lt;='Tariffs 2019'!L10,(($C$5-'Tariffs 2019'!K10)*'Tariffs 2019'!Q10/100),(('Tariffs 2019'!L10-'Tariffs 2019'!K10)*'Tariffs 2019'!Q10/100)))</f>
        <v>38.25454545454545</v>
      </c>
      <c r="H16" s="211">
        <f>IF($C$5&lt;'Tariffs 2019'!L10,0,IF(($C$5-'Tariffs 2019'!L10)&lt;='Tariffs 2019'!M10,(($C$5-'Tariffs 2019'!L10)*'Tariffs 2019'!R10/100),(('Tariffs 2019'!M10-'Tariffs 2019'!L10)*'Tariffs 2019'!R10/100)))</f>
        <v>0</v>
      </c>
      <c r="I16" s="211">
        <f>IF($C$5&lt;'Tariffs 2019'!M10,0,IF(($C$5-'Tariffs 2019'!M10)&lt;='Tariffs 2019'!N10,(($C$5-'Tariffs 2019'!M10)*'Tariffs 2019'!S10/100),(('Tariffs 2019'!N10-'Tariffs 2019'!M10)*'Tariffs 2019'!S10/100)))</f>
        <v>0</v>
      </c>
      <c r="J16" s="211">
        <f>IF(($C$5&lt;'Tariffs 2019'!N10),(0),($C$5-'Tariffs 2019'!N10)*'Tariffs 2019'!T10/100)</f>
        <v>0</v>
      </c>
      <c r="K16" s="211">
        <f t="shared" si="0"/>
        <v>151.95454545454544</v>
      </c>
      <c r="L16" s="412">
        <f t="shared" si="1"/>
        <v>694.90909090909076</v>
      </c>
      <c r="M16" s="413">
        <f t="shared" si="2"/>
        <v>911.72727272727263</v>
      </c>
      <c r="N16" s="414">
        <f t="shared" si="3"/>
        <v>1002.9</v>
      </c>
      <c r="O16" s="45">
        <f>'Tariffs 2019'!AL10</f>
        <v>0</v>
      </c>
      <c r="P16" s="45">
        <f>'Tariffs 2019'!AM10</f>
        <v>0</v>
      </c>
      <c r="Q16" s="45">
        <f>'Tariffs 2019'!AN10</f>
        <v>0</v>
      </c>
      <c r="R16" s="45">
        <f>'Tariffs 2019'!AO10</f>
        <v>0</v>
      </c>
      <c r="S16" s="413">
        <f t="shared" si="10"/>
        <v>911.72727272727263</v>
      </c>
      <c r="T16" s="413">
        <f t="shared" si="9"/>
        <v>911.72727272727263</v>
      </c>
      <c r="U16" s="261">
        <f t="shared" si="5"/>
        <v>1002.9</v>
      </c>
      <c r="V16" s="261">
        <f t="shared" si="5"/>
        <v>1002.9</v>
      </c>
      <c r="W16" s="215">
        <f>'Tariffs 2019'!AX10</f>
        <v>0</v>
      </c>
      <c r="X16" s="215" t="str">
        <f>'Tariffs 2019'!AY10</f>
        <v>n</v>
      </c>
      <c r="Y16" s="216" t="s">
        <v>400</v>
      </c>
    </row>
    <row r="17" spans="1:25" ht="25" customHeight="1" thickTop="1" x14ac:dyDescent="0.3">
      <c r="A17" s="425" t="str">
        <f>'Tariffs 2019'!F11</f>
        <v>ActewAGL</v>
      </c>
      <c r="B17" s="426" t="str">
        <f>'Tariffs 2019'!D11</f>
        <v>Jemena Capital Region</v>
      </c>
      <c r="C17" s="426" t="str">
        <f>'Tariffs 2019'!G11</f>
        <v>Reward</v>
      </c>
      <c r="D17" s="427">
        <f>60*'Tariffs 2019'!H11/100</f>
        <v>43.085454545454539</v>
      </c>
      <c r="E17" s="427">
        <f>IF($C$5&gt;='Tariffs 2019'!J11,('Tariffs 2019'!J11*'Tariffs 2019'!O11/100),($C$5*'Tariffs 2019'!O11/100))</f>
        <v>47.781818181818181</v>
      </c>
      <c r="F17" s="427">
        <f>IF($C$5&lt;'Tariffs 2019'!J11,0,IF(($C$5-'Tariffs 2019'!J11)&lt;='Tariffs 2019'!K11,(($C$5-'Tariffs 2019'!J11)*'Tariffs 2019'!P11/100),(('Tariffs 2019'!K11-'Tariffs 2019'!J11)*'Tariffs 2019'!P11/100)))</f>
        <v>31.854545454545452</v>
      </c>
      <c r="G17" s="427">
        <f>IF($C$5&lt;'Tariffs 2019'!K11,0,IF(($C$5-'Tariffs 2019'!K11)&lt;='Tariffs 2019'!L11,(($C$5-'Tariffs 2019'!K11)*'Tariffs 2019'!Q11/100),(('Tariffs 2019'!L11-'Tariffs 2019'!K11)*'Tariffs 2019'!Q11/100)))</f>
        <v>41.454545454545453</v>
      </c>
      <c r="H17" s="427">
        <f>IF($C$5&lt;'Tariffs 2019'!L11,0,IF(($C$5-'Tariffs 2019'!L11)&lt;='Tariffs 2019'!M11,(($C$5-'Tariffs 2019'!L11)*'Tariffs 2019'!R11/100),(('Tariffs 2019'!M11-'Tariffs 2019'!L11)*'Tariffs 2019'!R11/100)))</f>
        <v>0</v>
      </c>
      <c r="I17" s="427">
        <f>IF($C$5&lt;'Tariffs 2019'!M11,0,IF(($C$5-'Tariffs 2019'!M11)&lt;='Tariffs 2019'!N11,(($C$5-'Tariffs 2019'!M11)*'Tariffs 2019'!S11/100),(('Tariffs 2019'!N11-'Tariffs 2019'!M11)*'Tariffs 2019'!S11/100)))</f>
        <v>0</v>
      </c>
      <c r="J17" s="427">
        <f>IF(($C$5&lt;'Tariffs 2019'!N11),(0),($C$5-'Tariffs 2019'!N11)*'Tariffs 2019'!T11/100)</f>
        <v>0</v>
      </c>
      <c r="K17" s="427">
        <f t="shared" si="0"/>
        <v>164.17636363636365</v>
      </c>
      <c r="L17" s="428">
        <f t="shared" si="1"/>
        <v>726.54545454545462</v>
      </c>
      <c r="M17" s="429">
        <f t="shared" si="2"/>
        <v>985.05818181818188</v>
      </c>
      <c r="N17" s="430">
        <f t="shared" si="3"/>
        <v>1083.5640000000001</v>
      </c>
      <c r="O17" s="431">
        <f>'Tariffs 2019'!AL11</f>
        <v>0</v>
      </c>
      <c r="P17" s="431">
        <f>'Tariffs 2019'!AM11</f>
        <v>10</v>
      </c>
      <c r="Q17" s="431">
        <f>'Tariffs 2019'!AN11</f>
        <v>0</v>
      </c>
      <c r="R17" s="431">
        <f>'Tariffs 2019'!AO11</f>
        <v>0</v>
      </c>
      <c r="S17" s="429">
        <f>M17-(L17*P17/100)</f>
        <v>912.40363636363645</v>
      </c>
      <c r="T17" s="429">
        <f t="shared" ref="T17:T23" si="11">S17</f>
        <v>912.40363636363645</v>
      </c>
      <c r="U17" s="454">
        <f>S17*1.1</f>
        <v>1003.6440000000002</v>
      </c>
      <c r="V17" s="454">
        <f t="shared" ref="V17:V18" si="12">T17*1.1</f>
        <v>1003.6440000000002</v>
      </c>
      <c r="W17" s="433">
        <f>'Tariffs 2019'!AX11</f>
        <v>0</v>
      </c>
      <c r="X17" s="433" t="str">
        <f>'Tariffs 2019'!AY11</f>
        <v>n</v>
      </c>
      <c r="Y17" s="434" t="s">
        <v>288</v>
      </c>
    </row>
    <row r="18" spans="1:25" ht="25" customHeight="1" thickBot="1" x14ac:dyDescent="0.35">
      <c r="A18" s="435" t="str">
        <f>'Tariffs 2019'!F12</f>
        <v>EnergyAustralia</v>
      </c>
      <c r="B18" s="436" t="str">
        <f>'Tariffs 2019'!D12</f>
        <v>Jemena Capital Region</v>
      </c>
      <c r="C18" s="436" t="str">
        <f>'Tariffs 2019'!G12</f>
        <v>Total Plan</v>
      </c>
      <c r="D18" s="437">
        <f>60*'Tariffs 2019'!H12/100</f>
        <v>34.696363636363628</v>
      </c>
      <c r="E18" s="437">
        <f>IF($C$5&gt;='Tariffs 2019'!J12,('Tariffs 2019'!J12*'Tariffs 2019'!O12/100),($C$5*'Tariffs 2019'!O12/100))</f>
        <v>47.890909090909084</v>
      </c>
      <c r="F18" s="437">
        <f>IF($C$5&lt;'Tariffs 2019'!J12,0,IF(($C$5-'Tariffs 2019'!J12)&lt;='Tariffs 2019'!K12,(($C$5-'Tariffs 2019'!J12)*'Tariffs 2019'!P12/100),(('Tariffs 2019'!K12-'Tariffs 2019'!J12)*'Tariffs 2019'!P12/100)))</f>
        <v>32.072727272727271</v>
      </c>
      <c r="G18" s="437">
        <f>IF($C$5&lt;'Tariffs 2019'!K12,0,IF(($C$5-'Tariffs 2019'!K12)&lt;='Tariffs 2019'!L12,(($C$5-'Tariffs 2019'!K12)*'Tariffs 2019'!Q12/100),(('Tariffs 2019'!L12-'Tariffs 2019'!K12)*'Tariffs 2019'!Q12/100)))</f>
        <v>40.872727272727268</v>
      </c>
      <c r="H18" s="437">
        <f>IF($C$5&lt;'Tariffs 2019'!L12,0,IF(($C$5-'Tariffs 2019'!L12)&lt;='Tariffs 2019'!M12,(($C$5-'Tariffs 2019'!L12)*'Tariffs 2019'!R12/100),(('Tariffs 2019'!M12-'Tariffs 2019'!L12)*'Tariffs 2019'!R12/100)))</f>
        <v>0</v>
      </c>
      <c r="I18" s="437">
        <f>IF($C$5&lt;'Tariffs 2019'!M12,0,IF(($C$5-'Tariffs 2019'!M12)&lt;='Tariffs 2019'!N12,(($C$5-'Tariffs 2019'!M12)*'Tariffs 2019'!S12/100),(('Tariffs 2019'!N12-'Tariffs 2019'!M12)*'Tariffs 2019'!S12/100)))</f>
        <v>0</v>
      </c>
      <c r="J18" s="437">
        <f>IF(($C$5&lt;'Tariffs 2019'!N12),(0),($C$5-'Tariffs 2019'!N12)*'Tariffs 2019'!T12/100)</f>
        <v>0</v>
      </c>
      <c r="K18" s="437">
        <f t="shared" si="0"/>
        <v>155.53272727272724</v>
      </c>
      <c r="L18" s="438">
        <f t="shared" si="1"/>
        <v>725.01818181818169</v>
      </c>
      <c r="M18" s="439">
        <f t="shared" si="2"/>
        <v>933.19636363636346</v>
      </c>
      <c r="N18" s="440">
        <f t="shared" si="3"/>
        <v>1026.5159999999998</v>
      </c>
      <c r="O18" s="441">
        <f>'Tariffs 2019'!AL12</f>
        <v>16</v>
      </c>
      <c r="P18" s="441">
        <f>'Tariffs 2019'!AM12</f>
        <v>0</v>
      </c>
      <c r="Q18" s="441">
        <f>'Tariffs 2019'!AN12</f>
        <v>0</v>
      </c>
      <c r="R18" s="441">
        <f>'Tariffs 2019'!AO12</f>
        <v>0</v>
      </c>
      <c r="S18" s="439">
        <f>M18-(M18*O18/100)</f>
        <v>783.88494545454535</v>
      </c>
      <c r="T18" s="439">
        <f t="shared" si="11"/>
        <v>783.88494545454535</v>
      </c>
      <c r="U18" s="455">
        <f>S18*1.1</f>
        <v>862.27343999999994</v>
      </c>
      <c r="V18" s="455">
        <f t="shared" si="12"/>
        <v>862.27343999999994</v>
      </c>
      <c r="W18" s="443">
        <f>'Tariffs 2019'!AX12</f>
        <v>0</v>
      </c>
      <c r="X18" s="443" t="str">
        <f>'Tariffs 2019'!AY12</f>
        <v>n</v>
      </c>
      <c r="Y18" s="444" t="s">
        <v>288</v>
      </c>
    </row>
    <row r="19" spans="1:25" ht="25" customHeight="1" thickTop="1" x14ac:dyDescent="0.3">
      <c r="A19" s="210" t="str">
        <f>'Tariffs 2019'!F13</f>
        <v>ActewAGL</v>
      </c>
      <c r="B19" s="44" t="str">
        <f>'Tariffs 2019'!D13</f>
        <v xml:space="preserve">Evoenergy Queanbeyan </v>
      </c>
      <c r="C19" s="44" t="str">
        <f>'Tariffs 2019'!G13</f>
        <v>Reward</v>
      </c>
      <c r="D19" s="211">
        <f>60*'Tariffs 2019'!H13/100</f>
        <v>48.812727272727273</v>
      </c>
      <c r="E19" s="211">
        <f>IF($C$5&gt;='Tariffs 2019'!J13,('Tariffs 2019'!J13*'Tariffs 2019'!O13/100),($C$5*'Tariffs 2019'!O13/100))</f>
        <v>77.601818181818174</v>
      </c>
      <c r="F19" s="211">
        <f>IF($C$5&lt;'Tariffs 2019'!J13,0,IF(($C$5-'Tariffs 2019'!J13)&lt;='Tariffs 2019'!K13,(($C$5-'Tariffs 2019'!J13)*'Tariffs 2019'!P13/100),(('Tariffs 2019'!K13-'Tariffs 2019'!J13)*'Tariffs 2019'!P13/100)))</f>
        <v>40.459999999999994</v>
      </c>
      <c r="G19" s="211">
        <f>IF($C$5&lt;'Tariffs 2019'!K13,0,IF(($C$5-'Tariffs 2019'!K13)&lt;='Tariffs 2019'!L13,(($C$5-'Tariffs 2019'!K13)*'Tariffs 2019'!Q13/100),(('Tariffs 2019'!L13-'Tariffs 2019'!K13)*'Tariffs 2019'!Q13/100)))</f>
        <v>0</v>
      </c>
      <c r="H19" s="211">
        <f>IF($C$5&lt;'Tariffs 2019'!L13,0,IF(($C$5-'Tariffs 2019'!L13)&lt;='Tariffs 2019'!M13,(($C$5-'Tariffs 2019'!L13)*'Tariffs 2019'!R13/100),(('Tariffs 2019'!M13-'Tariffs 2019'!L13)*'Tariffs 2019'!R13/100)))</f>
        <v>0</v>
      </c>
      <c r="I19" s="211">
        <f>IF($C$5&lt;'Tariffs 2019'!M13,0,IF(($C$5-'Tariffs 2019'!M13)&lt;='Tariffs 2019'!N13,(($C$5-'Tariffs 2019'!M13)*'Tariffs 2019'!S13/100),(('Tariffs 2019'!N13-'Tariffs 2019'!M13)*'Tariffs 2019'!S13/100)))</f>
        <v>0</v>
      </c>
      <c r="J19" s="211">
        <f>IF(($C$5&lt;'Tariffs 2019'!N13),(0),($C$5-'Tariffs 2019'!N13)*'Tariffs 2019'!T13/100)</f>
        <v>0</v>
      </c>
      <c r="K19" s="211">
        <f t="shared" ref="K19:K21" si="13">SUM(D19:J19)</f>
        <v>166.87454545454545</v>
      </c>
      <c r="L19" s="412">
        <f t="shared" ref="L19:L21" si="14">(K19*6)-(D19*6)</f>
        <v>708.37090909090909</v>
      </c>
      <c r="M19" s="413">
        <f t="shared" ref="M19:M21" si="15">K19*6</f>
        <v>1001.2472727272727</v>
      </c>
      <c r="N19" s="414">
        <f t="shared" si="3"/>
        <v>1101.3720000000001</v>
      </c>
      <c r="O19" s="45">
        <f>'Tariffs 2019'!AL13</f>
        <v>0</v>
      </c>
      <c r="P19" s="45">
        <f>'Tariffs 2019'!AM13</f>
        <v>12</v>
      </c>
      <c r="Q19" s="45">
        <f>'Tariffs 2019'!AN13</f>
        <v>0</v>
      </c>
      <c r="R19" s="45">
        <f>'Tariffs 2019'!AO13</f>
        <v>0</v>
      </c>
      <c r="S19" s="413">
        <f>M19-(L19*P19/100)</f>
        <v>916.24276363636363</v>
      </c>
      <c r="T19" s="413">
        <f t="shared" si="11"/>
        <v>916.24276363636363</v>
      </c>
      <c r="U19" s="261">
        <f t="shared" ref="U19:U21" si="16">S19*1.1</f>
        <v>1007.8670400000001</v>
      </c>
      <c r="V19" s="261">
        <f t="shared" ref="V19:V21" si="17">T19*1.1</f>
        <v>1007.8670400000001</v>
      </c>
      <c r="W19" s="215">
        <f>'Tariffs 2019'!AX13</f>
        <v>0</v>
      </c>
      <c r="X19" s="215" t="str">
        <f>'Tariffs 2019'!AY13</f>
        <v>n</v>
      </c>
      <c r="Y19" s="216" t="s">
        <v>288</v>
      </c>
    </row>
    <row r="20" spans="1:25" ht="25" customHeight="1" thickBot="1" x14ac:dyDescent="0.35">
      <c r="A20" s="210" t="str">
        <f>'Tariffs 2019'!F14</f>
        <v>EnergyAustralia</v>
      </c>
      <c r="B20" s="44" t="str">
        <f>'Tariffs 2019'!D14</f>
        <v xml:space="preserve">Evoenergy Queanbeyan </v>
      </c>
      <c r="C20" s="44" t="str">
        <f>'Tariffs 2019'!G14</f>
        <v>Total Plan</v>
      </c>
      <c r="D20" s="211">
        <f>60*'Tariffs 2019'!H14/100</f>
        <v>43.2</v>
      </c>
      <c r="E20" s="211">
        <f>IF($C$5&gt;='Tariffs 2019'!J14,('Tariffs 2019'!J14*'Tariffs 2019'!O14/100),($C$5*'Tariffs 2019'!O14/100))</f>
        <v>73.554000000000002</v>
      </c>
      <c r="F20" s="211">
        <f>IF($C$5&lt;'Tariffs 2019'!J14,0,IF(($C$5-'Tariffs 2019'!J14)&lt;='Tariffs 2019'!K14,(($C$5-'Tariffs 2019'!J14)*'Tariffs 2019'!P14/100),(('Tariffs 2019'!K14-'Tariffs 2019'!J14)*'Tariffs 2019'!P14/100)))</f>
        <v>41.888000000000005</v>
      </c>
      <c r="G20" s="211">
        <f>IF($C$5&lt;'Tariffs 2019'!K14,0,IF(($C$5-'Tariffs 2019'!K14)&lt;='Tariffs 2019'!L14,(($C$5-'Tariffs 2019'!K14)*'Tariffs 2019'!Q14/100),(('Tariffs 2019'!L14-'Tariffs 2019'!K14)*'Tariffs 2019'!Q14/100)))</f>
        <v>0</v>
      </c>
      <c r="H20" s="211">
        <f>IF($C$5&lt;'Tariffs 2019'!L14,0,IF(($C$5-'Tariffs 2019'!L14)&lt;='Tariffs 2019'!M14,(($C$5-'Tariffs 2019'!L14)*'Tariffs 2019'!R14/100),(('Tariffs 2019'!M14-'Tariffs 2019'!L14)*'Tariffs 2019'!R14/100)))</f>
        <v>0</v>
      </c>
      <c r="I20" s="211">
        <f>IF($C$5&lt;'Tariffs 2019'!M14,0,IF(($C$5-'Tariffs 2019'!M14)&lt;='Tariffs 2019'!N14,(($C$5-'Tariffs 2019'!M14)*'Tariffs 2019'!S14/100),(('Tariffs 2019'!N14-'Tariffs 2019'!M14)*'Tariffs 2019'!S14/100)))</f>
        <v>0</v>
      </c>
      <c r="J20" s="211">
        <f>IF(($C$5&lt;'Tariffs 2019'!N14),(0),($C$5-'Tariffs 2019'!N14)*'Tariffs 2019'!T14/100)</f>
        <v>0</v>
      </c>
      <c r="K20" s="211">
        <f t="shared" si="13"/>
        <v>158.642</v>
      </c>
      <c r="L20" s="412">
        <f t="shared" si="14"/>
        <v>692.65199999999993</v>
      </c>
      <c r="M20" s="413">
        <f t="shared" si="15"/>
        <v>951.85199999999998</v>
      </c>
      <c r="N20" s="414">
        <f t="shared" si="3"/>
        <v>1047.0372</v>
      </c>
      <c r="O20" s="45">
        <f>'Tariffs 2019'!AL14</f>
        <v>16</v>
      </c>
      <c r="P20" s="45">
        <f>'Tariffs 2019'!AM14</f>
        <v>0</v>
      </c>
      <c r="Q20" s="45">
        <f>'Tariffs 2019'!AN14</f>
        <v>0</v>
      </c>
      <c r="R20" s="45">
        <f>'Tariffs 2019'!AO14</f>
        <v>0</v>
      </c>
      <c r="S20" s="413">
        <f>M20-(M20*O20/100)</f>
        <v>799.55567999999994</v>
      </c>
      <c r="T20" s="413">
        <f t="shared" si="11"/>
        <v>799.55567999999994</v>
      </c>
      <c r="U20" s="261">
        <f t="shared" si="16"/>
        <v>879.51124800000002</v>
      </c>
      <c r="V20" s="261">
        <f t="shared" si="17"/>
        <v>879.51124800000002</v>
      </c>
      <c r="W20" s="215">
        <f>'Tariffs 2019'!AX14</f>
        <v>0</v>
      </c>
      <c r="X20" s="215" t="str">
        <f>'Tariffs 2019'!AY14</f>
        <v>n</v>
      </c>
      <c r="Y20" s="216" t="s">
        <v>288</v>
      </c>
    </row>
    <row r="21" spans="1:25" ht="25" customHeight="1" thickTop="1" thickBot="1" x14ac:dyDescent="0.35">
      <c r="A21" s="445" t="str">
        <f>'Tariffs 2019'!F15</f>
        <v>ActewAGL</v>
      </c>
      <c r="B21" s="446" t="str">
        <f>'Tariffs 2019'!D15</f>
        <v>Evoenergy Shoalhaven</v>
      </c>
      <c r="C21" s="446" t="str">
        <f>'Tariffs 2019'!G15</f>
        <v>Reward</v>
      </c>
      <c r="D21" s="447">
        <f>60*'Tariffs 2019'!H15/100</f>
        <v>52.494545454545452</v>
      </c>
      <c r="E21" s="447">
        <f>$C$5*'Tariffs 2019'!O15/100</f>
        <v>115.63636363636363</v>
      </c>
      <c r="F21" s="447">
        <v>0</v>
      </c>
      <c r="G21" s="447">
        <v>0</v>
      </c>
      <c r="H21" s="447">
        <v>0</v>
      </c>
      <c r="I21" s="447">
        <v>0</v>
      </c>
      <c r="J21" s="447">
        <v>0</v>
      </c>
      <c r="K21" s="447">
        <f t="shared" si="13"/>
        <v>168.13090909090909</v>
      </c>
      <c r="L21" s="420">
        <f t="shared" si="14"/>
        <v>693.81818181818176</v>
      </c>
      <c r="M21" s="421">
        <f t="shared" si="15"/>
        <v>1008.7854545454545</v>
      </c>
      <c r="N21" s="422">
        <f t="shared" si="3"/>
        <v>1109.664</v>
      </c>
      <c r="O21" s="423">
        <f>'Tariffs 2019'!AL15</f>
        <v>0</v>
      </c>
      <c r="P21" s="423">
        <f>'Tariffs 2019'!AM15</f>
        <v>5</v>
      </c>
      <c r="Q21" s="423">
        <f>'Tariffs 2019'!AN15</f>
        <v>0</v>
      </c>
      <c r="R21" s="423">
        <f>'Tariffs 2019'!AO15</f>
        <v>0</v>
      </c>
      <c r="S21" s="421">
        <f>M21-(L21*P21/100)</f>
        <v>974.09454545454537</v>
      </c>
      <c r="T21" s="421">
        <f t="shared" si="11"/>
        <v>974.09454545454537</v>
      </c>
      <c r="U21" s="424">
        <f t="shared" si="16"/>
        <v>1071.5039999999999</v>
      </c>
      <c r="V21" s="424">
        <f t="shared" si="17"/>
        <v>1071.5039999999999</v>
      </c>
      <c r="W21" s="449">
        <f>'Tariffs 2019'!AX15</f>
        <v>0</v>
      </c>
      <c r="X21" s="449" t="str">
        <f>'Tariffs 2019'!AY15</f>
        <v>n</v>
      </c>
      <c r="Y21" s="450" t="s">
        <v>288</v>
      </c>
    </row>
    <row r="22" spans="1:25" ht="25" customHeight="1" thickTop="1" x14ac:dyDescent="0.3">
      <c r="A22" s="210" t="str">
        <f>'Tariffs 2019'!F16</f>
        <v>EnergyAustralia</v>
      </c>
      <c r="B22" s="44" t="str">
        <f>'Tariffs 2019'!D16</f>
        <v>AGN Albury</v>
      </c>
      <c r="C22" s="44" t="str">
        <f>'Tariffs 2019'!G16</f>
        <v>Total Plan</v>
      </c>
      <c r="D22" s="211">
        <f>60*'Tariffs 2019'!H16/100</f>
        <v>45.29999999999999</v>
      </c>
      <c r="E22" s="211">
        <f>IF($C$5&gt;='Tariffs 2019'!J16,('Tariffs 2019'!J16*'Tariffs 2019'!O16/100),($C$5*'Tariffs 2019'!O16/100))</f>
        <v>94.909090909090907</v>
      </c>
      <c r="F22" s="211">
        <f>IF($C$5&lt;'Tariffs 2019'!J16,0,IF(($C$5-'Tariffs 2019'!J16)&lt;='Tariffs 2019'!K16,(($C$5-'Tariffs 2019'!J16)*'Tariffs 2019'!P16/100),(('Tariffs 2019'!K16-'Tariffs 2019'!J16)*'Tariffs 2019'!P16/100)))</f>
        <v>0</v>
      </c>
      <c r="G22" s="211">
        <f>IF($C$5&lt;'Tariffs 2019'!K16,0,IF(($C$5-'Tariffs 2019'!K16)&lt;='Tariffs 2019'!L16,(($C$5-'Tariffs 2019'!K16)*'Tariffs 2019'!Q16/100),(('Tariffs 2019'!L16-'Tariffs 2019'!K16)*'Tariffs 2019'!Q16/100)))</f>
        <v>0</v>
      </c>
      <c r="H22" s="211">
        <f>IF($C$5&lt;'Tariffs 2019'!L16,0,IF(($C$5-'Tariffs 2019'!L16)&lt;='Tariffs 2019'!M16,(($C$5-'Tariffs 2019'!L16)*'Tariffs 2019'!R16/100),(('Tariffs 2019'!M16-'Tariffs 2019'!L16)*'Tariffs 2019'!R16/100)))</f>
        <v>0</v>
      </c>
      <c r="I22" s="211">
        <f>IF($C$5&lt;'Tariffs 2019'!M16,0,IF(($C$5-'Tariffs 2019'!M16)&lt;='Tariffs 2019'!N16,(($C$5-'Tariffs 2019'!M16)*'Tariffs 2019'!S16/100),(('Tariffs 2019'!N16-'Tariffs 2019'!M16)*'Tariffs 2019'!S16/100)))</f>
        <v>0</v>
      </c>
      <c r="J22" s="211">
        <f>IF(($C$5&lt;'Tariffs 2019'!N16),(0),($C$5-'Tariffs 2019'!N16)*'Tariffs 2019'!T16/100)</f>
        <v>0</v>
      </c>
      <c r="K22" s="211">
        <f t="shared" si="0"/>
        <v>140.20909090909089</v>
      </c>
      <c r="L22" s="412">
        <f t="shared" si="1"/>
        <v>569.45454545454538</v>
      </c>
      <c r="M22" s="413">
        <f t="shared" si="2"/>
        <v>841.25454545454534</v>
      </c>
      <c r="N22" s="414">
        <f t="shared" si="3"/>
        <v>925.38</v>
      </c>
      <c r="O22" s="45">
        <f>'Tariffs 2019'!AL16</f>
        <v>16</v>
      </c>
      <c r="P22" s="45">
        <f>'Tariffs 2019'!AM16</f>
        <v>0</v>
      </c>
      <c r="Q22" s="45">
        <f>'Tariffs 2019'!AN16</f>
        <v>0</v>
      </c>
      <c r="R22" s="45">
        <f>'Tariffs 2019'!AO16</f>
        <v>0</v>
      </c>
      <c r="S22" s="413">
        <f>M22-(M22*O22/100)</f>
        <v>706.65381818181811</v>
      </c>
      <c r="T22" s="413">
        <f t="shared" si="11"/>
        <v>706.65381818181811</v>
      </c>
      <c r="U22" s="261">
        <f>S22*1.1</f>
        <v>777.31920000000002</v>
      </c>
      <c r="V22" s="261">
        <f t="shared" ref="V22:V24" si="18">T22*1.1</f>
        <v>777.31920000000002</v>
      </c>
      <c r="W22" s="215">
        <f>'Tariffs 2019'!AX16</f>
        <v>0</v>
      </c>
      <c r="X22" s="215" t="str">
        <f>'Tariffs 2019'!AY16</f>
        <v>n</v>
      </c>
      <c r="Y22" s="216" t="s">
        <v>288</v>
      </c>
    </row>
    <row r="23" spans="1:25" ht="25" customHeight="1" x14ac:dyDescent="0.3">
      <c r="A23" s="210" t="str">
        <f>'Tariffs 2019'!F17</f>
        <v>Origin Energy</v>
      </c>
      <c r="B23" s="44" t="str">
        <f>'Tariffs 2019'!D17</f>
        <v>AGN Albury</v>
      </c>
      <c r="C23" s="44" t="str">
        <f>'Tariffs 2019'!G17</f>
        <v>Flexi</v>
      </c>
      <c r="D23" s="211">
        <f>60*'Tariffs 2019'!H17/100</f>
        <v>32.710909090909091</v>
      </c>
      <c r="E23" s="211">
        <f>IF($C$5&gt;='Tariffs 2019'!J17,('Tariffs 2019'!J17*'Tariffs 2019'!O17/100),($C$5*'Tariffs 2019'!O17/100))</f>
        <v>35.700000000000003</v>
      </c>
      <c r="F23" s="211">
        <f>IF($C$5&lt;'Tariffs 2019'!J17,0,IF(($C$5-'Tariffs 2019'!J17)&lt;='Tariffs 2019'!K17,(($C$5-'Tariffs 2019'!J17)*'Tariffs 2019'!P17/100),(('Tariffs 2019'!K17-'Tariffs 2019'!J17)*'Tariffs 2019'!P17/100)))</f>
        <v>45.50454545454545</v>
      </c>
      <c r="G23" s="211">
        <f>IF($C$5&lt;'Tariffs 2019'!K17,0,IF(($C$5-'Tariffs 2019'!K17)&lt;='Tariffs 2019'!L17,(($C$5-'Tariffs 2019'!K17)*'Tariffs 2019'!Q17/100),(('Tariffs 2019'!L17-'Tariffs 2019'!K17)*'Tariffs 2019'!Q17/100)))</f>
        <v>18.909090909090907</v>
      </c>
      <c r="H23" s="211">
        <f>IF($C$5&lt;'Tariffs 2019'!L17,0,IF(($C$5-'Tariffs 2019'!L17)&lt;='Tariffs 2019'!M17,(($C$5-'Tariffs 2019'!L17)*'Tariffs 2019'!R17/100),(('Tariffs 2019'!M17-'Tariffs 2019'!L17)*'Tariffs 2019'!R17/100)))</f>
        <v>0</v>
      </c>
      <c r="I23" s="211">
        <f>IF($C$5&lt;'Tariffs 2019'!M17,0,IF(($C$5-'Tariffs 2019'!M17)&lt;='Tariffs 2019'!N17,(($C$5-'Tariffs 2019'!M17)*'Tariffs 2019'!S17/100),(('Tariffs 2019'!N17-'Tariffs 2019'!M17)*'Tariffs 2019'!S17/100)))</f>
        <v>0</v>
      </c>
      <c r="J23" s="211">
        <f>IF(($C$5&lt;'Tariffs 2019'!N17),(0),($C$5-'Tariffs 2019'!N17)*'Tariffs 2019'!T17/100)</f>
        <v>0</v>
      </c>
      <c r="K23" s="211">
        <f t="shared" si="0"/>
        <v>132.82454545454544</v>
      </c>
      <c r="L23" s="412">
        <f t="shared" si="1"/>
        <v>600.68181818181813</v>
      </c>
      <c r="M23" s="413">
        <f t="shared" si="2"/>
        <v>796.94727272727266</v>
      </c>
      <c r="N23" s="414">
        <f t="shared" si="3"/>
        <v>876.64200000000005</v>
      </c>
      <c r="O23" s="45">
        <f>'Tariffs 2019'!AL17</f>
        <v>6</v>
      </c>
      <c r="P23" s="45">
        <f>'Tariffs 2019'!AM17</f>
        <v>0</v>
      </c>
      <c r="Q23" s="45">
        <f>'Tariffs 2019'!AN17</f>
        <v>0</v>
      </c>
      <c r="R23" s="45">
        <f>'Tariffs 2019'!AO17</f>
        <v>0</v>
      </c>
      <c r="S23" s="415">
        <f>N23-(N23*O23/100)</f>
        <v>824.04348000000005</v>
      </c>
      <c r="T23" s="415">
        <f t="shared" si="11"/>
        <v>824.04348000000005</v>
      </c>
      <c r="U23" s="261">
        <f>S23</f>
        <v>824.04348000000005</v>
      </c>
      <c r="V23" s="261">
        <f>T23</f>
        <v>824.04348000000005</v>
      </c>
      <c r="W23" s="215">
        <f>'Tariffs 2019'!AX17</f>
        <v>0</v>
      </c>
      <c r="X23" s="215" t="str">
        <f>'Tariffs 2019'!AY17</f>
        <v>n</v>
      </c>
      <c r="Y23" s="216" t="s">
        <v>288</v>
      </c>
    </row>
    <row r="24" spans="1:25" ht="25" customHeight="1" thickBot="1" x14ac:dyDescent="0.35">
      <c r="A24" s="210" t="str">
        <f>'Tariffs 2019'!F18</f>
        <v>AGL</v>
      </c>
      <c r="B24" s="44" t="str">
        <f>'Tariffs 2019'!D18</f>
        <v>AGN Albury</v>
      </c>
      <c r="C24" s="44" t="str">
        <f>'Tariffs 2019'!G18</f>
        <v>Smart Saver</v>
      </c>
      <c r="D24" s="211">
        <f>60*'Tariffs 2019'!H18/100</f>
        <v>49.412727272727267</v>
      </c>
      <c r="E24" s="211">
        <f>IF($C$5&gt;='Tariffs 2019'!J18,('Tariffs 2019'!J18*'Tariffs 2019'!O18/100),($C$5*'Tariffs 2019'!O18/100))</f>
        <v>36.599999999999994</v>
      </c>
      <c r="F24" s="211">
        <f>IF($C$5&lt;'Tariffs 2019'!J18,0,IF(($C$5-'Tariffs 2019'!J18)&lt;='Tariffs 2019'!K18,(($C$5-'Tariffs 2019'!J18)*'Tariffs 2019'!P18/100),(('Tariffs 2019'!K18-'Tariffs 2019'!J18)*'Tariffs 2019'!P18/100)))</f>
        <v>47</v>
      </c>
      <c r="G24" s="211">
        <f>IF($C$5&lt;'Tariffs 2019'!K18,0,IF(($C$5-'Tariffs 2019'!K18)&lt;='Tariffs 2019'!L18,(($C$5-'Tariffs 2019'!K18)*'Tariffs 2019'!Q18/100),(('Tariffs 2019'!L18-'Tariffs 2019'!K18)*'Tariffs 2019'!Q18/100)))</f>
        <v>19.665454545454544</v>
      </c>
      <c r="H24" s="211">
        <f>IF($C$5&lt;'Tariffs 2019'!L18,0,IF(($C$5-'Tariffs 2019'!L18)&lt;='Tariffs 2019'!M18,(($C$5-'Tariffs 2019'!L18)*'Tariffs 2019'!R18/100),(('Tariffs 2019'!M18-'Tariffs 2019'!L18)*'Tariffs 2019'!R18/100)))</f>
        <v>0</v>
      </c>
      <c r="I24" s="211">
        <f>IF($C$5&lt;'Tariffs 2019'!M18,0,IF(($C$5-'Tariffs 2019'!M18)&lt;='Tariffs 2019'!N18,(($C$5-'Tariffs 2019'!M18)*'Tariffs 2019'!S18/100),(('Tariffs 2019'!N18-'Tariffs 2019'!M18)*'Tariffs 2019'!S18/100)))</f>
        <v>0</v>
      </c>
      <c r="J24" s="211">
        <f>IF(($C$5&lt;'Tariffs 2019'!N18),(0),($C$5-'Tariffs 2019'!N18)*'Tariffs 2019'!T18/100)</f>
        <v>0</v>
      </c>
      <c r="K24" s="211">
        <f t="shared" si="0"/>
        <v>152.6781818181818</v>
      </c>
      <c r="L24" s="412">
        <f t="shared" si="1"/>
        <v>619.59272727272719</v>
      </c>
      <c r="M24" s="413">
        <f t="shared" si="2"/>
        <v>916.06909090909085</v>
      </c>
      <c r="N24" s="414">
        <f t="shared" si="3"/>
        <v>1007.676</v>
      </c>
      <c r="O24" s="45">
        <f>'Tariffs 2019'!AL18</f>
        <v>8</v>
      </c>
      <c r="P24" s="45">
        <f>'Tariffs 2019'!AM18</f>
        <v>0</v>
      </c>
      <c r="Q24" s="45">
        <f>'Tariffs 2019'!AN18</f>
        <v>0</v>
      </c>
      <c r="R24" s="45">
        <f>'Tariffs 2019'!AO18</f>
        <v>0</v>
      </c>
      <c r="S24" s="413">
        <f>M24-(M24*O24/100)</f>
        <v>842.78356363636362</v>
      </c>
      <c r="T24" s="413">
        <f t="shared" ref="T24" si="19">S24</f>
        <v>842.78356363636362</v>
      </c>
      <c r="U24" s="261">
        <f>S24*1.1</f>
        <v>927.0619200000001</v>
      </c>
      <c r="V24" s="261">
        <f t="shared" si="18"/>
        <v>927.0619200000001</v>
      </c>
      <c r="W24" s="215">
        <f>'Tariffs 2019'!AX18</f>
        <v>0</v>
      </c>
      <c r="X24" s="215" t="str">
        <f>'Tariffs 2019'!AY18</f>
        <v>n</v>
      </c>
      <c r="Y24" s="216" t="s">
        <v>288</v>
      </c>
    </row>
    <row r="25" spans="1:25" ht="25" customHeight="1" thickTop="1" x14ac:dyDescent="0.3">
      <c r="A25" s="425" t="str">
        <f>'Tariffs 2019'!F19</f>
        <v>EnergyAustralia</v>
      </c>
      <c r="B25" s="426" t="str">
        <f>'Tariffs 2019'!D19</f>
        <v>AGN Murray Valley</v>
      </c>
      <c r="C25" s="426" t="str">
        <f>'Tariffs 2019'!G19</f>
        <v>Total Plan</v>
      </c>
      <c r="D25" s="427">
        <f>60*'Tariffs 2019'!H19/100</f>
        <v>43.5</v>
      </c>
      <c r="E25" s="427">
        <f>IF($C$5&gt;='Tariffs 2019'!J19,('Tariffs 2019'!J19*'Tariffs 2019'!O19/100),($C$5*'Tariffs 2019'!O19/100))</f>
        <v>138.18181818181816</v>
      </c>
      <c r="F25" s="427">
        <f>IF($C$5&lt;'Tariffs 2019'!J19,0,IF(($C$5-'Tariffs 2019'!J19)&lt;='Tariffs 2019'!K19,(($C$5-'Tariffs 2019'!J19)*'Tariffs 2019'!P19/100),(('Tariffs 2019'!K19-'Tariffs 2019'!J19)*'Tariffs 2019'!P19/100)))</f>
        <v>0</v>
      </c>
      <c r="G25" s="427">
        <f>IF($C$5&lt;'Tariffs 2019'!K19,0,IF(($C$5-'Tariffs 2019'!K19)&lt;='Tariffs 2019'!L19,(($C$5-'Tariffs 2019'!K19)*'Tariffs 2019'!Q19/100),(('Tariffs 2019'!L19-'Tariffs 2019'!K19)*'Tariffs 2019'!Q19/100)))</f>
        <v>0</v>
      </c>
      <c r="H25" s="427">
        <f>IF($C$5&lt;'Tariffs 2019'!L19,0,IF(($C$5-'Tariffs 2019'!L19)&lt;='Tariffs 2019'!M19,(($C$5-'Tariffs 2019'!L19)*'Tariffs 2019'!R19/100),(('Tariffs 2019'!M19-'Tariffs 2019'!L19)*'Tariffs 2019'!R19/100)))</f>
        <v>0</v>
      </c>
      <c r="I25" s="427">
        <f>IF($C$5&lt;'Tariffs 2019'!M19,0,IF(($C$5-'Tariffs 2019'!M19)&lt;='Tariffs 2019'!N19,(($C$5-'Tariffs 2019'!M19)*'Tariffs 2019'!S19/100),(('Tariffs 2019'!N19-'Tariffs 2019'!M19)*'Tariffs 2019'!S19/100)))</f>
        <v>0</v>
      </c>
      <c r="J25" s="427">
        <f>IF(($C$5&lt;'Tariffs 2019'!N19),(0),($C$5-'Tariffs 2019'!N19)*'Tariffs 2019'!T19/100)</f>
        <v>0</v>
      </c>
      <c r="K25" s="427">
        <f t="shared" si="0"/>
        <v>181.68181818181816</v>
      </c>
      <c r="L25" s="428">
        <f t="shared" si="1"/>
        <v>829.09090909090901</v>
      </c>
      <c r="M25" s="429">
        <f t="shared" si="2"/>
        <v>1090.090909090909</v>
      </c>
      <c r="N25" s="430">
        <f t="shared" si="3"/>
        <v>1199.0999999999999</v>
      </c>
      <c r="O25" s="431">
        <f>'Tariffs 2019'!AL19</f>
        <v>16</v>
      </c>
      <c r="P25" s="431">
        <f>'Tariffs 2019'!AM19</f>
        <v>0</v>
      </c>
      <c r="Q25" s="431">
        <f>'Tariffs 2019'!AN19</f>
        <v>0</v>
      </c>
      <c r="R25" s="431">
        <f>'Tariffs 2019'!AO19</f>
        <v>0</v>
      </c>
      <c r="S25" s="429">
        <f>M25-(M25*O25/100)</f>
        <v>915.67636363636359</v>
      </c>
      <c r="T25" s="429">
        <f>S25</f>
        <v>915.67636363636359</v>
      </c>
      <c r="U25" s="454">
        <f>S25*1.1</f>
        <v>1007.244</v>
      </c>
      <c r="V25" s="454">
        <f t="shared" ref="V25:V27" si="20">T25*1.1</f>
        <v>1007.244</v>
      </c>
      <c r="W25" s="433">
        <f>'Tariffs 2019'!AX19</f>
        <v>0</v>
      </c>
      <c r="X25" s="433" t="str">
        <f>'Tariffs 2019'!AY19</f>
        <v>n</v>
      </c>
      <c r="Y25" s="434" t="s">
        <v>288</v>
      </c>
    </row>
    <row r="26" spans="1:25" ht="25" customHeight="1" x14ac:dyDescent="0.3">
      <c r="A26" s="210" t="str">
        <f>'Tariffs 2019'!F20</f>
        <v>Origin Energy</v>
      </c>
      <c r="B26" s="44" t="str">
        <f>'Tariffs 2019'!D20</f>
        <v>AGN Murray Valley</v>
      </c>
      <c r="C26" s="44" t="str">
        <f>'Tariffs 2019'!G20</f>
        <v>Flexi</v>
      </c>
      <c r="D26" s="211">
        <f>60*'Tariffs 2019'!H20/100</f>
        <v>37.374545454545448</v>
      </c>
      <c r="E26" s="211">
        <f>IF($C$5&gt;='Tariffs 2019'!J20,('Tariffs 2019'!J20*'Tariffs 2019'!O20/100),($C$5*'Tariffs 2019'!O20/100))</f>
        <v>52.949999999999989</v>
      </c>
      <c r="F26" s="211">
        <f>IF($C$5&lt;'Tariffs 2019'!J20,0,IF(($C$5-'Tariffs 2019'!J20)&lt;='Tariffs 2019'!K20,(($C$5-'Tariffs 2019'!J20)*'Tariffs 2019'!P20/100),(('Tariffs 2019'!K20-'Tariffs 2019'!J20)*'Tariffs 2019'!P20/100)))</f>
        <v>69.859090909090909</v>
      </c>
      <c r="G26" s="211">
        <f>IF($C$5&lt;'Tariffs 2019'!K20,0,IF(($C$5-'Tariffs 2019'!K20)&lt;='Tariffs 2019'!L20,(($C$5-'Tariffs 2019'!K20)*'Tariffs 2019'!Q20/100),(('Tariffs 2019'!L20-'Tariffs 2019'!K20)*'Tariffs 2019'!Q20/100)))</f>
        <v>24.77090909090909</v>
      </c>
      <c r="H26" s="211">
        <f>IF($C$5&lt;'Tariffs 2019'!L20,0,IF(($C$5-'Tariffs 2019'!L20)&lt;='Tariffs 2019'!M20,(($C$5-'Tariffs 2019'!L20)*'Tariffs 2019'!R20/100),(('Tariffs 2019'!M20-'Tariffs 2019'!L20)*'Tariffs 2019'!R20/100)))</f>
        <v>0</v>
      </c>
      <c r="I26" s="211">
        <f>IF($C$5&lt;'Tariffs 2019'!M20,0,IF(($C$5-'Tariffs 2019'!M20)&lt;='Tariffs 2019'!N20,(($C$5-'Tariffs 2019'!M20)*'Tariffs 2019'!S20/100),(('Tariffs 2019'!N20-'Tariffs 2019'!M20)*'Tariffs 2019'!S20/100)))</f>
        <v>0</v>
      </c>
      <c r="J26" s="211">
        <f>IF(($C$5&lt;'Tariffs 2019'!N20),(0),($C$5-'Tariffs 2019'!N20)*'Tariffs 2019'!T20/100)</f>
        <v>0</v>
      </c>
      <c r="K26" s="211">
        <f t="shared" si="0"/>
        <v>184.95454545454547</v>
      </c>
      <c r="L26" s="412">
        <f t="shared" si="1"/>
        <v>885.48</v>
      </c>
      <c r="M26" s="413">
        <f t="shared" si="2"/>
        <v>1109.7272727272727</v>
      </c>
      <c r="N26" s="414">
        <f t="shared" si="3"/>
        <v>1220.7</v>
      </c>
      <c r="O26" s="45">
        <f>'Tariffs 2019'!AL20</f>
        <v>6</v>
      </c>
      <c r="P26" s="45">
        <f>'Tariffs 2019'!AM20</f>
        <v>0</v>
      </c>
      <c r="Q26" s="45">
        <f>'Tariffs 2019'!AN20</f>
        <v>0</v>
      </c>
      <c r="R26" s="45">
        <f>'Tariffs 2019'!AO20</f>
        <v>0</v>
      </c>
      <c r="S26" s="415">
        <f>N26-(N26*O26/100)</f>
        <v>1147.4580000000001</v>
      </c>
      <c r="T26" s="415">
        <f>S26</f>
        <v>1147.4580000000001</v>
      </c>
      <c r="U26" s="261">
        <f>S26</f>
        <v>1147.4580000000001</v>
      </c>
      <c r="V26" s="261">
        <f>T26</f>
        <v>1147.4580000000001</v>
      </c>
      <c r="W26" s="215">
        <f>'Tariffs 2019'!AX20</f>
        <v>0</v>
      </c>
      <c r="X26" s="215" t="str">
        <f>'Tariffs 2019'!AY20</f>
        <v>n</v>
      </c>
      <c r="Y26" s="216" t="s">
        <v>288</v>
      </c>
    </row>
    <row r="27" spans="1:25" ht="25" customHeight="1" thickBot="1" x14ac:dyDescent="0.35">
      <c r="A27" s="435" t="str">
        <f>'Tariffs 2019'!F21</f>
        <v>AGL</v>
      </c>
      <c r="B27" s="436" t="str">
        <f>'Tariffs 2019'!D21</f>
        <v>AGN Murray Valley</v>
      </c>
      <c r="C27" s="436" t="str">
        <f>'Tariffs 2019'!G21</f>
        <v>Smart Saver</v>
      </c>
      <c r="D27" s="437">
        <f>60*'Tariffs 2019'!H21/100</f>
        <v>44.094545454545454</v>
      </c>
      <c r="E27" s="437">
        <f>IF($C$5&gt;='Tariffs 2019'!J21,('Tariffs 2019'!J21*'Tariffs 2019'!O21/100),($C$5*'Tariffs 2019'!O21/100))</f>
        <v>57.449999999999989</v>
      </c>
      <c r="F27" s="437">
        <f>IF($C$5&lt;'Tariffs 2019'!J21,0,IF(($C$5-'Tariffs 2019'!J21)&lt;='Tariffs 2019'!K21,(($C$5-'Tariffs 2019'!J21)*'Tariffs 2019'!P21/100),(('Tariffs 2019'!K21-'Tariffs 2019'!J21)*'Tariffs 2019'!P21/100)))</f>
        <v>74.345454545454544</v>
      </c>
      <c r="G27" s="437">
        <f>IF($C$5&lt;'Tariffs 2019'!K21,0,IF(($C$5-'Tariffs 2019'!K21)&lt;='Tariffs 2019'!L21,(($C$5-'Tariffs 2019'!K21)*'Tariffs 2019'!Q21/100),(('Tariffs 2019'!L21-'Tariffs 2019'!K21)*'Tariffs 2019'!Q21/100)))</f>
        <v>26.283636363636361</v>
      </c>
      <c r="H27" s="437">
        <f>IF($C$5&lt;'Tariffs 2019'!L21,0,IF(($C$5-'Tariffs 2019'!L21)&lt;='Tariffs 2019'!M21,(($C$5-'Tariffs 2019'!L21)*'Tariffs 2019'!R21/100),(('Tariffs 2019'!M21-'Tariffs 2019'!L21)*'Tariffs 2019'!R21/100)))</f>
        <v>0</v>
      </c>
      <c r="I27" s="437">
        <f>IF($C$5&lt;'Tariffs 2019'!M21,0,IF(($C$5-'Tariffs 2019'!M21)&lt;='Tariffs 2019'!N21,(($C$5-'Tariffs 2019'!M21)*'Tariffs 2019'!S21/100),(('Tariffs 2019'!N21-'Tariffs 2019'!M21)*'Tariffs 2019'!S21/100)))</f>
        <v>0</v>
      </c>
      <c r="J27" s="437">
        <f>IF(($C$5&lt;'Tariffs 2019'!N21),(0),($C$5-'Tariffs 2019'!N21)*'Tariffs 2019'!T21/100)</f>
        <v>0</v>
      </c>
      <c r="K27" s="437">
        <f t="shared" si="0"/>
        <v>202.17363636363635</v>
      </c>
      <c r="L27" s="438">
        <f t="shared" si="1"/>
        <v>948.47454545454548</v>
      </c>
      <c r="M27" s="439">
        <f t="shared" si="2"/>
        <v>1213.0418181818181</v>
      </c>
      <c r="N27" s="440">
        <f t="shared" si="3"/>
        <v>1334.346</v>
      </c>
      <c r="O27" s="441">
        <f>'Tariffs 2019'!AL21</f>
        <v>8</v>
      </c>
      <c r="P27" s="441">
        <f>'Tariffs 2019'!AM21</f>
        <v>0</v>
      </c>
      <c r="Q27" s="441">
        <f>'Tariffs 2019'!AN21</f>
        <v>0</v>
      </c>
      <c r="R27" s="441">
        <f>'Tariffs 2019'!AO21</f>
        <v>0</v>
      </c>
      <c r="S27" s="439">
        <f>M27-(M27*O27/100)</f>
        <v>1115.9984727272727</v>
      </c>
      <c r="T27" s="439">
        <f t="shared" ref="T27" si="21">S27</f>
        <v>1115.9984727272727</v>
      </c>
      <c r="U27" s="455">
        <f>S27*1.1</f>
        <v>1227.5983200000001</v>
      </c>
      <c r="V27" s="455">
        <f t="shared" si="20"/>
        <v>1227.5983200000001</v>
      </c>
      <c r="W27" s="443">
        <f>'Tariffs 2019'!AX21</f>
        <v>0</v>
      </c>
      <c r="X27" s="443" t="str">
        <f>'Tariffs 2019'!AY21</f>
        <v>n</v>
      </c>
      <c r="Y27" s="444" t="s">
        <v>288</v>
      </c>
    </row>
    <row r="28" spans="1:25" ht="25" customHeight="1" thickTop="1" x14ac:dyDescent="0.3">
      <c r="A28" s="210" t="str">
        <f>'Tariffs 2019'!F22</f>
        <v>Origin Energy</v>
      </c>
      <c r="B28" s="44" t="str">
        <f>'Tariffs 2019'!D22</f>
        <v>AGN Cooma</v>
      </c>
      <c r="C28" s="44" t="str">
        <f>'Tariffs 2019'!G22</f>
        <v>Flexi</v>
      </c>
      <c r="D28" s="211">
        <f>60*'Tariffs 2019'!H22/100</f>
        <v>42.621818181818178</v>
      </c>
      <c r="E28" s="211">
        <f>$C$5*'Tariffs 2019'!O22/100</f>
        <v>107.63636363636363</v>
      </c>
      <c r="F28" s="211">
        <v>0</v>
      </c>
      <c r="G28" s="211">
        <v>0</v>
      </c>
      <c r="H28" s="211">
        <v>0</v>
      </c>
      <c r="I28" s="211">
        <v>0</v>
      </c>
      <c r="J28" s="211">
        <v>0</v>
      </c>
      <c r="K28" s="211">
        <f t="shared" si="0"/>
        <v>150.25818181818181</v>
      </c>
      <c r="L28" s="412">
        <f t="shared" si="1"/>
        <v>645.81818181818176</v>
      </c>
      <c r="M28" s="413">
        <f t="shared" si="2"/>
        <v>901.54909090909086</v>
      </c>
      <c r="N28" s="414">
        <f t="shared" si="3"/>
        <v>991.70400000000006</v>
      </c>
      <c r="O28" s="45">
        <f>'Tariffs 2019'!AL22</f>
        <v>6</v>
      </c>
      <c r="P28" s="45">
        <f>'Tariffs 2019'!AM22</f>
        <v>0</v>
      </c>
      <c r="Q28" s="45">
        <f>'Tariffs 2019'!AN22</f>
        <v>0</v>
      </c>
      <c r="R28" s="45">
        <f>'Tariffs 2019'!AO22</f>
        <v>0</v>
      </c>
      <c r="S28" s="415">
        <f>N28-(N28*O28/100)</f>
        <v>932.20176000000004</v>
      </c>
      <c r="T28" s="415">
        <f>S28</f>
        <v>932.20176000000004</v>
      </c>
      <c r="U28" s="261">
        <f t="shared" ref="U28:V30" si="22">S28</f>
        <v>932.20176000000004</v>
      </c>
      <c r="V28" s="261">
        <f t="shared" si="22"/>
        <v>932.20176000000004</v>
      </c>
      <c r="W28" s="215">
        <f>'Tariffs 2019'!AX22</f>
        <v>0</v>
      </c>
      <c r="X28" s="215" t="str">
        <f>'Tariffs 2019'!AY22</f>
        <v>n</v>
      </c>
      <c r="Y28" s="216" t="s">
        <v>288</v>
      </c>
    </row>
    <row r="29" spans="1:25" ht="25" customHeight="1" thickBot="1" x14ac:dyDescent="0.35">
      <c r="A29" s="210" t="str">
        <f>'Tariffs 2019'!F23</f>
        <v>Red Energy</v>
      </c>
      <c r="B29" s="44" t="str">
        <f>'Tariffs 2019'!D23</f>
        <v>AGN Cooma</v>
      </c>
      <c r="C29" s="44" t="str">
        <f>'Tariffs 2019'!G23</f>
        <v>Easy Saver</v>
      </c>
      <c r="D29" s="211">
        <f>60*'Tariffs 2019'!H23/100</f>
        <v>43.566000000000003</v>
      </c>
      <c r="E29" s="211">
        <f>$C$5*'Tariffs 2019'!O23/100</f>
        <v>106.8</v>
      </c>
      <c r="F29" s="211">
        <v>0</v>
      </c>
      <c r="G29" s="211">
        <v>0</v>
      </c>
      <c r="H29" s="211">
        <v>0</v>
      </c>
      <c r="I29" s="211">
        <v>0</v>
      </c>
      <c r="J29" s="211">
        <v>0</v>
      </c>
      <c r="K29" s="211">
        <f t="shared" si="0"/>
        <v>150.36599999999999</v>
      </c>
      <c r="L29" s="412">
        <f t="shared" si="1"/>
        <v>640.79999999999995</v>
      </c>
      <c r="M29" s="413">
        <f t="shared" si="2"/>
        <v>902.19599999999991</v>
      </c>
      <c r="N29" s="414">
        <f t="shared" si="3"/>
        <v>992.41560000000004</v>
      </c>
      <c r="O29" s="45">
        <f>'Tariffs 2019'!AL23</f>
        <v>0</v>
      </c>
      <c r="P29" s="45">
        <f>'Tariffs 2019'!AM23</f>
        <v>0</v>
      </c>
      <c r="Q29" s="45">
        <f>'Tariffs 2019'!AN23</f>
        <v>10</v>
      </c>
      <c r="R29" s="45">
        <f>'Tariffs 2019'!AO23</f>
        <v>0</v>
      </c>
      <c r="S29" s="415">
        <f>N29</f>
        <v>992.41560000000004</v>
      </c>
      <c r="T29" s="415">
        <f>S29-(S29*Q29/100)</f>
        <v>893.17403999999999</v>
      </c>
      <c r="U29" s="261">
        <f t="shared" si="22"/>
        <v>992.41560000000004</v>
      </c>
      <c r="V29" s="261">
        <f t="shared" si="22"/>
        <v>893.17403999999999</v>
      </c>
      <c r="W29" s="215">
        <f>'Tariffs 2019'!AX23</f>
        <v>0</v>
      </c>
      <c r="X29" s="215" t="str">
        <f>'Tariffs 2019'!AY23</f>
        <v>n</v>
      </c>
      <c r="Y29" s="216" t="s">
        <v>400</v>
      </c>
    </row>
    <row r="30" spans="1:25" ht="25" customHeight="1" thickTop="1" x14ac:dyDescent="0.3">
      <c r="A30" s="425" t="str">
        <f>'Tariffs 2019'!F24</f>
        <v>Origin Energy</v>
      </c>
      <c r="B30" s="426" t="str">
        <f>'Tariffs 2019'!D24</f>
        <v>AGN Temora</v>
      </c>
      <c r="C30" s="426" t="str">
        <f>'Tariffs 2019'!G24</f>
        <v>Flexi</v>
      </c>
      <c r="D30" s="427">
        <f>60*'Tariffs 2019'!H24/100</f>
        <v>45.572727272727263</v>
      </c>
      <c r="E30" s="427">
        <f>$C$5*'Tariffs 2019'!O24/100</f>
        <v>109.09090909090908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f t="shared" si="0"/>
        <v>154.66363636363633</v>
      </c>
      <c r="L30" s="428">
        <f t="shared" si="1"/>
        <v>654.54545454545439</v>
      </c>
      <c r="M30" s="429">
        <f t="shared" si="2"/>
        <v>927.98181818181797</v>
      </c>
      <c r="N30" s="430">
        <f t="shared" si="3"/>
        <v>1020.7799999999999</v>
      </c>
      <c r="O30" s="431">
        <f>'Tariffs 2019'!AL24</f>
        <v>6</v>
      </c>
      <c r="P30" s="431">
        <f>'Tariffs 2019'!AM24</f>
        <v>0</v>
      </c>
      <c r="Q30" s="431">
        <f>'Tariffs 2019'!AN24</f>
        <v>0</v>
      </c>
      <c r="R30" s="431">
        <f>'Tariffs 2019'!AO24</f>
        <v>0</v>
      </c>
      <c r="S30" s="452">
        <f>N30-(N30*O30/100)</f>
        <v>959.53319999999985</v>
      </c>
      <c r="T30" s="452">
        <f>S30</f>
        <v>959.53319999999985</v>
      </c>
      <c r="U30" s="454">
        <f t="shared" si="22"/>
        <v>959.53319999999985</v>
      </c>
      <c r="V30" s="454">
        <f t="shared" si="22"/>
        <v>959.53319999999985</v>
      </c>
      <c r="W30" s="433">
        <f>'Tariffs 2019'!AX24</f>
        <v>0</v>
      </c>
      <c r="X30" s="433" t="str">
        <f>'Tariffs 2019'!AY24</f>
        <v>n</v>
      </c>
      <c r="Y30" s="434" t="s">
        <v>288</v>
      </c>
    </row>
    <row r="31" spans="1:25" ht="25" customHeight="1" thickBot="1" x14ac:dyDescent="0.35">
      <c r="A31" s="435" t="str">
        <f>'Tariffs 2019'!F25</f>
        <v>AGL</v>
      </c>
      <c r="B31" s="436" t="str">
        <f>'Tariffs 2019'!D25</f>
        <v>AGN Temora</v>
      </c>
      <c r="C31" s="436" t="str">
        <f>'Tariffs 2019'!G25</f>
        <v>Smart Saver</v>
      </c>
      <c r="D31" s="437">
        <f>60*'Tariffs 2019'!H25/100</f>
        <v>52.789090909090902</v>
      </c>
      <c r="E31" s="437">
        <f>$C$5*'Tariffs 2019'!O25/100</f>
        <v>118.18181818181816</v>
      </c>
      <c r="F31" s="437">
        <v>0</v>
      </c>
      <c r="G31" s="437">
        <v>0</v>
      </c>
      <c r="H31" s="437">
        <v>0</v>
      </c>
      <c r="I31" s="437">
        <v>0</v>
      </c>
      <c r="J31" s="437">
        <v>0</v>
      </c>
      <c r="K31" s="437">
        <f t="shared" ref="K31" si="23">SUM(D31:J31)</f>
        <v>170.97090909090906</v>
      </c>
      <c r="L31" s="438">
        <f t="shared" si="1"/>
        <v>709.09090909090878</v>
      </c>
      <c r="M31" s="439">
        <f t="shared" si="2"/>
        <v>1025.8254545454542</v>
      </c>
      <c r="N31" s="440">
        <f t="shared" si="3"/>
        <v>1128.4079999999997</v>
      </c>
      <c r="O31" s="441">
        <f>'Tariffs 2019'!AL25</f>
        <v>8</v>
      </c>
      <c r="P31" s="441">
        <f>'Tariffs 2019'!AM25</f>
        <v>0</v>
      </c>
      <c r="Q31" s="441">
        <f>'Tariffs 2019'!AN25</f>
        <v>0</v>
      </c>
      <c r="R31" s="441">
        <f>'Tariffs 2019'!AO25</f>
        <v>0</v>
      </c>
      <c r="S31" s="439">
        <f>M31-(M31*O31/100)</f>
        <v>943.75941818181786</v>
      </c>
      <c r="T31" s="439">
        <f t="shared" ref="T31:T35" si="24">S31</f>
        <v>943.75941818181786</v>
      </c>
      <c r="U31" s="455">
        <f>S31*1.1</f>
        <v>1038.1353599999998</v>
      </c>
      <c r="V31" s="455">
        <f t="shared" ref="V31" si="25">T31*1.1</f>
        <v>1038.1353599999998</v>
      </c>
      <c r="W31" s="443">
        <f>'Tariffs 2019'!AX25</f>
        <v>0</v>
      </c>
      <c r="X31" s="443" t="str">
        <f>'Tariffs 2019'!AY25</f>
        <v>n</v>
      </c>
      <c r="Y31" s="444" t="s">
        <v>288</v>
      </c>
    </row>
    <row r="32" spans="1:25" ht="25" customHeight="1" thickTop="1" x14ac:dyDescent="0.3">
      <c r="A32" s="210" t="str">
        <f>'Tariffs 2019'!F26</f>
        <v>Origin Energy</v>
      </c>
      <c r="B32" s="44" t="str">
        <f>'Tariffs 2019'!D26</f>
        <v>AGN Tumut</v>
      </c>
      <c r="C32" s="44" t="str">
        <f>'Tariffs 2019'!G26</f>
        <v>Flexi</v>
      </c>
      <c r="D32" s="211">
        <f>60*'Tariffs 2019'!H26/100</f>
        <v>48.921818181818182</v>
      </c>
      <c r="E32" s="211">
        <f>$C$5*'Tariffs 2019'!O26/100</f>
        <v>112</v>
      </c>
      <c r="F32" s="211">
        <v>0</v>
      </c>
      <c r="G32" s="211">
        <v>0</v>
      </c>
      <c r="H32" s="211">
        <v>0</v>
      </c>
      <c r="I32" s="211">
        <v>0</v>
      </c>
      <c r="J32" s="211">
        <v>0</v>
      </c>
      <c r="K32" s="211">
        <f t="shared" si="0"/>
        <v>160.9218181818182</v>
      </c>
      <c r="L32" s="412">
        <f t="shared" si="1"/>
        <v>672.00000000000011</v>
      </c>
      <c r="M32" s="413">
        <f t="shared" si="2"/>
        <v>965.53090909090918</v>
      </c>
      <c r="N32" s="414">
        <f t="shared" si="3"/>
        <v>1062.0840000000003</v>
      </c>
      <c r="O32" s="45">
        <f>'Tariffs 2019'!AL26</f>
        <v>6</v>
      </c>
      <c r="P32" s="45">
        <f>'Tariffs 2019'!AM26</f>
        <v>0</v>
      </c>
      <c r="Q32" s="45">
        <f>'Tariffs 2019'!AN26</f>
        <v>0</v>
      </c>
      <c r="R32" s="45">
        <f>'Tariffs 2019'!AO26</f>
        <v>0</v>
      </c>
      <c r="S32" s="415">
        <f>N32-(N32*O32/100)</f>
        <v>998.35896000000025</v>
      </c>
      <c r="T32" s="415">
        <f>S32</f>
        <v>998.35896000000025</v>
      </c>
      <c r="U32" s="261">
        <f t="shared" ref="U32:V34" si="26">S32</f>
        <v>998.35896000000025</v>
      </c>
      <c r="V32" s="261">
        <f t="shared" si="26"/>
        <v>998.35896000000025</v>
      </c>
      <c r="W32" s="215">
        <f>'Tariffs 2019'!AX26</f>
        <v>0</v>
      </c>
      <c r="X32" s="215" t="str">
        <f>'Tariffs 2019'!AY26</f>
        <v>n</v>
      </c>
      <c r="Y32" s="216" t="s">
        <v>288</v>
      </c>
    </row>
    <row r="33" spans="1:25" ht="25" customHeight="1" thickBot="1" x14ac:dyDescent="0.35">
      <c r="A33" s="210" t="str">
        <f>'Tariffs 2019'!F27</f>
        <v>Red Energy</v>
      </c>
      <c r="B33" s="44" t="str">
        <f>'Tariffs 2019'!D27</f>
        <v>AGN Tumut</v>
      </c>
      <c r="C33" s="44" t="str">
        <f>'Tariffs 2019'!G27</f>
        <v>Easy Saver</v>
      </c>
      <c r="D33" s="211">
        <f>60*'Tariffs 2019'!H27/100</f>
        <v>49.811999999999998</v>
      </c>
      <c r="E33" s="211">
        <f>$C$5*'Tariffs 2019'!O27/100</f>
        <v>111.2</v>
      </c>
      <c r="F33" s="211">
        <v>0</v>
      </c>
      <c r="G33" s="211">
        <v>0</v>
      </c>
      <c r="H33" s="211">
        <v>0</v>
      </c>
      <c r="I33" s="211">
        <v>0</v>
      </c>
      <c r="J33" s="211">
        <v>0</v>
      </c>
      <c r="K33" s="211">
        <f t="shared" si="0"/>
        <v>161.012</v>
      </c>
      <c r="L33" s="412">
        <f t="shared" si="1"/>
        <v>667.2</v>
      </c>
      <c r="M33" s="413">
        <f t="shared" si="2"/>
        <v>966.072</v>
      </c>
      <c r="N33" s="414">
        <f t="shared" si="3"/>
        <v>1062.6792</v>
      </c>
      <c r="O33" s="45">
        <f>'Tariffs 2019'!AL27</f>
        <v>0</v>
      </c>
      <c r="P33" s="45">
        <f>'Tariffs 2019'!AM27</f>
        <v>0</v>
      </c>
      <c r="Q33" s="45">
        <f>'Tariffs 2019'!AN27</f>
        <v>10</v>
      </c>
      <c r="R33" s="45">
        <f>'Tariffs 2019'!AO27</f>
        <v>0</v>
      </c>
      <c r="S33" s="415">
        <f>N33</f>
        <v>1062.6792</v>
      </c>
      <c r="T33" s="415">
        <f>S33-(S33*Q33/100)</f>
        <v>956.41128000000003</v>
      </c>
      <c r="U33" s="261">
        <f t="shared" si="26"/>
        <v>1062.6792</v>
      </c>
      <c r="V33" s="261">
        <f t="shared" si="26"/>
        <v>956.41128000000003</v>
      </c>
      <c r="W33" s="215">
        <f>'Tariffs 2019'!AX27</f>
        <v>0</v>
      </c>
      <c r="X33" s="215" t="str">
        <f>'Tariffs 2019'!AY27</f>
        <v>n</v>
      </c>
      <c r="Y33" s="216" t="s">
        <v>400</v>
      </c>
    </row>
    <row r="34" spans="1:25" ht="25" customHeight="1" thickTop="1" x14ac:dyDescent="0.3">
      <c r="A34" s="425" t="str">
        <f>'Tariffs 2019'!F28</f>
        <v>Origin Energy</v>
      </c>
      <c r="B34" s="426" t="str">
        <f>'Tariffs 2019'!D28</f>
        <v>AGN Wagga Wagga</v>
      </c>
      <c r="C34" s="426" t="str">
        <f>'Tariffs 2019'!G28</f>
        <v>Flexi</v>
      </c>
      <c r="D34" s="427">
        <f>60*'Tariffs 2019'!H28/100</f>
        <v>51.954545454545453</v>
      </c>
      <c r="E34" s="427">
        <f>$C$5*'Tariffs 2019'!O28/100</f>
        <v>90.909090909090907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f t="shared" si="0"/>
        <v>142.86363636363637</v>
      </c>
      <c r="L34" s="428">
        <f t="shared" si="1"/>
        <v>545.4545454545455</v>
      </c>
      <c r="M34" s="429">
        <f t="shared" si="2"/>
        <v>857.18181818181824</v>
      </c>
      <c r="N34" s="430">
        <f t="shared" si="3"/>
        <v>942.90000000000009</v>
      </c>
      <c r="O34" s="431">
        <f>'Tariffs 2019'!AL28</f>
        <v>6</v>
      </c>
      <c r="P34" s="431">
        <f>'Tariffs 2019'!AM28</f>
        <v>0</v>
      </c>
      <c r="Q34" s="431">
        <f>'Tariffs 2019'!AN28</f>
        <v>0</v>
      </c>
      <c r="R34" s="431">
        <f>'Tariffs 2019'!AO28</f>
        <v>0</v>
      </c>
      <c r="S34" s="452">
        <f>N34-(N34*O34/100)</f>
        <v>886.32600000000014</v>
      </c>
      <c r="T34" s="452">
        <f>S34</f>
        <v>886.32600000000014</v>
      </c>
      <c r="U34" s="454">
        <f t="shared" si="26"/>
        <v>886.32600000000014</v>
      </c>
      <c r="V34" s="454">
        <f t="shared" si="26"/>
        <v>886.32600000000014</v>
      </c>
      <c r="W34" s="433">
        <f>'Tariffs 2019'!AX28</f>
        <v>0</v>
      </c>
      <c r="X34" s="433" t="str">
        <f>'Tariffs 2019'!AY28</f>
        <v>n</v>
      </c>
      <c r="Y34" s="434" t="s">
        <v>288</v>
      </c>
    </row>
    <row r="35" spans="1:25" ht="25" customHeight="1" thickBot="1" x14ac:dyDescent="0.35">
      <c r="A35" s="435" t="str">
        <f>'Tariffs 2019'!F29</f>
        <v>AGL</v>
      </c>
      <c r="B35" s="436" t="str">
        <f>'Tariffs 2019'!D29</f>
        <v>AGN Wagga Wagga</v>
      </c>
      <c r="C35" s="436" t="str">
        <f>'Tariffs 2019'!G29</f>
        <v>Smart Saver</v>
      </c>
      <c r="D35" s="437">
        <f>60*'Tariffs 2019'!H29/100</f>
        <v>59.618181818181817</v>
      </c>
      <c r="E35" s="437">
        <f>$C$5*'Tariffs 2019'!O29/100</f>
        <v>96.72727272727272</v>
      </c>
      <c r="F35" s="437">
        <v>0</v>
      </c>
      <c r="G35" s="437">
        <v>0</v>
      </c>
      <c r="H35" s="437">
        <v>0</v>
      </c>
      <c r="I35" s="437">
        <v>0</v>
      </c>
      <c r="J35" s="437">
        <v>0</v>
      </c>
      <c r="K35" s="437">
        <f t="shared" ref="K35" si="27">SUM(D35:J35)</f>
        <v>156.34545454545454</v>
      </c>
      <c r="L35" s="438">
        <f t="shared" si="1"/>
        <v>580.36363636363626</v>
      </c>
      <c r="M35" s="439">
        <f t="shared" si="2"/>
        <v>938.07272727272721</v>
      </c>
      <c r="N35" s="440">
        <f t="shared" si="3"/>
        <v>1031.8800000000001</v>
      </c>
      <c r="O35" s="441">
        <f>'Tariffs 2019'!AL29</f>
        <v>8</v>
      </c>
      <c r="P35" s="441">
        <f>'Tariffs 2019'!AM29</f>
        <v>0</v>
      </c>
      <c r="Q35" s="441">
        <f>'Tariffs 2019'!AN29</f>
        <v>0</v>
      </c>
      <c r="R35" s="441">
        <f>'Tariffs 2019'!AO29</f>
        <v>0</v>
      </c>
      <c r="S35" s="439">
        <f>M35-(M35*O35/100)</f>
        <v>863.02690909090904</v>
      </c>
      <c r="T35" s="439">
        <f t="shared" si="24"/>
        <v>863.02690909090904</v>
      </c>
      <c r="U35" s="455">
        <f>S35*1.1</f>
        <v>949.32960000000003</v>
      </c>
      <c r="V35" s="455">
        <f t="shared" ref="V35" si="28">T35*1.1</f>
        <v>949.32960000000003</v>
      </c>
      <c r="W35" s="443">
        <f>'Tariffs 2019'!AX29</f>
        <v>0</v>
      </c>
      <c r="X35" s="443" t="str">
        <f>'Tariffs 2019'!AY29</f>
        <v>n</v>
      </c>
      <c r="Y35" s="444" t="s">
        <v>288</v>
      </c>
    </row>
    <row r="36" spans="1:25" ht="25" customHeight="1" thickTop="1" thickBot="1" x14ac:dyDescent="0.35">
      <c r="A36" s="217" t="str">
        <f>'Tariffs 2019'!F30</f>
        <v>Origin Energy</v>
      </c>
      <c r="B36" s="48" t="str">
        <f>'Tariffs 2019'!D30</f>
        <v>Central Ranges Pipeline Tamworth</v>
      </c>
      <c r="C36" s="48" t="str">
        <f>'Tariffs 2019'!G30</f>
        <v>Flexi</v>
      </c>
      <c r="D36" s="218">
        <f>60*'Tariffs 2019'!H30/100</f>
        <v>38.405454545454539</v>
      </c>
      <c r="E36" s="218">
        <f>$C$5*'Tariffs 2019'!O30/100</f>
        <v>157.09090909090909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f t="shared" si="0"/>
        <v>195.49636363636364</v>
      </c>
      <c r="L36" s="416">
        <f t="shared" si="1"/>
        <v>942.54545454545462</v>
      </c>
      <c r="M36" s="417">
        <f t="shared" si="2"/>
        <v>1172.9781818181818</v>
      </c>
      <c r="N36" s="418">
        <f t="shared" si="3"/>
        <v>1290.2760000000001</v>
      </c>
      <c r="O36" s="419">
        <f>'Tariffs 2019'!AL30</f>
        <v>6</v>
      </c>
      <c r="P36" s="419">
        <f>'Tariffs 2019'!AM30</f>
        <v>0</v>
      </c>
      <c r="Q36" s="419">
        <f>'Tariffs 2019'!AN30</f>
        <v>0</v>
      </c>
      <c r="R36" s="419">
        <f>'Tariffs 2019'!AO30</f>
        <v>0</v>
      </c>
      <c r="S36" s="453">
        <f>N36-(N36*O36/100)</f>
        <v>1212.8594400000002</v>
      </c>
      <c r="T36" s="453">
        <f>S36</f>
        <v>1212.8594400000002</v>
      </c>
      <c r="U36" s="456">
        <f>S36</f>
        <v>1212.8594400000002</v>
      </c>
      <c r="V36" s="456">
        <f>T36</f>
        <v>1212.8594400000002</v>
      </c>
      <c r="W36" s="222">
        <f>'Tariffs 2019'!AX30</f>
        <v>0</v>
      </c>
      <c r="X36" s="222" t="str">
        <f>'Tariffs 2019'!AY30</f>
        <v>n</v>
      </c>
      <c r="Y36" s="223" t="s">
        <v>288</v>
      </c>
    </row>
  </sheetData>
  <sheetProtection algorithmName="SHA-512" hashValue="Yj4ALk3RUolPvjoGUOQpbNdMIcomENoU9jewbQt7yFaCiX9wm2ReknH9E9P0/hAjAnnjbZXEF+1idgvZU3/dow==" saltValue="OAw5Okx5yLWRMqqto8bRb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58DCA-C31E-524A-A50E-6FA386D77A4E}">
  <sheetPr codeName="Sheet4"/>
  <dimension ref="A1:Y33"/>
  <sheetViews>
    <sheetView workbookViewId="0">
      <selection activeCell="G32" sqref="G32"/>
    </sheetView>
  </sheetViews>
  <sheetFormatPr defaultColWidth="10.84375" defaultRowHeight="13.5" x14ac:dyDescent="0.3"/>
  <cols>
    <col min="1" max="1" width="17" style="234" customWidth="1"/>
    <col min="2" max="2" width="23.4609375" style="234" customWidth="1"/>
    <col min="3" max="3" width="14.3046875" style="234" bestFit="1" customWidth="1"/>
    <col min="4" max="11" width="12.15234375" style="234" customWidth="1"/>
    <col min="12" max="12" width="10.69140625" style="234" hidden="1" customWidth="1"/>
    <col min="13" max="13" width="12.15234375" style="234" hidden="1" customWidth="1"/>
    <col min="14" max="18" width="12.15234375" style="234" customWidth="1"/>
    <col min="19" max="20" width="10.69140625" style="234" hidden="1" customWidth="1"/>
    <col min="21" max="24" width="12.15234375" style="234" customWidth="1"/>
    <col min="25" max="25" width="10.84375" style="234"/>
    <col min="26" max="16384" width="10.84375" style="459"/>
  </cols>
  <sheetData>
    <row r="1" spans="1:25" ht="14" x14ac:dyDescent="0.3">
      <c r="A1" s="233" t="s">
        <v>483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</row>
    <row r="2" spans="1:25" ht="14" x14ac:dyDescent="0.3">
      <c r="A2" s="235" t="s">
        <v>484</v>
      </c>
      <c r="B2" s="235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</row>
    <row r="3" spans="1:25" ht="14.5" thickBot="1" x14ac:dyDescent="0.35">
      <c r="A3" s="233"/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6"/>
    </row>
    <row r="4" spans="1:25" ht="14" x14ac:dyDescent="0.3">
      <c r="A4" s="206" t="s">
        <v>423</v>
      </c>
      <c r="B4" s="207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119"/>
    </row>
    <row r="5" spans="1:25" ht="14" x14ac:dyDescent="0.3">
      <c r="A5" s="120" t="s">
        <v>662</v>
      </c>
      <c r="B5" s="209"/>
      <c r="C5" s="224">
        <v>4000</v>
      </c>
      <c r="D5" s="44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121"/>
    </row>
    <row r="6" spans="1:25" ht="14" x14ac:dyDescent="0.3">
      <c r="A6" s="120"/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121"/>
    </row>
    <row r="7" spans="1:25" ht="70" x14ac:dyDescent="0.3">
      <c r="A7" s="397" t="s">
        <v>267</v>
      </c>
      <c r="B7" s="398" t="s">
        <v>424</v>
      </c>
      <c r="C7" s="398" t="s">
        <v>351</v>
      </c>
      <c r="D7" s="399" t="s">
        <v>352</v>
      </c>
      <c r="E7" s="399" t="s">
        <v>425</v>
      </c>
      <c r="F7" s="400" t="s">
        <v>426</v>
      </c>
      <c r="G7" s="400" t="s">
        <v>471</v>
      </c>
      <c r="H7" s="400" t="s">
        <v>398</v>
      </c>
      <c r="I7" s="400" t="s">
        <v>399</v>
      </c>
      <c r="J7" s="400" t="s">
        <v>427</v>
      </c>
      <c r="K7" s="400" t="s">
        <v>120</v>
      </c>
      <c r="L7" s="410" t="s">
        <v>401</v>
      </c>
      <c r="M7" s="411" t="s">
        <v>402</v>
      </c>
      <c r="N7" s="401" t="s">
        <v>437</v>
      </c>
      <c r="O7" s="403" t="s">
        <v>403</v>
      </c>
      <c r="P7" s="404" t="s">
        <v>404</v>
      </c>
      <c r="Q7" s="404" t="s">
        <v>405</v>
      </c>
      <c r="R7" s="404" t="s">
        <v>406</v>
      </c>
      <c r="S7" s="409" t="s">
        <v>53</v>
      </c>
      <c r="T7" s="409" t="s">
        <v>0</v>
      </c>
      <c r="U7" s="405" t="s">
        <v>419</v>
      </c>
      <c r="V7" s="405" t="s">
        <v>420</v>
      </c>
      <c r="W7" s="404" t="s">
        <v>421</v>
      </c>
      <c r="X7" s="404" t="s">
        <v>422</v>
      </c>
      <c r="Y7" s="408" t="s">
        <v>438</v>
      </c>
    </row>
    <row r="8" spans="1:25" ht="23" customHeight="1" x14ac:dyDescent="0.3">
      <c r="A8" s="210" t="str">
        <f>'Tariffs 2018'!F2</f>
        <v>AGL</v>
      </c>
      <c r="B8" s="44" t="str">
        <f>'Tariffs 2018'!D2</f>
        <v>Jemena</v>
      </c>
      <c r="C8" s="44" t="str">
        <f>'Tariffs 2018'!G2</f>
        <v>Savers</v>
      </c>
      <c r="D8" s="211">
        <f>60*'Tariffs 2018'!H2/100</f>
        <v>38.4</v>
      </c>
      <c r="E8" s="211">
        <f>IF($C$5&gt;='Tariffs 2018'!J2,('Tariffs 2018'!J2*'Tariffs 2018'!O2/100),($C$5*'Tariffs 2018'!O2/100))</f>
        <v>116.8</v>
      </c>
      <c r="F8" s="211">
        <f>IF($C$5&lt;'Tariffs 2018'!J2,0,IF(($C$5-'Tariffs 2018'!J2)&lt;='Tariffs 2018'!K2,(($C$5-'Tariffs 2018'!J2)*'Tariffs 2018'!P2/100),(('Tariffs 2018'!K2-'Tariffs 2018'!J2)*'Tariffs 2018'!P2/100)))</f>
        <v>0</v>
      </c>
      <c r="G8" s="211">
        <f>IF($C$5&lt;'Tariffs 2018'!K2,0,IF(($C$5-'Tariffs 2018'!K2)&lt;='Tariffs 2018'!L2,(($C$5-'Tariffs 2018'!K2)*'Tariffs 2018'!Q2/100),(('Tariffs 2018'!L2-'Tariffs 2018'!K2)*'Tariffs 2018'!Q2/100)))</f>
        <v>0</v>
      </c>
      <c r="H8" s="211">
        <f>IF($C$5&lt;'Tariffs 2018'!L2,0,IF(($C$5-'Tariffs 2018'!L2)&lt;='Tariffs 2018'!M2,(($C$5-'Tariffs 2018'!L2)*'Tariffs 2018'!R2/100),(('Tariffs 2018'!M2-'Tariffs 2018'!L2)*'Tariffs 2018'!R2/100)))</f>
        <v>0</v>
      </c>
      <c r="I8" s="211">
        <f>IF($C$5&lt;'Tariffs 2018'!M2,0,IF(($C$5-'Tariffs 2018'!M2)&lt;='Tariffs 2018'!N2,(($C$5-'Tariffs 2018'!M2)*'Tariffs 2018'!S2/100),(('Tariffs 2018'!N2-'Tariffs 2018'!M2)*'Tariffs 2018'!S2/100)))</f>
        <v>0</v>
      </c>
      <c r="J8" s="211">
        <f>IF(($C$5&lt;'Tariffs 2018'!N2),(0),($C$5-'Tariffs 2018'!N2)*'Tariffs 2018'!T2/100)</f>
        <v>0</v>
      </c>
      <c r="K8" s="211">
        <f t="shared" ref="K8" si="0">SUM(D8:J8)</f>
        <v>155.19999999999999</v>
      </c>
      <c r="L8" s="412">
        <f>(K8*6)-(D8*6)</f>
        <v>700.8</v>
      </c>
      <c r="M8" s="413">
        <f>K8*6</f>
        <v>931.19999999999993</v>
      </c>
      <c r="N8" s="214">
        <f>M8*1.1</f>
        <v>1024.32</v>
      </c>
      <c r="O8" s="44">
        <f>'Tariffs 2018'!AL2</f>
        <v>0</v>
      </c>
      <c r="P8" s="44">
        <f>'Tariffs 2018'!AM2</f>
        <v>0</v>
      </c>
      <c r="Q8" s="44">
        <f>'Tariffs 2018'!AN2</f>
        <v>0</v>
      </c>
      <c r="R8" s="44">
        <f>'Tariffs 2018'!AO2</f>
        <v>13</v>
      </c>
      <c r="S8" s="413">
        <f t="shared" ref="S8:S16" si="1">M8</f>
        <v>931.19999999999993</v>
      </c>
      <c r="T8" s="413">
        <f>S8-(L8*R8/100)</f>
        <v>840.09599999999989</v>
      </c>
      <c r="U8" s="261">
        <f>S8*1.1</f>
        <v>1024.32</v>
      </c>
      <c r="V8" s="261">
        <f>T8*1.1</f>
        <v>924.10559999999998</v>
      </c>
      <c r="W8" s="215">
        <f>'Tariffs 2018'!AX2</f>
        <v>0</v>
      </c>
      <c r="X8" s="215" t="str">
        <f>'Tariffs 2018'!AY2</f>
        <v>n</v>
      </c>
      <c r="Y8" s="216" t="s">
        <v>288</v>
      </c>
    </row>
    <row r="9" spans="1:25" ht="23" customHeight="1" x14ac:dyDescent="0.3">
      <c r="A9" s="210" t="str">
        <f>'Tariffs 2018'!F3</f>
        <v>Covau</v>
      </c>
      <c r="B9" s="44" t="str">
        <f>'Tariffs 2018'!D3</f>
        <v>Jemena</v>
      </c>
      <c r="C9" s="44" t="str">
        <f>'Tariffs 2018'!G3</f>
        <v>Freedom</v>
      </c>
      <c r="D9" s="211">
        <f>60*'Tariffs 2018'!H3/100</f>
        <v>45</v>
      </c>
      <c r="E9" s="211">
        <f>IF($C$5&gt;='Tariffs 2018'!J3,('Tariffs 2018'!J3*'Tariffs 2018'!O3/100),($C$5*'Tariffs 2018'!O3/100))</f>
        <v>46.2</v>
      </c>
      <c r="F9" s="211">
        <f>IF($C$5&lt;'Tariffs 2018'!J3,0,IF(($C$5-'Tariffs 2018'!J3)&lt;='Tariffs 2018'!K3,(($C$5-'Tariffs 2018'!J3)*'Tariffs 2018'!P3/100),(('Tariffs 2018'!K3-'Tariffs 2018'!J3)*'Tariffs 2018'!P3/100)))</f>
        <v>29.4</v>
      </c>
      <c r="G9" s="211">
        <f>IF($C$5&lt;'Tariffs 2018'!K3,0,IF(($C$5-'Tariffs 2018'!K3)&lt;='Tariffs 2018'!L3,(($C$5-'Tariffs 2018'!K3)*'Tariffs 2018'!Q3/100),(('Tariffs 2018'!L3-'Tariffs 2018'!K3)*'Tariffs 2018'!Q3/100)))</f>
        <v>36.96</v>
      </c>
      <c r="H9" s="211">
        <f>IF($C$5&lt;'Tariffs 2018'!L3,0,IF(($C$5-'Tariffs 2018'!L3)&lt;='Tariffs 2018'!M3,(($C$5-'Tariffs 2018'!L3)*'Tariffs 2018'!R3/100),(('Tariffs 2018'!M3-'Tariffs 2018'!L3)*'Tariffs 2018'!R3/100)))</f>
        <v>0</v>
      </c>
      <c r="I9" s="211">
        <f>IF($C$5&lt;'Tariffs 2018'!M3,0,IF(($C$5-'Tariffs 2018'!M3)&lt;='Tariffs 2018'!N3,(($C$5-'Tariffs 2018'!M3)*'Tariffs 2018'!S3/100),(('Tariffs 2018'!N3-'Tariffs 2018'!M3)*'Tariffs 2018'!S3/100)))</f>
        <v>0</v>
      </c>
      <c r="J9" s="211">
        <f>IF(($C$5&lt;'Tariffs 2018'!N3),(0),($C$5-'Tariffs 2018'!N3)*'Tariffs 2018'!T3/100)</f>
        <v>0</v>
      </c>
      <c r="K9" s="211">
        <f t="shared" ref="K9:K33" si="2">SUM(D9:J9)</f>
        <v>157.56</v>
      </c>
      <c r="L9" s="412">
        <f t="shared" ref="L9:L33" si="3">(K9*6)-(D9*6)</f>
        <v>675.36</v>
      </c>
      <c r="M9" s="413">
        <f t="shared" ref="M9:M33" si="4">K9*6</f>
        <v>945.36</v>
      </c>
      <c r="N9" s="214">
        <f t="shared" ref="N9:N33" si="5">M9*1.1</f>
        <v>1039.8960000000002</v>
      </c>
      <c r="O9" s="44">
        <f>'Tariffs 2018'!AL3</f>
        <v>0</v>
      </c>
      <c r="P9" s="44">
        <f>'Tariffs 2018'!AM3</f>
        <v>0</v>
      </c>
      <c r="Q9" s="44">
        <f>'Tariffs 2018'!AN3</f>
        <v>20</v>
      </c>
      <c r="R9" s="44">
        <f>'Tariffs 2018'!AO3</f>
        <v>0</v>
      </c>
      <c r="S9" s="413">
        <f t="shared" si="1"/>
        <v>945.36</v>
      </c>
      <c r="T9" s="413">
        <f>S9-(M9*Q9/100)</f>
        <v>756.28800000000001</v>
      </c>
      <c r="U9" s="261">
        <f t="shared" ref="U9:V13" si="6">S9*1.1</f>
        <v>1039.8960000000002</v>
      </c>
      <c r="V9" s="261">
        <f t="shared" si="6"/>
        <v>831.91680000000008</v>
      </c>
      <c r="W9" s="215">
        <f>'Tariffs 2018'!AX3</f>
        <v>0</v>
      </c>
      <c r="X9" s="215" t="str">
        <f>'Tariffs 2018'!AY3</f>
        <v>n</v>
      </c>
      <c r="Y9" s="216" t="s">
        <v>288</v>
      </c>
    </row>
    <row r="10" spans="1:25" ht="23" customHeight="1" x14ac:dyDescent="0.3">
      <c r="A10" s="210" t="str">
        <f>'Tariffs 2018'!F4</f>
        <v>Alinta Energy</v>
      </c>
      <c r="B10" s="44" t="str">
        <f>'Tariffs 2018'!D4</f>
        <v>Jemena</v>
      </c>
      <c r="C10" s="44" t="str">
        <f>'Tariffs 2018'!G4</f>
        <v>Fair Deal</v>
      </c>
      <c r="D10" s="211">
        <f>60*'Tariffs 2018'!H4/100</f>
        <v>35.46</v>
      </c>
      <c r="E10" s="211">
        <f>IF($C$5&gt;='Tariffs 2018'!J4,('Tariffs 2018'!J4*'Tariffs 2018'!O4/100),($C$5*'Tariffs 2018'!O4/100))</f>
        <v>45.48</v>
      </c>
      <c r="F10" s="211">
        <f>IF($C$5&lt;'Tariffs 2018'!J4,0,IF(($C$5-'Tariffs 2018'!J4)&lt;='Tariffs 2018'!K4,(($C$5-'Tariffs 2018'!J4)*'Tariffs 2018'!P4/100),(('Tariffs 2018'!K4-'Tariffs 2018'!J4)*'Tariffs 2018'!P4/100)))</f>
        <v>30</v>
      </c>
      <c r="G10" s="211">
        <f>IF($C$5&lt;'Tariffs 2018'!K4,0,IF(($C$5-'Tariffs 2018'!K4)&lt;='Tariffs 2018'!L4,(($C$5-'Tariffs 2018'!K4)*'Tariffs 2018'!Q4/100),(('Tariffs 2018'!L4-'Tariffs 2018'!K4)*'Tariffs 2018'!Q4/100)))</f>
        <v>37.6</v>
      </c>
      <c r="H10" s="211">
        <f>IF($C$5&lt;'Tariffs 2018'!L4,0,IF(($C$5-'Tariffs 2018'!L4)&lt;='Tariffs 2018'!M4,(($C$5-'Tariffs 2018'!L4)*'Tariffs 2018'!R4/100),(('Tariffs 2018'!M4-'Tariffs 2018'!L4)*'Tariffs 2018'!R4/100)))</f>
        <v>0</v>
      </c>
      <c r="I10" s="211">
        <f>IF($C$5&lt;'Tariffs 2018'!M4,0,IF(($C$5-'Tariffs 2018'!M4)&lt;='Tariffs 2018'!N4,(($C$5-'Tariffs 2018'!M4)*'Tariffs 2018'!S4/100),(('Tariffs 2018'!N4-'Tariffs 2018'!M4)*'Tariffs 2018'!S4/100)))</f>
        <v>0</v>
      </c>
      <c r="J10" s="211">
        <f>IF(($C$5&lt;'Tariffs 2018'!N4),(0),($C$5-'Tariffs 2018'!N4)*'Tariffs 2018'!T4/100)</f>
        <v>0</v>
      </c>
      <c r="K10" s="211">
        <f t="shared" si="2"/>
        <v>148.54</v>
      </c>
      <c r="L10" s="412">
        <f t="shared" si="3"/>
        <v>678.48</v>
      </c>
      <c r="M10" s="413">
        <f t="shared" si="4"/>
        <v>891.24</v>
      </c>
      <c r="N10" s="214">
        <f t="shared" si="5"/>
        <v>980.36400000000003</v>
      </c>
      <c r="O10" s="44">
        <f>'Tariffs 2018'!AL4</f>
        <v>0</v>
      </c>
      <c r="P10" s="44">
        <f>'Tariffs 2018'!AM4</f>
        <v>0</v>
      </c>
      <c r="Q10" s="44">
        <f>'Tariffs 2018'!AN4</f>
        <v>0</v>
      </c>
      <c r="R10" s="44">
        <f>'Tariffs 2018'!AO4</f>
        <v>18</v>
      </c>
      <c r="S10" s="413">
        <f t="shared" si="1"/>
        <v>891.24</v>
      </c>
      <c r="T10" s="413">
        <f>S10-(L10*R10/100)</f>
        <v>769.11360000000002</v>
      </c>
      <c r="U10" s="261">
        <f t="shared" si="6"/>
        <v>980.36400000000003</v>
      </c>
      <c r="V10" s="261">
        <f t="shared" si="6"/>
        <v>846.02496000000008</v>
      </c>
      <c r="W10" s="215">
        <f>'Tariffs 2018'!AX4</f>
        <v>0</v>
      </c>
      <c r="X10" s="215" t="str">
        <f>'Tariffs 2018'!AY4</f>
        <v>n</v>
      </c>
      <c r="Y10" s="216" t="s">
        <v>400</v>
      </c>
    </row>
    <row r="11" spans="1:25" ht="23" customHeight="1" x14ac:dyDescent="0.3">
      <c r="A11" s="210" t="str">
        <f>'Tariffs 2018'!F5</f>
        <v>EnergyAustralia</v>
      </c>
      <c r="B11" s="44" t="str">
        <f>'Tariffs 2018'!D5</f>
        <v>Jemena</v>
      </c>
      <c r="C11" s="44" t="str">
        <f>'Tariffs 2018'!G5</f>
        <v xml:space="preserve">Anytime Saver </v>
      </c>
      <c r="D11" s="211">
        <f>60*'Tariffs 2018'!H5/100</f>
        <v>35.58</v>
      </c>
      <c r="E11" s="211">
        <f>IF($C$5&gt;='Tariffs 2018'!J5,('Tariffs 2018'!J5*'Tariffs 2018'!O5/100),($C$5*'Tariffs 2018'!O5/100))</f>
        <v>48.84</v>
      </c>
      <c r="F11" s="211">
        <f>IF($C$5&lt;'Tariffs 2018'!J5,0,IF(($C$5-'Tariffs 2018'!J5)&lt;='Tariffs 2018'!K5,(($C$5-'Tariffs 2018'!J5)*'Tariffs 2018'!P5/100),(('Tariffs 2018'!K5-'Tariffs 2018'!J5)*'Tariffs 2018'!P5/100)))</f>
        <v>32.640000000000008</v>
      </c>
      <c r="G11" s="211">
        <f>IF($C$5&lt;'Tariffs 2018'!K5,0,IF(($C$5-'Tariffs 2018'!K5)&lt;='Tariffs 2018'!L5,(($C$5-'Tariffs 2018'!K5)*'Tariffs 2018'!Q5/100),(('Tariffs 2018'!L5-'Tariffs 2018'!K5)*'Tariffs 2018'!Q5/100)))</f>
        <v>41.6</v>
      </c>
      <c r="H11" s="211">
        <f>IF($C$5&lt;'Tariffs 2018'!L5,0,IF(($C$5-'Tariffs 2018'!L5)&lt;='Tariffs 2018'!M5,(($C$5-'Tariffs 2018'!L5)*'Tariffs 2018'!R5/100),(('Tariffs 2018'!M5-'Tariffs 2018'!L5)*'Tariffs 2018'!R5/100)))</f>
        <v>0</v>
      </c>
      <c r="I11" s="211">
        <f>IF($C$5&lt;'Tariffs 2018'!M5,0,IF(($C$5-'Tariffs 2018'!M5)&lt;='Tariffs 2018'!N5,(($C$5-'Tariffs 2018'!M5)*'Tariffs 2018'!S5/100),(('Tariffs 2018'!N5-'Tariffs 2018'!M5)*'Tariffs 2018'!S5/100)))</f>
        <v>0</v>
      </c>
      <c r="J11" s="211">
        <f>IF(($C$5&lt;'Tariffs 2018'!N5),(0),($C$5-'Tariffs 2018'!N5)*'Tariffs 2018'!T5/100)</f>
        <v>0</v>
      </c>
      <c r="K11" s="211">
        <f t="shared" si="2"/>
        <v>158.66</v>
      </c>
      <c r="L11" s="412">
        <f t="shared" si="3"/>
        <v>738.48</v>
      </c>
      <c r="M11" s="413">
        <f t="shared" si="4"/>
        <v>951.96</v>
      </c>
      <c r="N11" s="214">
        <f t="shared" si="5"/>
        <v>1047.1560000000002</v>
      </c>
      <c r="O11" s="44">
        <f>'Tariffs 2018'!AL5</f>
        <v>0</v>
      </c>
      <c r="P11" s="44">
        <f>'Tariffs 2018'!AM5</f>
        <v>20</v>
      </c>
      <c r="Q11" s="44">
        <f>'Tariffs 2018'!AN5</f>
        <v>0</v>
      </c>
      <c r="R11" s="44">
        <f>'Tariffs 2018'!AO5</f>
        <v>0</v>
      </c>
      <c r="S11" s="413">
        <f>M11-(L11*P11/100)</f>
        <v>804.26400000000001</v>
      </c>
      <c r="T11" s="413">
        <f>S11-(L11*R11/100)</f>
        <v>804.26400000000001</v>
      </c>
      <c r="U11" s="261">
        <f t="shared" si="6"/>
        <v>884.69040000000007</v>
      </c>
      <c r="V11" s="261">
        <f t="shared" si="6"/>
        <v>884.69040000000007</v>
      </c>
      <c r="W11" s="215">
        <f>'Tariffs 2018'!AX5</f>
        <v>0</v>
      </c>
      <c r="X11" s="215" t="str">
        <f>'Tariffs 2018'!AY5</f>
        <v>n</v>
      </c>
      <c r="Y11" s="216" t="s">
        <v>288</v>
      </c>
    </row>
    <row r="12" spans="1:25" ht="23" customHeight="1" x14ac:dyDescent="0.3">
      <c r="A12" s="210" t="str">
        <f>'Tariffs 2018'!F6</f>
        <v>Origin Energy</v>
      </c>
      <c r="B12" s="44" t="str">
        <f>'Tariffs 2018'!D6</f>
        <v>Jemena</v>
      </c>
      <c r="C12" s="44" t="str">
        <f>'Tariffs 2018'!G6</f>
        <v>Saver</v>
      </c>
      <c r="D12" s="211">
        <f>60*'Tariffs 2018'!H6/100</f>
        <v>36.54</v>
      </c>
      <c r="E12" s="211">
        <f>IF($C$5&gt;='Tariffs 2018'!J6,('Tariffs 2018'!J6*'Tariffs 2018'!O6/100),($C$5*'Tariffs 2018'!O6/100))</f>
        <v>43.08</v>
      </c>
      <c r="F12" s="211">
        <f>IF($C$5&lt;'Tariffs 2018'!J6,0,IF(($C$5-'Tariffs 2018'!J6)&lt;='Tariffs 2018'!K6,(($C$5-'Tariffs 2018'!J6)*'Tariffs 2018'!P6/100),(('Tariffs 2018'!K6-'Tariffs 2018'!J6)*'Tariffs 2018'!P6/100)))</f>
        <v>29.04</v>
      </c>
      <c r="G12" s="211">
        <f>IF($C$5&lt;'Tariffs 2018'!K6,0,IF(($C$5-'Tariffs 2018'!K6)&lt;='Tariffs 2018'!L6,(($C$5-'Tariffs 2018'!K6)*'Tariffs 2018'!Q6/100),(('Tariffs 2018'!L6-'Tariffs 2018'!K6)*'Tariffs 2018'!Q6/100)))</f>
        <v>37.28</v>
      </c>
      <c r="H12" s="211">
        <f>IF($C$5&lt;'Tariffs 2018'!L6,0,IF(($C$5-'Tariffs 2018'!L6)&lt;='Tariffs 2018'!M6,(($C$5-'Tariffs 2018'!L6)*'Tariffs 2018'!R6/100),(('Tariffs 2018'!M6-'Tariffs 2018'!L6)*'Tariffs 2018'!R6/100)))</f>
        <v>0</v>
      </c>
      <c r="I12" s="211">
        <f>IF($C$5&lt;'Tariffs 2018'!M6,0,IF(($C$5-'Tariffs 2018'!M6)&lt;='Tariffs 2018'!N6,(($C$5-'Tariffs 2018'!M6)*'Tariffs 2018'!S6/100),(('Tariffs 2018'!N6-'Tariffs 2018'!M6)*'Tariffs 2018'!S6/100)))</f>
        <v>0</v>
      </c>
      <c r="J12" s="211">
        <f>IF(($C$5&lt;'Tariffs 2018'!N6),(0),($C$5-'Tariffs 2018'!N6)*'Tariffs 2018'!T6/100)</f>
        <v>0</v>
      </c>
      <c r="K12" s="211">
        <f t="shared" si="2"/>
        <v>145.94</v>
      </c>
      <c r="L12" s="412">
        <f t="shared" si="3"/>
        <v>656.4</v>
      </c>
      <c r="M12" s="413">
        <f t="shared" si="4"/>
        <v>875.64</v>
      </c>
      <c r="N12" s="214">
        <f t="shared" si="5"/>
        <v>963.20400000000006</v>
      </c>
      <c r="O12" s="44">
        <f>'Tariffs 2018'!AL6</f>
        <v>0</v>
      </c>
      <c r="P12" s="44">
        <f>'Tariffs 2018'!AM6</f>
        <v>0</v>
      </c>
      <c r="Q12" s="44">
        <f>'Tariffs 2018'!AN6</f>
        <v>0</v>
      </c>
      <c r="R12" s="44">
        <f>'Tariffs 2018'!AO6</f>
        <v>8</v>
      </c>
      <c r="S12" s="413">
        <f t="shared" si="1"/>
        <v>875.64</v>
      </c>
      <c r="T12" s="413">
        <f>S12-(L12*R12/100)</f>
        <v>823.12799999999993</v>
      </c>
      <c r="U12" s="261">
        <f t="shared" si="6"/>
        <v>963.20400000000006</v>
      </c>
      <c r="V12" s="261">
        <f t="shared" si="6"/>
        <v>905.44079999999997</v>
      </c>
      <c r="W12" s="215">
        <f>'Tariffs 2018'!AX6</f>
        <v>0</v>
      </c>
      <c r="X12" s="215" t="str">
        <f>'Tariffs 2018'!AY6</f>
        <v>n</v>
      </c>
      <c r="Y12" s="216" t="s">
        <v>288</v>
      </c>
    </row>
    <row r="13" spans="1:25" ht="23" customHeight="1" x14ac:dyDescent="0.3">
      <c r="A13" s="210" t="str">
        <f>'Tariffs 2018'!F7</f>
        <v>Red Energy</v>
      </c>
      <c r="B13" s="44" t="str">
        <f>'Tariffs 2018'!D7</f>
        <v>Jemena</v>
      </c>
      <c r="C13" s="44" t="str">
        <f>'Tariffs 2018'!G7</f>
        <v>Easy Saver</v>
      </c>
      <c r="D13" s="211">
        <f>60*'Tariffs 2018'!H7/100</f>
        <v>36</v>
      </c>
      <c r="E13" s="211">
        <f>IF($C$5&gt;='Tariffs 2018'!J7,('Tariffs 2018'!J7*'Tariffs 2018'!O7/100),($C$5*'Tariffs 2018'!O7/100))</f>
        <v>43.8</v>
      </c>
      <c r="F13" s="211">
        <f>IF($C$5&lt;'Tariffs 2018'!J7,0,IF(($C$5-'Tariffs 2018'!J7)&lt;='Tariffs 2018'!K7,(($C$5-'Tariffs 2018'!J7)*'Tariffs 2018'!P7/100),(('Tariffs 2018'!K7-'Tariffs 2018'!J7)*'Tariffs 2018'!P7/100)))</f>
        <v>27.6</v>
      </c>
      <c r="G13" s="211">
        <f>IF($C$5&lt;'Tariffs 2018'!K7,0,IF(($C$5-'Tariffs 2018'!K7)&lt;='Tariffs 2018'!L7,(($C$5-'Tariffs 2018'!K7)*'Tariffs 2018'!Q7/100),(('Tariffs 2018'!L7-'Tariffs 2018'!K7)*'Tariffs 2018'!Q7/100)))</f>
        <v>35.200000000000003</v>
      </c>
      <c r="H13" s="211">
        <f>IF($C$5&lt;'Tariffs 2018'!L7,0,IF(($C$5-'Tariffs 2018'!L7)&lt;='Tariffs 2018'!M7,(($C$5-'Tariffs 2018'!L7)*'Tariffs 2018'!R7/100),(('Tariffs 2018'!M7-'Tariffs 2018'!L7)*'Tariffs 2018'!R7/100)))</f>
        <v>0</v>
      </c>
      <c r="I13" s="211">
        <f>IF($C$5&lt;'Tariffs 2018'!M7,0,IF(($C$5-'Tariffs 2018'!M7)&lt;='Tariffs 2018'!N7,(($C$5-'Tariffs 2018'!M7)*'Tariffs 2018'!S7/100),(('Tariffs 2018'!N7-'Tariffs 2018'!M7)*'Tariffs 2018'!S7/100)))</f>
        <v>0</v>
      </c>
      <c r="J13" s="211">
        <f>IF(($C$5&lt;'Tariffs 2018'!N7),(0),($C$5-'Tariffs 2018'!N7)*'Tariffs 2018'!T7/100)</f>
        <v>0</v>
      </c>
      <c r="K13" s="211">
        <f t="shared" si="2"/>
        <v>142.60000000000002</v>
      </c>
      <c r="L13" s="412">
        <f t="shared" si="3"/>
        <v>639.60000000000014</v>
      </c>
      <c r="M13" s="413">
        <f t="shared" si="4"/>
        <v>855.60000000000014</v>
      </c>
      <c r="N13" s="214">
        <f t="shared" si="5"/>
        <v>941.1600000000002</v>
      </c>
      <c r="O13" s="44">
        <f>'Tariffs 2018'!AL7</f>
        <v>0</v>
      </c>
      <c r="P13" s="44">
        <f>'Tariffs 2018'!AM7</f>
        <v>0</v>
      </c>
      <c r="Q13" s="44">
        <f>'Tariffs 2018'!AN7</f>
        <v>10</v>
      </c>
      <c r="R13" s="44">
        <f>'Tariffs 2018'!AO7</f>
        <v>0</v>
      </c>
      <c r="S13" s="413">
        <f t="shared" si="1"/>
        <v>855.60000000000014</v>
      </c>
      <c r="T13" s="413">
        <f>S13-(M13*Q13/100)</f>
        <v>770.04000000000008</v>
      </c>
      <c r="U13" s="261">
        <f t="shared" si="6"/>
        <v>941.1600000000002</v>
      </c>
      <c r="V13" s="261">
        <f t="shared" si="6"/>
        <v>847.04400000000021</v>
      </c>
      <c r="W13" s="215">
        <f>'Tariffs 2018'!AX7</f>
        <v>0</v>
      </c>
      <c r="X13" s="215" t="str">
        <f>'Tariffs 2018'!AY7</f>
        <v>n</v>
      </c>
      <c r="Y13" s="216" t="s">
        <v>400</v>
      </c>
    </row>
    <row r="14" spans="1:25" ht="23" customHeight="1" x14ac:dyDescent="0.3">
      <c r="A14" s="210" t="str">
        <f>'Tariffs 2018'!F8</f>
        <v>Amaysim</v>
      </c>
      <c r="B14" s="44" t="str">
        <f>'Tariffs 2018'!D8</f>
        <v>Jemena</v>
      </c>
      <c r="C14" s="44" t="str">
        <f>'Tariffs 2018'!G8</f>
        <v>Gas 2</v>
      </c>
      <c r="D14" s="211">
        <f>60*'Tariffs 2018'!H8/100</f>
        <v>25.8</v>
      </c>
      <c r="E14" s="211">
        <f>IF($C$5&gt;='Tariffs 2018'!J8,('Tariffs 2018'!J8*'Tariffs 2018'!O8/100),($C$5*'Tariffs 2018'!O8/100))</f>
        <v>53.4</v>
      </c>
      <c r="F14" s="211">
        <f>IF($C$5&lt;'Tariffs 2018'!J8,0,IF(($C$5-'Tariffs 2018'!J8)&lt;='Tariffs 2018'!K8,(($C$5-'Tariffs 2018'!J8)*'Tariffs 2018'!P8/100),(('Tariffs 2018'!K8-'Tariffs 2018'!J8)*'Tariffs 2018'!P8/100)))</f>
        <v>34.799999999999997</v>
      </c>
      <c r="G14" s="211">
        <f>IF($C$5&lt;'Tariffs 2018'!K8,0,IF(($C$5-'Tariffs 2018'!K8)&lt;='Tariffs 2018'!L8,(($C$5-'Tariffs 2018'!K8)*'Tariffs 2018'!Q8/100),(('Tariffs 2018'!L8-'Tariffs 2018'!K8)*'Tariffs 2018'!Q8/100)))</f>
        <v>45.6</v>
      </c>
      <c r="H14" s="211">
        <f>IF($C$5&lt;'Tariffs 2018'!L8,0,IF(($C$5-'Tariffs 2018'!L8)&lt;='Tariffs 2018'!M8,(($C$5-'Tariffs 2018'!L8)*'Tariffs 2018'!R8/100),(('Tariffs 2018'!M8-'Tariffs 2018'!L8)*'Tariffs 2018'!R8/100)))</f>
        <v>0</v>
      </c>
      <c r="I14" s="211">
        <f>IF($C$5&lt;'Tariffs 2018'!M8,0,IF(($C$5-'Tariffs 2018'!M8)&lt;='Tariffs 2018'!N8,(($C$5-'Tariffs 2018'!M8)*'Tariffs 2018'!S8/100),(('Tariffs 2018'!N8-'Tariffs 2018'!M8)*'Tariffs 2018'!S8/100)))</f>
        <v>0</v>
      </c>
      <c r="J14" s="211">
        <f>IF(($C$5&lt;'Tariffs 2018'!N8),(0),($C$5-'Tariffs 2018'!N8)*'Tariffs 2018'!T8/100)</f>
        <v>0</v>
      </c>
      <c r="K14" s="211">
        <f t="shared" ref="K14:K16" si="7">SUM(D14:J14)</f>
        <v>159.6</v>
      </c>
      <c r="L14" s="412">
        <f t="shared" ref="L14:L16" si="8">(K14*6)-(D14*6)</f>
        <v>802.8</v>
      </c>
      <c r="M14" s="413">
        <f t="shared" ref="M14:M16" si="9">K14*6</f>
        <v>957.59999999999991</v>
      </c>
      <c r="N14" s="214">
        <f t="shared" si="5"/>
        <v>1053.3599999999999</v>
      </c>
      <c r="O14" s="44">
        <f>'Tariffs 2018'!AL8</f>
        <v>0</v>
      </c>
      <c r="P14" s="44">
        <f>'Tariffs 2018'!AM8</f>
        <v>0</v>
      </c>
      <c r="Q14" s="44">
        <f>'Tariffs 2018'!AN8</f>
        <v>15</v>
      </c>
      <c r="R14" s="44">
        <f>'Tariffs 2018'!AO8</f>
        <v>0</v>
      </c>
      <c r="S14" s="413">
        <f t="shared" si="1"/>
        <v>957.59999999999991</v>
      </c>
      <c r="T14" s="413">
        <f t="shared" ref="T14:T15" si="10">S14-(M14*Q14/100)</f>
        <v>813.95999999999992</v>
      </c>
      <c r="U14" s="261">
        <f t="shared" ref="U14:U16" si="11">S14*1.1</f>
        <v>1053.3599999999999</v>
      </c>
      <c r="V14" s="261">
        <f t="shared" ref="V14:V16" si="12">T14*1.1</f>
        <v>895.35599999999999</v>
      </c>
      <c r="W14" s="215">
        <f>'Tariffs 2018'!AX8</f>
        <v>0</v>
      </c>
      <c r="X14" s="215" t="str">
        <f>'Tariffs 2018'!AY8</f>
        <v>n</v>
      </c>
      <c r="Y14" s="216" t="s">
        <v>400</v>
      </c>
    </row>
    <row r="15" spans="1:25" ht="23" customHeight="1" x14ac:dyDescent="0.3">
      <c r="A15" s="210" t="str">
        <f>'Tariffs 2018'!F9</f>
        <v>Click Energy</v>
      </c>
      <c r="B15" s="44" t="str">
        <f>'Tariffs 2018'!D9</f>
        <v>Jemena</v>
      </c>
      <c r="C15" s="44" t="str">
        <f>'Tariffs 2018'!G9</f>
        <v>Lavender</v>
      </c>
      <c r="D15" s="211">
        <f>60*'Tariffs 2018'!H9/100</f>
        <v>25.8</v>
      </c>
      <c r="E15" s="211">
        <f>IF($C$5&gt;='Tariffs 2018'!J9,('Tariffs 2018'!J9*'Tariffs 2018'!O9/100),($C$5*'Tariffs 2018'!O9/100))</f>
        <v>53.4</v>
      </c>
      <c r="F15" s="211">
        <f>IF($C$5&lt;'Tariffs 2018'!J9,0,IF(($C$5-'Tariffs 2018'!J9)&lt;='Tariffs 2018'!K9,(($C$5-'Tariffs 2018'!J9)*'Tariffs 2018'!P9/100),(('Tariffs 2018'!K9-'Tariffs 2018'!J9)*'Tariffs 2018'!P9/100)))</f>
        <v>34.799999999999997</v>
      </c>
      <c r="G15" s="211">
        <f>IF($C$5&lt;'Tariffs 2018'!K9,0,IF(($C$5-'Tariffs 2018'!K9)&lt;='Tariffs 2018'!L9,(($C$5-'Tariffs 2018'!K9)*'Tariffs 2018'!Q9/100),(('Tariffs 2018'!L9-'Tariffs 2018'!K9)*'Tariffs 2018'!Q9/100)))</f>
        <v>45.6</v>
      </c>
      <c r="H15" s="211">
        <f>IF($C$5&lt;'Tariffs 2018'!L9,0,IF(($C$5-'Tariffs 2018'!L9)&lt;='Tariffs 2018'!M9,(($C$5-'Tariffs 2018'!L9)*'Tariffs 2018'!R9/100),(('Tariffs 2018'!M9-'Tariffs 2018'!L9)*'Tariffs 2018'!R9/100)))</f>
        <v>0</v>
      </c>
      <c r="I15" s="211">
        <f>IF($C$5&lt;'Tariffs 2018'!M9,0,IF(($C$5-'Tariffs 2018'!M9)&lt;='Tariffs 2018'!N9,(($C$5-'Tariffs 2018'!M9)*'Tariffs 2018'!S9/100),(('Tariffs 2018'!N9-'Tariffs 2018'!M9)*'Tariffs 2018'!S9/100)))</f>
        <v>0</v>
      </c>
      <c r="J15" s="211">
        <f>IF(($C$5&lt;'Tariffs 2018'!N9),(0),($C$5-'Tariffs 2018'!N9)*'Tariffs 2018'!T9/100)</f>
        <v>0</v>
      </c>
      <c r="K15" s="211">
        <f t="shared" si="7"/>
        <v>159.6</v>
      </c>
      <c r="L15" s="412">
        <f t="shared" si="8"/>
        <v>802.8</v>
      </c>
      <c r="M15" s="413">
        <f t="shared" si="9"/>
        <v>957.59999999999991</v>
      </c>
      <c r="N15" s="214">
        <f t="shared" si="5"/>
        <v>1053.3599999999999</v>
      </c>
      <c r="O15" s="44">
        <f>'Tariffs 2018'!AL9</f>
        <v>0</v>
      </c>
      <c r="P15" s="44">
        <f>'Tariffs 2018'!AM9</f>
        <v>0</v>
      </c>
      <c r="Q15" s="44">
        <f>'Tariffs 2018'!AN9</f>
        <v>11</v>
      </c>
      <c r="R15" s="44">
        <f>'Tariffs 2018'!AO9</f>
        <v>0</v>
      </c>
      <c r="S15" s="413">
        <f t="shared" si="1"/>
        <v>957.59999999999991</v>
      </c>
      <c r="T15" s="413">
        <f t="shared" si="10"/>
        <v>852.2639999999999</v>
      </c>
      <c r="U15" s="261">
        <f t="shared" si="11"/>
        <v>1053.3599999999999</v>
      </c>
      <c r="V15" s="261">
        <f t="shared" si="12"/>
        <v>937.49039999999991</v>
      </c>
      <c r="W15" s="215">
        <f>'Tariffs 2018'!AX9</f>
        <v>0</v>
      </c>
      <c r="X15" s="215" t="str">
        <f>'Tariffs 2018'!AY9</f>
        <v>n</v>
      </c>
      <c r="Y15" s="216" t="s">
        <v>400</v>
      </c>
    </row>
    <row r="16" spans="1:25" ht="23" customHeight="1" thickBot="1" x14ac:dyDescent="0.35">
      <c r="A16" s="210" t="str">
        <f>'Tariffs 2018'!F10</f>
        <v>Simply Energy</v>
      </c>
      <c r="B16" s="44" t="str">
        <f>'Tariffs 2018'!D10</f>
        <v>Jemena</v>
      </c>
      <c r="C16" s="44" t="str">
        <f>'Tariffs 2018'!G10</f>
        <v>Plus</v>
      </c>
      <c r="D16" s="211">
        <f>60*'Tariffs 2018'!H10/100</f>
        <v>32.85</v>
      </c>
      <c r="E16" s="211">
        <f>IF($C$5&gt;='Tariffs 2018'!J10,('Tariffs 2018'!J10*'Tariffs 2018'!O10/100),($C$5*'Tariffs 2018'!O10/100))</f>
        <v>47.64</v>
      </c>
      <c r="F16" s="211">
        <f>IF($C$5&lt;'Tariffs 2018'!J10,0,IF(($C$5-'Tariffs 2018'!J10)&lt;='Tariffs 2018'!K10,(($C$5-'Tariffs 2018'!J10)*'Tariffs 2018'!P10/100),(('Tariffs 2018'!K10-'Tariffs 2018'!J10)*'Tariffs 2018'!P10/100)))</f>
        <v>31.68</v>
      </c>
      <c r="G16" s="211">
        <f>IF($C$5&lt;'Tariffs 2018'!K10,0,IF(($C$5-'Tariffs 2018'!K10)&lt;='Tariffs 2018'!L10,(($C$5-'Tariffs 2018'!K10)*'Tariffs 2018'!Q10/100),(('Tariffs 2018'!L10-'Tariffs 2018'!K10)*'Tariffs 2018'!Q10/100)))</f>
        <v>39.200000000000003</v>
      </c>
      <c r="H16" s="211">
        <f>IF($C$5&lt;'Tariffs 2018'!L10,0,IF(($C$5-'Tariffs 2018'!L10)&lt;='Tariffs 2018'!M10,(($C$5-'Tariffs 2018'!L10)*'Tariffs 2018'!R10/100),(('Tariffs 2018'!M10-'Tariffs 2018'!L10)*'Tariffs 2018'!R10/100)))</f>
        <v>0</v>
      </c>
      <c r="I16" s="211">
        <f>IF($C$5&lt;'Tariffs 2018'!M10,0,IF(($C$5-'Tariffs 2018'!M10)&lt;='Tariffs 2018'!N10,(($C$5-'Tariffs 2018'!M10)*'Tariffs 2018'!S10/100),(('Tariffs 2018'!N10-'Tariffs 2018'!M10)*'Tariffs 2018'!S10/100)))</f>
        <v>0</v>
      </c>
      <c r="J16" s="211">
        <f>IF(($C$5&lt;'Tariffs 2018'!N10),(0),($C$5-'Tariffs 2018'!N10)*'Tariffs 2018'!T10/100)</f>
        <v>0</v>
      </c>
      <c r="K16" s="211">
        <f t="shared" si="7"/>
        <v>151.37</v>
      </c>
      <c r="L16" s="412">
        <f t="shared" si="8"/>
        <v>711.12</v>
      </c>
      <c r="M16" s="413">
        <f t="shared" si="9"/>
        <v>908.22</v>
      </c>
      <c r="N16" s="214">
        <f t="shared" si="5"/>
        <v>999.04200000000014</v>
      </c>
      <c r="O16" s="44">
        <f>'Tariffs 2018'!AL10</f>
        <v>0</v>
      </c>
      <c r="P16" s="44">
        <f>'Tariffs 2018'!AM10</f>
        <v>0</v>
      </c>
      <c r="Q16" s="44">
        <f>'Tariffs 2018'!AN10</f>
        <v>0</v>
      </c>
      <c r="R16" s="44">
        <f>'Tariffs 2018'!AO10</f>
        <v>18</v>
      </c>
      <c r="S16" s="413">
        <f t="shared" si="1"/>
        <v>908.22</v>
      </c>
      <c r="T16" s="413">
        <f t="shared" ref="T16:T25" si="13">S16-(L16*R16/100)</f>
        <v>780.21839999999997</v>
      </c>
      <c r="U16" s="261">
        <f t="shared" si="11"/>
        <v>999.04200000000014</v>
      </c>
      <c r="V16" s="261">
        <f t="shared" si="12"/>
        <v>858.24024000000009</v>
      </c>
      <c r="W16" s="215">
        <f>'Tariffs 2018'!AX10</f>
        <v>0</v>
      </c>
      <c r="X16" s="215" t="str">
        <f>'Tariffs 2018'!AY10</f>
        <v>n</v>
      </c>
      <c r="Y16" s="216" t="s">
        <v>400</v>
      </c>
    </row>
    <row r="17" spans="1:25" ht="23" customHeight="1" thickTop="1" x14ac:dyDescent="0.3">
      <c r="A17" s="425" t="str">
        <f>'Tariffs 2018'!F11</f>
        <v>ActewAGL</v>
      </c>
      <c r="B17" s="426" t="str">
        <f>'Tariffs 2018'!D11</f>
        <v>ActewAGL Boorowa</v>
      </c>
      <c r="C17" s="426" t="str">
        <f>'Tariffs 2018'!G11</f>
        <v>Reward</v>
      </c>
      <c r="D17" s="427">
        <f>60*'Tariffs 2018'!H11/100</f>
        <v>42.366000000000007</v>
      </c>
      <c r="E17" s="427">
        <f>IF($C$5&gt;='Tariffs 2018'!J11,('Tariffs 2018'!J11*'Tariffs 2018'!O11/100),($C$5*'Tariffs 2018'!O11/100))</f>
        <v>46.931999999999995</v>
      </c>
      <c r="F17" s="427">
        <f>IF($C$5&lt;'Tariffs 2018'!J11,0,IF(($C$5-'Tariffs 2018'!J11)&lt;='Tariffs 2018'!K11,(($C$5-'Tariffs 2018'!J11)*'Tariffs 2018'!P11/100),(('Tariffs 2018'!K11-'Tariffs 2018'!J11)*'Tariffs 2018'!P11/100)))</f>
        <v>31.404</v>
      </c>
      <c r="G17" s="427">
        <f>IF($C$5&lt;'Tariffs 2018'!K11,0,IF(($C$5-'Tariffs 2018'!K11)&lt;='Tariffs 2018'!L11,(($C$5-'Tariffs 2018'!K11)*'Tariffs 2018'!Q11/100),(('Tariffs 2018'!L11-'Tariffs 2018'!K11)*'Tariffs 2018'!Q11/100)))</f>
        <v>40.752000000000002</v>
      </c>
      <c r="H17" s="427">
        <f>IF($C$5&lt;'Tariffs 2018'!L11,0,IF(($C$5-'Tariffs 2018'!L11)&lt;='Tariffs 2018'!M11,(($C$5-'Tariffs 2018'!L11)*'Tariffs 2018'!R11/100),(('Tariffs 2018'!M11-'Tariffs 2018'!L11)*'Tariffs 2018'!R11/100)))</f>
        <v>0</v>
      </c>
      <c r="I17" s="427">
        <f>IF($C$5&lt;'Tariffs 2018'!M11,0,IF(($C$5-'Tariffs 2018'!M11)&lt;='Tariffs 2018'!N11,(($C$5-'Tariffs 2018'!M11)*'Tariffs 2018'!S11/100),(('Tariffs 2018'!N11-'Tariffs 2018'!M11)*'Tariffs 2018'!S11/100)))</f>
        <v>0</v>
      </c>
      <c r="J17" s="427">
        <f>IF(($C$5&lt;'Tariffs 2018'!N11),(0),($C$5-'Tariffs 2018'!N11)*'Tariffs 2018'!T11/100)</f>
        <v>0</v>
      </c>
      <c r="K17" s="427">
        <f t="shared" si="2"/>
        <v>161.45400000000001</v>
      </c>
      <c r="L17" s="428">
        <f t="shared" si="3"/>
        <v>714.52800000000002</v>
      </c>
      <c r="M17" s="429">
        <f t="shared" si="4"/>
        <v>968.72400000000005</v>
      </c>
      <c r="N17" s="432">
        <f t="shared" si="5"/>
        <v>1065.5964000000001</v>
      </c>
      <c r="O17" s="426">
        <f>'Tariffs 2018'!AL11</f>
        <v>0</v>
      </c>
      <c r="P17" s="426">
        <f>'Tariffs 2018'!AM11</f>
        <v>0</v>
      </c>
      <c r="Q17" s="426">
        <f>'Tariffs 2018'!AN11</f>
        <v>0</v>
      </c>
      <c r="R17" s="426">
        <f>'Tariffs 2018'!AO11</f>
        <v>10</v>
      </c>
      <c r="S17" s="429">
        <f>M17</f>
        <v>968.72400000000005</v>
      </c>
      <c r="T17" s="429">
        <f t="shared" si="13"/>
        <v>897.27120000000002</v>
      </c>
      <c r="U17" s="454">
        <f t="shared" ref="U17:U33" si="14">S17*1.1</f>
        <v>1065.5964000000001</v>
      </c>
      <c r="V17" s="454">
        <f t="shared" ref="V17:V18" si="15">T17*1.1</f>
        <v>986.99832000000015</v>
      </c>
      <c r="W17" s="433">
        <f>'Tariffs 2018'!AX11</f>
        <v>0</v>
      </c>
      <c r="X17" s="433" t="str">
        <f>'Tariffs 2018'!AY11</f>
        <v>n</v>
      </c>
      <c r="Y17" s="434" t="s">
        <v>288</v>
      </c>
    </row>
    <row r="18" spans="1:25" ht="23" customHeight="1" thickBot="1" x14ac:dyDescent="0.35">
      <c r="A18" s="435" t="str">
        <f>'Tariffs 2018'!F12</f>
        <v>EnergyAustralia</v>
      </c>
      <c r="B18" s="436" t="str">
        <f>'Tariffs 2018'!D12</f>
        <v>ActewAGL Boorowa</v>
      </c>
      <c r="C18" s="436" t="str">
        <f>'Tariffs 2018'!G12</f>
        <v xml:space="preserve">Anytime Saver </v>
      </c>
      <c r="D18" s="437">
        <f>60*'Tariffs 2018'!H12/100</f>
        <v>34.86</v>
      </c>
      <c r="E18" s="437">
        <f>IF($C$5&gt;='Tariffs 2018'!J12,('Tariffs 2018'!J12*'Tariffs 2018'!O12/100),($C$5*'Tariffs 2018'!O12/100))</f>
        <v>47.88</v>
      </c>
      <c r="F18" s="437">
        <f>IF($C$5&lt;'Tariffs 2018'!J12,0,IF(($C$5-'Tariffs 2018'!J12)&lt;='Tariffs 2018'!K12,(($C$5-'Tariffs 2018'!J12)*'Tariffs 2018'!P12/100),(('Tariffs 2018'!K12-'Tariffs 2018'!J12)*'Tariffs 2018'!P12/100)))</f>
        <v>32.04</v>
      </c>
      <c r="G18" s="437">
        <f>IF($C$5&lt;'Tariffs 2018'!K12,0,IF(($C$5-'Tariffs 2018'!K12)&lt;='Tariffs 2018'!L12,(($C$5-'Tariffs 2018'!K12)*'Tariffs 2018'!Q12/100),(('Tariffs 2018'!L12-'Tariffs 2018'!K12)*'Tariffs 2018'!Q12/100)))</f>
        <v>40.799999999999997</v>
      </c>
      <c r="H18" s="437">
        <f>IF($C$5&lt;'Tariffs 2018'!L12,0,IF(($C$5-'Tariffs 2018'!L12)&lt;='Tariffs 2018'!M12,(($C$5-'Tariffs 2018'!L12)*'Tariffs 2018'!R12/100),(('Tariffs 2018'!M12-'Tariffs 2018'!L12)*'Tariffs 2018'!R12/100)))</f>
        <v>0</v>
      </c>
      <c r="I18" s="437">
        <f>IF($C$5&lt;'Tariffs 2018'!M12,0,IF(($C$5-'Tariffs 2018'!M12)&lt;='Tariffs 2018'!N12,(($C$5-'Tariffs 2018'!M12)*'Tariffs 2018'!S12/100),(('Tariffs 2018'!N12-'Tariffs 2018'!M12)*'Tariffs 2018'!S12/100)))</f>
        <v>0</v>
      </c>
      <c r="J18" s="437">
        <f>IF(($C$5&lt;'Tariffs 2018'!N12),(0),($C$5-'Tariffs 2018'!N12)*'Tariffs 2018'!T12/100)</f>
        <v>0</v>
      </c>
      <c r="K18" s="437">
        <f t="shared" si="2"/>
        <v>155.57999999999998</v>
      </c>
      <c r="L18" s="438">
        <f t="shared" si="3"/>
        <v>724.31999999999994</v>
      </c>
      <c r="M18" s="439">
        <f t="shared" si="4"/>
        <v>933.4799999999999</v>
      </c>
      <c r="N18" s="442">
        <f t="shared" si="5"/>
        <v>1026.828</v>
      </c>
      <c r="O18" s="436">
        <f>'Tariffs 2018'!AL12</f>
        <v>0</v>
      </c>
      <c r="P18" s="436">
        <f>'Tariffs 2018'!AM12</f>
        <v>20</v>
      </c>
      <c r="Q18" s="436">
        <f>'Tariffs 2018'!AN12</f>
        <v>0</v>
      </c>
      <c r="R18" s="436">
        <f>'Tariffs 2018'!AO12</f>
        <v>0</v>
      </c>
      <c r="S18" s="439">
        <f>M18-(L18*P18/100)</f>
        <v>788.61599999999999</v>
      </c>
      <c r="T18" s="439">
        <f t="shared" si="13"/>
        <v>788.61599999999999</v>
      </c>
      <c r="U18" s="455">
        <f t="shared" si="14"/>
        <v>867.47760000000005</v>
      </c>
      <c r="V18" s="455">
        <f t="shared" si="15"/>
        <v>867.47760000000005</v>
      </c>
      <c r="W18" s="443">
        <f>'Tariffs 2018'!AX12</f>
        <v>0</v>
      </c>
      <c r="X18" s="443" t="str">
        <f>'Tariffs 2018'!AY12</f>
        <v>n</v>
      </c>
      <c r="Y18" s="444" t="s">
        <v>288</v>
      </c>
    </row>
    <row r="19" spans="1:25" ht="23" customHeight="1" thickTop="1" x14ac:dyDescent="0.3">
      <c r="A19" s="425" t="str">
        <f>'Tariffs 2018'!F13</f>
        <v>EnergyAustralia</v>
      </c>
      <c r="B19" s="426" t="str">
        <f>'Tariffs 2018'!D13</f>
        <v>Envestra Albury</v>
      </c>
      <c r="C19" s="426" t="str">
        <f>'Tariffs 2018'!G13</f>
        <v xml:space="preserve">Anytime Saver </v>
      </c>
      <c r="D19" s="427">
        <f>60*'Tariffs 2018'!H13/100</f>
        <v>45.3</v>
      </c>
      <c r="E19" s="427">
        <f>IF($C$5&gt;='Tariffs 2018'!J13,('Tariffs 2018'!J13*'Tariffs 2018'!O13/100),($C$5*'Tariffs 2018'!O13/100))</f>
        <v>94.8</v>
      </c>
      <c r="F19" s="427">
        <f>IF($C$5&lt;'Tariffs 2018'!J13,0,IF(($C$5-'Tariffs 2018'!J13)&lt;='Tariffs 2018'!K13,(($C$5-'Tariffs 2018'!J13)*'Tariffs 2018'!P13/100),(('Tariffs 2018'!K13-'Tariffs 2018'!J13)*'Tariffs 2018'!P13/100)))</f>
        <v>0</v>
      </c>
      <c r="G19" s="427">
        <f>IF($C$5&lt;'Tariffs 2018'!K13,0,IF(($C$5-'Tariffs 2018'!K13)&lt;='Tariffs 2018'!L13,(($C$5-'Tariffs 2018'!K13)*'Tariffs 2018'!Q13/100),(('Tariffs 2018'!L13-'Tariffs 2018'!K13)*'Tariffs 2018'!Q13/100)))</f>
        <v>0</v>
      </c>
      <c r="H19" s="427">
        <f>IF($C$5&lt;'Tariffs 2018'!L13,0,IF(($C$5-'Tariffs 2018'!L13)&lt;='Tariffs 2018'!M13,(($C$5-'Tariffs 2018'!L13)*'Tariffs 2018'!R13/100),(('Tariffs 2018'!M13-'Tariffs 2018'!L13)*'Tariffs 2018'!R13/100)))</f>
        <v>0</v>
      </c>
      <c r="I19" s="427">
        <f>IF($C$5&lt;'Tariffs 2018'!M13,0,IF(($C$5-'Tariffs 2018'!M13)&lt;='Tariffs 2018'!N13,(($C$5-'Tariffs 2018'!M13)*'Tariffs 2018'!S13/100),(('Tariffs 2018'!N13-'Tariffs 2018'!M13)*'Tariffs 2018'!S13/100)))</f>
        <v>0</v>
      </c>
      <c r="J19" s="427">
        <f>IF(($C$5&lt;'Tariffs 2018'!N13),(0),($C$5-'Tariffs 2018'!N13)*'Tariffs 2018'!T13/100)</f>
        <v>0</v>
      </c>
      <c r="K19" s="427">
        <f t="shared" si="2"/>
        <v>140.1</v>
      </c>
      <c r="L19" s="428">
        <f t="shared" si="3"/>
        <v>568.79999999999995</v>
      </c>
      <c r="M19" s="429">
        <f t="shared" si="4"/>
        <v>840.59999999999991</v>
      </c>
      <c r="N19" s="432">
        <f t="shared" si="5"/>
        <v>924.66</v>
      </c>
      <c r="O19" s="426">
        <f>'Tariffs 2018'!AL13</f>
        <v>0</v>
      </c>
      <c r="P19" s="426">
        <f>'Tariffs 2018'!AM13</f>
        <v>20</v>
      </c>
      <c r="Q19" s="426">
        <f>'Tariffs 2018'!AN13</f>
        <v>0</v>
      </c>
      <c r="R19" s="426">
        <f>'Tariffs 2018'!AO13</f>
        <v>0</v>
      </c>
      <c r="S19" s="429">
        <f>M19-(L19*P19/100)</f>
        <v>726.83999999999992</v>
      </c>
      <c r="T19" s="429">
        <f t="shared" si="13"/>
        <v>726.83999999999992</v>
      </c>
      <c r="U19" s="454">
        <f t="shared" si="14"/>
        <v>799.524</v>
      </c>
      <c r="V19" s="454">
        <f t="shared" ref="V19:V20" si="16">T19*1.1</f>
        <v>799.524</v>
      </c>
      <c r="W19" s="433">
        <f>'Tariffs 2018'!AX13</f>
        <v>0</v>
      </c>
      <c r="X19" s="433" t="str">
        <f>'Tariffs 2018'!AY13</f>
        <v>n</v>
      </c>
      <c r="Y19" s="434" t="s">
        <v>288</v>
      </c>
    </row>
    <row r="20" spans="1:25" ht="23" customHeight="1" x14ac:dyDescent="0.3">
      <c r="A20" s="210" t="str">
        <f>'Tariffs 2018'!F14</f>
        <v>Origin Energy</v>
      </c>
      <c r="B20" s="44" t="str">
        <f>'Tariffs 2018'!D14</f>
        <v>Envestra Albury</v>
      </c>
      <c r="C20" s="44" t="str">
        <f>'Tariffs 2018'!G14</f>
        <v>Saver</v>
      </c>
      <c r="D20" s="211">
        <f>60*'Tariffs 2018'!H14/100</f>
        <v>32.412000000000006</v>
      </c>
      <c r="E20" s="211">
        <f>IF($C$5&gt;='Tariffs 2018'!J14,('Tariffs 2018'!J14*'Tariffs 2018'!O14/100),($C$5*'Tariffs 2018'!O14/100))</f>
        <v>34.154999999999994</v>
      </c>
      <c r="F20" s="211">
        <f>IF($C$5&lt;'Tariffs 2018'!J14,0,IF(($C$5-'Tariffs 2018'!J14)&lt;='Tariffs 2018'!K14,(($C$5-'Tariffs 2018'!J14)*'Tariffs 2018'!P14/100),(('Tariffs 2018'!K14-'Tariffs 2018'!J14)*'Tariffs 2018'!P14/100)))</f>
        <v>43.475000000000001</v>
      </c>
      <c r="G20" s="211">
        <f>IF($C$5&lt;'Tariffs 2018'!K14,0,IF(($C$5-'Tariffs 2018'!K14)&lt;='Tariffs 2018'!L14,(($C$5-'Tariffs 2018'!K14)*'Tariffs 2018'!Q14/100),(('Tariffs 2018'!L14-'Tariffs 2018'!K14)*'Tariffs 2018'!Q14/100)))</f>
        <v>17.992000000000001</v>
      </c>
      <c r="H20" s="211">
        <f>IF($C$5&lt;'Tariffs 2018'!L14,0,IF(($C$5-'Tariffs 2018'!L14)&lt;='Tariffs 2018'!M14,(($C$5-'Tariffs 2018'!L14)*'Tariffs 2018'!R14/100),(('Tariffs 2018'!M14-'Tariffs 2018'!L14)*'Tariffs 2018'!R14/100)))</f>
        <v>0</v>
      </c>
      <c r="I20" s="211">
        <f>IF($C$5&lt;'Tariffs 2018'!M14,0,IF(($C$5-'Tariffs 2018'!M14)&lt;='Tariffs 2018'!N14,(($C$5-'Tariffs 2018'!M14)*'Tariffs 2018'!S14/100),(('Tariffs 2018'!N14-'Tariffs 2018'!M14)*'Tariffs 2018'!S14/100)))</f>
        <v>0</v>
      </c>
      <c r="J20" s="211">
        <f>IF(($C$5&lt;'Tariffs 2018'!N14),(0),($C$5-'Tariffs 2018'!N14)*'Tariffs 2018'!T14/100)</f>
        <v>0</v>
      </c>
      <c r="K20" s="211">
        <f t="shared" si="2"/>
        <v>128.03399999999999</v>
      </c>
      <c r="L20" s="412">
        <f t="shared" si="3"/>
        <v>573.73199999999997</v>
      </c>
      <c r="M20" s="413">
        <f t="shared" si="4"/>
        <v>768.20399999999995</v>
      </c>
      <c r="N20" s="214">
        <f t="shared" si="5"/>
        <v>845.02440000000001</v>
      </c>
      <c r="O20" s="44">
        <f>'Tariffs 2018'!AL14</f>
        <v>0</v>
      </c>
      <c r="P20" s="44">
        <f>'Tariffs 2018'!AM14</f>
        <v>0</v>
      </c>
      <c r="Q20" s="44">
        <f>'Tariffs 2018'!AN14</f>
        <v>0</v>
      </c>
      <c r="R20" s="44">
        <f>'Tariffs 2018'!AO14</f>
        <v>8</v>
      </c>
      <c r="S20" s="413">
        <f>M20</f>
        <v>768.20399999999995</v>
      </c>
      <c r="T20" s="413">
        <f t="shared" si="13"/>
        <v>722.30543999999998</v>
      </c>
      <c r="U20" s="261">
        <f t="shared" si="14"/>
        <v>845.02440000000001</v>
      </c>
      <c r="V20" s="261">
        <f t="shared" si="16"/>
        <v>794.53598399999998</v>
      </c>
      <c r="W20" s="215">
        <f>'Tariffs 2018'!AX14</f>
        <v>0</v>
      </c>
      <c r="X20" s="215" t="str">
        <f>'Tariffs 2018'!AY14</f>
        <v>n</v>
      </c>
      <c r="Y20" s="216" t="s">
        <v>288</v>
      </c>
    </row>
    <row r="21" spans="1:25" ht="23" customHeight="1" thickBot="1" x14ac:dyDescent="0.35">
      <c r="A21" s="435" t="str">
        <f>'Tariffs 2018'!F15</f>
        <v>AGL</v>
      </c>
      <c r="B21" s="436" t="str">
        <f>'Tariffs 2018'!D15</f>
        <v>Envestra Albury</v>
      </c>
      <c r="C21" s="436" t="str">
        <f>'Tariffs 2018'!G15</f>
        <v>Savers</v>
      </c>
      <c r="D21" s="437">
        <f>60*'Tariffs 2018'!H15/100</f>
        <v>37.200000000000003</v>
      </c>
      <c r="E21" s="437">
        <f>IF($C$5&gt;='Tariffs 2018'!J15,('Tariffs 2018'!J15*'Tariffs 2018'!O15/100),($C$5*'Tariffs 2018'!O15/100))</f>
        <v>35.31</v>
      </c>
      <c r="F21" s="437">
        <f>IF($C$5&lt;'Tariffs 2018'!J15,0,IF(($C$5-'Tariffs 2018'!J15)&lt;='Tariffs 2018'!K15,(($C$5-'Tariffs 2018'!J15)*'Tariffs 2018'!P15/100),(('Tariffs 2018'!K15-'Tariffs 2018'!J15)*'Tariffs 2018'!P15/100)))</f>
        <v>45.354999999999997</v>
      </c>
      <c r="G21" s="437">
        <f>IF($C$5&lt;'Tariffs 2018'!K15,0,IF(($C$5-'Tariffs 2018'!K15)&lt;='Tariffs 2018'!L15,(($C$5-'Tariffs 2018'!K15)*'Tariffs 2018'!Q15/100),(('Tariffs 2018'!L15-'Tariffs 2018'!K15)*'Tariffs 2018'!Q15/100)))</f>
        <v>19.032</v>
      </c>
      <c r="H21" s="437">
        <f>IF($C$5&lt;'Tariffs 2018'!L15,0,IF(($C$5-'Tariffs 2018'!L15)&lt;='Tariffs 2018'!M15,(($C$5-'Tariffs 2018'!L15)*'Tariffs 2018'!R15/100),(('Tariffs 2018'!M15-'Tariffs 2018'!L15)*'Tariffs 2018'!R15/100)))</f>
        <v>0</v>
      </c>
      <c r="I21" s="437">
        <f>IF($C$5&lt;'Tariffs 2018'!M15,0,IF(($C$5-'Tariffs 2018'!M15)&lt;='Tariffs 2018'!N15,(($C$5-'Tariffs 2018'!M15)*'Tariffs 2018'!S15/100),(('Tariffs 2018'!N15-'Tariffs 2018'!M15)*'Tariffs 2018'!S15/100)))</f>
        <v>0</v>
      </c>
      <c r="J21" s="437">
        <f>IF(($C$5&lt;'Tariffs 2018'!N15),(0),($C$5-'Tariffs 2018'!N15)*'Tariffs 2018'!T15/100)</f>
        <v>0</v>
      </c>
      <c r="K21" s="437">
        <f t="shared" ref="K21" si="17">SUM(D21:J21)</f>
        <v>136.89700000000002</v>
      </c>
      <c r="L21" s="438">
        <f t="shared" ref="L21" si="18">(K21*6)-(D21*6)</f>
        <v>598.18200000000002</v>
      </c>
      <c r="M21" s="439">
        <f t="shared" ref="M21" si="19">K21*6</f>
        <v>821.38200000000006</v>
      </c>
      <c r="N21" s="442">
        <f t="shared" ref="N21" si="20">M21*1.1</f>
        <v>903.52020000000016</v>
      </c>
      <c r="O21" s="436">
        <f>'Tariffs 2018'!AL15</f>
        <v>0</v>
      </c>
      <c r="P21" s="436">
        <f>'Tariffs 2018'!AM15</f>
        <v>0</v>
      </c>
      <c r="Q21" s="436">
        <f>'Tariffs 2018'!AN15</f>
        <v>0</v>
      </c>
      <c r="R21" s="436">
        <f>'Tariffs 2018'!AO15</f>
        <v>13</v>
      </c>
      <c r="S21" s="439">
        <f>M21</f>
        <v>821.38200000000006</v>
      </c>
      <c r="T21" s="439">
        <f t="shared" si="13"/>
        <v>743.6183400000001</v>
      </c>
      <c r="U21" s="455">
        <f t="shared" si="14"/>
        <v>903.52020000000016</v>
      </c>
      <c r="V21" s="455">
        <f t="shared" ref="V21" si="21">T21*1.1</f>
        <v>817.98017400000015</v>
      </c>
      <c r="W21" s="443">
        <f>'Tariffs 2018'!AX15</f>
        <v>0</v>
      </c>
      <c r="X21" s="443" t="str">
        <f>'Tariffs 2018'!AY15</f>
        <v>n</v>
      </c>
      <c r="Y21" s="444" t="s">
        <v>288</v>
      </c>
    </row>
    <row r="22" spans="1:25" ht="23" customHeight="1" thickTop="1" x14ac:dyDescent="0.3">
      <c r="A22" s="425" t="str">
        <f>'Tariffs 2018'!F16</f>
        <v>EnergyAustralia</v>
      </c>
      <c r="B22" s="426" t="str">
        <f>'Tariffs 2018'!D16</f>
        <v>Envestra Murray Valley</v>
      </c>
      <c r="C22" s="426" t="str">
        <f>'Tariffs 2018'!G16</f>
        <v xml:space="preserve">Anytime Saver </v>
      </c>
      <c r="D22" s="427">
        <f>60*'Tariffs 2018'!H16/100</f>
        <v>43.5</v>
      </c>
      <c r="E22" s="427">
        <f>IF($C$5&gt;='Tariffs 2018'!J16,('Tariffs 2018'!J16*'Tariffs 2018'!O16/100),($C$5*'Tariffs 2018'!O16/100))</f>
        <v>138</v>
      </c>
      <c r="F22" s="427">
        <f>IF($C$5&lt;'Tariffs 2018'!J16,0,IF(($C$5-'Tariffs 2018'!J16)&lt;='Tariffs 2018'!K16,(($C$5-'Tariffs 2018'!J16)*'Tariffs 2018'!P16/100),(('Tariffs 2018'!K16-'Tariffs 2018'!J16)*'Tariffs 2018'!P16/100)))</f>
        <v>0</v>
      </c>
      <c r="G22" s="427">
        <f>IF($C$5&lt;'Tariffs 2018'!K16,0,IF(($C$5-'Tariffs 2018'!K16)&lt;='Tariffs 2018'!L16,(($C$5-'Tariffs 2018'!K16)*'Tariffs 2018'!Q16/100),(('Tariffs 2018'!L16-'Tariffs 2018'!K16)*'Tariffs 2018'!Q16/100)))</f>
        <v>0</v>
      </c>
      <c r="H22" s="427">
        <f>IF($C$5&lt;'Tariffs 2018'!L16,0,IF(($C$5-'Tariffs 2018'!L16)&lt;='Tariffs 2018'!M16,(($C$5-'Tariffs 2018'!L16)*'Tariffs 2018'!R16/100),(('Tariffs 2018'!M16-'Tariffs 2018'!L16)*'Tariffs 2018'!R16/100)))</f>
        <v>0</v>
      </c>
      <c r="I22" s="427">
        <f>IF($C$5&lt;'Tariffs 2018'!M16,0,IF(($C$5-'Tariffs 2018'!M16)&lt;='Tariffs 2018'!N16,(($C$5-'Tariffs 2018'!M16)*'Tariffs 2018'!S16/100),(('Tariffs 2018'!N16-'Tariffs 2018'!M16)*'Tariffs 2018'!S16/100)))</f>
        <v>0</v>
      </c>
      <c r="J22" s="427">
        <f>IF(($C$5&lt;'Tariffs 2018'!N16),(0),($C$5-'Tariffs 2018'!N16)*'Tariffs 2018'!T16/100)</f>
        <v>0</v>
      </c>
      <c r="K22" s="427">
        <f t="shared" si="2"/>
        <v>181.5</v>
      </c>
      <c r="L22" s="428">
        <f t="shared" si="3"/>
        <v>828</v>
      </c>
      <c r="M22" s="429">
        <f t="shared" si="4"/>
        <v>1089</v>
      </c>
      <c r="N22" s="432">
        <f t="shared" si="5"/>
        <v>1197.9000000000001</v>
      </c>
      <c r="O22" s="426">
        <f>'Tariffs 2018'!AL16</f>
        <v>0</v>
      </c>
      <c r="P22" s="426">
        <f>'Tariffs 2018'!AM16</f>
        <v>20</v>
      </c>
      <c r="Q22" s="426">
        <f>'Tariffs 2018'!AN16</f>
        <v>0</v>
      </c>
      <c r="R22" s="426">
        <f>'Tariffs 2018'!AO16</f>
        <v>0</v>
      </c>
      <c r="S22" s="429">
        <f>M22-(L22*P22/100)</f>
        <v>923.4</v>
      </c>
      <c r="T22" s="429">
        <f t="shared" si="13"/>
        <v>923.4</v>
      </c>
      <c r="U22" s="454">
        <f t="shared" si="14"/>
        <v>1015.74</v>
      </c>
      <c r="V22" s="454">
        <f t="shared" ref="V22:V23" si="22">T22*1.1</f>
        <v>1015.74</v>
      </c>
      <c r="W22" s="433">
        <f>'Tariffs 2018'!AX16</f>
        <v>0</v>
      </c>
      <c r="X22" s="433" t="str">
        <f>'Tariffs 2018'!AY16</f>
        <v>n</v>
      </c>
      <c r="Y22" s="434" t="s">
        <v>288</v>
      </c>
    </row>
    <row r="23" spans="1:25" ht="23" customHeight="1" x14ac:dyDescent="0.3">
      <c r="A23" s="210" t="str">
        <f>'Tariffs 2018'!F17</f>
        <v>Origin Energy</v>
      </c>
      <c r="B23" s="44" t="str">
        <f>'Tariffs 2018'!D17</f>
        <v>Envestra Murray Valley</v>
      </c>
      <c r="C23" s="44" t="str">
        <f>'Tariffs 2018'!G17</f>
        <v>Saver</v>
      </c>
      <c r="D23" s="211">
        <f>60*'Tariffs 2018'!H17/100</f>
        <v>37.073999999999998</v>
      </c>
      <c r="E23" s="211">
        <f>IF($C$5&gt;='Tariffs 2018'!J17,('Tariffs 2018'!J17*'Tariffs 2018'!O17/100),($C$5*'Tariffs 2018'!O17/100))</f>
        <v>51.314999999999998</v>
      </c>
      <c r="F23" s="211">
        <f>IF($C$5&lt;'Tariffs 2018'!J17,0,IF(($C$5-'Tariffs 2018'!J17)&lt;='Tariffs 2018'!K17,(($C$5-'Tariffs 2018'!J17)*'Tariffs 2018'!P17/100),(('Tariffs 2018'!K17-'Tariffs 2018'!J17)*'Tariffs 2018'!P17/100)))</f>
        <v>67.444999999999993</v>
      </c>
      <c r="G23" s="211">
        <f>IF($C$5&lt;'Tariffs 2018'!K17,0,IF(($C$5-'Tariffs 2018'!K17)&lt;='Tariffs 2018'!L17,(($C$5-'Tariffs 2018'!K17)*'Tariffs 2018'!Q17/100),(('Tariffs 2018'!L17-'Tariffs 2018'!K17)*'Tariffs 2018'!Q17/100)))</f>
        <v>23.712</v>
      </c>
      <c r="H23" s="211">
        <f>IF($C$5&lt;'Tariffs 2018'!L17,0,IF(($C$5-'Tariffs 2018'!L17)&lt;='Tariffs 2018'!M17,(($C$5-'Tariffs 2018'!L17)*'Tariffs 2018'!R17/100),(('Tariffs 2018'!M17-'Tariffs 2018'!L17)*'Tariffs 2018'!R17/100)))</f>
        <v>0</v>
      </c>
      <c r="I23" s="211">
        <f>IF($C$5&lt;'Tariffs 2018'!M17,0,IF(($C$5-'Tariffs 2018'!M17)&lt;='Tariffs 2018'!N17,(($C$5-'Tariffs 2018'!M17)*'Tariffs 2018'!S17/100),(('Tariffs 2018'!N17-'Tariffs 2018'!M17)*'Tariffs 2018'!S17/100)))</f>
        <v>0</v>
      </c>
      <c r="J23" s="211">
        <f>IF(($C$5&lt;'Tariffs 2018'!N17),(0),($C$5-'Tariffs 2018'!N17)*'Tariffs 2018'!T17/100)</f>
        <v>0</v>
      </c>
      <c r="K23" s="211">
        <f t="shared" si="2"/>
        <v>179.54599999999999</v>
      </c>
      <c r="L23" s="412">
        <f t="shared" si="3"/>
        <v>854.83199999999988</v>
      </c>
      <c r="M23" s="413">
        <f t="shared" si="4"/>
        <v>1077.2759999999998</v>
      </c>
      <c r="N23" s="214">
        <f t="shared" si="5"/>
        <v>1185.0036</v>
      </c>
      <c r="O23" s="44">
        <f>'Tariffs 2018'!AL17</f>
        <v>0</v>
      </c>
      <c r="P23" s="44">
        <f>'Tariffs 2018'!AM17</f>
        <v>0</v>
      </c>
      <c r="Q23" s="44">
        <f>'Tariffs 2018'!AN17</f>
        <v>0</v>
      </c>
      <c r="R23" s="44">
        <f>'Tariffs 2018'!AO17</f>
        <v>8</v>
      </c>
      <c r="S23" s="413">
        <f>M23</f>
        <v>1077.2759999999998</v>
      </c>
      <c r="T23" s="413">
        <f t="shared" si="13"/>
        <v>1008.8894399999998</v>
      </c>
      <c r="U23" s="261">
        <f t="shared" si="14"/>
        <v>1185.0036</v>
      </c>
      <c r="V23" s="261">
        <f t="shared" si="22"/>
        <v>1109.778384</v>
      </c>
      <c r="W23" s="215">
        <f>'Tariffs 2018'!AX17</f>
        <v>0</v>
      </c>
      <c r="X23" s="215" t="str">
        <f>'Tariffs 2018'!AY17</f>
        <v>n</v>
      </c>
      <c r="Y23" s="216" t="s">
        <v>288</v>
      </c>
    </row>
    <row r="24" spans="1:25" ht="23" customHeight="1" thickBot="1" x14ac:dyDescent="0.35">
      <c r="A24" s="435" t="str">
        <f>'Tariffs 2018'!F18</f>
        <v>AGL</v>
      </c>
      <c r="B24" s="436" t="str">
        <f>'Tariffs 2018'!D18</f>
        <v>Envestra Murray Valley</v>
      </c>
      <c r="C24" s="436" t="str">
        <f>'Tariffs 2018'!G18</f>
        <v>Savers</v>
      </c>
      <c r="D24" s="437">
        <f>60*'Tariffs 2018'!H18/100</f>
        <v>42.6</v>
      </c>
      <c r="E24" s="437">
        <f>IF($C$5&gt;='Tariffs 2018'!J18,('Tariffs 2018'!J18*'Tariffs 2018'!O18/100),($C$5*'Tariffs 2018'!O18/100))</f>
        <v>55.44</v>
      </c>
      <c r="F24" s="437">
        <f>IF($C$5&lt;'Tariffs 2018'!J18,0,IF(($C$5-'Tariffs 2018'!J18)&lt;='Tariffs 2018'!K18,(($C$5-'Tariffs 2018'!J18)*'Tariffs 2018'!P18/100),(('Tariffs 2018'!K18-'Tariffs 2018'!J18)*'Tariffs 2018'!P18/100)))</f>
        <v>71.91</v>
      </c>
      <c r="G24" s="437">
        <f>IF($C$5&lt;'Tariffs 2018'!K18,0,IF(($C$5-'Tariffs 2018'!K18)&lt;='Tariffs 2018'!L18,(($C$5-'Tariffs 2018'!K18)*'Tariffs 2018'!Q18/100),(('Tariffs 2018'!L18-'Tariffs 2018'!K18)*'Tariffs 2018'!Q18/100)))</f>
        <v>25.375999999999998</v>
      </c>
      <c r="H24" s="437">
        <f>IF($C$5&lt;'Tariffs 2018'!L18,0,IF(($C$5-'Tariffs 2018'!L18)&lt;='Tariffs 2018'!M18,(($C$5-'Tariffs 2018'!L18)*'Tariffs 2018'!R18/100),(('Tariffs 2018'!M18-'Tariffs 2018'!L18)*'Tariffs 2018'!R18/100)))</f>
        <v>0</v>
      </c>
      <c r="I24" s="437">
        <f>IF($C$5&lt;'Tariffs 2018'!M18,0,IF(($C$5-'Tariffs 2018'!M18)&lt;='Tariffs 2018'!N18,(($C$5-'Tariffs 2018'!M18)*'Tariffs 2018'!S18/100),(('Tariffs 2018'!N18-'Tariffs 2018'!M18)*'Tariffs 2018'!S18/100)))</f>
        <v>0</v>
      </c>
      <c r="J24" s="437">
        <f>IF(($C$5&lt;'Tariffs 2018'!N18),(0),($C$5-'Tariffs 2018'!N18)*'Tariffs 2018'!T18/100)</f>
        <v>0</v>
      </c>
      <c r="K24" s="437">
        <f t="shared" ref="K24" si="23">SUM(D24:J24)</f>
        <v>195.32599999999999</v>
      </c>
      <c r="L24" s="438">
        <f t="shared" ref="L24" si="24">(K24*6)-(D24*6)</f>
        <v>916.35599999999988</v>
      </c>
      <c r="M24" s="439">
        <f t="shared" ref="M24" si="25">K24*6</f>
        <v>1171.9559999999999</v>
      </c>
      <c r="N24" s="442">
        <f t="shared" ref="N24" si="26">M24*1.1</f>
        <v>1289.1515999999999</v>
      </c>
      <c r="O24" s="436">
        <f>'Tariffs 2018'!AL18</f>
        <v>0</v>
      </c>
      <c r="P24" s="436">
        <f>'Tariffs 2018'!AM18</f>
        <v>0</v>
      </c>
      <c r="Q24" s="436">
        <f>'Tariffs 2018'!AN18</f>
        <v>0</v>
      </c>
      <c r="R24" s="436">
        <f>'Tariffs 2018'!AO18</f>
        <v>13</v>
      </c>
      <c r="S24" s="439">
        <f>M24</f>
        <v>1171.9559999999999</v>
      </c>
      <c r="T24" s="439">
        <f t="shared" si="13"/>
        <v>1052.82972</v>
      </c>
      <c r="U24" s="455">
        <f t="shared" si="14"/>
        <v>1289.1515999999999</v>
      </c>
      <c r="V24" s="455">
        <f t="shared" ref="V24" si="27">T24*1.1</f>
        <v>1158.1126920000002</v>
      </c>
      <c r="W24" s="443">
        <f>'Tariffs 2018'!AX18</f>
        <v>0</v>
      </c>
      <c r="X24" s="443" t="str">
        <f>'Tariffs 2018'!AY18</f>
        <v>n</v>
      </c>
      <c r="Y24" s="444" t="s">
        <v>288</v>
      </c>
    </row>
    <row r="25" spans="1:25" ht="23" customHeight="1" thickTop="1" x14ac:dyDescent="0.3">
      <c r="A25" s="425" t="str">
        <f>'Tariffs 2018'!F19</f>
        <v>Origin Energy</v>
      </c>
      <c r="B25" s="426" t="str">
        <f>'Tariffs 2018'!D19</f>
        <v>Envestra Cooma</v>
      </c>
      <c r="C25" s="426" t="str">
        <f>'Tariffs 2018'!G19</f>
        <v>Saver</v>
      </c>
      <c r="D25" s="427">
        <f>60*'Tariffs 2018'!H19/100</f>
        <v>42.251999999999995</v>
      </c>
      <c r="E25" s="427">
        <f>$C$5*'Tariffs 2018'!O19/100</f>
        <v>103.6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f t="shared" si="2"/>
        <v>145.85199999999998</v>
      </c>
      <c r="L25" s="428">
        <f t="shared" si="3"/>
        <v>621.59999999999991</v>
      </c>
      <c r="M25" s="429">
        <f t="shared" si="4"/>
        <v>875.11199999999985</v>
      </c>
      <c r="N25" s="432">
        <f t="shared" si="5"/>
        <v>962.62319999999988</v>
      </c>
      <c r="O25" s="426">
        <f>'Tariffs 2018'!AL19</f>
        <v>0</v>
      </c>
      <c r="P25" s="426">
        <f>'Tariffs 2018'!AM19</f>
        <v>0</v>
      </c>
      <c r="Q25" s="426">
        <f>'Tariffs 2018'!AN19</f>
        <v>0</v>
      </c>
      <c r="R25" s="426">
        <f>'Tariffs 2018'!AO19</f>
        <v>8</v>
      </c>
      <c r="S25" s="429">
        <f>M25</f>
        <v>875.11199999999985</v>
      </c>
      <c r="T25" s="429">
        <f t="shared" si="13"/>
        <v>825.3839999999999</v>
      </c>
      <c r="U25" s="454">
        <f t="shared" si="14"/>
        <v>962.62319999999988</v>
      </c>
      <c r="V25" s="454">
        <f t="shared" ref="V25:V26" si="28">T25*1.1</f>
        <v>907.92239999999993</v>
      </c>
      <c r="W25" s="433">
        <f>'Tariffs 2018'!AX19</f>
        <v>0</v>
      </c>
      <c r="X25" s="433" t="str">
        <f>'Tariffs 2018'!AY19</f>
        <v>n</v>
      </c>
      <c r="Y25" s="434" t="s">
        <v>288</v>
      </c>
    </row>
    <row r="26" spans="1:25" ht="23" customHeight="1" thickBot="1" x14ac:dyDescent="0.35">
      <c r="A26" s="435" t="str">
        <f>'Tariffs 2018'!F20</f>
        <v>Red Energy</v>
      </c>
      <c r="B26" s="436" t="str">
        <f>'Tariffs 2018'!D20</f>
        <v>Envestra Cooma</v>
      </c>
      <c r="C26" s="436" t="str">
        <f>'Tariffs 2018'!G20</f>
        <v>Easy Saver</v>
      </c>
      <c r="D26" s="437">
        <f>60*'Tariffs 2018'!H20/100</f>
        <v>43.566000000000003</v>
      </c>
      <c r="E26" s="437">
        <f>$C$5*'Tariffs 2018'!O20/100</f>
        <v>106.8</v>
      </c>
      <c r="F26" s="437">
        <v>0</v>
      </c>
      <c r="G26" s="437">
        <v>0</v>
      </c>
      <c r="H26" s="437">
        <v>0</v>
      </c>
      <c r="I26" s="437">
        <v>0</v>
      </c>
      <c r="J26" s="437">
        <v>0</v>
      </c>
      <c r="K26" s="437">
        <f t="shared" si="2"/>
        <v>150.36599999999999</v>
      </c>
      <c r="L26" s="438">
        <f t="shared" si="3"/>
        <v>640.79999999999995</v>
      </c>
      <c r="M26" s="439">
        <f t="shared" si="4"/>
        <v>902.19599999999991</v>
      </c>
      <c r="N26" s="442">
        <f t="shared" si="5"/>
        <v>992.41560000000004</v>
      </c>
      <c r="O26" s="436">
        <f>'Tariffs 2018'!AL20</f>
        <v>0</v>
      </c>
      <c r="P26" s="436">
        <f>'Tariffs 2018'!AM20</f>
        <v>0</v>
      </c>
      <c r="Q26" s="436">
        <f>'Tariffs 2018'!AN20</f>
        <v>10</v>
      </c>
      <c r="R26" s="436">
        <f>'Tariffs 2018'!AO20</f>
        <v>0</v>
      </c>
      <c r="S26" s="439">
        <f t="shared" ref="S26" si="29">M26</f>
        <v>902.19599999999991</v>
      </c>
      <c r="T26" s="439">
        <f>S26-(M26*Q26/100)</f>
        <v>811.9763999999999</v>
      </c>
      <c r="U26" s="455">
        <f t="shared" si="14"/>
        <v>992.41560000000004</v>
      </c>
      <c r="V26" s="455">
        <f t="shared" si="28"/>
        <v>893.17403999999999</v>
      </c>
      <c r="W26" s="443">
        <f>'Tariffs 2018'!AX20</f>
        <v>0</v>
      </c>
      <c r="X26" s="443" t="str">
        <f>'Tariffs 2018'!AY20</f>
        <v>n</v>
      </c>
      <c r="Y26" s="444" t="s">
        <v>400</v>
      </c>
    </row>
    <row r="27" spans="1:25" ht="23" customHeight="1" thickTop="1" x14ac:dyDescent="0.3">
      <c r="A27" s="425" t="str">
        <f>'Tariffs 2018'!F21</f>
        <v>Origin Energy</v>
      </c>
      <c r="B27" s="426" t="str">
        <f>'Tariffs 2018'!D21</f>
        <v>Envestra Temora</v>
      </c>
      <c r="C27" s="426" t="str">
        <f>'Tariffs 2018'!G21</f>
        <v>Saver</v>
      </c>
      <c r="D27" s="427">
        <f>60*'Tariffs 2018'!H21/100</f>
        <v>45.186000000000007</v>
      </c>
      <c r="E27" s="427">
        <f>$C$5*'Tariffs 2018'!O21/100</f>
        <v>105.2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f t="shared" si="2"/>
        <v>150.38600000000002</v>
      </c>
      <c r="L27" s="428">
        <f t="shared" si="3"/>
        <v>631.20000000000005</v>
      </c>
      <c r="M27" s="429">
        <f t="shared" si="4"/>
        <v>902.31600000000014</v>
      </c>
      <c r="N27" s="432">
        <f t="shared" si="5"/>
        <v>992.54760000000022</v>
      </c>
      <c r="O27" s="426">
        <f>'Tariffs 2018'!AL21</f>
        <v>0</v>
      </c>
      <c r="P27" s="426">
        <f>'Tariffs 2018'!AM21</f>
        <v>0</v>
      </c>
      <c r="Q27" s="426">
        <f>'Tariffs 2018'!AN21</f>
        <v>0</v>
      </c>
      <c r="R27" s="426">
        <f>'Tariffs 2018'!AO21</f>
        <v>8</v>
      </c>
      <c r="S27" s="429">
        <f t="shared" ref="S27:S33" si="30">M27</f>
        <v>902.31600000000014</v>
      </c>
      <c r="T27" s="429">
        <f>S27-(L27*R27/100)</f>
        <v>851.82000000000016</v>
      </c>
      <c r="U27" s="454">
        <f t="shared" si="14"/>
        <v>992.54760000000022</v>
      </c>
      <c r="V27" s="454">
        <f t="shared" ref="V27" si="31">T27*1.1</f>
        <v>937.00200000000029</v>
      </c>
      <c r="W27" s="433">
        <f>'Tariffs 2018'!AX21</f>
        <v>0</v>
      </c>
      <c r="X27" s="433" t="str">
        <f>'Tariffs 2018'!AY21</f>
        <v>n</v>
      </c>
      <c r="Y27" s="434" t="s">
        <v>288</v>
      </c>
    </row>
    <row r="28" spans="1:25" ht="23" customHeight="1" thickBot="1" x14ac:dyDescent="0.35">
      <c r="A28" s="435" t="str">
        <f>'Tariffs 2018'!F22</f>
        <v>AGL</v>
      </c>
      <c r="B28" s="436" t="str">
        <f>'Tariffs 2018'!D22</f>
        <v>Envestra Temora</v>
      </c>
      <c r="C28" s="436" t="str">
        <f>'Tariffs 2018'!G22</f>
        <v>Savers</v>
      </c>
      <c r="D28" s="437">
        <f>60*'Tariffs 2018'!H22/100</f>
        <v>51</v>
      </c>
      <c r="E28" s="437">
        <f>$C$5*'Tariffs 2018'!O22/100</f>
        <v>114</v>
      </c>
      <c r="F28" s="437">
        <v>0</v>
      </c>
      <c r="G28" s="437">
        <v>0</v>
      </c>
      <c r="H28" s="437">
        <v>0</v>
      </c>
      <c r="I28" s="437">
        <v>0</v>
      </c>
      <c r="J28" s="437">
        <v>0</v>
      </c>
      <c r="K28" s="437">
        <f t="shared" ref="K28" si="32">SUM(D28:J28)</f>
        <v>165</v>
      </c>
      <c r="L28" s="438">
        <f t="shared" ref="L28" si="33">(K28*6)-(D28*6)</f>
        <v>684</v>
      </c>
      <c r="M28" s="439">
        <f t="shared" ref="M28" si="34">K28*6</f>
        <v>990</v>
      </c>
      <c r="N28" s="442">
        <f t="shared" ref="N28" si="35">M28*1.1</f>
        <v>1089</v>
      </c>
      <c r="O28" s="436">
        <f>'Tariffs 2018'!AL22</f>
        <v>0</v>
      </c>
      <c r="P28" s="436">
        <f>'Tariffs 2018'!AM22</f>
        <v>0</v>
      </c>
      <c r="Q28" s="436">
        <f>'Tariffs 2018'!AN22</f>
        <v>0</v>
      </c>
      <c r="R28" s="436">
        <f>'Tariffs 2018'!AO22</f>
        <v>13</v>
      </c>
      <c r="S28" s="439">
        <f t="shared" si="30"/>
        <v>990</v>
      </c>
      <c r="T28" s="439">
        <f>S28-(L28*R28/100)</f>
        <v>901.08</v>
      </c>
      <c r="U28" s="455">
        <f t="shared" si="14"/>
        <v>1089</v>
      </c>
      <c r="V28" s="455">
        <f t="shared" ref="V28" si="36">T28*1.1</f>
        <v>991.1880000000001</v>
      </c>
      <c r="W28" s="443">
        <f>'Tariffs 2018'!AX22</f>
        <v>0</v>
      </c>
      <c r="X28" s="443" t="str">
        <f>'Tariffs 2018'!AY22</f>
        <v>n</v>
      </c>
      <c r="Y28" s="444" t="s">
        <v>288</v>
      </c>
    </row>
    <row r="29" spans="1:25" ht="23" customHeight="1" thickTop="1" x14ac:dyDescent="0.3">
      <c r="A29" s="425" t="str">
        <f>'Tariffs 2018'!F23</f>
        <v>Origin Energy</v>
      </c>
      <c r="B29" s="426" t="str">
        <f>'Tariffs 2018'!D23</f>
        <v>Envestra Tumut</v>
      </c>
      <c r="C29" s="426" t="str">
        <f>'Tariffs 2018'!G23</f>
        <v>Saver</v>
      </c>
      <c r="D29" s="427">
        <f>60*'Tariffs 2018'!H23/100</f>
        <v>48.311999999999998</v>
      </c>
      <c r="E29" s="427">
        <f>$C$5*'Tariffs 2018'!O23/100</f>
        <v>108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f t="shared" si="2"/>
        <v>156.31200000000001</v>
      </c>
      <c r="L29" s="428">
        <f t="shared" si="3"/>
        <v>648.00000000000011</v>
      </c>
      <c r="M29" s="429">
        <f t="shared" si="4"/>
        <v>937.87200000000007</v>
      </c>
      <c r="N29" s="432">
        <f t="shared" si="5"/>
        <v>1031.6592000000001</v>
      </c>
      <c r="O29" s="426">
        <f>'Tariffs 2018'!AL23</f>
        <v>0</v>
      </c>
      <c r="P29" s="426">
        <f>'Tariffs 2018'!AM23</f>
        <v>0</v>
      </c>
      <c r="Q29" s="426">
        <f>'Tariffs 2018'!AN23</f>
        <v>0</v>
      </c>
      <c r="R29" s="426">
        <f>'Tariffs 2018'!AO23</f>
        <v>8</v>
      </c>
      <c r="S29" s="429">
        <f t="shared" si="30"/>
        <v>937.87200000000007</v>
      </c>
      <c r="T29" s="429">
        <f>S29-(L29*R29/100)</f>
        <v>886.03200000000004</v>
      </c>
      <c r="U29" s="454">
        <f t="shared" si="14"/>
        <v>1031.6592000000001</v>
      </c>
      <c r="V29" s="454">
        <f t="shared" ref="V29:V30" si="37">T29*1.1</f>
        <v>974.63520000000017</v>
      </c>
      <c r="W29" s="433">
        <f>'Tariffs 2018'!AX23</f>
        <v>0</v>
      </c>
      <c r="X29" s="433" t="str">
        <f>'Tariffs 2018'!AY23</f>
        <v>n</v>
      </c>
      <c r="Y29" s="434" t="s">
        <v>288</v>
      </c>
    </row>
    <row r="30" spans="1:25" ht="23" customHeight="1" thickBot="1" x14ac:dyDescent="0.35">
      <c r="A30" s="435" t="str">
        <f>'Tariffs 2018'!F24</f>
        <v>Red Energy</v>
      </c>
      <c r="B30" s="436" t="str">
        <f>'Tariffs 2018'!D24</f>
        <v>Envestra Tumut</v>
      </c>
      <c r="C30" s="436" t="str">
        <f>'Tariffs 2018'!G24</f>
        <v>Easy Saver</v>
      </c>
      <c r="D30" s="437">
        <f>60*'Tariffs 2018'!H24/100</f>
        <v>49.811999999999998</v>
      </c>
      <c r="E30" s="437">
        <f>$C$5*'Tariffs 2018'!O24/100</f>
        <v>111.2</v>
      </c>
      <c r="F30" s="437">
        <v>0</v>
      </c>
      <c r="G30" s="437">
        <v>0</v>
      </c>
      <c r="H30" s="437">
        <v>0</v>
      </c>
      <c r="I30" s="437">
        <v>0</v>
      </c>
      <c r="J30" s="437">
        <v>0</v>
      </c>
      <c r="K30" s="437">
        <f t="shared" si="2"/>
        <v>161.012</v>
      </c>
      <c r="L30" s="438">
        <f t="shared" si="3"/>
        <v>667.2</v>
      </c>
      <c r="M30" s="439">
        <f t="shared" si="4"/>
        <v>966.072</v>
      </c>
      <c r="N30" s="442">
        <f t="shared" si="5"/>
        <v>1062.6792</v>
      </c>
      <c r="O30" s="436">
        <f>'Tariffs 2018'!AL24</f>
        <v>0</v>
      </c>
      <c r="P30" s="436">
        <f>'Tariffs 2018'!AM24</f>
        <v>0</v>
      </c>
      <c r="Q30" s="436">
        <f>'Tariffs 2018'!AN24</f>
        <v>10</v>
      </c>
      <c r="R30" s="436">
        <f>'Tariffs 2018'!AO24</f>
        <v>0</v>
      </c>
      <c r="S30" s="439">
        <f t="shared" si="30"/>
        <v>966.072</v>
      </c>
      <c r="T30" s="439">
        <f>S30-(M30*Q30/100)</f>
        <v>869.46479999999997</v>
      </c>
      <c r="U30" s="455">
        <f t="shared" si="14"/>
        <v>1062.6792</v>
      </c>
      <c r="V30" s="455">
        <f t="shared" si="37"/>
        <v>956.41128000000003</v>
      </c>
      <c r="W30" s="443">
        <f>'Tariffs 2018'!AX24</f>
        <v>0</v>
      </c>
      <c r="X30" s="443" t="str">
        <f>'Tariffs 2018'!AY24</f>
        <v>n</v>
      </c>
      <c r="Y30" s="444" t="s">
        <v>400</v>
      </c>
    </row>
    <row r="31" spans="1:25" ht="23" customHeight="1" thickTop="1" x14ac:dyDescent="0.3">
      <c r="A31" s="425" t="str">
        <f>'Tariffs 2018'!F25</f>
        <v>Origin Energy</v>
      </c>
      <c r="B31" s="426" t="str">
        <f>'Tariffs 2018'!D25</f>
        <v>Envestra Wagga Wagga</v>
      </c>
      <c r="C31" s="426" t="str">
        <f>'Tariffs 2018'!G25</f>
        <v>Saver</v>
      </c>
      <c r="D31" s="427">
        <f>60*'Tariffs 2018'!H25/100</f>
        <v>51.281999999999996</v>
      </c>
      <c r="E31" s="427">
        <f>$C$5*'Tariffs 2018'!O25/100</f>
        <v>87.2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f t="shared" si="2"/>
        <v>138.482</v>
      </c>
      <c r="L31" s="428">
        <f t="shared" si="3"/>
        <v>523.20000000000005</v>
      </c>
      <c r="M31" s="429">
        <f t="shared" si="4"/>
        <v>830.89200000000005</v>
      </c>
      <c r="N31" s="432">
        <f t="shared" si="5"/>
        <v>913.98120000000017</v>
      </c>
      <c r="O31" s="426">
        <f>'Tariffs 2018'!AL25</f>
        <v>0</v>
      </c>
      <c r="P31" s="426">
        <f>'Tariffs 2018'!AM25</f>
        <v>0</v>
      </c>
      <c r="Q31" s="426">
        <f>'Tariffs 2018'!AN25</f>
        <v>0</v>
      </c>
      <c r="R31" s="426">
        <f>'Tariffs 2018'!AO25</f>
        <v>8</v>
      </c>
      <c r="S31" s="429">
        <f t="shared" si="30"/>
        <v>830.89200000000005</v>
      </c>
      <c r="T31" s="429">
        <f>S31-(L31*R31/100)</f>
        <v>789.03600000000006</v>
      </c>
      <c r="U31" s="454">
        <f t="shared" si="14"/>
        <v>913.98120000000017</v>
      </c>
      <c r="V31" s="454">
        <f t="shared" ref="V31" si="38">T31*1.1</f>
        <v>867.93960000000015</v>
      </c>
      <c r="W31" s="433">
        <f>'Tariffs 2018'!AX25</f>
        <v>0</v>
      </c>
      <c r="X31" s="433" t="str">
        <f>'Tariffs 2018'!AY25</f>
        <v>n</v>
      </c>
      <c r="Y31" s="434" t="s">
        <v>288</v>
      </c>
    </row>
    <row r="32" spans="1:25" ht="23" customHeight="1" thickBot="1" x14ac:dyDescent="0.35">
      <c r="A32" s="435" t="str">
        <f>'Tariffs 2018'!F26</f>
        <v>AGL</v>
      </c>
      <c r="B32" s="436" t="str">
        <f>'Tariffs 2018'!D26</f>
        <v>Envestra Wagga Wagga</v>
      </c>
      <c r="C32" s="436" t="str">
        <f>'Tariffs 2018'!G26</f>
        <v>Savers</v>
      </c>
      <c r="D32" s="437">
        <f>60*'Tariffs 2018'!H26/100</f>
        <v>57.6</v>
      </c>
      <c r="E32" s="437">
        <f>$C$5*'Tariffs 2018'!O26/100</f>
        <v>93.6</v>
      </c>
      <c r="F32" s="437">
        <v>0</v>
      </c>
      <c r="G32" s="437">
        <v>0</v>
      </c>
      <c r="H32" s="437">
        <v>0</v>
      </c>
      <c r="I32" s="437">
        <v>0</v>
      </c>
      <c r="J32" s="437">
        <v>0</v>
      </c>
      <c r="K32" s="437">
        <f t="shared" ref="K32" si="39">SUM(D32:J32)</f>
        <v>151.19999999999999</v>
      </c>
      <c r="L32" s="438">
        <f t="shared" ref="L32" si="40">(K32*6)-(D32*6)</f>
        <v>561.59999999999991</v>
      </c>
      <c r="M32" s="439">
        <f t="shared" ref="M32" si="41">K32*6</f>
        <v>907.19999999999993</v>
      </c>
      <c r="N32" s="442">
        <f t="shared" ref="N32" si="42">M32*1.1</f>
        <v>997.92</v>
      </c>
      <c r="O32" s="436">
        <f>'Tariffs 2018'!AL26</f>
        <v>0</v>
      </c>
      <c r="P32" s="436">
        <f>'Tariffs 2018'!AM26</f>
        <v>0</v>
      </c>
      <c r="Q32" s="436">
        <f>'Tariffs 2018'!AN26</f>
        <v>0</v>
      </c>
      <c r="R32" s="436">
        <f>'Tariffs 2018'!AO26</f>
        <v>13</v>
      </c>
      <c r="S32" s="439">
        <f t="shared" si="30"/>
        <v>907.19999999999993</v>
      </c>
      <c r="T32" s="439">
        <f>S32-(L32*R32/100)</f>
        <v>834.19199999999989</v>
      </c>
      <c r="U32" s="455">
        <f t="shared" si="14"/>
        <v>997.92</v>
      </c>
      <c r="V32" s="455">
        <f t="shared" ref="V32" si="43">T32*1.1</f>
        <v>917.61119999999994</v>
      </c>
      <c r="W32" s="443">
        <f>'Tariffs 2018'!AX26</f>
        <v>0</v>
      </c>
      <c r="X32" s="443" t="str">
        <f>'Tariffs 2018'!AY26</f>
        <v>n</v>
      </c>
      <c r="Y32" s="444" t="s">
        <v>288</v>
      </c>
    </row>
    <row r="33" spans="1:25" ht="23" customHeight="1" thickTop="1" thickBot="1" x14ac:dyDescent="0.35">
      <c r="A33" s="217" t="str">
        <f>'Tariffs 2018'!F27</f>
        <v>Origin Energy</v>
      </c>
      <c r="B33" s="48" t="str">
        <f>'Tariffs 2018'!D27</f>
        <v>Central Ranges Tamworth</v>
      </c>
      <c r="C33" s="48" t="str">
        <f>'Tariffs 2018'!G27</f>
        <v>Saver</v>
      </c>
      <c r="D33" s="218">
        <f>60*'Tariffs 2018'!H27/100</f>
        <v>38.406000000000006</v>
      </c>
      <c r="E33" s="218">
        <f>$C$5*'Tariffs 2018'!O27/100</f>
        <v>154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f t="shared" si="2"/>
        <v>192.40600000000001</v>
      </c>
      <c r="L33" s="416">
        <f t="shared" si="3"/>
        <v>924.00000000000011</v>
      </c>
      <c r="M33" s="417">
        <f t="shared" si="4"/>
        <v>1154.4360000000001</v>
      </c>
      <c r="N33" s="220">
        <f t="shared" si="5"/>
        <v>1269.8796000000002</v>
      </c>
      <c r="O33" s="48">
        <f>'Tariffs 2018'!AL27</f>
        <v>0</v>
      </c>
      <c r="P33" s="48">
        <f>'Tariffs 2018'!AM27</f>
        <v>0</v>
      </c>
      <c r="Q33" s="48">
        <f>'Tariffs 2018'!AN27</f>
        <v>0</v>
      </c>
      <c r="R33" s="48">
        <f>'Tariffs 2018'!AO27</f>
        <v>8</v>
      </c>
      <c r="S33" s="417">
        <f t="shared" si="30"/>
        <v>1154.4360000000001</v>
      </c>
      <c r="T33" s="417">
        <f>S33-(L33*R33/100)</f>
        <v>1080.5160000000001</v>
      </c>
      <c r="U33" s="456">
        <f t="shared" si="14"/>
        <v>1269.8796000000002</v>
      </c>
      <c r="V33" s="456">
        <f t="shared" ref="V33" si="44">T33*1.1</f>
        <v>1188.5676000000001</v>
      </c>
      <c r="W33" s="222">
        <f>'Tariffs 2018'!AX27</f>
        <v>0</v>
      </c>
      <c r="X33" s="222" t="str">
        <f>'Tariffs 2018'!AY27</f>
        <v>n</v>
      </c>
      <c r="Y33" s="223" t="s">
        <v>288</v>
      </c>
    </row>
  </sheetData>
  <sheetProtection algorithmName="SHA-512" hashValue="k1qWoq6rzaVp7eLrN8uNyu6OJFXKumuS6jFinSx1Map/5ewFhtaBn9jMHGO8ID+GNjeybY4o9d512+6XqplzaA==" saltValue="ImF7DZjdIkSck1I59L5fcg==" spinCount="100000" sheet="1" objects="1" scenarios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EP249"/>
  <sheetViews>
    <sheetView workbookViewId="0">
      <selection activeCell="E18" sqref="E18"/>
    </sheetView>
  </sheetViews>
  <sheetFormatPr defaultColWidth="10.84375" defaultRowHeight="13.5" x14ac:dyDescent="0.3"/>
  <cols>
    <col min="1" max="1" width="17" style="35" customWidth="1"/>
    <col min="2" max="2" width="23.4609375" style="35" customWidth="1"/>
    <col min="3" max="3" width="12.4609375" style="35" customWidth="1"/>
    <col min="4" max="11" width="12.15234375" style="35" customWidth="1"/>
    <col min="12" max="12" width="10.69140625" style="35" hidden="1" customWidth="1"/>
    <col min="13" max="13" width="12.15234375" style="35" hidden="1" customWidth="1"/>
    <col min="14" max="18" width="12.15234375" style="35" customWidth="1"/>
    <col min="19" max="20" width="10.69140625" style="35" hidden="1" customWidth="1"/>
    <col min="21" max="24" width="12.15234375" style="35" customWidth="1"/>
    <col min="25" max="25" width="10.84375" style="35"/>
    <col min="26" max="140" width="10.84375" style="464"/>
    <col min="141" max="146" width="10.84375" style="465"/>
    <col min="147" max="16384" width="10.84375" style="44"/>
  </cols>
  <sheetData>
    <row r="1" spans="1:25" s="464" customFormat="1" ht="14" x14ac:dyDescent="0.3">
      <c r="A1" s="227" t="s">
        <v>483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8"/>
    </row>
    <row r="2" spans="1:25" s="464" customFormat="1" ht="14" x14ac:dyDescent="0.3">
      <c r="A2" s="229" t="s">
        <v>484</v>
      </c>
      <c r="B2" s="229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8"/>
    </row>
    <row r="3" spans="1:25" s="464" customFormat="1" ht="14.5" thickBot="1" x14ac:dyDescent="0.35">
      <c r="A3" s="227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30"/>
      <c r="Y3" s="228"/>
    </row>
    <row r="4" spans="1:25" ht="14" x14ac:dyDescent="0.3">
      <c r="A4" s="206" t="s">
        <v>423</v>
      </c>
      <c r="B4" s="207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119"/>
    </row>
    <row r="5" spans="1:25" ht="14" x14ac:dyDescent="0.3">
      <c r="A5" s="120" t="s">
        <v>662</v>
      </c>
      <c r="B5" s="209"/>
      <c r="C5" s="224">
        <v>5000</v>
      </c>
      <c r="D5" s="44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121"/>
    </row>
    <row r="6" spans="1:25" ht="14" x14ac:dyDescent="0.3">
      <c r="A6" s="120"/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121"/>
    </row>
    <row r="7" spans="1:25" ht="70" x14ac:dyDescent="0.3">
      <c r="A7" s="397" t="s">
        <v>267</v>
      </c>
      <c r="B7" s="398" t="s">
        <v>424</v>
      </c>
      <c r="C7" s="398" t="s">
        <v>351</v>
      </c>
      <c r="D7" s="399" t="s">
        <v>352</v>
      </c>
      <c r="E7" s="399" t="s">
        <v>425</v>
      </c>
      <c r="F7" s="400" t="s">
        <v>426</v>
      </c>
      <c r="G7" s="400" t="s">
        <v>471</v>
      </c>
      <c r="H7" s="400" t="s">
        <v>398</v>
      </c>
      <c r="I7" s="400" t="s">
        <v>399</v>
      </c>
      <c r="J7" s="400" t="s">
        <v>427</v>
      </c>
      <c r="K7" s="400" t="s">
        <v>120</v>
      </c>
      <c r="L7" s="401" t="s">
        <v>401</v>
      </c>
      <c r="M7" s="402" t="s">
        <v>402</v>
      </c>
      <c r="N7" s="401" t="s">
        <v>437</v>
      </c>
      <c r="O7" s="403" t="s">
        <v>403</v>
      </c>
      <c r="P7" s="404" t="s">
        <v>404</v>
      </c>
      <c r="Q7" s="404" t="s">
        <v>405</v>
      </c>
      <c r="R7" s="404" t="s">
        <v>406</v>
      </c>
      <c r="S7" s="405" t="s">
        <v>53</v>
      </c>
      <c r="T7" s="405" t="s">
        <v>0</v>
      </c>
      <c r="U7" s="405" t="s">
        <v>419</v>
      </c>
      <c r="V7" s="405" t="s">
        <v>420</v>
      </c>
      <c r="W7" s="406" t="s">
        <v>421</v>
      </c>
      <c r="X7" s="404" t="s">
        <v>422</v>
      </c>
      <c r="Y7" s="407" t="s">
        <v>438</v>
      </c>
    </row>
    <row r="8" spans="1:25" ht="25" customHeight="1" x14ac:dyDescent="0.3">
      <c r="A8" s="210" t="str">
        <f>'Tariffs 2017'!F2</f>
        <v>AGL</v>
      </c>
      <c r="B8" s="44" t="str">
        <f>'Tariffs 2017'!D2</f>
        <v>Jemena</v>
      </c>
      <c r="C8" s="44" t="str">
        <f>'Tariffs 2017'!G2</f>
        <v>Savers</v>
      </c>
      <c r="D8" s="211">
        <f>60*'Tariffs 2017'!H2/100</f>
        <v>38.4</v>
      </c>
      <c r="E8" s="211">
        <f>C5*'Tariffs 2017'!O2/100</f>
        <v>140</v>
      </c>
      <c r="F8" s="211">
        <v>0</v>
      </c>
      <c r="G8" s="211">
        <v>0</v>
      </c>
      <c r="H8" s="211">
        <v>0</v>
      </c>
      <c r="I8" s="211">
        <v>0</v>
      </c>
      <c r="J8" s="211">
        <v>0</v>
      </c>
      <c r="K8" s="211">
        <f>SUM(D8:J8)</f>
        <v>178.4</v>
      </c>
      <c r="L8" s="212">
        <f>(K8*6)-(D8*6)</f>
        <v>840.00000000000011</v>
      </c>
      <c r="M8" s="213">
        <f>K8*6</f>
        <v>1070.4000000000001</v>
      </c>
      <c r="N8" s="214">
        <f>M8*1.1</f>
        <v>1177.4400000000003</v>
      </c>
      <c r="O8" s="44">
        <f>'Tariffs 2017'!AK2</f>
        <v>0</v>
      </c>
      <c r="P8" s="44">
        <f>'Tariffs 2017'!AL2</f>
        <v>0</v>
      </c>
      <c r="Q8" s="44">
        <f>'Tariffs 2017'!AM2</f>
        <v>0</v>
      </c>
      <c r="R8" s="44">
        <f>'Tariffs 2017'!AN2</f>
        <v>12</v>
      </c>
      <c r="S8" s="213">
        <f t="shared" ref="S8:S13" si="0">M8</f>
        <v>1070.4000000000001</v>
      </c>
      <c r="T8" s="213">
        <f>S8-(L8*R8/100)</f>
        <v>969.60000000000014</v>
      </c>
      <c r="U8" s="261">
        <f>S8*1.1</f>
        <v>1177.4400000000003</v>
      </c>
      <c r="V8" s="261">
        <f>T8*1.1</f>
        <v>1066.5600000000002</v>
      </c>
      <c r="W8" s="215">
        <f>'Tariffs 2017'!AU2</f>
        <v>0</v>
      </c>
      <c r="X8" s="215" t="str">
        <f>'Tariffs 2017'!AV2</f>
        <v>n</v>
      </c>
      <c r="Y8" s="216" t="s">
        <v>288</v>
      </c>
    </row>
    <row r="9" spans="1:25" ht="25" customHeight="1" x14ac:dyDescent="0.3">
      <c r="A9" s="210" t="str">
        <f>'Tariffs 2017'!F3</f>
        <v>Covau</v>
      </c>
      <c r="B9" s="44" t="str">
        <f>'Tariffs 2017'!D3</f>
        <v>Jemena</v>
      </c>
      <c r="C9" s="44" t="str">
        <f>'Tariffs 2017'!G3</f>
        <v>Freedom</v>
      </c>
      <c r="D9" s="211">
        <f>60*'Tariffs 2017'!H3/100</f>
        <v>45</v>
      </c>
      <c r="E9" s="211">
        <f>IF($C$5&gt;='Tariffs 2017'!J3,('Tariffs 2017'!J3*'Tariffs 2017'!O3/100),($C$5*'Tariffs 2017'!O3/100))</f>
        <v>46.2</v>
      </c>
      <c r="F9" s="211">
        <f>IF($C$5&lt;'Tariffs 2017'!J3,0,IF(($C$5-'Tariffs 2017'!J3)&lt;='Tariffs 2017'!K3,(($C$5-'Tariffs 2017'!J3)*'Tariffs 2017'!P3/100),(('Tariffs 2017'!K3-'Tariffs 2017'!J3)*'Tariffs 2017'!P3/100)))</f>
        <v>29.4</v>
      </c>
      <c r="G9" s="211">
        <f>IF($C$5&lt;'Tariffs 2017'!K3,0,IF(($C$5-'Tariffs 2017'!K3)&lt;='Tariffs 2017'!L3,(($C$5-'Tariffs 2017'!K3)*'Tariffs 2017'!Q3/100),(('Tariffs 2017'!L3-'Tariffs 2017'!K3)*'Tariffs 2017'!Q3/100)))</f>
        <v>60.06</v>
      </c>
      <c r="H9" s="211">
        <f>IF($C$5&lt;'Tariffs 2017'!L3,0,IF(($C$5-'Tariffs 2017'!L3)&lt;='Tariffs 2017'!M3,(($C$5-'Tariffs 2017'!L3)*'Tariffs 2017'!R3/100),(('Tariffs 2017'!M3-'Tariffs 2017'!L3)*'Tariffs 2017'!R3/100)))</f>
        <v>0</v>
      </c>
      <c r="I9" s="211">
        <f>IF($C$5&lt;'Tariffs 2017'!M3,0,IF(($C$5-'Tariffs 2017'!M3)&lt;='Tariffs 2017'!N3,(($C$5-'Tariffs 2017'!M3)*'Tariffs 2017'!S3/100),(('Tariffs 2017'!N3-'Tariffs 2017'!M3)*'Tariffs 2017'!S3/100)))</f>
        <v>0</v>
      </c>
      <c r="J9" s="211">
        <f>IF(($C$5&lt;'Tariffs 2017'!N3),(0),($C$5-'Tariffs 2017'!N3)*'Tariffs 2017'!T3/100)</f>
        <v>0</v>
      </c>
      <c r="K9" s="211">
        <f t="shared" ref="K9:K26" si="1">SUM(D9:J9)</f>
        <v>180.66</v>
      </c>
      <c r="L9" s="212">
        <f t="shared" ref="L9:L26" si="2">(K9*6)-(D9*6)</f>
        <v>813.96</v>
      </c>
      <c r="M9" s="213">
        <f t="shared" ref="M9:M26" si="3">K9*6</f>
        <v>1083.96</v>
      </c>
      <c r="N9" s="214">
        <f t="shared" ref="N9:N26" si="4">M9*1.1</f>
        <v>1192.3560000000002</v>
      </c>
      <c r="O9" s="44">
        <f>'Tariffs 2017'!AK3</f>
        <v>0</v>
      </c>
      <c r="P9" s="44">
        <f>'Tariffs 2017'!AL3</f>
        <v>0</v>
      </c>
      <c r="Q9" s="44">
        <f>'Tariffs 2017'!AM3</f>
        <v>0</v>
      </c>
      <c r="R9" s="44">
        <f>'Tariffs 2017'!AN3</f>
        <v>18</v>
      </c>
      <c r="S9" s="213">
        <f t="shared" si="0"/>
        <v>1083.96</v>
      </c>
      <c r="T9" s="213">
        <f>S9-(L9*R9/100)</f>
        <v>937.44720000000007</v>
      </c>
      <c r="U9" s="261">
        <f t="shared" ref="U9:V13" si="5">S9*1.1</f>
        <v>1192.3560000000002</v>
      </c>
      <c r="V9" s="261">
        <f t="shared" si="5"/>
        <v>1031.1919200000002</v>
      </c>
      <c r="W9" s="215">
        <f>'Tariffs 2017'!AU3</f>
        <v>12</v>
      </c>
      <c r="X9" s="215" t="str">
        <f>'Tariffs 2017'!AV3</f>
        <v>n</v>
      </c>
      <c r="Y9" s="216" t="s">
        <v>288</v>
      </c>
    </row>
    <row r="10" spans="1:25" ht="25" customHeight="1" x14ac:dyDescent="0.3">
      <c r="A10" s="210" t="str">
        <f>'Tariffs 2017'!F4</f>
        <v>Dodo Power &amp; Gas</v>
      </c>
      <c r="B10" s="44" t="str">
        <f>'Tariffs 2017'!D4</f>
        <v>Jemena</v>
      </c>
      <c r="C10" s="44" t="str">
        <f>'Tariffs 2017'!G4</f>
        <v>Market offer</v>
      </c>
      <c r="D10" s="211">
        <f>60*'Tariffs 2017'!H4/100</f>
        <v>32.663999999999994</v>
      </c>
      <c r="E10" s="211">
        <f>IF($C$5&gt;='Tariffs 2017'!J4,('Tariffs 2017'!J4*'Tariffs 2017'!O4/100),($C$5*'Tariffs 2017'!O4/100))</f>
        <v>48.6</v>
      </c>
      <c r="F10" s="211">
        <f>IF($C$5&lt;'Tariffs 2017'!J4,0,IF(($C$5-'Tariffs 2017'!J4)&lt;='Tariffs 2017'!K4,(($C$5-'Tariffs 2017'!J4)*'Tariffs 2017'!P4/100),(('Tariffs 2017'!K4-'Tariffs 2017'!J4)*'Tariffs 2017'!P4/100)))</f>
        <v>28.2</v>
      </c>
      <c r="G10" s="211">
        <f>IF($C$5&lt;'Tariffs 2017'!K4,0,IF(($C$5-'Tariffs 2017'!K4)&lt;='Tariffs 2017'!L4,(($C$5-'Tariffs 2017'!K4)*'Tariffs 2017'!Q4/100),(('Tariffs 2017'!L4-'Tariffs 2017'!K4)*'Tariffs 2017'!Q4/100)))</f>
        <v>61.1</v>
      </c>
      <c r="H10" s="211">
        <f>IF($C$5&lt;'Tariffs 2017'!L4,0,IF(($C$5-'Tariffs 2017'!L4)&lt;='Tariffs 2017'!M4,(($C$5-'Tariffs 2017'!L4)*'Tariffs 2017'!R4/100),(('Tariffs 2017'!M4-'Tariffs 2017'!L4)*'Tariffs 2017'!R4/100)))</f>
        <v>0</v>
      </c>
      <c r="I10" s="211">
        <f>IF($C$5&lt;'Tariffs 2017'!M4,0,IF(($C$5-'Tariffs 2017'!M4)&lt;='Tariffs 2017'!N4,(($C$5-'Tariffs 2017'!M4)*'Tariffs 2017'!S4/100),(('Tariffs 2017'!N4-'Tariffs 2017'!M4)*'Tariffs 2017'!S4/100)))</f>
        <v>0</v>
      </c>
      <c r="J10" s="211">
        <f>IF(($C$5&lt;'Tariffs 2017'!N4),(0),($C$5-'Tariffs 2017'!N4)*'Tariffs 2017'!T4/100)</f>
        <v>0</v>
      </c>
      <c r="K10" s="211">
        <f t="shared" si="1"/>
        <v>170.56399999999999</v>
      </c>
      <c r="L10" s="212">
        <f t="shared" si="2"/>
        <v>827.40000000000009</v>
      </c>
      <c r="M10" s="213">
        <f t="shared" si="3"/>
        <v>1023.384</v>
      </c>
      <c r="N10" s="214">
        <f t="shared" si="4"/>
        <v>1125.7224000000001</v>
      </c>
      <c r="O10" s="44">
        <f>'Tariffs 2017'!AK4</f>
        <v>0</v>
      </c>
      <c r="P10" s="44">
        <f>'Tariffs 2017'!AL4</f>
        <v>0</v>
      </c>
      <c r="Q10" s="44">
        <f>'Tariffs 2017'!AM4</f>
        <v>0</v>
      </c>
      <c r="R10" s="44">
        <f>'Tariffs 2017'!AN4</f>
        <v>0</v>
      </c>
      <c r="S10" s="213">
        <f t="shared" si="0"/>
        <v>1023.384</v>
      </c>
      <c r="T10" s="213">
        <f>S10-(L10*R10/100)</f>
        <v>1023.384</v>
      </c>
      <c r="U10" s="261">
        <f t="shared" si="5"/>
        <v>1125.7224000000001</v>
      </c>
      <c r="V10" s="261">
        <f t="shared" si="5"/>
        <v>1125.7224000000001</v>
      </c>
      <c r="W10" s="215">
        <f>'Tariffs 2017'!AU4</f>
        <v>0</v>
      </c>
      <c r="X10" s="215" t="str">
        <f>'Tariffs 2017'!AV4</f>
        <v>n</v>
      </c>
      <c r="Y10" s="216" t="s">
        <v>400</v>
      </c>
    </row>
    <row r="11" spans="1:25" ht="25" customHeight="1" x14ac:dyDescent="0.3">
      <c r="A11" s="210" t="str">
        <f>'Tariffs 2017'!F5</f>
        <v>EnergyAustralia</v>
      </c>
      <c r="B11" s="44" t="str">
        <f>'Tariffs 2017'!D5</f>
        <v>Jemena</v>
      </c>
      <c r="C11" s="44" t="str">
        <f>'Tariffs 2017'!G5</f>
        <v xml:space="preserve">Flexi Saver </v>
      </c>
      <c r="D11" s="211">
        <f>60*'Tariffs 2017'!H5/100</f>
        <v>35.58</v>
      </c>
      <c r="E11" s="211">
        <f>IF($C$5&gt;='Tariffs 2017'!J5,('Tariffs 2017'!J5*'Tariffs 2017'!O5/100),($C$5*'Tariffs 2017'!O5/100))</f>
        <v>48.84</v>
      </c>
      <c r="F11" s="211">
        <f>IF($C$5&lt;'Tariffs 2017'!J5,0,IF(($C$5-'Tariffs 2017'!J5)&lt;='Tariffs 2017'!K5,(($C$5-'Tariffs 2017'!J5)*'Tariffs 2017'!P5/100),(('Tariffs 2017'!K5-'Tariffs 2017'!J5)*'Tariffs 2017'!P5/100)))</f>
        <v>32.640000000000008</v>
      </c>
      <c r="G11" s="211">
        <f>IF($C$5&lt;'Tariffs 2017'!K5,0,IF(($C$5-'Tariffs 2017'!K5)&lt;='Tariffs 2017'!L5,(($C$5-'Tariffs 2017'!K5)*'Tariffs 2017'!Q5/100),(('Tariffs 2017'!L5-'Tariffs 2017'!K5)*'Tariffs 2017'!Q5/100)))</f>
        <v>67.599999999999994</v>
      </c>
      <c r="H11" s="211">
        <f>IF($C$5&lt;'Tariffs 2017'!L5,0,IF(($C$5-'Tariffs 2017'!L5)&lt;='Tariffs 2017'!M5,(($C$5-'Tariffs 2017'!L5)*'Tariffs 2017'!R5/100),(('Tariffs 2017'!M5-'Tariffs 2017'!L5)*'Tariffs 2017'!R5/100)))</f>
        <v>0</v>
      </c>
      <c r="I11" s="211">
        <f>IF($C$5&lt;'Tariffs 2017'!M5,0,IF(($C$5-'Tariffs 2017'!M5)&lt;='Tariffs 2017'!N5,(($C$5-'Tariffs 2017'!M5)*'Tariffs 2017'!S5/100),(('Tariffs 2017'!N5-'Tariffs 2017'!M5)*'Tariffs 2017'!S5/100)))</f>
        <v>0</v>
      </c>
      <c r="J11" s="211">
        <f>IF(($C$5&lt;'Tariffs 2017'!N5),(0),($C$5-'Tariffs 2017'!N5)*'Tariffs 2017'!T5/100)</f>
        <v>0</v>
      </c>
      <c r="K11" s="211">
        <f t="shared" si="1"/>
        <v>184.66</v>
      </c>
      <c r="L11" s="212">
        <f t="shared" si="2"/>
        <v>894.48</v>
      </c>
      <c r="M11" s="213">
        <f t="shared" si="3"/>
        <v>1107.96</v>
      </c>
      <c r="N11" s="214">
        <f t="shared" si="4"/>
        <v>1218.7560000000001</v>
      </c>
      <c r="O11" s="44">
        <f>'Tariffs 2017'!AK5</f>
        <v>0</v>
      </c>
      <c r="P11" s="44">
        <f>'Tariffs 2017'!AL5</f>
        <v>0</v>
      </c>
      <c r="Q11" s="44">
        <f>'Tariffs 2017'!AM5</f>
        <v>0</v>
      </c>
      <c r="R11" s="44">
        <f>'Tariffs 2017'!AN5</f>
        <v>17</v>
      </c>
      <c r="S11" s="213">
        <f t="shared" si="0"/>
        <v>1107.96</v>
      </c>
      <c r="T11" s="213">
        <f>S11-(L11*R11/100)</f>
        <v>955.89840000000004</v>
      </c>
      <c r="U11" s="261">
        <f t="shared" si="5"/>
        <v>1218.7560000000001</v>
      </c>
      <c r="V11" s="261">
        <f t="shared" si="5"/>
        <v>1051.4882400000001</v>
      </c>
      <c r="W11" s="215">
        <f>'Tariffs 2017'!AU5</f>
        <v>0</v>
      </c>
      <c r="X11" s="215" t="str">
        <f>'Tariffs 2017'!AV5</f>
        <v>n</v>
      </c>
      <c r="Y11" s="216" t="s">
        <v>288</v>
      </c>
    </row>
    <row r="12" spans="1:25" ht="25" customHeight="1" x14ac:dyDescent="0.3">
      <c r="A12" s="210" t="str">
        <f>'Tariffs 2017'!F6</f>
        <v>Origin Energy</v>
      </c>
      <c r="B12" s="44" t="str">
        <f>'Tariffs 2017'!D6</f>
        <v>Jemena</v>
      </c>
      <c r="C12" s="44" t="str">
        <f>'Tariffs 2017'!G6</f>
        <v>Saver</v>
      </c>
      <c r="D12" s="211">
        <f>60*'Tariffs 2017'!H6/100</f>
        <v>37.673999999999999</v>
      </c>
      <c r="E12" s="211">
        <f>IF($C$5&gt;='Tariffs 2017'!J6,('Tariffs 2017'!J6*'Tariffs 2017'!O6/100),($C$5*'Tariffs 2017'!O6/100))</f>
        <v>44.4</v>
      </c>
      <c r="F12" s="211">
        <f>IF($C$5&lt;'Tariffs 2017'!J6,0,IF(($C$5-'Tariffs 2017'!J6)&lt;='Tariffs 2017'!K6,(($C$5-'Tariffs 2017'!J6)*'Tariffs 2017'!P6/100),(('Tariffs 2017'!K6-'Tariffs 2017'!J6)*'Tariffs 2017'!P6/100)))</f>
        <v>30</v>
      </c>
      <c r="G12" s="211">
        <f>IF($C$5&lt;'Tariffs 2017'!K6,0,IF(($C$5-'Tariffs 2017'!K6)&lt;='Tariffs 2017'!L6,(($C$5-'Tariffs 2017'!K6)*'Tariffs 2017'!Q6/100),(('Tariffs 2017'!L6-'Tariffs 2017'!K6)*'Tariffs 2017'!Q6/100)))</f>
        <v>62.4</v>
      </c>
      <c r="H12" s="211">
        <f>IF($C$5&lt;'Tariffs 2017'!L6,0,IF(($C$5-'Tariffs 2017'!L6)&lt;='Tariffs 2017'!M6,(($C$5-'Tariffs 2017'!L6)*'Tariffs 2017'!R6/100),(('Tariffs 2017'!M6-'Tariffs 2017'!L6)*'Tariffs 2017'!R6/100)))</f>
        <v>0</v>
      </c>
      <c r="I12" s="211">
        <f>IF($C$5&lt;'Tariffs 2017'!M6,0,IF(($C$5-'Tariffs 2017'!M6)&lt;='Tariffs 2017'!N6,(($C$5-'Tariffs 2017'!M6)*'Tariffs 2017'!S6/100),(('Tariffs 2017'!N6-'Tariffs 2017'!M6)*'Tariffs 2017'!S6/100)))</f>
        <v>0</v>
      </c>
      <c r="J12" s="211">
        <f>IF(($C$5&lt;'Tariffs 2017'!N6),(0),($C$5-'Tariffs 2017'!N6)*'Tariffs 2017'!T6/100)</f>
        <v>0</v>
      </c>
      <c r="K12" s="211">
        <f t="shared" si="1"/>
        <v>174.47399999999999</v>
      </c>
      <c r="L12" s="212">
        <f t="shared" si="2"/>
        <v>820.80000000000007</v>
      </c>
      <c r="M12" s="213">
        <f t="shared" si="3"/>
        <v>1046.8440000000001</v>
      </c>
      <c r="N12" s="214">
        <f t="shared" si="4"/>
        <v>1151.5284000000001</v>
      </c>
      <c r="O12" s="44">
        <f>'Tariffs 2017'!AK6</f>
        <v>0</v>
      </c>
      <c r="P12" s="44">
        <f>'Tariffs 2017'!AL6</f>
        <v>0</v>
      </c>
      <c r="Q12" s="44">
        <f>'Tariffs 2017'!AM6</f>
        <v>0</v>
      </c>
      <c r="R12" s="44">
        <f>'Tariffs 2017'!AN6</f>
        <v>10</v>
      </c>
      <c r="S12" s="213">
        <f t="shared" si="0"/>
        <v>1046.8440000000001</v>
      </c>
      <c r="T12" s="213">
        <f>S12-(L12*R12/100)</f>
        <v>964.76400000000001</v>
      </c>
      <c r="U12" s="261">
        <f t="shared" si="5"/>
        <v>1151.5284000000001</v>
      </c>
      <c r="V12" s="261">
        <f t="shared" si="5"/>
        <v>1061.2404000000001</v>
      </c>
      <c r="W12" s="215">
        <f>'Tariffs 2017'!AU6</f>
        <v>0</v>
      </c>
      <c r="X12" s="215" t="str">
        <f>'Tariffs 2017'!AV6</f>
        <v>n</v>
      </c>
      <c r="Y12" s="216" t="s">
        <v>288</v>
      </c>
    </row>
    <row r="13" spans="1:25" ht="25" customHeight="1" thickBot="1" x14ac:dyDescent="0.35">
      <c r="A13" s="210" t="str">
        <f>'Tariffs 2017'!F7</f>
        <v>Red Energy</v>
      </c>
      <c r="B13" s="44" t="str">
        <f>'Tariffs 2017'!D7</f>
        <v>Jemena</v>
      </c>
      <c r="C13" s="44" t="str">
        <f>'Tariffs 2017'!G7</f>
        <v>Easy Saver</v>
      </c>
      <c r="D13" s="211">
        <f>60*'Tariffs 2017'!H7/100</f>
        <v>36</v>
      </c>
      <c r="E13" s="211">
        <f>IF($C$5&gt;='Tariffs 2017'!J7,('Tariffs 2017'!J7*'Tariffs 2017'!O7/100),($C$5*'Tariffs 2017'!O7/100))</f>
        <v>43.8</v>
      </c>
      <c r="F13" s="211">
        <f>IF($C$5&lt;'Tariffs 2017'!J7,0,IF(($C$5-'Tariffs 2017'!J7)&lt;='Tariffs 2017'!K7,(($C$5-'Tariffs 2017'!J7)*'Tariffs 2017'!P7/100),(('Tariffs 2017'!K7-'Tariffs 2017'!J7)*'Tariffs 2017'!P7/100)))</f>
        <v>27.6</v>
      </c>
      <c r="G13" s="211">
        <f>IF($C$5&lt;'Tariffs 2017'!K7,0,IF(($C$5-'Tariffs 2017'!K7)&lt;='Tariffs 2017'!L7,(($C$5-'Tariffs 2017'!K7)*'Tariffs 2017'!Q7/100),(('Tariffs 2017'!L7-'Tariffs 2017'!K7)*'Tariffs 2017'!Q7/100)))</f>
        <v>57.20000000000001</v>
      </c>
      <c r="H13" s="211">
        <f>IF($C$5&lt;'Tariffs 2017'!L7,0,IF(($C$5-'Tariffs 2017'!L7)&lt;='Tariffs 2017'!M7,(($C$5-'Tariffs 2017'!L7)*'Tariffs 2017'!R7/100),(('Tariffs 2017'!M7-'Tariffs 2017'!L7)*'Tariffs 2017'!R7/100)))</f>
        <v>0</v>
      </c>
      <c r="I13" s="211">
        <f>IF($C$5&lt;'Tariffs 2017'!M7,0,IF(($C$5-'Tariffs 2017'!M7)&lt;='Tariffs 2017'!N7,(($C$5-'Tariffs 2017'!M7)*'Tariffs 2017'!S7/100),(('Tariffs 2017'!N7-'Tariffs 2017'!M7)*'Tariffs 2017'!S7/100)))</f>
        <v>0</v>
      </c>
      <c r="J13" s="211">
        <f>IF(($C$5&lt;'Tariffs 2017'!N7),(0),($C$5-'Tariffs 2017'!N7)*'Tariffs 2017'!T7/100)</f>
        <v>0</v>
      </c>
      <c r="K13" s="211">
        <f t="shared" si="1"/>
        <v>164.60000000000002</v>
      </c>
      <c r="L13" s="212">
        <f t="shared" si="2"/>
        <v>771.60000000000014</v>
      </c>
      <c r="M13" s="213">
        <f t="shared" si="3"/>
        <v>987.60000000000014</v>
      </c>
      <c r="N13" s="214">
        <f t="shared" si="4"/>
        <v>1086.3600000000001</v>
      </c>
      <c r="O13" s="44">
        <f>'Tariffs 2017'!AK7</f>
        <v>0</v>
      </c>
      <c r="P13" s="44">
        <f>'Tariffs 2017'!AL7</f>
        <v>0</v>
      </c>
      <c r="Q13" s="44">
        <f>'Tariffs 2017'!AM7</f>
        <v>10</v>
      </c>
      <c r="R13" s="44">
        <f>'Tariffs 2017'!AN7</f>
        <v>0</v>
      </c>
      <c r="S13" s="213">
        <f t="shared" si="0"/>
        <v>987.60000000000014</v>
      </c>
      <c r="T13" s="213">
        <f>S13-(M13*Q13/100)</f>
        <v>888.84000000000015</v>
      </c>
      <c r="U13" s="261">
        <f t="shared" si="5"/>
        <v>1086.3600000000001</v>
      </c>
      <c r="V13" s="261">
        <f t="shared" si="5"/>
        <v>977.72400000000027</v>
      </c>
      <c r="W13" s="215">
        <f>'Tariffs 2017'!AU7</f>
        <v>0</v>
      </c>
      <c r="X13" s="215" t="str">
        <f>'Tariffs 2017'!AV7</f>
        <v>n</v>
      </c>
      <c r="Y13" s="216" t="s">
        <v>400</v>
      </c>
    </row>
    <row r="14" spans="1:25" ht="25" customHeight="1" thickTop="1" x14ac:dyDescent="0.3">
      <c r="A14" s="425" t="str">
        <f>'Tariffs 2017'!F8</f>
        <v>ActewAGL</v>
      </c>
      <c r="B14" s="426" t="str">
        <f>'Tariffs 2017'!D8</f>
        <v>ActewAGL Boorowa</v>
      </c>
      <c r="C14" s="426" t="str">
        <f>'Tariffs 2017'!G8</f>
        <v>Reward</v>
      </c>
      <c r="D14" s="427">
        <f>60*'Tariffs 2017'!H8/100</f>
        <v>39.840000000000003</v>
      </c>
      <c r="E14" s="427">
        <f>IF($C$5&gt;='Tariffs 2017'!J8,('Tariffs 2017'!J8*'Tariffs 2017'!O8/100),($C$5*'Tariffs 2017'!O8/100))</f>
        <v>44.963999999999999</v>
      </c>
      <c r="F14" s="427">
        <f>IF($C$5&lt;'Tariffs 2017'!J8,0,IF(($C$5-'Tariffs 2017'!J8)&lt;='Tariffs 2017'!K8,(($C$5-'Tariffs 2017'!J8)*'Tariffs 2017'!P8/100),(('Tariffs 2017'!K8-'Tariffs 2017'!J8)*'Tariffs 2017'!P8/100)))</f>
        <v>30.78</v>
      </c>
      <c r="G14" s="427">
        <f>IF($C$5&lt;'Tariffs 2017'!K8,0,IF(($C$5-'Tariffs 2017'!K8)&lt;='Tariffs 2017'!L8,(($C$5-'Tariffs 2017'!K8)*'Tariffs 2017'!Q8/100),(('Tariffs 2017'!L8-'Tariffs 2017'!K8)*'Tariffs 2017'!Q8/100)))</f>
        <v>64.792000000000002</v>
      </c>
      <c r="H14" s="427">
        <f>IF($C$5&lt;'Tariffs 2017'!L8,0,IF(($C$5-'Tariffs 2017'!L8)&lt;='Tariffs 2017'!M8,(($C$5-'Tariffs 2017'!L8)*'Tariffs 2017'!R8/100),(('Tariffs 2017'!M8-'Tariffs 2017'!L8)*'Tariffs 2017'!R8/100)))</f>
        <v>0</v>
      </c>
      <c r="I14" s="427">
        <f>IF($C$5&lt;'Tariffs 2017'!M8,0,IF(($C$5-'Tariffs 2017'!M8)&lt;='Tariffs 2017'!N8,(($C$5-'Tariffs 2017'!M8)*'Tariffs 2017'!S8/100),(('Tariffs 2017'!N8-'Tariffs 2017'!M8)*'Tariffs 2017'!S8/100)))</f>
        <v>0</v>
      </c>
      <c r="J14" s="427">
        <f>IF(($C$5&lt;'Tariffs 2017'!N8),(0),($C$5-'Tariffs 2017'!N8)*'Tariffs 2017'!T8/100)</f>
        <v>0</v>
      </c>
      <c r="K14" s="427">
        <f t="shared" si="1"/>
        <v>180.376</v>
      </c>
      <c r="L14" s="427">
        <f t="shared" si="2"/>
        <v>843.21600000000012</v>
      </c>
      <c r="M14" s="460">
        <f t="shared" si="3"/>
        <v>1082.2560000000001</v>
      </c>
      <c r="N14" s="432">
        <f t="shared" si="4"/>
        <v>1190.4816000000003</v>
      </c>
      <c r="O14" s="426">
        <f>'Tariffs 2017'!AK8</f>
        <v>0</v>
      </c>
      <c r="P14" s="426">
        <f>'Tariffs 2017'!AL8</f>
        <v>0</v>
      </c>
      <c r="Q14" s="426">
        <f>'Tariffs 2017'!AM8</f>
        <v>0</v>
      </c>
      <c r="R14" s="426">
        <f>'Tariffs 2017'!AN8</f>
        <v>10</v>
      </c>
      <c r="S14" s="457">
        <f t="shared" ref="S14:S26" si="6">M14</f>
        <v>1082.2560000000001</v>
      </c>
      <c r="T14" s="457">
        <f t="shared" ref="T14:T20" si="7">S14-(L14*R14/100)</f>
        <v>997.9344000000001</v>
      </c>
      <c r="U14" s="454">
        <f t="shared" ref="U14:U26" si="8">S14*1.1</f>
        <v>1190.4816000000003</v>
      </c>
      <c r="V14" s="454">
        <f t="shared" ref="V14:V15" si="9">T14*1.1</f>
        <v>1097.7278400000002</v>
      </c>
      <c r="W14" s="433">
        <f>'Tariffs 2017'!AU8</f>
        <v>0</v>
      </c>
      <c r="X14" s="433" t="str">
        <f>'Tariffs 2017'!AV8</f>
        <v>n</v>
      </c>
      <c r="Y14" s="434" t="s">
        <v>288</v>
      </c>
    </row>
    <row r="15" spans="1:25" ht="25" customHeight="1" thickBot="1" x14ac:dyDescent="0.35">
      <c r="A15" s="435" t="str">
        <f>'Tariffs 2017'!F9</f>
        <v>EnergyAustralia</v>
      </c>
      <c r="B15" s="436" t="str">
        <f>'Tariffs 2017'!D9</f>
        <v>ActewAGL Boorowa</v>
      </c>
      <c r="C15" s="436" t="str">
        <f>'Tariffs 2017'!G9</f>
        <v xml:space="preserve">Flexi Saver </v>
      </c>
      <c r="D15" s="437">
        <f>60*'Tariffs 2017'!H9/100</f>
        <v>34.86</v>
      </c>
      <c r="E15" s="437">
        <f>IF($C$5&gt;='Tariffs 2017'!J9,('Tariffs 2017'!J9*'Tariffs 2017'!O9/100),($C$5*'Tariffs 2017'!O9/100))</f>
        <v>47.88</v>
      </c>
      <c r="F15" s="437">
        <f>IF($C$5&lt;'Tariffs 2017'!J9,0,IF(($C$5-'Tariffs 2017'!J9)&lt;='Tariffs 2017'!K9,(($C$5-'Tariffs 2017'!J9)*'Tariffs 2017'!P9/100),(('Tariffs 2017'!K9-'Tariffs 2017'!J9)*'Tariffs 2017'!P9/100)))</f>
        <v>32.04</v>
      </c>
      <c r="G15" s="437">
        <f>IF($C$5&lt;'Tariffs 2017'!K9,0,IF(($C$5-'Tariffs 2017'!K9)&lt;='Tariffs 2017'!L9,(($C$5-'Tariffs 2017'!K9)*'Tariffs 2017'!Q9/100),(('Tariffs 2017'!L9-'Tariffs 2017'!K9)*'Tariffs 2017'!Q9/100)))</f>
        <v>66.3</v>
      </c>
      <c r="H15" s="437">
        <f>IF($C$5&lt;'Tariffs 2017'!L9,0,IF(($C$5-'Tariffs 2017'!L9)&lt;='Tariffs 2017'!M9,(($C$5-'Tariffs 2017'!L9)*'Tariffs 2017'!R9/100),(('Tariffs 2017'!M9-'Tariffs 2017'!L9)*'Tariffs 2017'!R9/100)))</f>
        <v>0</v>
      </c>
      <c r="I15" s="437">
        <f>IF($C$5&lt;'Tariffs 2017'!M9,0,IF(($C$5-'Tariffs 2017'!M9)&lt;='Tariffs 2017'!N9,(($C$5-'Tariffs 2017'!M9)*'Tariffs 2017'!S9/100),(('Tariffs 2017'!N9-'Tariffs 2017'!M9)*'Tariffs 2017'!S9/100)))</f>
        <v>0</v>
      </c>
      <c r="J15" s="437">
        <f>IF(($C$5&lt;'Tariffs 2017'!N9),(0),($C$5-'Tariffs 2017'!N9)*'Tariffs 2017'!T9/100)</f>
        <v>0</v>
      </c>
      <c r="K15" s="437">
        <f t="shared" si="1"/>
        <v>181.07999999999998</v>
      </c>
      <c r="L15" s="437">
        <f t="shared" si="2"/>
        <v>877.32</v>
      </c>
      <c r="M15" s="461">
        <f t="shared" si="3"/>
        <v>1086.48</v>
      </c>
      <c r="N15" s="442">
        <f t="shared" si="4"/>
        <v>1195.1280000000002</v>
      </c>
      <c r="O15" s="436">
        <f>'Tariffs 2017'!AK9</f>
        <v>0</v>
      </c>
      <c r="P15" s="436">
        <f>'Tariffs 2017'!AL9</f>
        <v>0</v>
      </c>
      <c r="Q15" s="436">
        <f>'Tariffs 2017'!AM9</f>
        <v>0</v>
      </c>
      <c r="R15" s="436">
        <f>'Tariffs 2017'!AN9</f>
        <v>17</v>
      </c>
      <c r="S15" s="458">
        <f t="shared" si="6"/>
        <v>1086.48</v>
      </c>
      <c r="T15" s="458">
        <f t="shared" si="7"/>
        <v>937.3356</v>
      </c>
      <c r="U15" s="455">
        <f t="shared" si="8"/>
        <v>1195.1280000000002</v>
      </c>
      <c r="V15" s="455">
        <f t="shared" si="9"/>
        <v>1031.06916</v>
      </c>
      <c r="W15" s="443">
        <f>'Tariffs 2017'!AU9</f>
        <v>0</v>
      </c>
      <c r="X15" s="443" t="str">
        <f>'Tariffs 2017'!AV9</f>
        <v>n</v>
      </c>
      <c r="Y15" s="444" t="s">
        <v>288</v>
      </c>
    </row>
    <row r="16" spans="1:25" ht="25" customHeight="1" thickTop="1" x14ac:dyDescent="0.3">
      <c r="A16" s="425" t="str">
        <f>'Tariffs 2017'!F10</f>
        <v>EnergyAustralia</v>
      </c>
      <c r="B16" s="426" t="str">
        <f>'Tariffs 2017'!D10</f>
        <v>Envestra Albury</v>
      </c>
      <c r="C16" s="426" t="str">
        <f>'Tariffs 2017'!G10</f>
        <v xml:space="preserve">Flexi Saver </v>
      </c>
      <c r="D16" s="427">
        <f>60*'Tariffs 2017'!H10/100</f>
        <v>45.3</v>
      </c>
      <c r="E16" s="427">
        <f>IF($C$5&gt;='Tariffs 2017'!J10,('Tariffs 2017'!J10*'Tariffs 2017'!O10/100),($C$5*'Tariffs 2017'!O10/100))</f>
        <v>118.5</v>
      </c>
      <c r="F16" s="427">
        <f>IF($C$5&lt;'Tariffs 2017'!J10,0,IF(($C$5-'Tariffs 2017'!J10)&lt;='Tariffs 2017'!K10,(($C$5-'Tariffs 2017'!J10)*'Tariffs 2017'!P10/100),(('Tariffs 2017'!K10-'Tariffs 2017'!J10)*'Tariffs 2017'!P10/100)))</f>
        <v>0</v>
      </c>
      <c r="G16" s="427">
        <f>IF($C$5&lt;'Tariffs 2017'!K10,0,IF(($C$5-'Tariffs 2017'!K10)&lt;='Tariffs 2017'!L10,(($C$5-'Tariffs 2017'!K10)*'Tariffs 2017'!Q10/100),(('Tariffs 2017'!L10-'Tariffs 2017'!K10)*'Tariffs 2017'!Q10/100)))</f>
        <v>0</v>
      </c>
      <c r="H16" s="427">
        <f>IF($C$5&lt;'Tariffs 2017'!L10,0,IF(($C$5-'Tariffs 2017'!L10)&lt;='Tariffs 2017'!M10,(($C$5-'Tariffs 2017'!L10)*'Tariffs 2017'!R10/100),(('Tariffs 2017'!M10-'Tariffs 2017'!L10)*'Tariffs 2017'!R10/100)))</f>
        <v>0</v>
      </c>
      <c r="I16" s="427">
        <f>IF($C$5&lt;'Tariffs 2017'!M10,0,IF(($C$5-'Tariffs 2017'!M10)&lt;='Tariffs 2017'!N10,(($C$5-'Tariffs 2017'!M10)*'Tariffs 2017'!S10/100),(('Tariffs 2017'!N10-'Tariffs 2017'!M10)*'Tariffs 2017'!S10/100)))</f>
        <v>0</v>
      </c>
      <c r="J16" s="427">
        <f>IF(($C$5&lt;'Tariffs 2017'!N10),(0),($C$5-'Tariffs 2017'!N10)*'Tariffs 2017'!T10/100)</f>
        <v>0</v>
      </c>
      <c r="K16" s="427">
        <f t="shared" si="1"/>
        <v>163.80000000000001</v>
      </c>
      <c r="L16" s="427">
        <f t="shared" si="2"/>
        <v>711.00000000000011</v>
      </c>
      <c r="M16" s="460">
        <f t="shared" si="3"/>
        <v>982.80000000000007</v>
      </c>
      <c r="N16" s="432">
        <f t="shared" si="4"/>
        <v>1081.0800000000002</v>
      </c>
      <c r="O16" s="426">
        <f>'Tariffs 2017'!AK10</f>
        <v>0</v>
      </c>
      <c r="P16" s="426">
        <f>'Tariffs 2017'!AL10</f>
        <v>0</v>
      </c>
      <c r="Q16" s="426">
        <f>'Tariffs 2017'!AM10</f>
        <v>0</v>
      </c>
      <c r="R16" s="426">
        <f>'Tariffs 2017'!AN10</f>
        <v>17</v>
      </c>
      <c r="S16" s="457">
        <f t="shared" si="6"/>
        <v>982.80000000000007</v>
      </c>
      <c r="T16" s="457">
        <f t="shared" si="7"/>
        <v>861.93000000000006</v>
      </c>
      <c r="U16" s="454">
        <f t="shared" si="8"/>
        <v>1081.0800000000002</v>
      </c>
      <c r="V16" s="454">
        <f t="shared" ref="V16:V17" si="10">T16*1.1</f>
        <v>948.12300000000016</v>
      </c>
      <c r="W16" s="433">
        <f>'Tariffs 2017'!AU10</f>
        <v>0</v>
      </c>
      <c r="X16" s="433" t="str">
        <f>'Tariffs 2017'!AV10</f>
        <v>n</v>
      </c>
      <c r="Y16" s="434" t="s">
        <v>288</v>
      </c>
    </row>
    <row r="17" spans="1:25" ht="25" customHeight="1" thickBot="1" x14ac:dyDescent="0.35">
      <c r="A17" s="435" t="str">
        <f>'Tariffs 2017'!F11</f>
        <v>Origin Energy</v>
      </c>
      <c r="B17" s="436" t="str">
        <f>'Tariffs 2017'!D11</f>
        <v>Envestra Albury</v>
      </c>
      <c r="C17" s="436" t="str">
        <f>'Tariffs 2017'!G11</f>
        <v>Saver</v>
      </c>
      <c r="D17" s="437">
        <f>60*'Tariffs 2017'!H11/100</f>
        <v>33.42</v>
      </c>
      <c r="E17" s="437">
        <f>IF($C$5&gt;='Tariffs 2017'!J11,('Tariffs 2017'!J11*'Tariffs 2017'!O11/100),($C$5*'Tariffs 2017'!O11/100))</f>
        <v>35.145000000000003</v>
      </c>
      <c r="F17" s="437">
        <f>IF($C$5&lt;'Tariffs 2017'!J11,0,IF(($C$5-'Tariffs 2017'!J11)&lt;='Tariffs 2017'!K11,(($C$5-'Tariffs 2017'!J11)*'Tariffs 2017'!P11/100),(('Tariffs 2017'!K11-'Tariffs 2017'!J11)*'Tariffs 2017'!P11/100)))</f>
        <v>25.021000000000001</v>
      </c>
      <c r="G17" s="437">
        <f>IF($C$5&lt;'Tariffs 2017'!K11,0,IF(($C$5-'Tariffs 2017'!K11)&lt;='Tariffs 2017'!L11,(($C$5-'Tariffs 2017'!K11)*'Tariffs 2017'!Q11/100),(('Tariffs 2017'!L11-'Tariffs 2017'!K11)*'Tariffs 2017'!Q11/100)))</f>
        <v>36.312000000000005</v>
      </c>
      <c r="H17" s="437">
        <f>IF($C$5&lt;'Tariffs 2017'!L11,0,IF(($C$5-'Tariffs 2017'!L11)&lt;='Tariffs 2017'!M11,(($C$5-'Tariffs 2017'!L11)*'Tariffs 2017'!R11/100),(('Tariffs 2017'!M11-'Tariffs 2017'!L11)*'Tariffs 2017'!R11/100)))</f>
        <v>0</v>
      </c>
      <c r="I17" s="437">
        <f>IF($C$5&lt;'Tariffs 2017'!M11,0,IF(($C$5-'Tariffs 2017'!M11)&lt;='Tariffs 2017'!N11,(($C$5-'Tariffs 2017'!M11)*'Tariffs 2017'!S11/100),(('Tariffs 2017'!N11-'Tariffs 2017'!M11)*'Tariffs 2017'!S11/100)))</f>
        <v>0</v>
      </c>
      <c r="J17" s="437">
        <f>IF(($C$5&lt;'Tariffs 2017'!N11),(0),($C$5-'Tariffs 2017'!N11)*'Tariffs 2017'!T11/100)</f>
        <v>0</v>
      </c>
      <c r="K17" s="437">
        <f t="shared" si="1"/>
        <v>129.898</v>
      </c>
      <c r="L17" s="437">
        <f t="shared" si="2"/>
        <v>578.86799999999994</v>
      </c>
      <c r="M17" s="461">
        <f t="shared" si="3"/>
        <v>779.38799999999992</v>
      </c>
      <c r="N17" s="442">
        <f t="shared" si="4"/>
        <v>857.32679999999993</v>
      </c>
      <c r="O17" s="436">
        <f>'Tariffs 2017'!AK11</f>
        <v>0</v>
      </c>
      <c r="P17" s="436">
        <f>'Tariffs 2017'!AL11</f>
        <v>0</v>
      </c>
      <c r="Q17" s="436">
        <f>'Tariffs 2017'!AM11</f>
        <v>0</v>
      </c>
      <c r="R17" s="436">
        <f>'Tariffs 2017'!AN11</f>
        <v>10</v>
      </c>
      <c r="S17" s="458">
        <f t="shared" si="6"/>
        <v>779.38799999999992</v>
      </c>
      <c r="T17" s="458">
        <f t="shared" si="7"/>
        <v>721.50119999999993</v>
      </c>
      <c r="U17" s="455">
        <f t="shared" si="8"/>
        <v>857.32679999999993</v>
      </c>
      <c r="V17" s="455">
        <f t="shared" si="10"/>
        <v>793.65131999999994</v>
      </c>
      <c r="W17" s="443">
        <f>'Tariffs 2017'!AU11</f>
        <v>0</v>
      </c>
      <c r="X17" s="443" t="str">
        <f>'Tariffs 2017'!AV11</f>
        <v>n</v>
      </c>
      <c r="Y17" s="444" t="s">
        <v>288</v>
      </c>
    </row>
    <row r="18" spans="1:25" ht="25" customHeight="1" thickTop="1" x14ac:dyDescent="0.3">
      <c r="A18" s="425" t="str">
        <f>'Tariffs 2017'!F12</f>
        <v>EnergyAustralia</v>
      </c>
      <c r="B18" s="426" t="str">
        <f>'Tariffs 2017'!D12</f>
        <v>Envestra Murray Valley</v>
      </c>
      <c r="C18" s="426" t="str">
        <f>'Tariffs 2017'!G12</f>
        <v>Flexi Saver</v>
      </c>
      <c r="D18" s="427">
        <f>60*'Tariffs 2017'!H12/100</f>
        <v>43.5</v>
      </c>
      <c r="E18" s="427">
        <f>IF($C$5&gt;='Tariffs 2017'!J12,('Tariffs 2017'!J12*'Tariffs 2017'!O12/100),($C$5*'Tariffs 2017'!O12/100))</f>
        <v>172.5</v>
      </c>
      <c r="F18" s="427">
        <f>IF($C$5&lt;'Tariffs 2017'!J12,0,IF(($C$5-'Tariffs 2017'!J12)&lt;='Tariffs 2017'!K12,(($C$5-'Tariffs 2017'!J12)*'Tariffs 2017'!P12/100),(('Tariffs 2017'!K12-'Tariffs 2017'!J12)*'Tariffs 2017'!P12/100)))</f>
        <v>0</v>
      </c>
      <c r="G18" s="427">
        <f>IF($C$5&lt;'Tariffs 2017'!K12,0,IF(($C$5-'Tariffs 2017'!K12)&lt;='Tariffs 2017'!L12,(($C$5-'Tariffs 2017'!K12)*'Tariffs 2017'!Q12/100),(('Tariffs 2017'!L12-'Tariffs 2017'!K12)*'Tariffs 2017'!Q12/100)))</f>
        <v>0</v>
      </c>
      <c r="H18" s="427">
        <f>IF($C$5&lt;'Tariffs 2017'!L12,0,IF(($C$5-'Tariffs 2017'!L12)&lt;='Tariffs 2017'!M12,(($C$5-'Tariffs 2017'!L12)*'Tariffs 2017'!R12/100),(('Tariffs 2017'!M12-'Tariffs 2017'!L12)*'Tariffs 2017'!R12/100)))</f>
        <v>0</v>
      </c>
      <c r="I18" s="427">
        <f>IF($C$5&lt;'Tariffs 2017'!M12,0,IF(($C$5-'Tariffs 2017'!M12)&lt;='Tariffs 2017'!N12,(($C$5-'Tariffs 2017'!M12)*'Tariffs 2017'!S12/100),(('Tariffs 2017'!N12-'Tariffs 2017'!M12)*'Tariffs 2017'!S12/100)))</f>
        <v>0</v>
      </c>
      <c r="J18" s="427">
        <f>IF(($C$5&lt;'Tariffs 2017'!N12),(0),($C$5-'Tariffs 2017'!N12)*'Tariffs 2017'!T12/100)</f>
        <v>0</v>
      </c>
      <c r="K18" s="427">
        <f t="shared" si="1"/>
        <v>216</v>
      </c>
      <c r="L18" s="427">
        <f t="shared" si="2"/>
        <v>1035</v>
      </c>
      <c r="M18" s="460">
        <f t="shared" si="3"/>
        <v>1296</v>
      </c>
      <c r="N18" s="432">
        <f t="shared" si="4"/>
        <v>1425.6000000000001</v>
      </c>
      <c r="O18" s="426">
        <f>'Tariffs 2017'!AK12</f>
        <v>0</v>
      </c>
      <c r="P18" s="426">
        <f>'Tariffs 2017'!AL12</f>
        <v>0</v>
      </c>
      <c r="Q18" s="426">
        <f>'Tariffs 2017'!AM12</f>
        <v>0</v>
      </c>
      <c r="R18" s="426">
        <f>'Tariffs 2017'!AN12</f>
        <v>17</v>
      </c>
      <c r="S18" s="457">
        <f t="shared" si="6"/>
        <v>1296</v>
      </c>
      <c r="T18" s="457">
        <f t="shared" si="7"/>
        <v>1120.05</v>
      </c>
      <c r="U18" s="454">
        <f t="shared" si="8"/>
        <v>1425.6000000000001</v>
      </c>
      <c r="V18" s="454">
        <f t="shared" ref="V18:V19" si="11">T18*1.1</f>
        <v>1232.0550000000001</v>
      </c>
      <c r="W18" s="433">
        <f>'Tariffs 2017'!AU12</f>
        <v>0</v>
      </c>
      <c r="X18" s="433" t="str">
        <f>'Tariffs 2017'!AV12</f>
        <v>n</v>
      </c>
      <c r="Y18" s="434" t="s">
        <v>288</v>
      </c>
    </row>
    <row r="19" spans="1:25" ht="25" customHeight="1" thickBot="1" x14ac:dyDescent="0.35">
      <c r="A19" s="435" t="str">
        <f>'Tariffs 2017'!F13</f>
        <v>Origin Energy</v>
      </c>
      <c r="B19" s="436" t="str">
        <f>'Tariffs 2017'!D13</f>
        <v>Envestra Murray Valley</v>
      </c>
      <c r="C19" s="436" t="str">
        <f>'Tariffs 2017'!G13</f>
        <v>Saver</v>
      </c>
      <c r="D19" s="437">
        <f>60*'Tariffs 2017'!H13/100</f>
        <v>38.4</v>
      </c>
      <c r="E19" s="437">
        <f>IF($C$5&gt;='Tariffs 2017'!J13,('Tariffs 2017'!J13*'Tariffs 2017'!O13/100),($C$5*'Tariffs 2017'!O13/100))</f>
        <v>49.005000000000003</v>
      </c>
      <c r="F19" s="437">
        <f>IF($C$5&lt;'Tariffs 2017'!J13,0,IF(($C$5-'Tariffs 2017'!J13)&lt;='Tariffs 2017'!K13,(($C$5-'Tariffs 2017'!J13)*'Tariffs 2017'!P13/100),(('Tariffs 2017'!K13-'Tariffs 2017'!J13)*'Tariffs 2017'!P13/100)))</f>
        <v>36.417999999999999</v>
      </c>
      <c r="G19" s="437">
        <f>IF($C$5&lt;'Tariffs 2017'!K13,0,IF(($C$5-'Tariffs 2017'!K13)&lt;='Tariffs 2017'!L13,(($C$5-'Tariffs 2017'!K13)*'Tariffs 2017'!Q13/100),(('Tariffs 2017'!L13-'Tariffs 2017'!K13)*'Tariffs 2017'!Q13/100)))</f>
        <v>44.675999999999995</v>
      </c>
      <c r="H19" s="437">
        <f>IF($C$5&lt;'Tariffs 2017'!L13,0,IF(($C$5-'Tariffs 2017'!L13)&lt;='Tariffs 2017'!M13,(($C$5-'Tariffs 2017'!L13)*'Tariffs 2017'!R13/100),(('Tariffs 2017'!M13-'Tariffs 2017'!L13)*'Tariffs 2017'!R13/100)))</f>
        <v>0</v>
      </c>
      <c r="I19" s="437">
        <f>IF($C$5&lt;'Tariffs 2017'!M13,0,IF(($C$5-'Tariffs 2017'!M13)&lt;='Tariffs 2017'!N13,(($C$5-'Tariffs 2017'!M13)*'Tariffs 2017'!S13/100),(('Tariffs 2017'!N13-'Tariffs 2017'!M13)*'Tariffs 2017'!S13/100)))</f>
        <v>0</v>
      </c>
      <c r="J19" s="437">
        <f>IF(($C$5&lt;'Tariffs 2017'!N13),(0),($C$5-'Tariffs 2017'!N13)*'Tariffs 2017'!T13/100)</f>
        <v>0</v>
      </c>
      <c r="K19" s="437">
        <f t="shared" si="1"/>
        <v>168.499</v>
      </c>
      <c r="L19" s="437">
        <f t="shared" si="2"/>
        <v>780.59399999999994</v>
      </c>
      <c r="M19" s="461">
        <f t="shared" si="3"/>
        <v>1010.9939999999999</v>
      </c>
      <c r="N19" s="442">
        <f t="shared" si="4"/>
        <v>1112.0934</v>
      </c>
      <c r="O19" s="436">
        <f>'Tariffs 2017'!AK13</f>
        <v>0</v>
      </c>
      <c r="P19" s="436">
        <f>'Tariffs 2017'!AL13</f>
        <v>0</v>
      </c>
      <c r="Q19" s="436">
        <f>'Tariffs 2017'!AM13</f>
        <v>0</v>
      </c>
      <c r="R19" s="436">
        <f>'Tariffs 2017'!AN13</f>
        <v>10</v>
      </c>
      <c r="S19" s="458">
        <f t="shared" si="6"/>
        <v>1010.9939999999999</v>
      </c>
      <c r="T19" s="458">
        <f t="shared" si="7"/>
        <v>932.93459999999993</v>
      </c>
      <c r="U19" s="455">
        <f t="shared" si="8"/>
        <v>1112.0934</v>
      </c>
      <c r="V19" s="455">
        <f t="shared" si="11"/>
        <v>1026.2280599999999</v>
      </c>
      <c r="W19" s="443">
        <f>'Tariffs 2017'!AU13</f>
        <v>0</v>
      </c>
      <c r="X19" s="443" t="str">
        <f>'Tariffs 2017'!AV13</f>
        <v>n</v>
      </c>
      <c r="Y19" s="444" t="s">
        <v>288</v>
      </c>
    </row>
    <row r="20" spans="1:25" ht="25" customHeight="1" thickTop="1" x14ac:dyDescent="0.3">
      <c r="A20" s="425" t="str">
        <f>'Tariffs 2017'!F14</f>
        <v>Origin Energy</v>
      </c>
      <c r="B20" s="426" t="str">
        <f>'Tariffs 2017'!D14</f>
        <v>Envestra Cooma</v>
      </c>
      <c r="C20" s="426" t="str">
        <f>'Tariffs 2017'!G14</f>
        <v>Saver</v>
      </c>
      <c r="D20" s="427">
        <f>60*'Tariffs 2017'!H14/100</f>
        <v>43.566000000000003</v>
      </c>
      <c r="E20" s="427">
        <f>$C$5*'Tariffs 2017'!O14/100</f>
        <v>133.5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f t="shared" si="1"/>
        <v>177.066</v>
      </c>
      <c r="L20" s="427">
        <f t="shared" si="2"/>
        <v>801</v>
      </c>
      <c r="M20" s="460">
        <f t="shared" si="3"/>
        <v>1062.396</v>
      </c>
      <c r="N20" s="432">
        <f t="shared" si="4"/>
        <v>1168.6356000000001</v>
      </c>
      <c r="O20" s="426">
        <f>'Tariffs 2017'!AK14</f>
        <v>0</v>
      </c>
      <c r="P20" s="426">
        <f>'Tariffs 2017'!AL14</f>
        <v>0</v>
      </c>
      <c r="Q20" s="426">
        <f>'Tariffs 2017'!AM14</f>
        <v>0</v>
      </c>
      <c r="R20" s="426">
        <f>'Tariffs 2017'!AN14</f>
        <v>10</v>
      </c>
      <c r="S20" s="457">
        <f t="shared" si="6"/>
        <v>1062.396</v>
      </c>
      <c r="T20" s="457">
        <f t="shared" si="7"/>
        <v>982.29599999999994</v>
      </c>
      <c r="U20" s="454">
        <f t="shared" si="8"/>
        <v>1168.6356000000001</v>
      </c>
      <c r="V20" s="454">
        <f t="shared" ref="V20:V21" si="12">T20*1.1</f>
        <v>1080.5255999999999</v>
      </c>
      <c r="W20" s="433">
        <f>'Tariffs 2017'!AU14</f>
        <v>0</v>
      </c>
      <c r="X20" s="433" t="str">
        <f>'Tariffs 2017'!AV14</f>
        <v>n</v>
      </c>
      <c r="Y20" s="434" t="s">
        <v>288</v>
      </c>
    </row>
    <row r="21" spans="1:25" ht="25" customHeight="1" thickBot="1" x14ac:dyDescent="0.35">
      <c r="A21" s="435" t="str">
        <f>'Tariffs 2017'!F15</f>
        <v>Red Energy</v>
      </c>
      <c r="B21" s="436" t="str">
        <f>'Tariffs 2017'!D15</f>
        <v>Envestra Cooma</v>
      </c>
      <c r="C21" s="436" t="str">
        <f>'Tariffs 2017'!G15</f>
        <v>Easy Saver</v>
      </c>
      <c r="D21" s="437">
        <f>60*'Tariffs 2017'!H15/100</f>
        <v>43.566000000000003</v>
      </c>
      <c r="E21" s="437">
        <f>$C$5*'Tariffs 2017'!O15/100</f>
        <v>133.5</v>
      </c>
      <c r="F21" s="437">
        <v>0</v>
      </c>
      <c r="G21" s="437">
        <v>0</v>
      </c>
      <c r="H21" s="437">
        <v>0</v>
      </c>
      <c r="I21" s="437">
        <v>0</v>
      </c>
      <c r="J21" s="437">
        <v>0</v>
      </c>
      <c r="K21" s="437">
        <f t="shared" si="1"/>
        <v>177.066</v>
      </c>
      <c r="L21" s="437">
        <f t="shared" si="2"/>
        <v>801</v>
      </c>
      <c r="M21" s="461">
        <f t="shared" si="3"/>
        <v>1062.396</v>
      </c>
      <c r="N21" s="442">
        <f t="shared" si="4"/>
        <v>1168.6356000000001</v>
      </c>
      <c r="O21" s="436">
        <f>'Tariffs 2017'!AK15</f>
        <v>0</v>
      </c>
      <c r="P21" s="436">
        <f>'Tariffs 2017'!AL15</f>
        <v>0</v>
      </c>
      <c r="Q21" s="436">
        <f>'Tariffs 2017'!AM15</f>
        <v>10</v>
      </c>
      <c r="R21" s="436">
        <f>'Tariffs 2017'!AN15</f>
        <v>0</v>
      </c>
      <c r="S21" s="458">
        <f t="shared" si="6"/>
        <v>1062.396</v>
      </c>
      <c r="T21" s="458">
        <f>S21-(M21*Q21/100)</f>
        <v>956.15639999999996</v>
      </c>
      <c r="U21" s="455">
        <f t="shared" si="8"/>
        <v>1168.6356000000001</v>
      </c>
      <c r="V21" s="455">
        <f t="shared" si="12"/>
        <v>1051.7720400000001</v>
      </c>
      <c r="W21" s="443">
        <f>'Tariffs 2017'!AU15</f>
        <v>0</v>
      </c>
      <c r="X21" s="443" t="str">
        <f>'Tariffs 2017'!AV15</f>
        <v>n</v>
      </c>
      <c r="Y21" s="444" t="s">
        <v>400</v>
      </c>
    </row>
    <row r="22" spans="1:25" ht="25" customHeight="1" thickTop="1" thickBot="1" x14ac:dyDescent="0.35">
      <c r="A22" s="445" t="str">
        <f>'Tariffs 2017'!F16</f>
        <v>Origin Energy</v>
      </c>
      <c r="B22" s="446" t="str">
        <f>'Tariffs 2017'!D16</f>
        <v>Envestra Temora</v>
      </c>
      <c r="C22" s="446" t="str">
        <f>'Tariffs 2017'!G16</f>
        <v>Saver</v>
      </c>
      <c r="D22" s="447">
        <f>60*'Tariffs 2017'!H16/100</f>
        <v>46.59</v>
      </c>
      <c r="E22" s="447">
        <f>$C$5*'Tariffs 2017'!O16/100</f>
        <v>135.5</v>
      </c>
      <c r="F22" s="447">
        <v>0</v>
      </c>
      <c r="G22" s="447">
        <v>0</v>
      </c>
      <c r="H22" s="447">
        <v>0</v>
      </c>
      <c r="I22" s="447">
        <v>0</v>
      </c>
      <c r="J22" s="447">
        <v>0</v>
      </c>
      <c r="K22" s="447">
        <f t="shared" si="1"/>
        <v>182.09</v>
      </c>
      <c r="L22" s="447">
        <f t="shared" si="2"/>
        <v>813</v>
      </c>
      <c r="M22" s="462">
        <f t="shared" si="3"/>
        <v>1092.54</v>
      </c>
      <c r="N22" s="448">
        <f t="shared" si="4"/>
        <v>1201.7940000000001</v>
      </c>
      <c r="O22" s="446">
        <f>'Tariffs 2017'!AK16</f>
        <v>0</v>
      </c>
      <c r="P22" s="446">
        <f>'Tariffs 2017'!AL16</f>
        <v>0</v>
      </c>
      <c r="Q22" s="446">
        <f>'Tariffs 2017'!AM16</f>
        <v>0</v>
      </c>
      <c r="R22" s="446">
        <f>'Tariffs 2017'!AN16</f>
        <v>10</v>
      </c>
      <c r="S22" s="463">
        <f t="shared" si="6"/>
        <v>1092.54</v>
      </c>
      <c r="T22" s="463">
        <f>S22-(L22*R22/100)</f>
        <v>1011.24</v>
      </c>
      <c r="U22" s="424">
        <f t="shared" si="8"/>
        <v>1201.7940000000001</v>
      </c>
      <c r="V22" s="424">
        <f t="shared" ref="V22" si="13">T22*1.1</f>
        <v>1112.364</v>
      </c>
      <c r="W22" s="449">
        <f>'Tariffs 2017'!AU16</f>
        <v>0</v>
      </c>
      <c r="X22" s="449" t="str">
        <f>'Tariffs 2017'!AV16</f>
        <v>n</v>
      </c>
      <c r="Y22" s="450" t="s">
        <v>288</v>
      </c>
    </row>
    <row r="23" spans="1:25" ht="25" customHeight="1" thickTop="1" x14ac:dyDescent="0.3">
      <c r="A23" s="425" t="str">
        <f>'Tariffs 2017'!F17</f>
        <v>Origin Energy</v>
      </c>
      <c r="B23" s="426" t="str">
        <f>'Tariffs 2017'!D17</f>
        <v>Envestra Tumut</v>
      </c>
      <c r="C23" s="426" t="str">
        <f>'Tariffs 2017'!G17</f>
        <v>Saver</v>
      </c>
      <c r="D23" s="427">
        <f>60*'Tariffs 2017'!H17/100</f>
        <v>49.811999999999998</v>
      </c>
      <c r="E23" s="427">
        <f>$C$5*'Tariffs 2017'!O17/100</f>
        <v>138.99999999999997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f t="shared" si="1"/>
        <v>188.81199999999995</v>
      </c>
      <c r="L23" s="427">
        <f t="shared" si="2"/>
        <v>833.99999999999989</v>
      </c>
      <c r="M23" s="460">
        <f t="shared" si="3"/>
        <v>1132.8719999999998</v>
      </c>
      <c r="N23" s="432">
        <f t="shared" si="4"/>
        <v>1246.1591999999998</v>
      </c>
      <c r="O23" s="426">
        <f>'Tariffs 2017'!AK17</f>
        <v>0</v>
      </c>
      <c r="P23" s="426">
        <f>'Tariffs 2017'!AL17</f>
        <v>0</v>
      </c>
      <c r="Q23" s="426">
        <f>'Tariffs 2017'!AM17</f>
        <v>0</v>
      </c>
      <c r="R23" s="426">
        <f>'Tariffs 2017'!AN17</f>
        <v>10</v>
      </c>
      <c r="S23" s="457">
        <f t="shared" si="6"/>
        <v>1132.8719999999998</v>
      </c>
      <c r="T23" s="457">
        <f>S23-(L23*R23/100)</f>
        <v>1049.4719999999998</v>
      </c>
      <c r="U23" s="454">
        <f t="shared" si="8"/>
        <v>1246.1591999999998</v>
      </c>
      <c r="V23" s="454">
        <f t="shared" ref="V23:V24" si="14">T23*1.1</f>
        <v>1154.4191999999998</v>
      </c>
      <c r="W23" s="433">
        <f>'Tariffs 2017'!AU17</f>
        <v>0</v>
      </c>
      <c r="X23" s="433" t="str">
        <f>'Tariffs 2017'!AV17</f>
        <v>n</v>
      </c>
      <c r="Y23" s="434" t="s">
        <v>288</v>
      </c>
    </row>
    <row r="24" spans="1:25" ht="25" customHeight="1" thickBot="1" x14ac:dyDescent="0.35">
      <c r="A24" s="435" t="str">
        <f>'Tariffs 2017'!F18</f>
        <v>Red Energy</v>
      </c>
      <c r="B24" s="436" t="str">
        <f>'Tariffs 2017'!D18</f>
        <v>Envestra Tumut</v>
      </c>
      <c r="C24" s="436" t="str">
        <f>'Tariffs 2017'!G18</f>
        <v>Easy Saver</v>
      </c>
      <c r="D24" s="437">
        <f>60*'Tariffs 2017'!H18/100</f>
        <v>49.211999999999996</v>
      </c>
      <c r="E24" s="437">
        <f>$C$5*'Tariffs 2017'!O18/100</f>
        <v>138.99999999999997</v>
      </c>
      <c r="F24" s="437">
        <v>0</v>
      </c>
      <c r="G24" s="437">
        <v>0</v>
      </c>
      <c r="H24" s="437">
        <v>0</v>
      </c>
      <c r="I24" s="437">
        <v>0</v>
      </c>
      <c r="J24" s="437">
        <v>0</v>
      </c>
      <c r="K24" s="437">
        <f t="shared" si="1"/>
        <v>188.21199999999996</v>
      </c>
      <c r="L24" s="437">
        <f t="shared" si="2"/>
        <v>833.99999999999977</v>
      </c>
      <c r="M24" s="461">
        <f t="shared" si="3"/>
        <v>1129.2719999999997</v>
      </c>
      <c r="N24" s="442">
        <f t="shared" si="4"/>
        <v>1242.1991999999998</v>
      </c>
      <c r="O24" s="436">
        <f>'Tariffs 2017'!AK18</f>
        <v>0</v>
      </c>
      <c r="P24" s="436">
        <f>'Tariffs 2017'!AL18</f>
        <v>0</v>
      </c>
      <c r="Q24" s="436">
        <f>'Tariffs 2017'!AM18</f>
        <v>10</v>
      </c>
      <c r="R24" s="436">
        <f>'Tariffs 2017'!AN18</f>
        <v>0</v>
      </c>
      <c r="S24" s="458">
        <f t="shared" si="6"/>
        <v>1129.2719999999997</v>
      </c>
      <c r="T24" s="458">
        <f>S24-(M24*Q24/100)</f>
        <v>1016.3447999999997</v>
      </c>
      <c r="U24" s="455">
        <f t="shared" si="8"/>
        <v>1242.1991999999998</v>
      </c>
      <c r="V24" s="455">
        <f t="shared" si="14"/>
        <v>1117.9792799999998</v>
      </c>
      <c r="W24" s="443">
        <f>'Tariffs 2017'!AU18</f>
        <v>0</v>
      </c>
      <c r="X24" s="443" t="str">
        <f>'Tariffs 2017'!AV18</f>
        <v>n</v>
      </c>
      <c r="Y24" s="444" t="s">
        <v>400</v>
      </c>
    </row>
    <row r="25" spans="1:25" ht="25" customHeight="1" thickTop="1" thickBot="1" x14ac:dyDescent="0.35">
      <c r="A25" s="445" t="str">
        <f>'Tariffs 2017'!F19</f>
        <v>Origin Energy</v>
      </c>
      <c r="B25" s="446" t="str">
        <f>'Tariffs 2017'!D19</f>
        <v>Envestra Wagga Wagga</v>
      </c>
      <c r="C25" s="446" t="str">
        <f>'Tariffs 2017'!G19</f>
        <v>Saver</v>
      </c>
      <c r="D25" s="447">
        <f>60*'Tariffs 2017'!H19/100</f>
        <v>52.872000000000007</v>
      </c>
      <c r="E25" s="447">
        <f>$C$5*'Tariffs 2017'!O19/100</f>
        <v>112.5</v>
      </c>
      <c r="F25" s="447">
        <v>0</v>
      </c>
      <c r="G25" s="447">
        <v>0</v>
      </c>
      <c r="H25" s="447">
        <v>0</v>
      </c>
      <c r="I25" s="447">
        <v>0</v>
      </c>
      <c r="J25" s="447">
        <v>0</v>
      </c>
      <c r="K25" s="447">
        <f t="shared" si="1"/>
        <v>165.37200000000001</v>
      </c>
      <c r="L25" s="447">
        <f t="shared" si="2"/>
        <v>675</v>
      </c>
      <c r="M25" s="462">
        <f t="shared" si="3"/>
        <v>992.23200000000008</v>
      </c>
      <c r="N25" s="448">
        <f t="shared" si="4"/>
        <v>1091.4552000000001</v>
      </c>
      <c r="O25" s="446">
        <f>'Tariffs 2017'!AK19</f>
        <v>0</v>
      </c>
      <c r="P25" s="446">
        <f>'Tariffs 2017'!AL19</f>
        <v>0</v>
      </c>
      <c r="Q25" s="446">
        <f>'Tariffs 2017'!AM19</f>
        <v>0</v>
      </c>
      <c r="R25" s="446">
        <f>'Tariffs 2017'!AN19</f>
        <v>10</v>
      </c>
      <c r="S25" s="463">
        <f t="shared" si="6"/>
        <v>992.23200000000008</v>
      </c>
      <c r="T25" s="463">
        <f>S25-(L25*R25/100)</f>
        <v>924.73200000000008</v>
      </c>
      <c r="U25" s="424">
        <f t="shared" si="8"/>
        <v>1091.4552000000001</v>
      </c>
      <c r="V25" s="424">
        <f t="shared" ref="V25" si="15">T25*1.1</f>
        <v>1017.2052000000002</v>
      </c>
      <c r="W25" s="449">
        <f>'Tariffs 2017'!AU19</f>
        <v>0</v>
      </c>
      <c r="X25" s="449" t="str">
        <f>'Tariffs 2017'!AV19</f>
        <v>n</v>
      </c>
      <c r="Y25" s="450" t="s">
        <v>288</v>
      </c>
    </row>
    <row r="26" spans="1:25" ht="25" customHeight="1" thickTop="1" thickBot="1" x14ac:dyDescent="0.35">
      <c r="A26" s="217" t="str">
        <f>'Tariffs 2017'!F20</f>
        <v>Origin Energy</v>
      </c>
      <c r="B26" s="48" t="str">
        <f>'Tariffs 2017'!D20</f>
        <v>Central Ranges Tamworth</v>
      </c>
      <c r="C26" s="48" t="str">
        <f>'Tariffs 2017'!G20</f>
        <v>Saver</v>
      </c>
      <c r="D26" s="218">
        <f>60*'Tariffs 2017'!H20/100</f>
        <v>39.6</v>
      </c>
      <c r="E26" s="218">
        <f>$C$5*'Tariffs 2017'!O20/100</f>
        <v>198.5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f t="shared" si="1"/>
        <v>238.1</v>
      </c>
      <c r="L26" s="218">
        <f t="shared" si="2"/>
        <v>1191</v>
      </c>
      <c r="M26" s="219">
        <f t="shared" si="3"/>
        <v>1428.6</v>
      </c>
      <c r="N26" s="220">
        <f t="shared" si="4"/>
        <v>1571.46</v>
      </c>
      <c r="O26" s="48">
        <f>'Tariffs 2017'!AK20</f>
        <v>0</v>
      </c>
      <c r="P26" s="48">
        <f>'Tariffs 2017'!AL20</f>
        <v>0</v>
      </c>
      <c r="Q26" s="48">
        <f>'Tariffs 2017'!AM20</f>
        <v>0</v>
      </c>
      <c r="R26" s="48">
        <f>'Tariffs 2017'!AN20</f>
        <v>10</v>
      </c>
      <c r="S26" s="221">
        <f t="shared" si="6"/>
        <v>1428.6</v>
      </c>
      <c r="T26" s="221">
        <f>S26-(L26*R26/100)</f>
        <v>1309.5</v>
      </c>
      <c r="U26" s="456">
        <f t="shared" si="8"/>
        <v>1571.46</v>
      </c>
      <c r="V26" s="456">
        <f t="shared" ref="V26" si="16">T26*1.1</f>
        <v>1440.45</v>
      </c>
      <c r="W26" s="222">
        <f>'Tariffs 2017'!AU20</f>
        <v>0</v>
      </c>
      <c r="X26" s="222" t="str">
        <f>'Tariffs 2017'!AV20</f>
        <v>n</v>
      </c>
      <c r="Y26" s="223" t="s">
        <v>288</v>
      </c>
    </row>
    <row r="27" spans="1:25" s="464" customFormat="1" x14ac:dyDescent="0.3">
      <c r="A27" s="228"/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</row>
    <row r="28" spans="1:25" s="464" customFormat="1" x14ac:dyDescent="0.3">
      <c r="A28" s="228"/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</row>
    <row r="29" spans="1:25" s="464" customFormat="1" x14ac:dyDescent="0.3">
      <c r="A29" s="228"/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</row>
    <row r="30" spans="1:25" s="464" customFormat="1" x14ac:dyDescent="0.3">
      <c r="A30" s="228"/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</row>
    <row r="31" spans="1:25" s="464" customFormat="1" x14ac:dyDescent="0.3">
      <c r="A31" s="228"/>
      <c r="B31" s="228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</row>
    <row r="32" spans="1:25" s="464" customFormat="1" x14ac:dyDescent="0.3">
      <c r="A32" s="228"/>
      <c r="B32" s="228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</row>
    <row r="33" spans="1:25" s="464" customFormat="1" x14ac:dyDescent="0.3">
      <c r="A33" s="228"/>
      <c r="B33" s="228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</row>
    <row r="34" spans="1:25" s="464" customFormat="1" x14ac:dyDescent="0.3">
      <c r="A34" s="228"/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</row>
    <row r="35" spans="1:25" s="464" customFormat="1" x14ac:dyDescent="0.3">
      <c r="A35" s="228"/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</row>
    <row r="36" spans="1:25" s="464" customFormat="1" x14ac:dyDescent="0.3">
      <c r="A36" s="228"/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</row>
    <row r="37" spans="1:25" s="464" customFormat="1" x14ac:dyDescent="0.3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</row>
    <row r="38" spans="1:25" s="464" customFormat="1" x14ac:dyDescent="0.3">
      <c r="A38" s="228"/>
      <c r="B38" s="228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</row>
    <row r="39" spans="1:25" s="464" customFormat="1" x14ac:dyDescent="0.3">
      <c r="A39" s="228"/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</row>
    <row r="40" spans="1:25" s="464" customFormat="1" x14ac:dyDescent="0.3">
      <c r="A40" s="228"/>
      <c r="B40" s="228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</row>
    <row r="41" spans="1:25" s="464" customFormat="1" x14ac:dyDescent="0.3">
      <c r="A41" s="228"/>
      <c r="B41" s="228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</row>
    <row r="42" spans="1:25" s="464" customFormat="1" x14ac:dyDescent="0.3">
      <c r="A42" s="228"/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</row>
    <row r="43" spans="1:25" s="464" customFormat="1" x14ac:dyDescent="0.3">
      <c r="A43" s="228"/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</row>
    <row r="44" spans="1:25" s="464" customFormat="1" x14ac:dyDescent="0.3">
      <c r="A44" s="228"/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</row>
    <row r="45" spans="1:25" s="464" customFormat="1" x14ac:dyDescent="0.3">
      <c r="A45" s="228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</row>
    <row r="46" spans="1:25" s="464" customFormat="1" x14ac:dyDescent="0.3">
      <c r="A46" s="228"/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</row>
    <row r="47" spans="1:25" s="464" customFormat="1" x14ac:dyDescent="0.3">
      <c r="A47" s="228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</row>
    <row r="48" spans="1:25" s="464" customFormat="1" x14ac:dyDescent="0.3">
      <c r="A48" s="228"/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</row>
    <row r="49" spans="1:25" s="464" customFormat="1" x14ac:dyDescent="0.3">
      <c r="A49" s="228"/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</row>
    <row r="50" spans="1:25" s="464" customFormat="1" x14ac:dyDescent="0.3">
      <c r="A50" s="228"/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</row>
    <row r="51" spans="1:25" s="464" customFormat="1" x14ac:dyDescent="0.3">
      <c r="A51" s="228"/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</row>
    <row r="52" spans="1:25" s="464" customFormat="1" x14ac:dyDescent="0.3">
      <c r="A52" s="228"/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</row>
    <row r="53" spans="1:25" s="464" customFormat="1" x14ac:dyDescent="0.3">
      <c r="A53" s="228"/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</row>
    <row r="54" spans="1:25" s="464" customFormat="1" x14ac:dyDescent="0.3">
      <c r="A54" s="228"/>
      <c r="B54" s="228"/>
      <c r="C54" s="228"/>
      <c r="D54" s="228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</row>
    <row r="55" spans="1:25" s="464" customFormat="1" x14ac:dyDescent="0.3">
      <c r="A55" s="228"/>
      <c r="B55" s="228"/>
      <c r="C55" s="228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</row>
    <row r="56" spans="1:25" s="464" customFormat="1" x14ac:dyDescent="0.3">
      <c r="A56" s="228"/>
      <c r="B56" s="228"/>
      <c r="C56" s="228"/>
      <c r="D56" s="228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</row>
    <row r="57" spans="1:25" s="464" customFormat="1" x14ac:dyDescent="0.3">
      <c r="A57" s="228"/>
      <c r="B57" s="228"/>
      <c r="C57" s="228"/>
      <c r="D57" s="228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</row>
    <row r="58" spans="1:25" s="464" customFormat="1" x14ac:dyDescent="0.3">
      <c r="A58" s="228"/>
      <c r="B58" s="228"/>
      <c r="C58" s="228"/>
      <c r="D58" s="228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</row>
    <row r="59" spans="1:25" s="464" customFormat="1" x14ac:dyDescent="0.3">
      <c r="A59" s="228"/>
      <c r="B59" s="228"/>
      <c r="C59" s="228"/>
      <c r="D59" s="228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</row>
    <row r="60" spans="1:25" s="464" customFormat="1" x14ac:dyDescent="0.3">
      <c r="A60" s="228"/>
      <c r="B60" s="228"/>
      <c r="C60" s="228"/>
      <c r="D60" s="228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</row>
    <row r="61" spans="1:25" s="464" customFormat="1" x14ac:dyDescent="0.3">
      <c r="A61" s="228"/>
      <c r="B61" s="228"/>
      <c r="C61" s="228"/>
      <c r="D61" s="228"/>
      <c r="E61" s="228"/>
      <c r="F61" s="228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</row>
    <row r="62" spans="1:25" s="464" customFormat="1" x14ac:dyDescent="0.3">
      <c r="A62" s="228"/>
      <c r="B62" s="228"/>
      <c r="C62" s="228"/>
      <c r="D62" s="228"/>
      <c r="E62" s="228"/>
      <c r="F62" s="228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</row>
    <row r="63" spans="1:25" s="464" customFormat="1" x14ac:dyDescent="0.3">
      <c r="A63" s="228"/>
      <c r="B63" s="228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</row>
    <row r="64" spans="1:25" s="464" customFormat="1" x14ac:dyDescent="0.3">
      <c r="A64" s="228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</row>
    <row r="65" spans="1:25" s="464" customFormat="1" x14ac:dyDescent="0.3">
      <c r="A65" s="228"/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</row>
    <row r="66" spans="1:25" s="464" customFormat="1" x14ac:dyDescent="0.3">
      <c r="A66" s="228"/>
      <c r="B66" s="228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</row>
    <row r="67" spans="1:25" s="464" customFormat="1" x14ac:dyDescent="0.3">
      <c r="A67" s="228"/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</row>
    <row r="68" spans="1:25" s="464" customFormat="1" x14ac:dyDescent="0.3">
      <c r="A68" s="22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</row>
    <row r="69" spans="1:25" s="464" customFormat="1" x14ac:dyDescent="0.3">
      <c r="A69" s="22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</row>
    <row r="70" spans="1:25" s="464" customFormat="1" x14ac:dyDescent="0.3">
      <c r="A70" s="228"/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</row>
    <row r="71" spans="1:25" s="464" customFormat="1" x14ac:dyDescent="0.3">
      <c r="A71" s="228"/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</row>
    <row r="72" spans="1:25" s="464" customFormat="1" x14ac:dyDescent="0.3">
      <c r="A72" s="228"/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</row>
    <row r="73" spans="1:25" s="464" customFormat="1" x14ac:dyDescent="0.3">
      <c r="A73" s="228"/>
      <c r="B73" s="228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</row>
    <row r="74" spans="1:25" s="464" customFormat="1" x14ac:dyDescent="0.3">
      <c r="A74" s="228"/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</row>
    <row r="75" spans="1:25" s="464" customFormat="1" x14ac:dyDescent="0.3">
      <c r="A75" s="228"/>
      <c r="B75" s="228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</row>
    <row r="76" spans="1:25" s="464" customFormat="1" x14ac:dyDescent="0.3">
      <c r="A76" s="228"/>
      <c r="B76" s="228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</row>
    <row r="77" spans="1:25" s="464" customFormat="1" x14ac:dyDescent="0.3">
      <c r="A77" s="228"/>
      <c r="B77" s="228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</row>
    <row r="78" spans="1:25" s="464" customFormat="1" x14ac:dyDescent="0.3">
      <c r="A78" s="228"/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</row>
    <row r="79" spans="1:25" s="464" customFormat="1" x14ac:dyDescent="0.3">
      <c r="A79" s="228"/>
      <c r="B79" s="228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</row>
    <row r="80" spans="1:25" s="464" customFormat="1" x14ac:dyDescent="0.3">
      <c r="A80" s="228"/>
      <c r="B80" s="228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</row>
    <row r="81" spans="1:25" s="464" customFormat="1" x14ac:dyDescent="0.3">
      <c r="A81" s="228"/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</row>
    <row r="82" spans="1:25" s="464" customFormat="1" x14ac:dyDescent="0.3">
      <c r="A82" s="228"/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</row>
    <row r="83" spans="1:25" s="464" customFormat="1" x14ac:dyDescent="0.3">
      <c r="A83" s="228"/>
      <c r="B83" s="228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</row>
    <row r="84" spans="1:25" s="464" customFormat="1" x14ac:dyDescent="0.3">
      <c r="A84" s="228"/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</row>
    <row r="85" spans="1:25" s="464" customFormat="1" x14ac:dyDescent="0.3">
      <c r="A85" s="228"/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</row>
    <row r="86" spans="1:25" s="464" customFormat="1" x14ac:dyDescent="0.3">
      <c r="A86" s="228"/>
      <c r="B86" s="228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</row>
    <row r="87" spans="1:25" s="464" customFormat="1" x14ac:dyDescent="0.3">
      <c r="A87" s="228"/>
      <c r="B87" s="228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</row>
    <row r="88" spans="1:25" s="464" customFormat="1" x14ac:dyDescent="0.3">
      <c r="A88" s="228"/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</row>
    <row r="89" spans="1:25" s="464" customFormat="1" x14ac:dyDescent="0.3">
      <c r="A89" s="228"/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</row>
    <row r="90" spans="1:25" s="464" customFormat="1" x14ac:dyDescent="0.3">
      <c r="A90" s="228"/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</row>
    <row r="91" spans="1:25" s="464" customFormat="1" x14ac:dyDescent="0.3">
      <c r="A91" s="228"/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</row>
    <row r="92" spans="1:25" s="464" customFormat="1" x14ac:dyDescent="0.3">
      <c r="A92" s="228"/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</row>
    <row r="93" spans="1:25" s="464" customFormat="1" x14ac:dyDescent="0.3">
      <c r="A93" s="228"/>
      <c r="B93" s="228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</row>
    <row r="94" spans="1:25" s="464" customFormat="1" x14ac:dyDescent="0.3">
      <c r="A94" s="228"/>
      <c r="B94" s="228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</row>
    <row r="95" spans="1:25" s="464" customFormat="1" x14ac:dyDescent="0.3">
      <c r="A95" s="228"/>
      <c r="B95" s="228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</row>
    <row r="96" spans="1:25" s="464" customFormat="1" x14ac:dyDescent="0.3">
      <c r="A96" s="228"/>
      <c r="B96" s="228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</row>
    <row r="97" spans="1:25" s="464" customFormat="1" x14ac:dyDescent="0.3">
      <c r="A97" s="228"/>
      <c r="B97" s="228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</row>
    <row r="98" spans="1:25" s="464" customFormat="1" x14ac:dyDescent="0.3">
      <c r="A98" s="228"/>
      <c r="B98" s="228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</row>
    <row r="99" spans="1:25" s="464" customFormat="1" x14ac:dyDescent="0.3">
      <c r="A99" s="228"/>
      <c r="B99" s="228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</row>
    <row r="100" spans="1:25" s="464" customFormat="1" x14ac:dyDescent="0.3">
      <c r="A100" s="228"/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</row>
    <row r="101" spans="1:25" s="464" customFormat="1" x14ac:dyDescent="0.3">
      <c r="A101" s="228"/>
      <c r="B101" s="228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</row>
    <row r="102" spans="1:25" s="464" customFormat="1" x14ac:dyDescent="0.3">
      <c r="A102" s="228"/>
      <c r="B102" s="228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</row>
    <row r="103" spans="1:25" s="464" customFormat="1" x14ac:dyDescent="0.3">
      <c r="A103" s="228"/>
      <c r="B103" s="228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</row>
    <row r="104" spans="1:25" s="464" customFormat="1" x14ac:dyDescent="0.3">
      <c r="A104" s="228"/>
      <c r="B104" s="228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</row>
    <row r="105" spans="1:25" s="464" customFormat="1" x14ac:dyDescent="0.3">
      <c r="A105" s="228"/>
      <c r="B105" s="228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</row>
    <row r="106" spans="1:25" s="464" customFormat="1" x14ac:dyDescent="0.3">
      <c r="A106" s="228"/>
      <c r="B106" s="228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</row>
    <row r="107" spans="1:25" s="464" customFormat="1" x14ac:dyDescent="0.3">
      <c r="A107" s="228"/>
      <c r="B107" s="228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</row>
    <row r="108" spans="1:25" s="464" customFormat="1" x14ac:dyDescent="0.3">
      <c r="A108" s="228"/>
      <c r="B108" s="228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</row>
    <row r="109" spans="1:25" s="464" customFormat="1" x14ac:dyDescent="0.3">
      <c r="A109" s="228"/>
      <c r="B109" s="228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</row>
    <row r="110" spans="1:25" s="464" customFormat="1" x14ac:dyDescent="0.3">
      <c r="A110" s="228"/>
      <c r="B110" s="228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</row>
    <row r="111" spans="1:25" s="464" customFormat="1" x14ac:dyDescent="0.3">
      <c r="A111" s="228"/>
      <c r="B111" s="228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</row>
    <row r="112" spans="1:25" s="464" customFormat="1" x14ac:dyDescent="0.3">
      <c r="A112" s="228"/>
      <c r="B112" s="228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</row>
    <row r="113" spans="1:25" s="464" customFormat="1" x14ac:dyDescent="0.3">
      <c r="A113" s="228"/>
      <c r="B113" s="228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</row>
    <row r="114" spans="1:25" s="464" customFormat="1" x14ac:dyDescent="0.3">
      <c r="A114" s="228"/>
      <c r="B114" s="228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</row>
    <row r="115" spans="1:25" s="464" customFormat="1" x14ac:dyDescent="0.3">
      <c r="A115" s="228"/>
      <c r="B115" s="228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</row>
    <row r="116" spans="1:25" s="464" customFormat="1" x14ac:dyDescent="0.3">
      <c r="A116" s="228"/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</row>
    <row r="117" spans="1:25" s="464" customFormat="1" x14ac:dyDescent="0.3">
      <c r="A117" s="228"/>
      <c r="B117" s="228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</row>
    <row r="118" spans="1:25" s="464" customFormat="1" x14ac:dyDescent="0.3">
      <c r="A118" s="228"/>
      <c r="B118" s="228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</row>
    <row r="119" spans="1:25" s="464" customFormat="1" x14ac:dyDescent="0.3">
      <c r="A119" s="228"/>
      <c r="B119" s="228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</row>
    <row r="120" spans="1:25" s="464" customFormat="1" x14ac:dyDescent="0.3">
      <c r="A120" s="228"/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</row>
    <row r="121" spans="1:25" s="464" customFormat="1" x14ac:dyDescent="0.3">
      <c r="A121" s="228"/>
      <c r="B121" s="228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</row>
    <row r="122" spans="1:25" s="464" customFormat="1" x14ac:dyDescent="0.3">
      <c r="A122" s="228"/>
      <c r="B122" s="228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</row>
    <row r="123" spans="1:25" s="464" customFormat="1" x14ac:dyDescent="0.3">
      <c r="A123" s="228"/>
      <c r="B123" s="228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</row>
    <row r="124" spans="1:25" s="464" customFormat="1" x14ac:dyDescent="0.3">
      <c r="A124" s="228"/>
      <c r="B124" s="228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</row>
    <row r="125" spans="1:25" s="464" customFormat="1" x14ac:dyDescent="0.3">
      <c r="A125" s="228"/>
      <c r="B125" s="228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</row>
    <row r="126" spans="1:25" s="464" customFormat="1" x14ac:dyDescent="0.3">
      <c r="A126" s="228"/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</row>
    <row r="127" spans="1:25" s="464" customFormat="1" x14ac:dyDescent="0.3">
      <c r="A127" s="228"/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</row>
    <row r="128" spans="1:25" s="464" customFormat="1" x14ac:dyDescent="0.3">
      <c r="A128" s="228"/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</row>
    <row r="129" spans="1:25" s="464" customFormat="1" x14ac:dyDescent="0.3">
      <c r="A129" s="228"/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</row>
    <row r="130" spans="1:25" s="464" customFormat="1" x14ac:dyDescent="0.3">
      <c r="A130" s="228"/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</row>
    <row r="131" spans="1:25" s="464" customFormat="1" x14ac:dyDescent="0.3">
      <c r="A131" s="228"/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</row>
    <row r="132" spans="1:25" s="464" customFormat="1" x14ac:dyDescent="0.3">
      <c r="A132" s="228"/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</row>
    <row r="133" spans="1:25" s="464" customFormat="1" x14ac:dyDescent="0.3">
      <c r="A133" s="228"/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</row>
    <row r="134" spans="1:25" s="464" customFormat="1" x14ac:dyDescent="0.3">
      <c r="A134" s="228"/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</row>
    <row r="135" spans="1:25" s="464" customFormat="1" x14ac:dyDescent="0.3">
      <c r="A135" s="228"/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</row>
    <row r="136" spans="1:25" s="464" customFormat="1" x14ac:dyDescent="0.3">
      <c r="A136" s="228"/>
      <c r="B136" s="228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</row>
    <row r="137" spans="1:25" s="464" customFormat="1" x14ac:dyDescent="0.3">
      <c r="A137" s="228"/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</row>
    <row r="138" spans="1:25" s="464" customFormat="1" x14ac:dyDescent="0.3">
      <c r="A138" s="228"/>
      <c r="B138" s="228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</row>
    <row r="139" spans="1:25" s="464" customFormat="1" x14ac:dyDescent="0.3">
      <c r="A139" s="228"/>
      <c r="B139" s="228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</row>
    <row r="140" spans="1:25" s="464" customFormat="1" x14ac:dyDescent="0.3">
      <c r="A140" s="228"/>
      <c r="B140" s="228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</row>
    <row r="141" spans="1:25" s="464" customFormat="1" x14ac:dyDescent="0.3">
      <c r="A141" s="228"/>
      <c r="B141" s="228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</row>
    <row r="142" spans="1:25" s="464" customFormat="1" x14ac:dyDescent="0.3">
      <c r="A142" s="228"/>
      <c r="B142" s="228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</row>
    <row r="143" spans="1:25" s="464" customFormat="1" x14ac:dyDescent="0.3">
      <c r="A143" s="228"/>
      <c r="B143" s="228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</row>
    <row r="144" spans="1:25" s="464" customFormat="1" x14ac:dyDescent="0.3">
      <c r="A144" s="228"/>
      <c r="B144" s="228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</row>
    <row r="145" spans="1:25" s="464" customFormat="1" x14ac:dyDescent="0.3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</row>
    <row r="146" spans="1:25" s="464" customFormat="1" x14ac:dyDescent="0.3">
      <c r="A146" s="228"/>
      <c r="B146" s="228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</row>
    <row r="147" spans="1:25" s="464" customFormat="1" x14ac:dyDescent="0.3">
      <c r="A147" s="228"/>
      <c r="B147" s="228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</row>
    <row r="148" spans="1:25" s="464" customFormat="1" x14ac:dyDescent="0.3">
      <c r="A148" s="228"/>
      <c r="B148" s="228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</row>
    <row r="149" spans="1:25" s="464" customFormat="1" x14ac:dyDescent="0.3">
      <c r="A149" s="228"/>
      <c r="B149" s="228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</row>
    <row r="150" spans="1:25" s="464" customFormat="1" x14ac:dyDescent="0.3">
      <c r="A150" s="228"/>
      <c r="B150" s="228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</row>
    <row r="151" spans="1:25" s="464" customFormat="1" x14ac:dyDescent="0.3">
      <c r="A151" s="228"/>
      <c r="B151" s="228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</row>
    <row r="152" spans="1:25" s="464" customFormat="1" x14ac:dyDescent="0.3">
      <c r="A152" s="228"/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</row>
    <row r="153" spans="1:25" s="464" customFormat="1" x14ac:dyDescent="0.3">
      <c r="A153" s="228"/>
      <c r="B153" s="228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</row>
    <row r="154" spans="1:25" s="464" customFormat="1" x14ac:dyDescent="0.3">
      <c r="A154" s="228"/>
      <c r="B154" s="228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</row>
    <row r="155" spans="1:25" s="464" customFormat="1" x14ac:dyDescent="0.3">
      <c r="A155" s="228"/>
      <c r="B155" s="228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</row>
    <row r="156" spans="1:25" s="464" customFormat="1" x14ac:dyDescent="0.3">
      <c r="A156" s="228"/>
      <c r="B156" s="228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</row>
    <row r="157" spans="1:25" s="464" customFormat="1" x14ac:dyDescent="0.3">
      <c r="A157" s="228"/>
      <c r="B157" s="228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</row>
    <row r="158" spans="1:25" s="464" customFormat="1" x14ac:dyDescent="0.3">
      <c r="A158" s="228"/>
      <c r="B158" s="228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</row>
    <row r="159" spans="1:25" s="464" customFormat="1" x14ac:dyDescent="0.3">
      <c r="A159" s="228"/>
      <c r="B159" s="228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</row>
    <row r="160" spans="1:25" s="464" customFormat="1" x14ac:dyDescent="0.3">
      <c r="A160" s="228"/>
      <c r="B160" s="228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</row>
    <row r="161" spans="1:25" s="464" customFormat="1" x14ac:dyDescent="0.3">
      <c r="A161" s="228"/>
      <c r="B161" s="228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</row>
    <row r="162" spans="1:25" s="464" customFormat="1" x14ac:dyDescent="0.3">
      <c r="A162" s="228"/>
      <c r="B162" s="228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</row>
    <row r="163" spans="1:25" s="464" customFormat="1" x14ac:dyDescent="0.3">
      <c r="A163" s="228"/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</row>
    <row r="164" spans="1:25" s="464" customFormat="1" x14ac:dyDescent="0.3">
      <c r="A164" s="228"/>
      <c r="B164" s="228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</row>
    <row r="165" spans="1:25" s="464" customFormat="1" x14ac:dyDescent="0.3">
      <c r="A165" s="228"/>
      <c r="B165" s="228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</row>
    <row r="166" spans="1:25" s="464" customFormat="1" x14ac:dyDescent="0.3">
      <c r="A166" s="228"/>
      <c r="B166" s="228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</row>
    <row r="167" spans="1:25" s="464" customFormat="1" x14ac:dyDescent="0.3">
      <c r="A167" s="228"/>
      <c r="B167" s="228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</row>
    <row r="168" spans="1:25" s="464" customFormat="1" x14ac:dyDescent="0.3">
      <c r="A168" s="228"/>
      <c r="B168" s="228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</row>
    <row r="169" spans="1:25" s="464" customFormat="1" x14ac:dyDescent="0.3">
      <c r="A169" s="228"/>
      <c r="B169" s="228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</row>
    <row r="170" spans="1:25" s="464" customFormat="1" x14ac:dyDescent="0.3">
      <c r="A170" s="228"/>
      <c r="B170" s="228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</row>
    <row r="171" spans="1:25" s="464" customFormat="1" x14ac:dyDescent="0.3">
      <c r="A171" s="228"/>
      <c r="B171" s="228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</row>
    <row r="172" spans="1:25" s="464" customFormat="1" x14ac:dyDescent="0.3">
      <c r="A172" s="228"/>
      <c r="B172" s="228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</row>
    <row r="173" spans="1:25" s="464" customFormat="1" x14ac:dyDescent="0.3">
      <c r="A173" s="228"/>
      <c r="B173" s="228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</row>
    <row r="174" spans="1:25" s="464" customFormat="1" x14ac:dyDescent="0.3">
      <c r="A174" s="228"/>
      <c r="B174" s="228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</row>
    <row r="175" spans="1:25" s="464" customFormat="1" x14ac:dyDescent="0.3">
      <c r="A175" s="228"/>
      <c r="B175" s="228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</row>
    <row r="176" spans="1:25" s="464" customFormat="1" x14ac:dyDescent="0.3">
      <c r="A176" s="228"/>
      <c r="B176" s="228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</row>
    <row r="177" spans="1:25" s="464" customFormat="1" x14ac:dyDescent="0.3">
      <c r="A177" s="228"/>
      <c r="B177" s="228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</row>
    <row r="178" spans="1:25" s="464" customFormat="1" x14ac:dyDescent="0.3">
      <c r="A178" s="228"/>
      <c r="B178" s="228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</row>
    <row r="179" spans="1:25" s="464" customFormat="1" x14ac:dyDescent="0.3">
      <c r="A179" s="228"/>
      <c r="B179" s="228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</row>
    <row r="180" spans="1:25" s="464" customFormat="1" x14ac:dyDescent="0.3">
      <c r="A180" s="228"/>
      <c r="B180" s="228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</row>
    <row r="181" spans="1:25" s="464" customFormat="1" x14ac:dyDescent="0.3">
      <c r="A181" s="228"/>
      <c r="B181" s="228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</row>
    <row r="182" spans="1:25" s="464" customFormat="1" x14ac:dyDescent="0.3">
      <c r="A182" s="228"/>
      <c r="B182" s="228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</row>
    <row r="183" spans="1:25" s="464" customFormat="1" x14ac:dyDescent="0.3">
      <c r="A183" s="228"/>
      <c r="B183" s="228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</row>
    <row r="184" spans="1:25" s="464" customFormat="1" x14ac:dyDescent="0.3">
      <c r="A184" s="228"/>
      <c r="B184" s="228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</row>
    <row r="185" spans="1:25" s="464" customFormat="1" x14ac:dyDescent="0.3">
      <c r="A185" s="228"/>
      <c r="B185" s="228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</row>
    <row r="186" spans="1:25" s="464" customFormat="1" x14ac:dyDescent="0.3">
      <c r="A186" s="228"/>
      <c r="B186" s="228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</row>
    <row r="187" spans="1:25" s="464" customFormat="1" x14ac:dyDescent="0.3">
      <c r="A187" s="228"/>
      <c r="B187" s="228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</row>
    <row r="188" spans="1:25" s="464" customFormat="1" x14ac:dyDescent="0.3">
      <c r="A188" s="228"/>
      <c r="B188" s="228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</row>
    <row r="189" spans="1:25" s="464" customFormat="1" x14ac:dyDescent="0.3">
      <c r="A189" s="228"/>
      <c r="B189" s="228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</row>
    <row r="190" spans="1:25" s="464" customFormat="1" x14ac:dyDescent="0.3">
      <c r="A190" s="228"/>
      <c r="B190" s="228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</row>
    <row r="191" spans="1:25" s="464" customFormat="1" x14ac:dyDescent="0.3">
      <c r="A191" s="228"/>
      <c r="B191" s="228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</row>
    <row r="192" spans="1:25" s="464" customFormat="1" x14ac:dyDescent="0.3">
      <c r="A192" s="228"/>
      <c r="B192" s="228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</row>
    <row r="193" spans="1:25" s="464" customFormat="1" x14ac:dyDescent="0.3">
      <c r="A193" s="228"/>
      <c r="B193" s="228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</row>
    <row r="194" spans="1:25" s="464" customFormat="1" x14ac:dyDescent="0.3">
      <c r="A194" s="228"/>
      <c r="B194" s="228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</row>
    <row r="195" spans="1:25" s="464" customFormat="1" x14ac:dyDescent="0.3">
      <c r="A195" s="228"/>
      <c r="B195" s="228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</row>
    <row r="196" spans="1:25" s="464" customFormat="1" x14ac:dyDescent="0.3">
      <c r="A196" s="228"/>
      <c r="B196" s="228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</row>
    <row r="197" spans="1:25" s="464" customFormat="1" x14ac:dyDescent="0.3">
      <c r="A197" s="228"/>
      <c r="B197" s="228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</row>
    <row r="198" spans="1:25" s="464" customFormat="1" x14ac:dyDescent="0.3">
      <c r="A198" s="228"/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</row>
    <row r="199" spans="1:25" s="464" customFormat="1" x14ac:dyDescent="0.3">
      <c r="A199" s="228"/>
      <c r="B199" s="228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</row>
    <row r="200" spans="1:25" s="464" customFormat="1" x14ac:dyDescent="0.3">
      <c r="A200" s="228"/>
      <c r="B200" s="228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</row>
    <row r="201" spans="1:25" s="464" customFormat="1" x14ac:dyDescent="0.3">
      <c r="A201" s="228"/>
      <c r="B201" s="228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</row>
    <row r="202" spans="1:25" s="464" customFormat="1" x14ac:dyDescent="0.3">
      <c r="A202" s="228"/>
      <c r="B202" s="228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</row>
    <row r="203" spans="1:25" s="464" customFormat="1" x14ac:dyDescent="0.3">
      <c r="A203" s="228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</row>
    <row r="204" spans="1:25" s="464" customFormat="1" x14ac:dyDescent="0.3">
      <c r="A204" s="228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</row>
    <row r="205" spans="1:25" s="464" customFormat="1" x14ac:dyDescent="0.3">
      <c r="A205" s="228"/>
      <c r="B205" s="228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</row>
    <row r="206" spans="1:25" s="464" customFormat="1" x14ac:dyDescent="0.3">
      <c r="A206" s="228"/>
      <c r="B206" s="228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</row>
    <row r="207" spans="1:25" s="464" customFormat="1" x14ac:dyDescent="0.3">
      <c r="A207" s="228"/>
      <c r="B207" s="228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</row>
    <row r="208" spans="1:25" s="464" customFormat="1" x14ac:dyDescent="0.3">
      <c r="A208" s="228"/>
      <c r="B208" s="228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</row>
    <row r="209" spans="1:25" s="464" customFormat="1" x14ac:dyDescent="0.3">
      <c r="A209" s="228"/>
      <c r="B209" s="228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</row>
    <row r="210" spans="1:25" s="464" customFormat="1" x14ac:dyDescent="0.3">
      <c r="A210" s="228"/>
      <c r="B210" s="228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</row>
    <row r="211" spans="1:25" s="464" customFormat="1" x14ac:dyDescent="0.3">
      <c r="A211" s="228"/>
      <c r="B211" s="228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</row>
    <row r="212" spans="1:25" s="464" customFormat="1" x14ac:dyDescent="0.3">
      <c r="A212" s="228"/>
      <c r="B212" s="228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</row>
    <row r="213" spans="1:25" s="464" customFormat="1" x14ac:dyDescent="0.3">
      <c r="A213" s="228"/>
      <c r="B213" s="228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</row>
    <row r="214" spans="1:25" s="464" customFormat="1" x14ac:dyDescent="0.3">
      <c r="A214" s="228"/>
      <c r="B214" s="228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</row>
    <row r="215" spans="1:25" s="464" customFormat="1" x14ac:dyDescent="0.3">
      <c r="A215" s="228"/>
      <c r="B215" s="228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</row>
    <row r="216" spans="1:25" s="464" customFormat="1" x14ac:dyDescent="0.3">
      <c r="A216" s="228"/>
      <c r="B216" s="228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</row>
    <row r="217" spans="1:25" s="464" customFormat="1" x14ac:dyDescent="0.3">
      <c r="A217" s="228"/>
      <c r="B217" s="228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</row>
    <row r="218" spans="1:25" s="464" customFormat="1" x14ac:dyDescent="0.3">
      <c r="A218" s="228"/>
      <c r="B218" s="228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</row>
    <row r="219" spans="1:25" s="464" customFormat="1" x14ac:dyDescent="0.3">
      <c r="A219" s="228"/>
      <c r="B219" s="228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</row>
    <row r="220" spans="1:25" s="464" customFormat="1" x14ac:dyDescent="0.3">
      <c r="A220" s="228"/>
      <c r="B220" s="228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</row>
    <row r="221" spans="1:25" s="464" customFormat="1" x14ac:dyDescent="0.3">
      <c r="A221" s="228"/>
      <c r="B221" s="228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</row>
    <row r="222" spans="1:25" s="464" customFormat="1" x14ac:dyDescent="0.3">
      <c r="A222" s="228"/>
      <c r="B222" s="228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</row>
    <row r="223" spans="1:25" s="464" customFormat="1" x14ac:dyDescent="0.3">
      <c r="A223" s="228"/>
      <c r="B223" s="228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</row>
    <row r="224" spans="1:25" s="464" customFormat="1" x14ac:dyDescent="0.3">
      <c r="A224" s="228"/>
      <c r="B224" s="228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</row>
    <row r="225" spans="1:25" s="464" customFormat="1" x14ac:dyDescent="0.3">
      <c r="A225" s="228"/>
      <c r="B225" s="228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</row>
    <row r="226" spans="1:25" s="464" customFormat="1" x14ac:dyDescent="0.3">
      <c r="A226" s="228"/>
      <c r="B226" s="228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</row>
    <row r="227" spans="1:25" s="464" customFormat="1" x14ac:dyDescent="0.3">
      <c r="A227" s="228"/>
      <c r="B227" s="228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</row>
    <row r="228" spans="1:25" s="464" customFormat="1" x14ac:dyDescent="0.3">
      <c r="A228" s="228"/>
      <c r="B228" s="228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</row>
    <row r="229" spans="1:25" s="464" customFormat="1" x14ac:dyDescent="0.3">
      <c r="A229" s="228"/>
      <c r="B229" s="228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</row>
    <row r="230" spans="1:25" s="464" customFormat="1" x14ac:dyDescent="0.3">
      <c r="A230" s="228"/>
      <c r="B230" s="228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</row>
    <row r="231" spans="1:25" s="464" customFormat="1" x14ac:dyDescent="0.3">
      <c r="A231" s="228"/>
      <c r="B231" s="228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</row>
    <row r="232" spans="1:25" s="464" customFormat="1" x14ac:dyDescent="0.3">
      <c r="A232" s="228"/>
      <c r="B232" s="228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</row>
    <row r="233" spans="1:25" s="464" customFormat="1" x14ac:dyDescent="0.3">
      <c r="A233" s="228"/>
      <c r="B233" s="228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</row>
    <row r="234" spans="1:25" s="464" customFormat="1" x14ac:dyDescent="0.3">
      <c r="A234" s="228"/>
      <c r="B234" s="228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</row>
    <row r="235" spans="1:25" s="464" customFormat="1" x14ac:dyDescent="0.3">
      <c r="A235" s="228"/>
      <c r="B235" s="228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</row>
    <row r="236" spans="1:25" s="464" customFormat="1" x14ac:dyDescent="0.3">
      <c r="A236" s="228"/>
      <c r="B236" s="228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</row>
    <row r="237" spans="1:25" s="464" customFormat="1" x14ac:dyDescent="0.3">
      <c r="A237" s="228"/>
      <c r="B237" s="228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</row>
    <row r="238" spans="1:25" s="464" customFormat="1" x14ac:dyDescent="0.3">
      <c r="A238" s="228"/>
      <c r="B238" s="228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</row>
    <row r="239" spans="1:25" s="464" customFormat="1" x14ac:dyDescent="0.3">
      <c r="A239" s="228"/>
      <c r="B239" s="228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</row>
    <row r="240" spans="1:25" s="464" customFormat="1" x14ac:dyDescent="0.3">
      <c r="A240" s="228"/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</row>
    <row r="241" spans="1:25" s="464" customFormat="1" x14ac:dyDescent="0.3">
      <c r="A241" s="228"/>
      <c r="B241" s="228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</row>
    <row r="242" spans="1:25" s="464" customFormat="1" x14ac:dyDescent="0.3">
      <c r="A242" s="228"/>
      <c r="B242" s="228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</row>
    <row r="243" spans="1:25" s="464" customFormat="1" x14ac:dyDescent="0.3">
      <c r="A243" s="228"/>
      <c r="B243" s="228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</row>
    <row r="244" spans="1:25" s="464" customFormat="1" x14ac:dyDescent="0.3">
      <c r="A244" s="228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</row>
    <row r="245" spans="1:25" s="464" customFormat="1" x14ac:dyDescent="0.3">
      <c r="A245" s="228"/>
      <c r="B245" s="228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</row>
    <row r="246" spans="1:25" s="464" customFormat="1" x14ac:dyDescent="0.3">
      <c r="A246" s="228"/>
      <c r="B246" s="228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</row>
    <row r="247" spans="1:25" s="464" customFormat="1" x14ac:dyDescent="0.3">
      <c r="A247" s="228"/>
      <c r="B247" s="228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</row>
    <row r="248" spans="1:25" s="464" customFormat="1" x14ac:dyDescent="0.3">
      <c r="A248" s="228"/>
      <c r="B248" s="228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</row>
    <row r="249" spans="1:25" s="464" customFormat="1" x14ac:dyDescent="0.3">
      <c r="A249" s="228"/>
      <c r="B249" s="228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</row>
  </sheetData>
  <sheetProtection algorithmName="SHA-512" hashValue="lAzsS42SBi685VibT/Jx622RRqfCW/2VMt68EcOgv3cP1UhB+FfwuNyC+wC24iwnqaTEunoXSot3BE0iVVaP3g==" saltValue="OFlyL6pZLl2mH3BFVGXP2g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EP172"/>
  <sheetViews>
    <sheetView workbookViewId="0">
      <selection activeCell="G13" sqref="G13"/>
    </sheetView>
  </sheetViews>
  <sheetFormatPr defaultColWidth="10.84375" defaultRowHeight="13.5" x14ac:dyDescent="0.3"/>
  <cols>
    <col min="1" max="1" width="17" style="35" customWidth="1"/>
    <col min="2" max="2" width="23.4609375" style="35" customWidth="1"/>
    <col min="3" max="3" width="12.4609375" style="35" customWidth="1"/>
    <col min="4" max="11" width="12.15234375" style="35" customWidth="1"/>
    <col min="12" max="12" width="10.69140625" style="35" hidden="1" customWidth="1"/>
    <col min="13" max="13" width="12.15234375" style="35" hidden="1" customWidth="1"/>
    <col min="14" max="18" width="12.15234375" style="35" customWidth="1"/>
    <col min="19" max="20" width="10.69140625" style="35" hidden="1" customWidth="1"/>
    <col min="21" max="24" width="12.15234375" style="35" customWidth="1"/>
    <col min="25" max="25" width="10.84375" style="35"/>
    <col min="26" max="146" width="10.84375" style="465"/>
    <col min="147" max="16384" width="10.84375" style="44"/>
  </cols>
  <sheetData>
    <row r="1" spans="1:25" ht="14" x14ac:dyDescent="0.3">
      <c r="A1" s="202" t="s">
        <v>483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3"/>
    </row>
    <row r="2" spans="1:25" ht="14" x14ac:dyDescent="0.3">
      <c r="A2" s="204" t="s">
        <v>484</v>
      </c>
      <c r="B2" s="204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3"/>
    </row>
    <row r="3" spans="1:25" ht="14.5" thickBot="1" x14ac:dyDescent="0.35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5"/>
      <c r="Y3" s="203"/>
    </row>
    <row r="4" spans="1:25" ht="14" x14ac:dyDescent="0.3">
      <c r="A4" s="206" t="s">
        <v>423</v>
      </c>
      <c r="B4" s="207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119"/>
    </row>
    <row r="5" spans="1:25" ht="14" x14ac:dyDescent="0.3">
      <c r="A5" s="120" t="s">
        <v>662</v>
      </c>
      <c r="B5" s="209"/>
      <c r="C5" s="224">
        <v>5000</v>
      </c>
      <c r="D5" s="44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121"/>
    </row>
    <row r="6" spans="1:25" ht="14" x14ac:dyDescent="0.3">
      <c r="A6" s="120"/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121"/>
    </row>
    <row r="7" spans="1:25" ht="70" x14ac:dyDescent="0.3">
      <c r="A7" s="397" t="s">
        <v>267</v>
      </c>
      <c r="B7" s="398" t="s">
        <v>424</v>
      </c>
      <c r="C7" s="398" t="s">
        <v>351</v>
      </c>
      <c r="D7" s="399" t="s">
        <v>352</v>
      </c>
      <c r="E7" s="399" t="s">
        <v>425</v>
      </c>
      <c r="F7" s="400" t="s">
        <v>426</v>
      </c>
      <c r="G7" s="400" t="s">
        <v>471</v>
      </c>
      <c r="H7" s="400" t="s">
        <v>398</v>
      </c>
      <c r="I7" s="400" t="s">
        <v>399</v>
      </c>
      <c r="J7" s="400" t="s">
        <v>427</v>
      </c>
      <c r="K7" s="400" t="s">
        <v>120</v>
      </c>
      <c r="L7" s="410" t="s">
        <v>401</v>
      </c>
      <c r="M7" s="411" t="s">
        <v>402</v>
      </c>
      <c r="N7" s="401" t="s">
        <v>437</v>
      </c>
      <c r="O7" s="403" t="s">
        <v>403</v>
      </c>
      <c r="P7" s="404" t="s">
        <v>404</v>
      </c>
      <c r="Q7" s="404" t="s">
        <v>405</v>
      </c>
      <c r="R7" s="404" t="s">
        <v>406</v>
      </c>
      <c r="S7" s="409" t="s">
        <v>53</v>
      </c>
      <c r="T7" s="409" t="s">
        <v>0</v>
      </c>
      <c r="U7" s="405" t="s">
        <v>419</v>
      </c>
      <c r="V7" s="405" t="s">
        <v>420</v>
      </c>
      <c r="W7" s="406" t="s">
        <v>421</v>
      </c>
      <c r="X7" s="404" t="s">
        <v>422</v>
      </c>
      <c r="Y7" s="407" t="s">
        <v>438</v>
      </c>
    </row>
    <row r="8" spans="1:25" ht="23" customHeight="1" x14ac:dyDescent="0.3">
      <c r="A8" s="210" t="str">
        <f>'Tariffs 2016'!F2</f>
        <v>AGL</v>
      </c>
      <c r="B8" s="44" t="str">
        <f>'Tariffs 2016'!D2</f>
        <v>Jemena</v>
      </c>
      <c r="C8" s="44" t="str">
        <f>'Tariffs 2016'!G2</f>
        <v>Savers</v>
      </c>
      <c r="D8" s="211">
        <f>60*'Tariffs 2016'!H2/100</f>
        <v>32.729999999999997</v>
      </c>
      <c r="E8" s="211">
        <f>IF($C$5&gt;='Tariffs 2016'!J2,('Tariffs 2016'!J2*'Tariffs 2016'!O2/100),($C$5*'Tariffs 2016'!O2/100))</f>
        <v>42.395999999999994</v>
      </c>
      <c r="F8" s="211">
        <f>IF($C$5&lt;'Tariffs 2016'!J2,0,IF(($C$5-'Tariffs 2016'!J2)&lt;='Tariffs 2016'!K2,(($C$5-'Tariffs 2016'!J2)*'Tariffs 2016'!P2/100),(('Tariffs 2016'!K2-'Tariffs 2016'!J2)*'Tariffs 2016'!P2/100)))</f>
        <v>28.26</v>
      </c>
      <c r="G8" s="211">
        <f>IF($C$5&lt;'Tariffs 2016'!K2,0,IF(($C$5-'Tariffs 2016'!K2)&lt;='Tariffs 2016'!L2,(($C$5-'Tariffs 2016'!K2)*'Tariffs 2016'!Q2/100),(('Tariffs 2016'!L2-'Tariffs 2016'!K2)*'Tariffs 2016'!Q2/100)))</f>
        <v>56.628</v>
      </c>
      <c r="H8" s="211">
        <f>IF($C$5&lt;'Tariffs 2016'!L2,0,IF(($C$5-'Tariffs 2016'!L2)&lt;='Tariffs 2016'!M2,(($C$5-'Tariffs 2016'!L2)*'Tariffs 2016'!R2/100),(('Tariffs 2016'!M2-'Tariffs 2016'!L2)*'Tariffs 2016'!R2/100)))</f>
        <v>0</v>
      </c>
      <c r="I8" s="211">
        <f>IF($C$5&lt;'Tariffs 2016'!M2,0,IF(($C$5-'Tariffs 2016'!M2)&lt;='Tariffs 2016'!N2,(($C$5-'Tariffs 2016'!M2)*'Tariffs 2016'!S2/100),(('Tariffs 2016'!N2-'Tariffs 2016'!M2)*'Tariffs 2016'!S2/100)))</f>
        <v>0</v>
      </c>
      <c r="J8" s="211">
        <f>IF(($C$5&lt;'Tariffs 2016'!N2),(0),($C$5-'Tariffs 2016'!N2)*'Tariffs 2016'!T2/100)</f>
        <v>0</v>
      </c>
      <c r="K8" s="211">
        <f>SUM(D8:J8)</f>
        <v>160.01400000000001</v>
      </c>
      <c r="L8" s="412">
        <f>(K8*6)-(D8*6)</f>
        <v>763.70400000000006</v>
      </c>
      <c r="M8" s="413">
        <f>K8*6</f>
        <v>960.08400000000006</v>
      </c>
      <c r="N8" s="214">
        <f>M8*1.1</f>
        <v>1056.0924000000002</v>
      </c>
      <c r="O8" s="44">
        <f>'Tariffs 2016'!AK2</f>
        <v>0</v>
      </c>
      <c r="P8" s="44">
        <f>'Tariffs 2016'!AL2</f>
        <v>0</v>
      </c>
      <c r="Q8" s="44">
        <f>'Tariffs 2016'!AM2</f>
        <v>0</v>
      </c>
      <c r="R8" s="44">
        <f>'Tariffs 2016'!AN2</f>
        <v>10</v>
      </c>
      <c r="S8" s="413">
        <f t="shared" ref="S8:S13" si="0">M8</f>
        <v>960.08400000000006</v>
      </c>
      <c r="T8" s="413">
        <f>S8-(L8*R8/100)</f>
        <v>883.71360000000004</v>
      </c>
      <c r="U8" s="261">
        <f>S8*1.1</f>
        <v>1056.0924000000002</v>
      </c>
      <c r="V8" s="261">
        <f>T8*1.1</f>
        <v>972.08496000000014</v>
      </c>
      <c r="W8" s="215">
        <f>'Tariffs 2016'!AU2</f>
        <v>0</v>
      </c>
      <c r="X8" s="215" t="str">
        <f>'Tariffs 2016'!AV2</f>
        <v>n</v>
      </c>
      <c r="Y8" s="216" t="s">
        <v>288</v>
      </c>
    </row>
    <row r="9" spans="1:25" ht="23" customHeight="1" x14ac:dyDescent="0.3">
      <c r="A9" s="210" t="str">
        <f>'Tariffs 2016'!F3</f>
        <v>Covau</v>
      </c>
      <c r="B9" s="44" t="str">
        <f>'Tariffs 2016'!D3</f>
        <v>Jemena</v>
      </c>
      <c r="C9" s="44" t="str">
        <f>'Tariffs 2016'!G3</f>
        <v>Rate Saver</v>
      </c>
      <c r="D9" s="211">
        <f>60*'Tariffs 2016'!H3/100</f>
        <v>36.396000000000001</v>
      </c>
      <c r="E9" s="211">
        <f>IF($C$5&gt;='Tariffs 2016'!J3,('Tariffs 2016'!J3*'Tariffs 2016'!O3/100),($C$5*'Tariffs 2016'!O3/100))</f>
        <v>48.48</v>
      </c>
      <c r="F9" s="211">
        <f>IF($C$5&lt;'Tariffs 2016'!J3,0,IF(($C$5-'Tariffs 2016'!J3)&lt;='Tariffs 2016'!K3,(($C$5-'Tariffs 2016'!J3)*'Tariffs 2016'!P3/100),(('Tariffs 2016'!K3-'Tariffs 2016'!J3)*'Tariffs 2016'!P3/100)))</f>
        <v>31.56</v>
      </c>
      <c r="G9" s="211">
        <f>IF($C$5&lt;'Tariffs 2016'!K3,0,IF(($C$5-'Tariffs 2016'!K3)&lt;='Tariffs 2016'!L3,(($C$5-'Tariffs 2016'!K3)*'Tariffs 2016'!Q3/100),(('Tariffs 2016'!L3-'Tariffs 2016'!K3)*'Tariffs 2016'!Q3/100)))</f>
        <v>66.56</v>
      </c>
      <c r="H9" s="211">
        <f>IF($C$5&lt;'Tariffs 2016'!L3,0,IF(($C$5-'Tariffs 2016'!L3)&lt;='Tariffs 2016'!M3,(($C$5-'Tariffs 2016'!L3)*'Tariffs 2016'!R3/100),(('Tariffs 2016'!M3-'Tariffs 2016'!L3)*'Tariffs 2016'!R3/100)))</f>
        <v>0</v>
      </c>
      <c r="I9" s="211">
        <f>IF($C$5&lt;'Tariffs 2016'!M3,0,IF(($C$5-'Tariffs 2016'!M3)&lt;='Tariffs 2016'!N3,(($C$5-'Tariffs 2016'!M3)*'Tariffs 2016'!S3/100),(('Tariffs 2016'!N3-'Tariffs 2016'!M3)*'Tariffs 2016'!S3/100)))</f>
        <v>0</v>
      </c>
      <c r="J9" s="211">
        <f>IF(($C$5&lt;'Tariffs 2016'!N3),(0),($C$5-'Tariffs 2016'!N3)*'Tariffs 2016'!T3/100)</f>
        <v>0</v>
      </c>
      <c r="K9" s="211">
        <f t="shared" ref="K9:K26" si="1">SUM(D9:J9)</f>
        <v>182.99600000000001</v>
      </c>
      <c r="L9" s="412">
        <f t="shared" ref="L9:L26" si="2">(K9*6)-(D9*6)</f>
        <v>879.60000000000014</v>
      </c>
      <c r="M9" s="413">
        <f t="shared" ref="M9:M26" si="3">K9*6</f>
        <v>1097.9760000000001</v>
      </c>
      <c r="N9" s="214">
        <f t="shared" ref="N9:N26" si="4">M9*1.1</f>
        <v>1207.7736000000002</v>
      </c>
      <c r="O9" s="44">
        <f>'Tariffs 2016'!AK3</f>
        <v>0</v>
      </c>
      <c r="P9" s="44">
        <f>'Tariffs 2016'!AL3</f>
        <v>0</v>
      </c>
      <c r="Q9" s="44">
        <f>'Tariffs 2016'!AM3</f>
        <v>0</v>
      </c>
      <c r="R9" s="44">
        <f>'Tariffs 2016'!AN3</f>
        <v>18</v>
      </c>
      <c r="S9" s="413">
        <f t="shared" si="0"/>
        <v>1097.9760000000001</v>
      </c>
      <c r="T9" s="413">
        <f>S9-(L9*R9/100)</f>
        <v>939.64800000000014</v>
      </c>
      <c r="U9" s="261">
        <f t="shared" ref="U9:U13" si="5">S9*1.1</f>
        <v>1207.7736000000002</v>
      </c>
      <c r="V9" s="261">
        <f t="shared" ref="V9:V13" si="6">T9*1.1</f>
        <v>1033.6128000000003</v>
      </c>
      <c r="W9" s="215">
        <f>'Tariffs 2016'!AU3</f>
        <v>0</v>
      </c>
      <c r="X9" s="215" t="str">
        <f>'Tariffs 2016'!AV3</f>
        <v>n</v>
      </c>
      <c r="Y9" s="216" t="s">
        <v>288</v>
      </c>
    </row>
    <row r="10" spans="1:25" ht="23" customHeight="1" x14ac:dyDescent="0.3">
      <c r="A10" s="210" t="str">
        <f>'Tariffs 2016'!F4</f>
        <v>Dodo</v>
      </c>
      <c r="B10" s="44" t="str">
        <f>'Tariffs 2016'!D4</f>
        <v>Jemena</v>
      </c>
      <c r="C10" s="44" t="str">
        <f>'Tariffs 2016'!G4</f>
        <v>20 percent</v>
      </c>
      <c r="D10" s="211">
        <f>60*'Tariffs 2016'!H4/100</f>
        <v>32.663999999999994</v>
      </c>
      <c r="E10" s="211">
        <f>IF($C$5&gt;='Tariffs 2016'!J4,('Tariffs 2016'!J4*'Tariffs 2016'!O4/100),($C$5*'Tariffs 2016'!O4/100))</f>
        <v>48.6</v>
      </c>
      <c r="F10" s="211">
        <f>IF($C$5&lt;'Tariffs 2016'!J4,0,IF(($C$5-'Tariffs 2016'!J4)&lt;='Tariffs 2016'!K4,(($C$5-'Tariffs 2016'!J4)*'Tariffs 2016'!P4/100),(('Tariffs 2016'!K4-'Tariffs 2016'!J4)*'Tariffs 2016'!P4/100)))</f>
        <v>28.2</v>
      </c>
      <c r="G10" s="211">
        <f>IF($C$5&lt;'Tariffs 2016'!K4,0,IF(($C$5-'Tariffs 2016'!K4)&lt;='Tariffs 2016'!L4,(($C$5-'Tariffs 2016'!K4)*'Tariffs 2016'!Q4/100),(('Tariffs 2016'!L4-'Tariffs 2016'!K4)*'Tariffs 2016'!Q4/100)))</f>
        <v>61.1</v>
      </c>
      <c r="H10" s="211">
        <f>IF($C$5&lt;'Tariffs 2016'!L4,0,IF(($C$5-'Tariffs 2016'!L4)&lt;='Tariffs 2016'!M4,(($C$5-'Tariffs 2016'!L4)*'Tariffs 2016'!R4/100),(('Tariffs 2016'!M4-'Tariffs 2016'!L4)*'Tariffs 2016'!R4/100)))</f>
        <v>0</v>
      </c>
      <c r="I10" s="211">
        <f>IF($C$5&lt;'Tariffs 2016'!M4,0,IF(($C$5-'Tariffs 2016'!M4)&lt;='Tariffs 2016'!N4,(($C$5-'Tariffs 2016'!M4)*'Tariffs 2016'!S4/100),(('Tariffs 2016'!N4-'Tariffs 2016'!M4)*'Tariffs 2016'!S4/100)))</f>
        <v>0</v>
      </c>
      <c r="J10" s="211">
        <f>IF(($C$5&lt;'Tariffs 2016'!N4),(0),($C$5-'Tariffs 2016'!N4)*'Tariffs 2016'!T4/100)</f>
        <v>0</v>
      </c>
      <c r="K10" s="211">
        <f t="shared" si="1"/>
        <v>170.56399999999999</v>
      </c>
      <c r="L10" s="412">
        <f t="shared" si="2"/>
        <v>827.40000000000009</v>
      </c>
      <c r="M10" s="413">
        <f t="shared" si="3"/>
        <v>1023.384</v>
      </c>
      <c r="N10" s="214">
        <f t="shared" si="4"/>
        <v>1125.7224000000001</v>
      </c>
      <c r="O10" s="44">
        <f>'Tariffs 2016'!AK4</f>
        <v>0</v>
      </c>
      <c r="P10" s="44">
        <f>'Tariffs 2016'!AL4</f>
        <v>0</v>
      </c>
      <c r="Q10" s="44">
        <f>'Tariffs 2016'!AM4</f>
        <v>0</v>
      </c>
      <c r="R10" s="44">
        <f>'Tariffs 2016'!AN4</f>
        <v>20</v>
      </c>
      <c r="S10" s="413">
        <f t="shared" si="0"/>
        <v>1023.384</v>
      </c>
      <c r="T10" s="413">
        <f>S10-(L10*R10/100)</f>
        <v>857.904</v>
      </c>
      <c r="U10" s="261">
        <f t="shared" si="5"/>
        <v>1125.7224000000001</v>
      </c>
      <c r="V10" s="261">
        <f t="shared" si="6"/>
        <v>943.69440000000009</v>
      </c>
      <c r="W10" s="215">
        <f>'Tariffs 2016'!AU4</f>
        <v>0</v>
      </c>
      <c r="X10" s="215" t="str">
        <f>'Tariffs 2016'!AV4</f>
        <v>n</v>
      </c>
      <c r="Y10" s="216" t="s">
        <v>400</v>
      </c>
    </row>
    <row r="11" spans="1:25" ht="23" customHeight="1" x14ac:dyDescent="0.3">
      <c r="A11" s="210" t="str">
        <f>'Tariffs 2016'!F5</f>
        <v>EnergyAustralia</v>
      </c>
      <c r="B11" s="44" t="str">
        <f>'Tariffs 2016'!D5</f>
        <v>Jemena</v>
      </c>
      <c r="C11" s="44" t="str">
        <f>'Tariffs 2016'!G5</f>
        <v xml:space="preserve">Flexi Saver </v>
      </c>
      <c r="D11" s="211">
        <f>60*'Tariffs 2016'!H5/100</f>
        <v>33.69</v>
      </c>
      <c r="E11" s="211">
        <f>IF($C$5&gt;='Tariffs 2016'!J5,('Tariffs 2016'!J5*'Tariffs 2016'!O5/100),($C$5*'Tariffs 2016'!O5/100))</f>
        <v>43.08</v>
      </c>
      <c r="F11" s="211">
        <f>IF($C$5&lt;'Tariffs 2016'!J5,0,IF(($C$5-'Tariffs 2016'!J5)&lt;='Tariffs 2016'!K5,(($C$5-'Tariffs 2016'!J5)*'Tariffs 2016'!P5/100),(('Tariffs 2016'!K5-'Tariffs 2016'!J5)*'Tariffs 2016'!P5/100)))</f>
        <v>28.92</v>
      </c>
      <c r="G11" s="211">
        <f>IF($C$5&lt;'Tariffs 2016'!K5,0,IF(($C$5-'Tariffs 2016'!K5)&lt;='Tariffs 2016'!L5,(($C$5-'Tariffs 2016'!K5)*'Tariffs 2016'!Q5/100),(('Tariffs 2016'!L5-'Tariffs 2016'!K5)*'Tariffs 2016'!Q5/100)))</f>
        <v>57.33</v>
      </c>
      <c r="H11" s="211">
        <f>IF($C$5&lt;'Tariffs 2016'!L5,0,IF(($C$5-'Tariffs 2016'!L5)&lt;='Tariffs 2016'!M5,(($C$5-'Tariffs 2016'!L5)*'Tariffs 2016'!R5/100),(('Tariffs 2016'!M5-'Tariffs 2016'!L5)*'Tariffs 2016'!R5/100)))</f>
        <v>0</v>
      </c>
      <c r="I11" s="211">
        <f>IF($C$5&lt;'Tariffs 2016'!M5,0,IF(($C$5-'Tariffs 2016'!M5)&lt;='Tariffs 2016'!N5,(($C$5-'Tariffs 2016'!M5)*'Tariffs 2016'!S5/100),(('Tariffs 2016'!N5-'Tariffs 2016'!M5)*'Tariffs 2016'!S5/100)))</f>
        <v>0</v>
      </c>
      <c r="J11" s="211">
        <f>IF(($C$5&lt;'Tariffs 2016'!N5),(0),($C$5-'Tariffs 2016'!N5)*'Tariffs 2016'!T5/100)</f>
        <v>0</v>
      </c>
      <c r="K11" s="211">
        <f t="shared" si="1"/>
        <v>163.01999999999998</v>
      </c>
      <c r="L11" s="412">
        <f t="shared" si="2"/>
        <v>775.9799999999999</v>
      </c>
      <c r="M11" s="413">
        <f t="shared" si="3"/>
        <v>978.11999999999989</v>
      </c>
      <c r="N11" s="214">
        <f t="shared" si="4"/>
        <v>1075.932</v>
      </c>
      <c r="O11" s="44">
        <f>'Tariffs 2016'!AK5</f>
        <v>0</v>
      </c>
      <c r="P11" s="44">
        <f>'Tariffs 2016'!AL5</f>
        <v>0</v>
      </c>
      <c r="Q11" s="44">
        <f>'Tariffs 2016'!AM5</f>
        <v>0</v>
      </c>
      <c r="R11" s="44">
        <f>'Tariffs 2016'!AN5</f>
        <v>13</v>
      </c>
      <c r="S11" s="413">
        <f t="shared" si="0"/>
        <v>978.11999999999989</v>
      </c>
      <c r="T11" s="413">
        <f>S11-(L11*R11/100)</f>
        <v>877.24259999999992</v>
      </c>
      <c r="U11" s="261">
        <f t="shared" si="5"/>
        <v>1075.932</v>
      </c>
      <c r="V11" s="261">
        <f t="shared" si="6"/>
        <v>964.96686</v>
      </c>
      <c r="W11" s="215">
        <f>'Tariffs 2016'!AU5</f>
        <v>0</v>
      </c>
      <c r="X11" s="215" t="str">
        <f>'Tariffs 2016'!AV5</f>
        <v>n</v>
      </c>
      <c r="Y11" s="216" t="s">
        <v>288</v>
      </c>
    </row>
    <row r="12" spans="1:25" ht="23" customHeight="1" x14ac:dyDescent="0.3">
      <c r="A12" s="210" t="str">
        <f>'Tariffs 2016'!F6</f>
        <v>Origin Energy</v>
      </c>
      <c r="B12" s="44" t="str">
        <f>'Tariffs 2016'!D6</f>
        <v>Jemena</v>
      </c>
      <c r="C12" s="44" t="str">
        <f>'Tariffs 2016'!G6</f>
        <v>Saver</v>
      </c>
      <c r="D12" s="211">
        <f>60*'Tariffs 2016'!H6/100</f>
        <v>32.729999999999997</v>
      </c>
      <c r="E12" s="211">
        <f>IF($C$5&gt;='Tariffs 2016'!J6,('Tariffs 2016'!J6*'Tariffs 2016'!O6/100),($C$5*'Tariffs 2016'!O6/100))</f>
        <v>42.395999999999994</v>
      </c>
      <c r="F12" s="211">
        <f>IF($C$5&lt;'Tariffs 2016'!J6,0,IF(($C$5-'Tariffs 2016'!J6)&lt;='Tariffs 2016'!K6,(($C$5-'Tariffs 2016'!J6)*'Tariffs 2016'!P6/100),(('Tariffs 2016'!K6-'Tariffs 2016'!J6)*'Tariffs 2016'!P6/100)))</f>
        <v>28.26</v>
      </c>
      <c r="G12" s="211">
        <f>IF($C$5&lt;'Tariffs 2016'!K6,0,IF(($C$5-'Tariffs 2016'!K6)&lt;='Tariffs 2016'!L6,(($C$5-'Tariffs 2016'!K6)*'Tariffs 2016'!Q6/100),(('Tariffs 2016'!L6-'Tariffs 2016'!K6)*'Tariffs 2016'!Q6/100)))</f>
        <v>56.628</v>
      </c>
      <c r="H12" s="211">
        <f>IF($C$5&lt;'Tariffs 2016'!L6,0,IF(($C$5-'Tariffs 2016'!L6)&lt;='Tariffs 2016'!M6,(($C$5-'Tariffs 2016'!L6)*'Tariffs 2016'!R6/100),(('Tariffs 2016'!M6-'Tariffs 2016'!L6)*'Tariffs 2016'!R6/100)))</f>
        <v>0</v>
      </c>
      <c r="I12" s="211">
        <f>IF($C$5&lt;'Tariffs 2016'!M6,0,IF(($C$5-'Tariffs 2016'!M6)&lt;='Tariffs 2016'!N6,(($C$5-'Tariffs 2016'!M6)*'Tariffs 2016'!S6/100),(('Tariffs 2016'!N6-'Tariffs 2016'!M6)*'Tariffs 2016'!S6/100)))</f>
        <v>0</v>
      </c>
      <c r="J12" s="211">
        <f>IF(($C$5&lt;'Tariffs 2016'!N6),(0),($C$5-'Tariffs 2016'!N6)*'Tariffs 2016'!T6/100)</f>
        <v>0</v>
      </c>
      <c r="K12" s="211">
        <f t="shared" si="1"/>
        <v>160.01400000000001</v>
      </c>
      <c r="L12" s="412">
        <f t="shared" si="2"/>
        <v>763.70400000000006</v>
      </c>
      <c r="M12" s="413">
        <f t="shared" si="3"/>
        <v>960.08400000000006</v>
      </c>
      <c r="N12" s="214">
        <f t="shared" si="4"/>
        <v>1056.0924000000002</v>
      </c>
      <c r="O12" s="44">
        <f>'Tariffs 2016'!AK6</f>
        <v>0</v>
      </c>
      <c r="P12" s="44">
        <f>'Tariffs 2016'!AL6</f>
        <v>0</v>
      </c>
      <c r="Q12" s="44">
        <f>'Tariffs 2016'!AM6</f>
        <v>0</v>
      </c>
      <c r="R12" s="44">
        <f>'Tariffs 2016'!AN6</f>
        <v>10</v>
      </c>
      <c r="S12" s="413">
        <f t="shared" si="0"/>
        <v>960.08400000000006</v>
      </c>
      <c r="T12" s="413">
        <f>S12-(L12*R12/100)</f>
        <v>883.71360000000004</v>
      </c>
      <c r="U12" s="261">
        <f t="shared" si="5"/>
        <v>1056.0924000000002</v>
      </c>
      <c r="V12" s="261">
        <f t="shared" si="6"/>
        <v>972.08496000000014</v>
      </c>
      <c r="W12" s="215">
        <f>'Tariffs 2016'!AU6</f>
        <v>0</v>
      </c>
      <c r="X12" s="215" t="str">
        <f>'Tariffs 2016'!AV6</f>
        <v>n</v>
      </c>
      <c r="Y12" s="216" t="s">
        <v>288</v>
      </c>
    </row>
    <row r="13" spans="1:25" ht="23" customHeight="1" thickBot="1" x14ac:dyDescent="0.35">
      <c r="A13" s="210" t="str">
        <f>'Tariffs 2016'!F7</f>
        <v>Red Energy</v>
      </c>
      <c r="B13" s="44" t="str">
        <f>'Tariffs 2016'!D7</f>
        <v>Jemena</v>
      </c>
      <c r="C13" s="44" t="str">
        <f>'Tariffs 2016'!G7</f>
        <v>Easy Saver 10%</v>
      </c>
      <c r="D13" s="211">
        <f>60*'Tariffs 2016'!H7/100</f>
        <v>32.729999999999997</v>
      </c>
      <c r="E13" s="211">
        <f>IF($C$5&gt;='Tariffs 2016'!J7,('Tariffs 2016'!J7*'Tariffs 2016'!O7/100),($C$5*'Tariffs 2016'!O7/100))</f>
        <v>42.36</v>
      </c>
      <c r="F13" s="211">
        <f>IF($C$5&lt;'Tariffs 2016'!J7,0,IF(($C$5-'Tariffs 2016'!J7)&lt;='Tariffs 2016'!K7,(($C$5-'Tariffs 2016'!J7)*'Tariffs 2016'!P7/100),(('Tariffs 2016'!K7-'Tariffs 2016'!J7)*'Tariffs 2016'!P7/100)))</f>
        <v>28.2</v>
      </c>
      <c r="G13" s="211">
        <f>IF($C$5&lt;'Tariffs 2016'!K7,0,IF(($C$5-'Tariffs 2016'!K7)&lt;='Tariffs 2016'!L7,(($C$5-'Tariffs 2016'!K7)*'Tariffs 2016'!Q7/100),(('Tariffs 2016'!L7-'Tariffs 2016'!K7)*'Tariffs 2016'!Q7/100)))</f>
        <v>56.42</v>
      </c>
      <c r="H13" s="211">
        <f>IF($C$5&lt;'Tariffs 2016'!L7,0,IF(($C$5-'Tariffs 2016'!L7)&lt;='Tariffs 2016'!M7,(($C$5-'Tariffs 2016'!L7)*'Tariffs 2016'!R7/100),(('Tariffs 2016'!M7-'Tariffs 2016'!L7)*'Tariffs 2016'!R7/100)))</f>
        <v>0</v>
      </c>
      <c r="I13" s="211">
        <f>IF($C$5&lt;'Tariffs 2016'!M7,0,IF(($C$5-'Tariffs 2016'!M7)&lt;='Tariffs 2016'!N7,(($C$5-'Tariffs 2016'!M7)*'Tariffs 2016'!S7/100),(('Tariffs 2016'!N7-'Tariffs 2016'!M7)*'Tariffs 2016'!S7/100)))</f>
        <v>0</v>
      </c>
      <c r="J13" s="211">
        <f>IF(($C$5&lt;'Tariffs 2016'!N7),(0),($C$5-'Tariffs 2016'!N7)*'Tariffs 2016'!T7/100)</f>
        <v>0</v>
      </c>
      <c r="K13" s="211">
        <f t="shared" si="1"/>
        <v>159.71</v>
      </c>
      <c r="L13" s="412">
        <f t="shared" si="2"/>
        <v>761.88</v>
      </c>
      <c r="M13" s="413">
        <f t="shared" si="3"/>
        <v>958.26</v>
      </c>
      <c r="N13" s="214">
        <f t="shared" si="4"/>
        <v>1054.086</v>
      </c>
      <c r="O13" s="44">
        <f>'Tariffs 2016'!AK7</f>
        <v>0</v>
      </c>
      <c r="P13" s="44">
        <f>'Tariffs 2016'!AL7</f>
        <v>0</v>
      </c>
      <c r="Q13" s="44">
        <f>'Tariffs 2016'!AM7</f>
        <v>10</v>
      </c>
      <c r="R13" s="44">
        <f>'Tariffs 2016'!AN7</f>
        <v>0</v>
      </c>
      <c r="S13" s="413">
        <f t="shared" si="0"/>
        <v>958.26</v>
      </c>
      <c r="T13" s="413">
        <f>S13-(M13*Q13/100)</f>
        <v>862.43399999999997</v>
      </c>
      <c r="U13" s="261">
        <f t="shared" si="5"/>
        <v>1054.086</v>
      </c>
      <c r="V13" s="261">
        <f t="shared" si="6"/>
        <v>948.67740000000003</v>
      </c>
      <c r="W13" s="215">
        <f>'Tariffs 2016'!AU7</f>
        <v>0</v>
      </c>
      <c r="X13" s="215" t="str">
        <f>'Tariffs 2016'!AV7</f>
        <v>n</v>
      </c>
      <c r="Y13" s="216" t="s">
        <v>400</v>
      </c>
    </row>
    <row r="14" spans="1:25" ht="23" customHeight="1" thickTop="1" x14ac:dyDescent="0.3">
      <c r="A14" s="425" t="str">
        <f>'Tariffs 2016'!F8</f>
        <v>ActewAGL</v>
      </c>
      <c r="B14" s="426" t="str">
        <f>'Tariffs 2016'!D8</f>
        <v>ActewAGL Boorowa</v>
      </c>
      <c r="C14" s="426" t="str">
        <f>'Tariffs 2016'!G8</f>
        <v>Residential plan</v>
      </c>
      <c r="D14" s="427">
        <f>60*'Tariffs 2016'!H8/100</f>
        <v>33.552</v>
      </c>
      <c r="E14" s="427">
        <f>IF($C$5&gt;='Tariffs 2016'!J8,('Tariffs 2016'!J8*'Tariffs 2016'!O8/100),($C$5*'Tariffs 2016'!O8/100))</f>
        <v>44.675999999999995</v>
      </c>
      <c r="F14" s="427">
        <f>IF($C$5&lt;'Tariffs 2016'!J8,0,IF(($C$5-'Tariffs 2016'!J8)&lt;='Tariffs 2016'!K8,(($C$5-'Tariffs 2016'!J8)*'Tariffs 2016'!P8/100),(('Tariffs 2016'!K8-'Tariffs 2016'!J8)*'Tariffs 2016'!P8/100)))</f>
        <v>28.140000000000004</v>
      </c>
      <c r="G14" s="427">
        <f>IF($C$5&lt;'Tariffs 2016'!K8,0,IF(($C$5-'Tariffs 2016'!K8)&lt;='Tariffs 2016'!L8,(($C$5-'Tariffs 2016'!K8)*'Tariffs 2016'!Q8/100),(('Tariffs 2016'!L8-'Tariffs 2016'!K8)*'Tariffs 2016'!Q8/100)))</f>
        <v>59.436000000000007</v>
      </c>
      <c r="H14" s="427">
        <f>IF($C$5&lt;'Tariffs 2016'!L8,0,IF(($C$5-'Tariffs 2016'!L8)&lt;='Tariffs 2016'!M8,(($C$5-'Tariffs 2016'!L8)*'Tariffs 2016'!R8/100),(('Tariffs 2016'!M8-'Tariffs 2016'!L8)*'Tariffs 2016'!R8/100)))</f>
        <v>0</v>
      </c>
      <c r="I14" s="427">
        <f>IF($C$5&lt;'Tariffs 2016'!M8,0,IF(($C$5-'Tariffs 2016'!M8)&lt;='Tariffs 2016'!N8,(($C$5-'Tariffs 2016'!M8)*'Tariffs 2016'!S8/100),(('Tariffs 2016'!N8-'Tariffs 2016'!M8)*'Tariffs 2016'!S8/100)))</f>
        <v>0</v>
      </c>
      <c r="J14" s="427">
        <f>IF(($C$5&lt;'Tariffs 2016'!N8),(0),($C$5-'Tariffs 2016'!N8)*'Tariffs 2016'!T8/100)</f>
        <v>0</v>
      </c>
      <c r="K14" s="427">
        <f t="shared" si="1"/>
        <v>165.804</v>
      </c>
      <c r="L14" s="428">
        <f t="shared" si="2"/>
        <v>793.51200000000006</v>
      </c>
      <c r="M14" s="429">
        <f t="shared" si="3"/>
        <v>994.82400000000007</v>
      </c>
      <c r="N14" s="432">
        <f t="shared" si="4"/>
        <v>1094.3064000000002</v>
      </c>
      <c r="O14" s="426">
        <f>'Tariffs 2016'!AK8</f>
        <v>0</v>
      </c>
      <c r="P14" s="426">
        <f>'Tariffs 2016'!AL8</f>
        <v>0</v>
      </c>
      <c r="Q14" s="426">
        <f>'Tariffs 2016'!AM8</f>
        <v>0</v>
      </c>
      <c r="R14" s="426">
        <f>'Tariffs 2016'!AN8</f>
        <v>0</v>
      </c>
      <c r="S14" s="429">
        <f t="shared" ref="S14:S26" si="7">M14</f>
        <v>994.82400000000007</v>
      </c>
      <c r="T14" s="429">
        <f>S14</f>
        <v>994.82400000000007</v>
      </c>
      <c r="U14" s="454">
        <f t="shared" ref="U14:U26" si="8">S14*1.1</f>
        <v>1094.3064000000002</v>
      </c>
      <c r="V14" s="454">
        <f t="shared" ref="V14" si="9">T14*1.1</f>
        <v>1094.3064000000002</v>
      </c>
      <c r="W14" s="433">
        <f>'Tariffs 2016'!AU8</f>
        <v>0</v>
      </c>
      <c r="X14" s="433" t="str">
        <f>'Tariffs 2016'!AV8</f>
        <v>n</v>
      </c>
      <c r="Y14" s="434" t="s">
        <v>288</v>
      </c>
    </row>
    <row r="15" spans="1:25" ht="23" customHeight="1" thickBot="1" x14ac:dyDescent="0.35">
      <c r="A15" s="435" t="str">
        <f>'Tariffs 2016'!F9</f>
        <v>EnergyAustralia</v>
      </c>
      <c r="B15" s="436" t="str">
        <f>'Tariffs 2016'!D9</f>
        <v>ActewAGL Boorowa</v>
      </c>
      <c r="C15" s="436" t="str">
        <f>'Tariffs 2016'!G9</f>
        <v xml:space="preserve">Flexi Saver </v>
      </c>
      <c r="D15" s="437">
        <f>60*'Tariffs 2016'!H9/100</f>
        <v>33.69</v>
      </c>
      <c r="E15" s="437">
        <f>IF($C$5&gt;='Tariffs 2016'!J9,('Tariffs 2016'!J9*'Tariffs 2016'!O9/100),($C$5*'Tariffs 2016'!O9/100))</f>
        <v>43.08</v>
      </c>
      <c r="F15" s="437">
        <f>IF($C$5&lt;'Tariffs 2016'!J9,0,IF(($C$5-'Tariffs 2016'!J9)&lt;='Tariffs 2016'!K9,(($C$5-'Tariffs 2016'!J9)*'Tariffs 2016'!P9/100),(('Tariffs 2016'!K9-'Tariffs 2016'!J9)*'Tariffs 2016'!P9/100)))</f>
        <v>28.92</v>
      </c>
      <c r="G15" s="437">
        <f>IF($C$5&lt;'Tariffs 2016'!K9,0,IF(($C$5-'Tariffs 2016'!K9)&lt;='Tariffs 2016'!L9,(($C$5-'Tariffs 2016'!K9)*'Tariffs 2016'!Q9/100),(('Tariffs 2016'!L9-'Tariffs 2016'!K9)*'Tariffs 2016'!Q9/100)))</f>
        <v>57.33</v>
      </c>
      <c r="H15" s="437">
        <f>IF($C$5&lt;'Tariffs 2016'!L9,0,IF(($C$5-'Tariffs 2016'!L9)&lt;='Tariffs 2016'!M9,(($C$5-'Tariffs 2016'!L9)*'Tariffs 2016'!R9/100),(('Tariffs 2016'!M9-'Tariffs 2016'!L9)*'Tariffs 2016'!R9/100)))</f>
        <v>0</v>
      </c>
      <c r="I15" s="437">
        <f>IF($C$5&lt;'Tariffs 2016'!M9,0,IF(($C$5-'Tariffs 2016'!M9)&lt;='Tariffs 2016'!N9,(($C$5-'Tariffs 2016'!M9)*'Tariffs 2016'!S9/100),(('Tariffs 2016'!N9-'Tariffs 2016'!M9)*'Tariffs 2016'!S9/100)))</f>
        <v>0</v>
      </c>
      <c r="J15" s="437">
        <f>IF(($C$5&lt;'Tariffs 2016'!N9),(0),($C$5-'Tariffs 2016'!N9)*'Tariffs 2016'!T9/100)</f>
        <v>0</v>
      </c>
      <c r="K15" s="437">
        <f t="shared" si="1"/>
        <v>163.01999999999998</v>
      </c>
      <c r="L15" s="438">
        <f t="shared" si="2"/>
        <v>775.9799999999999</v>
      </c>
      <c r="M15" s="439">
        <f t="shared" si="3"/>
        <v>978.11999999999989</v>
      </c>
      <c r="N15" s="442">
        <f t="shared" si="4"/>
        <v>1075.932</v>
      </c>
      <c r="O15" s="436">
        <f>'Tariffs 2016'!AK9</f>
        <v>0</v>
      </c>
      <c r="P15" s="436">
        <f>'Tariffs 2016'!AL9</f>
        <v>0</v>
      </c>
      <c r="Q15" s="436">
        <f>'Tariffs 2016'!AM9</f>
        <v>0</v>
      </c>
      <c r="R15" s="436">
        <f>'Tariffs 2016'!AN9</f>
        <v>13</v>
      </c>
      <c r="S15" s="439">
        <f t="shared" si="7"/>
        <v>978.11999999999989</v>
      </c>
      <c r="T15" s="439">
        <f t="shared" ref="T15:T20" si="10">S15-(L15*R15/100)</f>
        <v>877.24259999999992</v>
      </c>
      <c r="U15" s="455">
        <f t="shared" si="8"/>
        <v>1075.932</v>
      </c>
      <c r="V15" s="455">
        <f t="shared" ref="V15" si="11">T15*1.1</f>
        <v>964.96686</v>
      </c>
      <c r="W15" s="443">
        <f>'Tariffs 2016'!AU9</f>
        <v>0</v>
      </c>
      <c r="X15" s="443" t="str">
        <f>'Tariffs 2016'!AV9</f>
        <v>n</v>
      </c>
      <c r="Y15" s="444" t="s">
        <v>288</v>
      </c>
    </row>
    <row r="16" spans="1:25" ht="23" customHeight="1" thickTop="1" x14ac:dyDescent="0.3">
      <c r="A16" s="425" t="str">
        <f>'Tariffs 2016'!F10</f>
        <v>EnergyAustralia</v>
      </c>
      <c r="B16" s="426" t="str">
        <f>'Tariffs 2016'!D10</f>
        <v>Envestra Albury</v>
      </c>
      <c r="C16" s="426" t="str">
        <f>'Tariffs 2016'!G10</f>
        <v xml:space="preserve">Flexi Saver </v>
      </c>
      <c r="D16" s="427">
        <f>60*'Tariffs 2016'!H10/100</f>
        <v>44.4</v>
      </c>
      <c r="E16" s="427">
        <f>IF($C$5&gt;='Tariffs 2016'!J10,('Tariffs 2016'!J10*'Tariffs 2016'!O10/100),($C$5*'Tariffs 2016'!O10/100))</f>
        <v>96.25</v>
      </c>
      <c r="F16" s="427">
        <f>IF($C$5&lt;'Tariffs 2016'!J10,0,IF(($C$5-'Tariffs 2016'!J10)&lt;='Tariffs 2016'!K10,(($C$5-'Tariffs 2016'!J10)*'Tariffs 2016'!P10/100),(('Tariffs 2016'!K10-'Tariffs 2016'!J10)*'Tariffs 2016'!P10/100)))</f>
        <v>0</v>
      </c>
      <c r="G16" s="427">
        <f>IF($C$5&lt;'Tariffs 2016'!K10,0,IF(($C$5-'Tariffs 2016'!K10)&lt;='Tariffs 2016'!L10,(($C$5-'Tariffs 2016'!K10)*'Tariffs 2016'!Q10/100),(('Tariffs 2016'!L10-'Tariffs 2016'!K10)*'Tariffs 2016'!Q10/100)))</f>
        <v>0</v>
      </c>
      <c r="H16" s="427">
        <f>IF($C$5&lt;'Tariffs 2016'!L10,0,IF(($C$5-'Tariffs 2016'!L10)&lt;='Tariffs 2016'!M10,(($C$5-'Tariffs 2016'!L10)*'Tariffs 2016'!R10/100),(('Tariffs 2016'!M10-'Tariffs 2016'!L10)*'Tariffs 2016'!R10/100)))</f>
        <v>0</v>
      </c>
      <c r="I16" s="427">
        <f>IF($C$5&lt;'Tariffs 2016'!M10,0,IF(($C$5-'Tariffs 2016'!M10)&lt;='Tariffs 2016'!N10,(($C$5-'Tariffs 2016'!M10)*'Tariffs 2016'!S10/100),(('Tariffs 2016'!N10-'Tariffs 2016'!M10)*'Tariffs 2016'!S10/100)))</f>
        <v>0</v>
      </c>
      <c r="J16" s="427">
        <f>IF(($C$5&lt;'Tariffs 2016'!N10),(0),($C$5-'Tariffs 2016'!N10)*'Tariffs 2016'!T10/100)</f>
        <v>0</v>
      </c>
      <c r="K16" s="427">
        <f t="shared" si="1"/>
        <v>140.65</v>
      </c>
      <c r="L16" s="428">
        <f t="shared" si="2"/>
        <v>577.50000000000011</v>
      </c>
      <c r="M16" s="429">
        <f t="shared" si="3"/>
        <v>843.90000000000009</v>
      </c>
      <c r="N16" s="432">
        <f t="shared" si="4"/>
        <v>928.29000000000019</v>
      </c>
      <c r="O16" s="426">
        <f>'Tariffs 2016'!AK10</f>
        <v>0</v>
      </c>
      <c r="P16" s="426">
        <f>'Tariffs 2016'!AL10</f>
        <v>0</v>
      </c>
      <c r="Q16" s="426">
        <f>'Tariffs 2016'!AM10</f>
        <v>0</v>
      </c>
      <c r="R16" s="426">
        <f>'Tariffs 2016'!AN10</f>
        <v>13</v>
      </c>
      <c r="S16" s="429">
        <f t="shared" si="7"/>
        <v>843.90000000000009</v>
      </c>
      <c r="T16" s="429">
        <f t="shared" si="10"/>
        <v>768.82500000000005</v>
      </c>
      <c r="U16" s="454">
        <f t="shared" si="8"/>
        <v>928.29000000000019</v>
      </c>
      <c r="V16" s="454">
        <f t="shared" ref="V16:V17" si="12">T16*1.1</f>
        <v>845.7075000000001</v>
      </c>
      <c r="W16" s="433">
        <f>'Tariffs 2016'!AU10</f>
        <v>0</v>
      </c>
      <c r="X16" s="433" t="str">
        <f>'Tariffs 2016'!AV10</f>
        <v>n</v>
      </c>
      <c r="Y16" s="434" t="s">
        <v>288</v>
      </c>
    </row>
    <row r="17" spans="1:25" ht="23" customHeight="1" thickBot="1" x14ac:dyDescent="0.35">
      <c r="A17" s="435" t="str">
        <f>'Tariffs 2016'!F11</f>
        <v>Origin Energy</v>
      </c>
      <c r="B17" s="436" t="str">
        <f>'Tariffs 2016'!D11</f>
        <v>Envestra Albury</v>
      </c>
      <c r="C17" s="436" t="str">
        <f>'Tariffs 2016'!G11</f>
        <v>Saver</v>
      </c>
      <c r="D17" s="437">
        <f>60*'Tariffs 2016'!H11/100</f>
        <v>33.6</v>
      </c>
      <c r="E17" s="437">
        <f>IF($C$5&gt;='Tariffs 2016'!J11,('Tariffs 2016'!J11*'Tariffs 2016'!O11/100),($C$5*'Tariffs 2016'!O11/100))</f>
        <v>32.01</v>
      </c>
      <c r="F17" s="437">
        <f>IF($C$5&lt;'Tariffs 2016'!J11,0,IF(($C$5-'Tariffs 2016'!J11)&lt;='Tariffs 2016'!K11,(($C$5-'Tariffs 2016'!J11)*'Tariffs 2016'!P11/100),(('Tariffs 2016'!K11-'Tariffs 2016'!J11)*'Tariffs 2016'!P11/100)))</f>
        <v>23.055999999999997</v>
      </c>
      <c r="G17" s="437">
        <f>IF($C$5&lt;'Tariffs 2016'!K11,0,IF(($C$5-'Tariffs 2016'!K11)&lt;='Tariffs 2016'!L11,(($C$5-'Tariffs 2016'!K11)*'Tariffs 2016'!Q11/100),(('Tariffs 2016'!L11-'Tariffs 2016'!K11)*'Tariffs 2016'!Q11/100)))</f>
        <v>33.048000000000002</v>
      </c>
      <c r="H17" s="437">
        <f>IF($C$5&lt;'Tariffs 2016'!L11,0,IF(($C$5-'Tariffs 2016'!L11)&lt;='Tariffs 2016'!M11,(($C$5-'Tariffs 2016'!L11)*'Tariffs 2016'!R11/100),(('Tariffs 2016'!M11-'Tariffs 2016'!L11)*'Tariffs 2016'!R11/100)))</f>
        <v>0</v>
      </c>
      <c r="I17" s="437">
        <f>IF($C$5&lt;'Tariffs 2016'!M11,0,IF(($C$5-'Tariffs 2016'!M11)&lt;='Tariffs 2016'!N11,(($C$5-'Tariffs 2016'!M11)*'Tariffs 2016'!S11/100),(('Tariffs 2016'!N11-'Tariffs 2016'!M11)*'Tariffs 2016'!S11/100)))</f>
        <v>0</v>
      </c>
      <c r="J17" s="437">
        <f>IF(($C$5&lt;'Tariffs 2016'!N11),(0),($C$5-'Tariffs 2016'!N11)*'Tariffs 2016'!T11/100)</f>
        <v>0</v>
      </c>
      <c r="K17" s="437">
        <f t="shared" si="1"/>
        <v>121.714</v>
      </c>
      <c r="L17" s="438">
        <f t="shared" si="2"/>
        <v>528.68399999999997</v>
      </c>
      <c r="M17" s="439">
        <f t="shared" si="3"/>
        <v>730.28399999999999</v>
      </c>
      <c r="N17" s="442">
        <f t="shared" si="4"/>
        <v>803.31240000000003</v>
      </c>
      <c r="O17" s="436">
        <f>'Tariffs 2016'!AK11</f>
        <v>0</v>
      </c>
      <c r="P17" s="436">
        <f>'Tariffs 2016'!AL11</f>
        <v>0</v>
      </c>
      <c r="Q17" s="436">
        <f>'Tariffs 2016'!AM11</f>
        <v>0</v>
      </c>
      <c r="R17" s="436">
        <f>'Tariffs 2016'!AN11</f>
        <v>10</v>
      </c>
      <c r="S17" s="439">
        <f t="shared" si="7"/>
        <v>730.28399999999999</v>
      </c>
      <c r="T17" s="439">
        <f t="shared" si="10"/>
        <v>677.41560000000004</v>
      </c>
      <c r="U17" s="455">
        <f t="shared" si="8"/>
        <v>803.31240000000003</v>
      </c>
      <c r="V17" s="455">
        <f t="shared" si="12"/>
        <v>745.15716000000009</v>
      </c>
      <c r="W17" s="443">
        <f>'Tariffs 2016'!AU11</f>
        <v>0</v>
      </c>
      <c r="X17" s="443" t="str">
        <f>'Tariffs 2016'!AV11</f>
        <v>n</v>
      </c>
      <c r="Y17" s="444" t="s">
        <v>288</v>
      </c>
    </row>
    <row r="18" spans="1:25" ht="23" customHeight="1" thickTop="1" x14ac:dyDescent="0.3">
      <c r="A18" s="425" t="str">
        <f>'Tariffs 2016'!F12</f>
        <v>EnergyAustralia</v>
      </c>
      <c r="B18" s="426" t="str">
        <f>'Tariffs 2016'!D12</f>
        <v>Envestra Murray Valley</v>
      </c>
      <c r="C18" s="426" t="str">
        <f>'Tariffs 2016'!G12</f>
        <v>Flexi Saver</v>
      </c>
      <c r="D18" s="427">
        <f>60*'Tariffs 2016'!H12/100</f>
        <v>43.2</v>
      </c>
      <c r="E18" s="427">
        <f>IF($C$5&gt;='Tariffs 2016'!J12,('Tariffs 2016'!J12*'Tariffs 2016'!O12/100),($C$5*'Tariffs 2016'!O12/100))</f>
        <v>147.5</v>
      </c>
      <c r="F18" s="427">
        <f>IF($C$5&lt;'Tariffs 2016'!J12,0,IF(($C$5-'Tariffs 2016'!J12)&lt;='Tariffs 2016'!K12,(($C$5-'Tariffs 2016'!J12)*'Tariffs 2016'!P12/100),(('Tariffs 2016'!K12-'Tariffs 2016'!J12)*'Tariffs 2016'!P12/100)))</f>
        <v>0</v>
      </c>
      <c r="G18" s="427">
        <f>IF($C$5&lt;'Tariffs 2016'!K12,0,IF(($C$5-'Tariffs 2016'!K12)&lt;='Tariffs 2016'!L12,(($C$5-'Tariffs 2016'!K12)*'Tariffs 2016'!Q12/100),(('Tariffs 2016'!L12-'Tariffs 2016'!K12)*'Tariffs 2016'!Q12/100)))</f>
        <v>0</v>
      </c>
      <c r="H18" s="427">
        <f>IF($C$5&lt;'Tariffs 2016'!L12,0,IF(($C$5-'Tariffs 2016'!L12)&lt;='Tariffs 2016'!M12,(($C$5-'Tariffs 2016'!L12)*'Tariffs 2016'!R12/100),(('Tariffs 2016'!M12-'Tariffs 2016'!L12)*'Tariffs 2016'!R12/100)))</f>
        <v>0</v>
      </c>
      <c r="I18" s="427">
        <f>IF($C$5&lt;'Tariffs 2016'!M12,0,IF(($C$5-'Tariffs 2016'!M12)&lt;='Tariffs 2016'!N12,(($C$5-'Tariffs 2016'!M12)*'Tariffs 2016'!S12/100),(('Tariffs 2016'!N12-'Tariffs 2016'!M12)*'Tariffs 2016'!S12/100)))</f>
        <v>0</v>
      </c>
      <c r="J18" s="427">
        <f>IF(($C$5&lt;'Tariffs 2016'!N12),(0),($C$5-'Tariffs 2016'!N12)*'Tariffs 2016'!T12/100)</f>
        <v>0</v>
      </c>
      <c r="K18" s="427">
        <f t="shared" si="1"/>
        <v>190.7</v>
      </c>
      <c r="L18" s="428">
        <f t="shared" si="2"/>
        <v>884.99999999999977</v>
      </c>
      <c r="M18" s="429">
        <f t="shared" si="3"/>
        <v>1144.1999999999998</v>
      </c>
      <c r="N18" s="432">
        <f t="shared" si="4"/>
        <v>1258.6199999999999</v>
      </c>
      <c r="O18" s="426">
        <f>'Tariffs 2016'!AK12</f>
        <v>0</v>
      </c>
      <c r="P18" s="426">
        <f>'Tariffs 2016'!AL12</f>
        <v>0</v>
      </c>
      <c r="Q18" s="426">
        <f>'Tariffs 2016'!AM12</f>
        <v>0</v>
      </c>
      <c r="R18" s="426">
        <f>'Tariffs 2016'!AN12</f>
        <v>13</v>
      </c>
      <c r="S18" s="429">
        <f t="shared" si="7"/>
        <v>1144.1999999999998</v>
      </c>
      <c r="T18" s="429">
        <f t="shared" si="10"/>
        <v>1029.1499999999999</v>
      </c>
      <c r="U18" s="454">
        <f t="shared" si="8"/>
        <v>1258.6199999999999</v>
      </c>
      <c r="V18" s="454">
        <f t="shared" ref="V18:V19" si="13">T18*1.1</f>
        <v>1132.0650000000001</v>
      </c>
      <c r="W18" s="433">
        <f>'Tariffs 2016'!AU12</f>
        <v>0</v>
      </c>
      <c r="X18" s="433" t="str">
        <f>'Tariffs 2016'!AV12</f>
        <v>n</v>
      </c>
      <c r="Y18" s="434" t="s">
        <v>288</v>
      </c>
    </row>
    <row r="19" spans="1:25" ht="23" customHeight="1" thickBot="1" x14ac:dyDescent="0.35">
      <c r="A19" s="435" t="str">
        <f>'Tariffs 2016'!F13</f>
        <v>Origin Energy</v>
      </c>
      <c r="B19" s="436" t="str">
        <f>'Tariffs 2016'!D13</f>
        <v>Envestra Murray Valley</v>
      </c>
      <c r="C19" s="436" t="str">
        <f>'Tariffs 2016'!G13</f>
        <v>Saver</v>
      </c>
      <c r="D19" s="437">
        <f>60*'Tariffs 2016'!H13/100</f>
        <v>38.4</v>
      </c>
      <c r="E19" s="437">
        <f>IF($C$5&gt;='Tariffs 2016'!J13,('Tariffs 2016'!J13*'Tariffs 2016'!O13/100),($C$5*'Tariffs 2016'!O13/100))</f>
        <v>49.005000000000003</v>
      </c>
      <c r="F19" s="437">
        <f>IF($C$5&lt;'Tariffs 2016'!J13,0,IF(($C$5-'Tariffs 2016'!J13)&lt;='Tariffs 2016'!K13,(($C$5-'Tariffs 2016'!J13)*'Tariffs 2016'!P13/100),(('Tariffs 2016'!K13-'Tariffs 2016'!J13)*'Tariffs 2016'!P13/100)))</f>
        <v>36.417999999999999</v>
      </c>
      <c r="G19" s="437">
        <f>IF($C$5&lt;'Tariffs 2016'!K13,0,IF(($C$5-'Tariffs 2016'!K13)&lt;='Tariffs 2016'!L13,(($C$5-'Tariffs 2016'!K13)*'Tariffs 2016'!Q13/100),(('Tariffs 2016'!L13-'Tariffs 2016'!K13)*'Tariffs 2016'!Q13/100)))</f>
        <v>44.675999999999995</v>
      </c>
      <c r="H19" s="437">
        <f>IF($C$5&lt;'Tariffs 2016'!L13,0,IF(($C$5-'Tariffs 2016'!L13)&lt;='Tariffs 2016'!M13,(($C$5-'Tariffs 2016'!L13)*'Tariffs 2016'!R13/100),(('Tariffs 2016'!M13-'Tariffs 2016'!L13)*'Tariffs 2016'!R13/100)))</f>
        <v>0</v>
      </c>
      <c r="I19" s="437">
        <f>IF($C$5&lt;'Tariffs 2016'!M13,0,IF(($C$5-'Tariffs 2016'!M13)&lt;='Tariffs 2016'!N13,(($C$5-'Tariffs 2016'!M13)*'Tariffs 2016'!S13/100),(('Tariffs 2016'!N13-'Tariffs 2016'!M13)*'Tariffs 2016'!S13/100)))</f>
        <v>0</v>
      </c>
      <c r="J19" s="437">
        <f>IF(($C$5&lt;'Tariffs 2016'!N13),(0),($C$5-'Tariffs 2016'!N13)*'Tariffs 2016'!T13/100)</f>
        <v>0</v>
      </c>
      <c r="K19" s="437">
        <f t="shared" si="1"/>
        <v>168.499</v>
      </c>
      <c r="L19" s="438">
        <f t="shared" si="2"/>
        <v>780.59399999999994</v>
      </c>
      <c r="M19" s="439">
        <f t="shared" si="3"/>
        <v>1010.9939999999999</v>
      </c>
      <c r="N19" s="442">
        <f t="shared" si="4"/>
        <v>1112.0934</v>
      </c>
      <c r="O19" s="436">
        <f>'Tariffs 2016'!AK13</f>
        <v>0</v>
      </c>
      <c r="P19" s="436">
        <f>'Tariffs 2016'!AL13</f>
        <v>0</v>
      </c>
      <c r="Q19" s="436">
        <f>'Tariffs 2016'!AM13</f>
        <v>0</v>
      </c>
      <c r="R19" s="436">
        <f>'Tariffs 2016'!AN13</f>
        <v>10</v>
      </c>
      <c r="S19" s="439">
        <f t="shared" si="7"/>
        <v>1010.9939999999999</v>
      </c>
      <c r="T19" s="439">
        <f t="shared" si="10"/>
        <v>932.93459999999993</v>
      </c>
      <c r="U19" s="455">
        <f t="shared" si="8"/>
        <v>1112.0934</v>
      </c>
      <c r="V19" s="455">
        <f t="shared" si="13"/>
        <v>1026.2280599999999</v>
      </c>
      <c r="W19" s="443">
        <f>'Tariffs 2016'!AU13</f>
        <v>0</v>
      </c>
      <c r="X19" s="443" t="str">
        <f>'Tariffs 2016'!AV13</f>
        <v>n</v>
      </c>
      <c r="Y19" s="444" t="s">
        <v>288</v>
      </c>
    </row>
    <row r="20" spans="1:25" ht="23" customHeight="1" thickTop="1" x14ac:dyDescent="0.3">
      <c r="A20" s="425" t="str">
        <f>'Tariffs 2016'!F14</f>
        <v>Origin Energy</v>
      </c>
      <c r="B20" s="426" t="str">
        <f>'Tariffs 2016'!D14</f>
        <v>Envestra Cooma</v>
      </c>
      <c r="C20" s="426" t="str">
        <f>'Tariffs 2016'!G14</f>
        <v>Saver</v>
      </c>
      <c r="D20" s="427">
        <f>60*'Tariffs 2016'!H14/100</f>
        <v>43.2</v>
      </c>
      <c r="E20" s="427">
        <f>$C$5*'Tariffs 2016'!O14/100</f>
        <v>125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f t="shared" si="1"/>
        <v>168.2</v>
      </c>
      <c r="L20" s="428">
        <f t="shared" si="2"/>
        <v>749.99999999999989</v>
      </c>
      <c r="M20" s="429">
        <f t="shared" si="3"/>
        <v>1009.1999999999999</v>
      </c>
      <c r="N20" s="432">
        <f t="shared" si="4"/>
        <v>1110.1200000000001</v>
      </c>
      <c r="O20" s="426">
        <f>'Tariffs 2016'!AK14</f>
        <v>0</v>
      </c>
      <c r="P20" s="426">
        <f>'Tariffs 2016'!AL14</f>
        <v>0</v>
      </c>
      <c r="Q20" s="426">
        <f>'Tariffs 2016'!AM14</f>
        <v>0</v>
      </c>
      <c r="R20" s="426">
        <f>'Tariffs 2016'!AN14</f>
        <v>10</v>
      </c>
      <c r="S20" s="429">
        <f t="shared" si="7"/>
        <v>1009.1999999999999</v>
      </c>
      <c r="T20" s="429">
        <f t="shared" si="10"/>
        <v>934.19999999999993</v>
      </c>
      <c r="U20" s="454">
        <f t="shared" si="8"/>
        <v>1110.1200000000001</v>
      </c>
      <c r="V20" s="454">
        <f t="shared" ref="V20:V21" si="14">T20*1.1</f>
        <v>1027.6200000000001</v>
      </c>
      <c r="W20" s="433">
        <f>'Tariffs 2016'!AU14</f>
        <v>0</v>
      </c>
      <c r="X20" s="433" t="str">
        <f>'Tariffs 2016'!AV14</f>
        <v>n</v>
      </c>
      <c r="Y20" s="434" t="s">
        <v>288</v>
      </c>
    </row>
    <row r="21" spans="1:25" ht="23" customHeight="1" thickBot="1" x14ac:dyDescent="0.35">
      <c r="A21" s="435" t="str">
        <f>'Tariffs 2016'!F15</f>
        <v>Red Energy</v>
      </c>
      <c r="B21" s="436" t="str">
        <f>'Tariffs 2016'!D15</f>
        <v>Envestra Cooma</v>
      </c>
      <c r="C21" s="436" t="str">
        <f>'Tariffs 2016'!G15</f>
        <v>Easy Saver 10%</v>
      </c>
      <c r="D21" s="437">
        <f>60*'Tariffs 2016'!H15/100</f>
        <v>43.2</v>
      </c>
      <c r="E21" s="437">
        <f>$C$5*'Tariffs 2016'!O15/100</f>
        <v>125</v>
      </c>
      <c r="F21" s="437">
        <v>0</v>
      </c>
      <c r="G21" s="437">
        <v>0</v>
      </c>
      <c r="H21" s="437">
        <v>0</v>
      </c>
      <c r="I21" s="437">
        <v>0</v>
      </c>
      <c r="J21" s="437">
        <v>0</v>
      </c>
      <c r="K21" s="437">
        <f t="shared" si="1"/>
        <v>168.2</v>
      </c>
      <c r="L21" s="438">
        <f t="shared" si="2"/>
        <v>749.99999999999989</v>
      </c>
      <c r="M21" s="439">
        <f t="shared" si="3"/>
        <v>1009.1999999999999</v>
      </c>
      <c r="N21" s="442">
        <f t="shared" si="4"/>
        <v>1110.1200000000001</v>
      </c>
      <c r="O21" s="436">
        <f>'Tariffs 2016'!AK15</f>
        <v>0</v>
      </c>
      <c r="P21" s="436">
        <f>'Tariffs 2016'!AL15</f>
        <v>0</v>
      </c>
      <c r="Q21" s="436">
        <f>'Tariffs 2016'!AM15</f>
        <v>10</v>
      </c>
      <c r="R21" s="436">
        <f>'Tariffs 2016'!AN15</f>
        <v>0</v>
      </c>
      <c r="S21" s="439">
        <f t="shared" si="7"/>
        <v>1009.1999999999999</v>
      </c>
      <c r="T21" s="439">
        <f>S21-(M21*Q21/100)</f>
        <v>908.28</v>
      </c>
      <c r="U21" s="455">
        <f t="shared" si="8"/>
        <v>1110.1200000000001</v>
      </c>
      <c r="V21" s="455">
        <f t="shared" si="14"/>
        <v>999.10800000000006</v>
      </c>
      <c r="W21" s="443">
        <f>'Tariffs 2016'!AU15</f>
        <v>0</v>
      </c>
      <c r="X21" s="443" t="str">
        <f>'Tariffs 2016'!AV15</f>
        <v>n</v>
      </c>
      <c r="Y21" s="444" t="s">
        <v>400</v>
      </c>
    </row>
    <row r="22" spans="1:25" ht="23" customHeight="1" thickTop="1" thickBot="1" x14ac:dyDescent="0.35">
      <c r="A22" s="445" t="str">
        <f>'Tariffs 2016'!F16</f>
        <v>Origin Energy</v>
      </c>
      <c r="B22" s="446" t="str">
        <f>'Tariffs 2016'!D16</f>
        <v>Envestra Temora</v>
      </c>
      <c r="C22" s="446" t="str">
        <f>'Tariffs 2016'!G16</f>
        <v>Saver</v>
      </c>
      <c r="D22" s="447">
        <f>60*'Tariffs 2016'!H16/100</f>
        <v>46.2</v>
      </c>
      <c r="E22" s="447">
        <f>$C$5*'Tariffs 2016'!O16/100</f>
        <v>126.49999999999999</v>
      </c>
      <c r="F22" s="447">
        <v>0</v>
      </c>
      <c r="G22" s="447">
        <v>0</v>
      </c>
      <c r="H22" s="447">
        <v>0</v>
      </c>
      <c r="I22" s="447">
        <v>0</v>
      </c>
      <c r="J22" s="447">
        <v>0</v>
      </c>
      <c r="K22" s="447">
        <f t="shared" si="1"/>
        <v>172.7</v>
      </c>
      <c r="L22" s="420">
        <f t="shared" si="2"/>
        <v>758.99999999999977</v>
      </c>
      <c r="M22" s="421">
        <f t="shared" si="3"/>
        <v>1036.1999999999998</v>
      </c>
      <c r="N22" s="448">
        <f t="shared" si="4"/>
        <v>1139.82</v>
      </c>
      <c r="O22" s="446">
        <f>'Tariffs 2016'!AK16</f>
        <v>0</v>
      </c>
      <c r="P22" s="446">
        <f>'Tariffs 2016'!AL16</f>
        <v>0</v>
      </c>
      <c r="Q22" s="446">
        <f>'Tariffs 2016'!AM16</f>
        <v>0</v>
      </c>
      <c r="R22" s="446">
        <f>'Tariffs 2016'!AN16</f>
        <v>10</v>
      </c>
      <c r="S22" s="421">
        <f t="shared" si="7"/>
        <v>1036.1999999999998</v>
      </c>
      <c r="T22" s="421">
        <f>S22-(L22*R22/100)</f>
        <v>960.29999999999984</v>
      </c>
      <c r="U22" s="424">
        <f t="shared" si="8"/>
        <v>1139.82</v>
      </c>
      <c r="V22" s="424">
        <f t="shared" ref="V22" si="15">T22*1.1</f>
        <v>1056.33</v>
      </c>
      <c r="W22" s="449">
        <f>'Tariffs 2016'!AU16</f>
        <v>0</v>
      </c>
      <c r="X22" s="449" t="str">
        <f>'Tariffs 2016'!AV16</f>
        <v>n</v>
      </c>
      <c r="Y22" s="450" t="s">
        <v>288</v>
      </c>
    </row>
    <row r="23" spans="1:25" ht="23" customHeight="1" thickTop="1" x14ac:dyDescent="0.3">
      <c r="A23" s="425" t="str">
        <f>'Tariffs 2016'!F17</f>
        <v>Origin Energy</v>
      </c>
      <c r="B23" s="426" t="str">
        <f>'Tariffs 2016'!D17</f>
        <v>Envestra Tumut</v>
      </c>
      <c r="C23" s="426" t="str">
        <f>'Tariffs 2016'!G17</f>
        <v>Saver</v>
      </c>
      <c r="D23" s="427">
        <f>60*'Tariffs 2016'!H17/100</f>
        <v>49.2</v>
      </c>
      <c r="E23" s="427">
        <f>$C$5*'Tariffs 2016'!O17/100</f>
        <v>130.5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f t="shared" si="1"/>
        <v>179.7</v>
      </c>
      <c r="L23" s="428">
        <f t="shared" si="2"/>
        <v>782.99999999999977</v>
      </c>
      <c r="M23" s="429">
        <f t="shared" si="3"/>
        <v>1078.1999999999998</v>
      </c>
      <c r="N23" s="432">
        <f t="shared" si="4"/>
        <v>1186.02</v>
      </c>
      <c r="O23" s="426">
        <f>'Tariffs 2016'!AK17</f>
        <v>0</v>
      </c>
      <c r="P23" s="426">
        <f>'Tariffs 2016'!AL17</f>
        <v>0</v>
      </c>
      <c r="Q23" s="426">
        <f>'Tariffs 2016'!AM17</f>
        <v>0</v>
      </c>
      <c r="R23" s="426">
        <f>'Tariffs 2016'!AN17</f>
        <v>10</v>
      </c>
      <c r="S23" s="429">
        <f t="shared" si="7"/>
        <v>1078.1999999999998</v>
      </c>
      <c r="T23" s="429">
        <f>S23-(L23*R23/100)</f>
        <v>999.89999999999986</v>
      </c>
      <c r="U23" s="454">
        <f t="shared" si="8"/>
        <v>1186.02</v>
      </c>
      <c r="V23" s="454">
        <f t="shared" ref="V23:V24" si="16">T23*1.1</f>
        <v>1099.8899999999999</v>
      </c>
      <c r="W23" s="433">
        <f>'Tariffs 2016'!AU17</f>
        <v>0</v>
      </c>
      <c r="X23" s="433" t="str">
        <f>'Tariffs 2016'!AV17</f>
        <v>n</v>
      </c>
      <c r="Y23" s="434" t="s">
        <v>288</v>
      </c>
    </row>
    <row r="24" spans="1:25" ht="23" customHeight="1" thickBot="1" x14ac:dyDescent="0.35">
      <c r="A24" s="435" t="str">
        <f>'Tariffs 2016'!F18</f>
        <v>Red Energy</v>
      </c>
      <c r="B24" s="436" t="str">
        <f>'Tariffs 2016'!D18</f>
        <v>Envestra Tumut</v>
      </c>
      <c r="C24" s="436" t="str">
        <f>'Tariffs 2016'!G18</f>
        <v>Easy Saver 10%</v>
      </c>
      <c r="D24" s="437">
        <f>60*'Tariffs 2016'!H18/100</f>
        <v>49.2</v>
      </c>
      <c r="E24" s="437">
        <f>$C$5*'Tariffs 2016'!O18/100</f>
        <v>130.5</v>
      </c>
      <c r="F24" s="437">
        <v>0</v>
      </c>
      <c r="G24" s="437">
        <v>0</v>
      </c>
      <c r="H24" s="437">
        <v>0</v>
      </c>
      <c r="I24" s="437">
        <v>0</v>
      </c>
      <c r="J24" s="437">
        <v>0</v>
      </c>
      <c r="K24" s="437">
        <f t="shared" si="1"/>
        <v>179.7</v>
      </c>
      <c r="L24" s="438">
        <f t="shared" si="2"/>
        <v>782.99999999999977</v>
      </c>
      <c r="M24" s="439">
        <f t="shared" si="3"/>
        <v>1078.1999999999998</v>
      </c>
      <c r="N24" s="442">
        <f t="shared" si="4"/>
        <v>1186.02</v>
      </c>
      <c r="O24" s="436">
        <f>'Tariffs 2016'!AK18</f>
        <v>0</v>
      </c>
      <c r="P24" s="436">
        <f>'Tariffs 2016'!AL18</f>
        <v>0</v>
      </c>
      <c r="Q24" s="436">
        <f>'Tariffs 2016'!AM18</f>
        <v>10</v>
      </c>
      <c r="R24" s="436">
        <f>'Tariffs 2016'!AN18</f>
        <v>0</v>
      </c>
      <c r="S24" s="439">
        <f t="shared" si="7"/>
        <v>1078.1999999999998</v>
      </c>
      <c r="T24" s="439">
        <f>S24-(M24*Q24/100)</f>
        <v>970.37999999999988</v>
      </c>
      <c r="U24" s="455">
        <f t="shared" si="8"/>
        <v>1186.02</v>
      </c>
      <c r="V24" s="455">
        <f t="shared" si="16"/>
        <v>1067.4179999999999</v>
      </c>
      <c r="W24" s="443">
        <f>'Tariffs 2016'!AU18</f>
        <v>0</v>
      </c>
      <c r="X24" s="443" t="str">
        <f>'Tariffs 2016'!AV18</f>
        <v>n</v>
      </c>
      <c r="Y24" s="444" t="s">
        <v>400</v>
      </c>
    </row>
    <row r="25" spans="1:25" ht="23" customHeight="1" thickTop="1" thickBot="1" x14ac:dyDescent="0.35">
      <c r="A25" s="445" t="str">
        <f>'Tariffs 2016'!F19</f>
        <v>Origin Energy</v>
      </c>
      <c r="B25" s="446" t="str">
        <f>'Tariffs 2016'!D19</f>
        <v>Envestra Wagga Wagga</v>
      </c>
      <c r="C25" s="446" t="str">
        <f>'Tariffs 2016'!G19</f>
        <v>Saver</v>
      </c>
      <c r="D25" s="447">
        <f>60*'Tariffs 2016'!H19/100</f>
        <v>52.2</v>
      </c>
      <c r="E25" s="447">
        <f>$C$5*'Tariffs 2016'!O19/100</f>
        <v>104</v>
      </c>
      <c r="F25" s="447">
        <v>0</v>
      </c>
      <c r="G25" s="447">
        <v>0</v>
      </c>
      <c r="H25" s="447">
        <v>0</v>
      </c>
      <c r="I25" s="447">
        <v>0</v>
      </c>
      <c r="J25" s="447">
        <v>0</v>
      </c>
      <c r="K25" s="447">
        <f t="shared" si="1"/>
        <v>156.19999999999999</v>
      </c>
      <c r="L25" s="420">
        <f t="shared" si="2"/>
        <v>623.99999999999989</v>
      </c>
      <c r="M25" s="421">
        <f t="shared" si="3"/>
        <v>937.19999999999993</v>
      </c>
      <c r="N25" s="448">
        <f t="shared" si="4"/>
        <v>1030.92</v>
      </c>
      <c r="O25" s="446">
        <f>'Tariffs 2016'!AK19</f>
        <v>0</v>
      </c>
      <c r="P25" s="446">
        <f>'Tariffs 2016'!AL19</f>
        <v>0</v>
      </c>
      <c r="Q25" s="446">
        <f>'Tariffs 2016'!AM19</f>
        <v>0</v>
      </c>
      <c r="R25" s="446">
        <f>'Tariffs 2016'!AN19</f>
        <v>10</v>
      </c>
      <c r="S25" s="421">
        <f t="shared" si="7"/>
        <v>937.19999999999993</v>
      </c>
      <c r="T25" s="421">
        <f>S25-(L25*R25/100)</f>
        <v>874.8</v>
      </c>
      <c r="U25" s="424">
        <f t="shared" si="8"/>
        <v>1030.92</v>
      </c>
      <c r="V25" s="424">
        <f t="shared" ref="V25" si="17">T25*1.1</f>
        <v>962.28</v>
      </c>
      <c r="W25" s="449">
        <f>'Tariffs 2016'!AU19</f>
        <v>0</v>
      </c>
      <c r="X25" s="449" t="str">
        <f>'Tariffs 2016'!AV19</f>
        <v>n</v>
      </c>
      <c r="Y25" s="450" t="s">
        <v>288</v>
      </c>
    </row>
    <row r="26" spans="1:25" ht="23" customHeight="1" thickTop="1" thickBot="1" x14ac:dyDescent="0.35">
      <c r="A26" s="217" t="str">
        <f>'Tariffs 2016'!F20</f>
        <v>Origin Energy</v>
      </c>
      <c r="B26" s="48" t="str">
        <f>'Tariffs 2016'!D20</f>
        <v>Central Ranges Tamworth</v>
      </c>
      <c r="C26" s="48" t="str">
        <f>'Tariffs 2016'!G20</f>
        <v>Saver</v>
      </c>
      <c r="D26" s="218">
        <f>60*'Tariffs 2016'!H20/100</f>
        <v>39.6</v>
      </c>
      <c r="E26" s="218">
        <f>$C$5*'Tariffs 2016'!O20/100</f>
        <v>190.5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f t="shared" si="1"/>
        <v>230.1</v>
      </c>
      <c r="L26" s="416">
        <f t="shared" si="2"/>
        <v>1143</v>
      </c>
      <c r="M26" s="417">
        <f t="shared" si="3"/>
        <v>1380.6</v>
      </c>
      <c r="N26" s="220">
        <f t="shared" si="4"/>
        <v>1518.66</v>
      </c>
      <c r="O26" s="48">
        <f>'Tariffs 2016'!AK20</f>
        <v>0</v>
      </c>
      <c r="P26" s="48">
        <f>'Tariffs 2016'!AL20</f>
        <v>0</v>
      </c>
      <c r="Q26" s="48">
        <f>'Tariffs 2016'!AM20</f>
        <v>0</v>
      </c>
      <c r="R26" s="48">
        <f>'Tariffs 2016'!AN20</f>
        <v>10</v>
      </c>
      <c r="S26" s="417">
        <f t="shared" si="7"/>
        <v>1380.6</v>
      </c>
      <c r="T26" s="417">
        <f>S26-(L26*R26/100)</f>
        <v>1266.3</v>
      </c>
      <c r="U26" s="456">
        <f t="shared" si="8"/>
        <v>1518.66</v>
      </c>
      <c r="V26" s="456">
        <f t="shared" ref="V26" si="18">T26*1.1</f>
        <v>1392.93</v>
      </c>
      <c r="W26" s="222">
        <f>'Tariffs 2016'!AU20</f>
        <v>0</v>
      </c>
      <c r="X26" s="222" t="str">
        <f>'Tariffs 2016'!AV20</f>
        <v>n</v>
      </c>
      <c r="Y26" s="223" t="s">
        <v>288</v>
      </c>
    </row>
    <row r="27" spans="1:25" s="465" customFormat="1" x14ac:dyDescent="0.3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1:25" s="465" customFormat="1" x14ac:dyDescent="0.3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  <row r="29" spans="1:25" s="465" customFormat="1" x14ac:dyDescent="0.3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</row>
    <row r="30" spans="1:25" s="465" customFormat="1" x14ac:dyDescent="0.3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</row>
    <row r="31" spans="1:25" s="465" customFormat="1" x14ac:dyDescent="0.3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</row>
    <row r="32" spans="1:25" s="465" customFormat="1" x14ac:dyDescent="0.3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</row>
    <row r="33" spans="1:25" s="465" customFormat="1" x14ac:dyDescent="0.3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</row>
    <row r="34" spans="1:25" s="465" customFormat="1" x14ac:dyDescent="0.3">
      <c r="A34" s="203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</row>
    <row r="35" spans="1:25" s="465" customFormat="1" x14ac:dyDescent="0.3">
      <c r="A35" s="203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</row>
    <row r="36" spans="1:25" s="465" customFormat="1" x14ac:dyDescent="0.3">
      <c r="A36" s="203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</row>
    <row r="37" spans="1:25" s="465" customFormat="1" x14ac:dyDescent="0.3">
      <c r="A37" s="203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</row>
    <row r="38" spans="1:25" s="465" customFormat="1" x14ac:dyDescent="0.3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</row>
    <row r="39" spans="1:25" s="465" customFormat="1" x14ac:dyDescent="0.3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</row>
    <row r="40" spans="1:25" s="465" customFormat="1" x14ac:dyDescent="0.3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</row>
    <row r="41" spans="1:25" s="465" customFormat="1" x14ac:dyDescent="0.3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</row>
    <row r="42" spans="1:25" s="465" customFormat="1" x14ac:dyDescent="0.3">
      <c r="A42" s="203"/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</row>
    <row r="43" spans="1:25" s="465" customFormat="1" x14ac:dyDescent="0.3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</row>
    <row r="44" spans="1:25" s="465" customFormat="1" x14ac:dyDescent="0.3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</row>
    <row r="45" spans="1:25" s="465" customFormat="1" x14ac:dyDescent="0.3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</row>
    <row r="46" spans="1:25" s="465" customFormat="1" x14ac:dyDescent="0.3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</row>
    <row r="47" spans="1:25" s="465" customFormat="1" x14ac:dyDescent="0.3">
      <c r="A47" s="203"/>
      <c r="B47" s="203"/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</row>
    <row r="48" spans="1:25" s="465" customFormat="1" x14ac:dyDescent="0.3">
      <c r="A48" s="203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</row>
    <row r="49" spans="1:25" s="465" customFormat="1" x14ac:dyDescent="0.3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</row>
    <row r="50" spans="1:25" s="465" customFormat="1" x14ac:dyDescent="0.3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</row>
    <row r="51" spans="1:25" s="465" customFormat="1" x14ac:dyDescent="0.3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</row>
    <row r="52" spans="1:25" s="465" customFormat="1" x14ac:dyDescent="0.3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</row>
    <row r="53" spans="1:25" s="465" customFormat="1" x14ac:dyDescent="0.3">
      <c r="A53" s="203"/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</row>
    <row r="54" spans="1:25" s="465" customFormat="1" x14ac:dyDescent="0.3">
      <c r="A54" s="203"/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</row>
    <row r="55" spans="1:25" s="465" customFormat="1" x14ac:dyDescent="0.3">
      <c r="A55" s="203"/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</row>
    <row r="56" spans="1:25" s="465" customFormat="1" x14ac:dyDescent="0.3">
      <c r="A56" s="203"/>
      <c r="B56" s="203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</row>
    <row r="57" spans="1:25" s="465" customFormat="1" x14ac:dyDescent="0.3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</row>
    <row r="58" spans="1:25" s="465" customFormat="1" x14ac:dyDescent="0.3">
      <c r="A58" s="203"/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</row>
    <row r="59" spans="1:25" s="465" customFormat="1" x14ac:dyDescent="0.3">
      <c r="A59" s="203"/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</row>
    <row r="60" spans="1:25" s="465" customFormat="1" x14ac:dyDescent="0.3">
      <c r="A60" s="203"/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</row>
    <row r="61" spans="1:25" s="465" customFormat="1" x14ac:dyDescent="0.3">
      <c r="A61" s="203"/>
      <c r="B61" s="203"/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</row>
    <row r="62" spans="1:25" s="465" customFormat="1" x14ac:dyDescent="0.3">
      <c r="A62" s="203"/>
      <c r="B62" s="203"/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</row>
    <row r="63" spans="1:25" s="465" customFormat="1" x14ac:dyDescent="0.3">
      <c r="A63" s="203"/>
      <c r="B63" s="203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</row>
    <row r="64" spans="1:25" s="465" customFormat="1" x14ac:dyDescent="0.3">
      <c r="A64" s="203"/>
      <c r="B64" s="203"/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</row>
    <row r="65" spans="1:25" s="465" customFormat="1" x14ac:dyDescent="0.3">
      <c r="A65" s="203"/>
      <c r="B65" s="203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</row>
    <row r="66" spans="1:25" s="465" customFormat="1" x14ac:dyDescent="0.3">
      <c r="A66" s="203"/>
      <c r="B66" s="203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</row>
    <row r="67" spans="1:25" s="465" customFormat="1" x14ac:dyDescent="0.3">
      <c r="A67" s="203"/>
      <c r="B67" s="203"/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</row>
    <row r="68" spans="1:25" s="465" customFormat="1" x14ac:dyDescent="0.3">
      <c r="A68" s="203"/>
      <c r="B68" s="203"/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</row>
    <row r="69" spans="1:25" s="465" customFormat="1" x14ac:dyDescent="0.3">
      <c r="A69" s="203"/>
      <c r="B69" s="203"/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</row>
    <row r="70" spans="1:25" s="465" customFormat="1" x14ac:dyDescent="0.3">
      <c r="A70" s="203"/>
      <c r="B70" s="203"/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</row>
    <row r="71" spans="1:25" s="465" customFormat="1" x14ac:dyDescent="0.3">
      <c r="A71" s="203"/>
      <c r="B71" s="203"/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</row>
    <row r="72" spans="1:25" s="465" customFormat="1" x14ac:dyDescent="0.3">
      <c r="A72" s="203"/>
      <c r="B72" s="203"/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</row>
    <row r="73" spans="1:25" s="465" customFormat="1" x14ac:dyDescent="0.3">
      <c r="A73" s="203"/>
      <c r="B73" s="203"/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</row>
    <row r="74" spans="1:25" s="465" customFormat="1" x14ac:dyDescent="0.3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</row>
    <row r="75" spans="1:25" s="465" customFormat="1" x14ac:dyDescent="0.3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</row>
    <row r="76" spans="1:25" s="465" customFormat="1" x14ac:dyDescent="0.3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</row>
    <row r="77" spans="1:25" s="465" customFormat="1" x14ac:dyDescent="0.3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</row>
    <row r="78" spans="1:25" s="465" customFormat="1" x14ac:dyDescent="0.3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</row>
    <row r="79" spans="1:25" s="465" customFormat="1" x14ac:dyDescent="0.3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</row>
    <row r="80" spans="1:25" s="465" customFormat="1" x14ac:dyDescent="0.3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</row>
    <row r="81" spans="1:25" s="465" customFormat="1" x14ac:dyDescent="0.3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</row>
    <row r="82" spans="1:25" s="465" customFormat="1" x14ac:dyDescent="0.3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</row>
    <row r="83" spans="1:25" s="465" customFormat="1" x14ac:dyDescent="0.3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</row>
    <row r="84" spans="1:25" s="465" customFormat="1" x14ac:dyDescent="0.3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</row>
    <row r="85" spans="1:25" s="465" customFormat="1" x14ac:dyDescent="0.3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</row>
    <row r="86" spans="1:25" s="465" customFormat="1" x14ac:dyDescent="0.3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</row>
    <row r="87" spans="1:25" s="465" customFormat="1" x14ac:dyDescent="0.3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</row>
    <row r="88" spans="1:25" s="465" customFormat="1" x14ac:dyDescent="0.3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</row>
    <row r="89" spans="1:25" s="465" customFormat="1" x14ac:dyDescent="0.3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</row>
    <row r="90" spans="1:25" s="465" customFormat="1" x14ac:dyDescent="0.3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</row>
    <row r="91" spans="1:25" s="465" customFormat="1" x14ac:dyDescent="0.3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</row>
    <row r="92" spans="1:25" s="465" customFormat="1" x14ac:dyDescent="0.3">
      <c r="A92" s="203"/>
      <c r="B92" s="203"/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</row>
    <row r="93" spans="1:25" s="465" customFormat="1" x14ac:dyDescent="0.3">
      <c r="A93" s="203"/>
      <c r="B93" s="203"/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</row>
    <row r="94" spans="1:25" s="465" customFormat="1" x14ac:dyDescent="0.3">
      <c r="A94" s="203"/>
      <c r="B94" s="203"/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</row>
    <row r="95" spans="1:25" s="465" customFormat="1" x14ac:dyDescent="0.3">
      <c r="A95" s="203"/>
      <c r="B95" s="203"/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</row>
    <row r="96" spans="1:25" s="465" customFormat="1" x14ac:dyDescent="0.3">
      <c r="A96" s="203"/>
      <c r="B96" s="203"/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</row>
    <row r="97" spans="1:25" s="465" customFormat="1" x14ac:dyDescent="0.3">
      <c r="A97" s="203"/>
      <c r="B97" s="203"/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</row>
    <row r="98" spans="1:25" s="465" customFormat="1" x14ac:dyDescent="0.3">
      <c r="A98" s="203"/>
      <c r="B98" s="203"/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</row>
    <row r="99" spans="1:25" s="465" customFormat="1" x14ac:dyDescent="0.3">
      <c r="A99" s="203"/>
      <c r="B99" s="203"/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</row>
    <row r="100" spans="1:25" s="465" customFormat="1" x14ac:dyDescent="0.3">
      <c r="A100" s="203"/>
      <c r="B100" s="203"/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</row>
    <row r="101" spans="1:25" s="465" customFormat="1" x14ac:dyDescent="0.3">
      <c r="A101" s="203"/>
      <c r="B101" s="203"/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</row>
    <row r="102" spans="1:25" s="465" customFormat="1" x14ac:dyDescent="0.3">
      <c r="A102" s="203"/>
      <c r="B102" s="203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</row>
    <row r="103" spans="1:25" s="465" customFormat="1" x14ac:dyDescent="0.3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</row>
    <row r="104" spans="1:25" s="465" customFormat="1" x14ac:dyDescent="0.3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</row>
    <row r="105" spans="1:25" s="465" customFormat="1" x14ac:dyDescent="0.3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</row>
    <row r="106" spans="1:25" s="465" customFormat="1" x14ac:dyDescent="0.3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</row>
    <row r="107" spans="1:25" s="465" customFormat="1" x14ac:dyDescent="0.3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</row>
    <row r="108" spans="1:25" s="465" customFormat="1" x14ac:dyDescent="0.3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</row>
    <row r="109" spans="1:25" s="465" customFormat="1" x14ac:dyDescent="0.3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</row>
    <row r="110" spans="1:25" s="465" customFormat="1" x14ac:dyDescent="0.3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</row>
    <row r="111" spans="1:25" s="465" customFormat="1" x14ac:dyDescent="0.3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</row>
    <row r="112" spans="1:25" s="465" customFormat="1" x14ac:dyDescent="0.3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</row>
    <row r="113" spans="1:25" s="465" customFormat="1" x14ac:dyDescent="0.3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</row>
    <row r="114" spans="1:25" s="465" customFormat="1" x14ac:dyDescent="0.3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</row>
    <row r="115" spans="1:25" s="465" customFormat="1" x14ac:dyDescent="0.3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</row>
    <row r="116" spans="1:25" s="465" customFormat="1" x14ac:dyDescent="0.3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</row>
    <row r="117" spans="1:25" s="465" customFormat="1" x14ac:dyDescent="0.3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</row>
    <row r="118" spans="1:25" s="465" customFormat="1" x14ac:dyDescent="0.3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</row>
    <row r="119" spans="1:25" s="465" customFormat="1" x14ac:dyDescent="0.3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</row>
    <row r="120" spans="1:25" s="465" customFormat="1" x14ac:dyDescent="0.3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</row>
    <row r="121" spans="1:25" s="465" customFormat="1" x14ac:dyDescent="0.3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</row>
    <row r="122" spans="1:25" s="465" customFormat="1" x14ac:dyDescent="0.3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</row>
    <row r="123" spans="1:25" s="465" customFormat="1" x14ac:dyDescent="0.3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</row>
    <row r="124" spans="1:25" s="465" customFormat="1" x14ac:dyDescent="0.3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</row>
    <row r="125" spans="1:25" s="465" customFormat="1" x14ac:dyDescent="0.3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</row>
    <row r="126" spans="1:25" s="465" customFormat="1" x14ac:dyDescent="0.3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</row>
    <row r="127" spans="1:25" s="465" customFormat="1" x14ac:dyDescent="0.3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</row>
    <row r="128" spans="1:25" s="465" customFormat="1" x14ac:dyDescent="0.3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</row>
    <row r="129" spans="1:25" s="465" customFormat="1" x14ac:dyDescent="0.3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</row>
    <row r="130" spans="1:25" s="465" customFormat="1" x14ac:dyDescent="0.3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</row>
    <row r="131" spans="1:25" s="465" customFormat="1" x14ac:dyDescent="0.3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</row>
    <row r="132" spans="1:25" s="465" customFormat="1" x14ac:dyDescent="0.3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</row>
    <row r="133" spans="1:25" s="465" customFormat="1" x14ac:dyDescent="0.3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</row>
    <row r="134" spans="1:25" s="465" customFormat="1" x14ac:dyDescent="0.3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</row>
    <row r="135" spans="1:25" s="465" customFormat="1" x14ac:dyDescent="0.3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</row>
    <row r="136" spans="1:25" s="465" customFormat="1" x14ac:dyDescent="0.3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</row>
    <row r="137" spans="1:25" s="465" customFormat="1" x14ac:dyDescent="0.3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</row>
    <row r="138" spans="1:25" s="465" customFormat="1" x14ac:dyDescent="0.3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</row>
    <row r="139" spans="1:25" s="465" customFormat="1" x14ac:dyDescent="0.3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</row>
    <row r="140" spans="1:25" s="465" customFormat="1" x14ac:dyDescent="0.3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</row>
    <row r="141" spans="1:25" s="465" customFormat="1" x14ac:dyDescent="0.3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</row>
    <row r="142" spans="1:25" s="465" customFormat="1" x14ac:dyDescent="0.3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</row>
    <row r="143" spans="1:25" s="465" customFormat="1" x14ac:dyDescent="0.3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</row>
    <row r="144" spans="1:25" s="465" customFormat="1" x14ac:dyDescent="0.3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</row>
    <row r="145" spans="1:25" s="465" customFormat="1" x14ac:dyDescent="0.3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</row>
    <row r="146" spans="1:25" s="465" customFormat="1" x14ac:dyDescent="0.3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</row>
    <row r="147" spans="1:25" s="465" customFormat="1" x14ac:dyDescent="0.3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</row>
    <row r="148" spans="1:25" s="465" customFormat="1" x14ac:dyDescent="0.3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</row>
    <row r="149" spans="1:25" s="465" customFormat="1" x14ac:dyDescent="0.3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</row>
    <row r="150" spans="1:25" s="465" customFormat="1" x14ac:dyDescent="0.3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</row>
    <row r="151" spans="1:25" s="465" customFormat="1" x14ac:dyDescent="0.3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</row>
    <row r="152" spans="1:25" s="465" customFormat="1" x14ac:dyDescent="0.3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</row>
    <row r="153" spans="1:25" s="465" customFormat="1" x14ac:dyDescent="0.3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</row>
    <row r="154" spans="1:25" s="465" customFormat="1" x14ac:dyDescent="0.3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</row>
    <row r="155" spans="1:25" s="465" customFormat="1" x14ac:dyDescent="0.3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</row>
    <row r="156" spans="1:25" s="465" customFormat="1" x14ac:dyDescent="0.3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</row>
    <row r="157" spans="1:25" s="465" customFormat="1" x14ac:dyDescent="0.3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</row>
    <row r="158" spans="1:25" s="465" customFormat="1" x14ac:dyDescent="0.3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</row>
    <row r="159" spans="1:25" s="465" customFormat="1" x14ac:dyDescent="0.3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</row>
    <row r="160" spans="1:25" s="465" customFormat="1" x14ac:dyDescent="0.3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</row>
    <row r="161" spans="1:25" s="465" customFormat="1" x14ac:dyDescent="0.3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</row>
    <row r="162" spans="1:25" s="465" customFormat="1" x14ac:dyDescent="0.3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</row>
    <row r="163" spans="1:25" s="465" customFormat="1" x14ac:dyDescent="0.3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</row>
    <row r="164" spans="1:25" s="465" customFormat="1" x14ac:dyDescent="0.3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</row>
    <row r="165" spans="1:25" s="465" customFormat="1" x14ac:dyDescent="0.3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</row>
    <row r="166" spans="1:25" s="465" customFormat="1" x14ac:dyDescent="0.3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</row>
    <row r="167" spans="1:25" s="465" customFormat="1" x14ac:dyDescent="0.3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</row>
    <row r="168" spans="1:25" s="465" customFormat="1" x14ac:dyDescent="0.3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</row>
    <row r="169" spans="1:25" s="465" customFormat="1" x14ac:dyDescent="0.3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</row>
    <row r="170" spans="1:25" s="465" customFormat="1" x14ac:dyDescent="0.3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03"/>
      <c r="N170" s="203"/>
      <c r="O170" s="203"/>
      <c r="P170" s="203"/>
      <c r="Q170" s="203"/>
      <c r="R170" s="203"/>
      <c r="S170" s="203"/>
      <c r="T170" s="203"/>
      <c r="U170" s="203"/>
      <c r="V170" s="203"/>
      <c r="W170" s="203"/>
      <c r="X170" s="203"/>
      <c r="Y170" s="203"/>
    </row>
    <row r="171" spans="1:25" s="465" customFormat="1" x14ac:dyDescent="0.3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3"/>
      <c r="Y171" s="203"/>
    </row>
    <row r="172" spans="1:25" s="465" customFormat="1" x14ac:dyDescent="0.3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03"/>
      <c r="N172" s="203"/>
      <c r="O172" s="203"/>
      <c r="P172" s="203"/>
      <c r="Q172" s="203"/>
      <c r="R172" s="203"/>
      <c r="S172" s="203"/>
      <c r="T172" s="203"/>
      <c r="U172" s="203"/>
      <c r="V172" s="203"/>
      <c r="W172" s="203"/>
      <c r="X172" s="203"/>
      <c r="Y172" s="203"/>
    </row>
  </sheetData>
  <sheetProtection algorithmName="SHA-512" hashValue="YnhJsDo1g7Z7cyujlE+GEhcDzrj5U4s48VoLlNeRF043KsLyYmqoTBK3+IDxOiDruGFR99yNUelUXl9xM8CioA==" saltValue="5sjiOdRQg3TFU69szOQnbw==" spinCount="100000" sheet="1" objects="1" scenarios="1"/>
  <phoneticPr fontId="11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N100"/>
  <sheetViews>
    <sheetView workbookViewId="0">
      <selection activeCell="E5" sqref="E5"/>
    </sheetView>
  </sheetViews>
  <sheetFormatPr defaultColWidth="10.84375" defaultRowHeight="13.5" x14ac:dyDescent="0.3"/>
  <cols>
    <col min="1" max="1" width="32.4609375" style="35" customWidth="1"/>
    <col min="2" max="8" width="10" style="35" customWidth="1"/>
    <col min="9" max="9" width="10.4609375" style="35" customWidth="1"/>
    <col min="10" max="11" width="10" style="35" customWidth="1"/>
    <col min="12" max="12" width="10.84375" style="35" customWidth="1"/>
    <col min="13" max="13" width="12.84375" style="35" customWidth="1"/>
    <col min="14" max="14" width="11.4609375" style="35" customWidth="1"/>
    <col min="15" max="16384" width="10.84375" style="35"/>
  </cols>
  <sheetData>
    <row r="1" spans="1:14" x14ac:dyDescent="0.3">
      <c r="A1" s="34" t="s">
        <v>117</v>
      </c>
    </row>
    <row r="2" spans="1:14" x14ac:dyDescent="0.3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1:14" x14ac:dyDescent="0.3">
      <c r="A3" s="37" t="s">
        <v>42</v>
      </c>
    </row>
    <row r="4" spans="1:14" x14ac:dyDescent="0.3">
      <c r="I4" s="51"/>
    </row>
    <row r="5" spans="1:14" x14ac:dyDescent="0.3">
      <c r="A5" s="38" t="s">
        <v>28</v>
      </c>
      <c r="B5" s="39" t="s">
        <v>662</v>
      </c>
      <c r="E5" s="64">
        <v>4000</v>
      </c>
    </row>
    <row r="6" spans="1:14" x14ac:dyDescent="0.3">
      <c r="B6" s="40" t="s">
        <v>184</v>
      </c>
      <c r="C6" s="40"/>
      <c r="D6" s="40"/>
      <c r="E6" s="40"/>
      <c r="F6" s="40"/>
      <c r="G6" s="40"/>
      <c r="H6" s="40"/>
      <c r="I6" s="40"/>
      <c r="K6" s="40"/>
      <c r="L6" s="40"/>
      <c r="M6" s="40"/>
      <c r="N6" s="40"/>
    </row>
    <row r="8" spans="1:14" x14ac:dyDescent="0.3">
      <c r="A8" s="41" t="s">
        <v>135</v>
      </c>
      <c r="B8" s="19" t="s">
        <v>204</v>
      </c>
      <c r="C8" s="19" t="s">
        <v>169</v>
      </c>
      <c r="D8" s="19" t="s">
        <v>124</v>
      </c>
      <c r="E8" s="19" t="s">
        <v>307</v>
      </c>
      <c r="F8" s="19" t="s">
        <v>98</v>
      </c>
      <c r="G8" s="19" t="s">
        <v>102</v>
      </c>
      <c r="H8" s="146" t="s">
        <v>44</v>
      </c>
      <c r="I8" s="146" t="s">
        <v>159</v>
      </c>
    </row>
    <row r="9" spans="1:14" x14ac:dyDescent="0.3">
      <c r="A9" s="45" t="s">
        <v>237</v>
      </c>
      <c r="B9" s="80">
        <f>IF($E5&gt;='Jul''15 AGL'!E7,('Jul''15 AGL'!E7*'Jul''15 AGL'!E11/100*1.1),($E5*'Jul''15 AGL'!E11/100*1.1))</f>
        <v>46.332000000000001</v>
      </c>
      <c r="C9" s="80">
        <f>IF($E5&gt;='Jul''15 AGL'!F7,('Jul''15 AGL'!F7*'Jul''15 AGL'!F11/100*1.1),($E5*'Jul''15 AGL'!F11/100*1.1))</f>
        <v>46.332000000000001</v>
      </c>
      <c r="D9" s="80">
        <f>IF($E5&gt;='Jul''15 AGL'!G7,('Jul''15 AGL'!G7*'Jul''15 AGL'!G11/100*1.1),($E5*'Jul''15 AGL'!G11/100*1.1))</f>
        <v>46.332000000000001</v>
      </c>
      <c r="E9" s="80">
        <f>IF($E5&gt;='Jul''15 AGL'!H7,('Jul''15 AGL'!H7*'Jul''15 AGL'!H11/100*1.1),($E5*'Jul''15 AGL'!H11/100*1.1))</f>
        <v>102.41</v>
      </c>
      <c r="F9" s="80">
        <f>IF($E5&gt;='Jul''15 AGL'!I7,('Jul''15 AGL'!I7*'Jul''15 AGL'!I11/100*1.1),($E5*'Jul''15 AGL'!I11/100*1.1))</f>
        <v>46.332000000000001</v>
      </c>
      <c r="G9" s="80">
        <f>IF($E5&gt;='Jul''15 AGL'!J7,('Jul''15 AGL'!J7*'Jul''15 AGL'!J11/100*1.1),($E5*'Jul''15 AGL'!J11/100*1.1))</f>
        <v>46.332000000000001</v>
      </c>
      <c r="H9" s="80">
        <f>IF($E5&gt;='Jul''15 AGL'!K7,('Jul''15 AGL'!K7*'Jul''15 AGL'!K11/100*1.1),($E5*'Jul''15 AGL'!K11/100*1.1))</f>
        <v>112.47500000000001</v>
      </c>
      <c r="I9" s="53" t="s">
        <v>123</v>
      </c>
      <c r="M9" s="51"/>
    </row>
    <row r="10" spans="1:14" x14ac:dyDescent="0.3">
      <c r="A10" s="45" t="s">
        <v>167</v>
      </c>
      <c r="B10" s="80">
        <f>IF($E5&lt;'Jul''15 AGL'!E7,0,IF($E5&lt;='Jul''15 AGL'!E8,($E5-'Jul''15 AGL'!E7)*('Jul''15 AGL'!E12/100*1.1),('Jul''15 AGL'!E8-'Jul''15 AGL'!E7)*('Jul''15 AGL'!E12/100*1.1)))</f>
        <v>30.940800000000003</v>
      </c>
      <c r="C10" s="80">
        <f>IF($E5&lt;'Jul''15 AGL'!F7,0,IF($E5&lt;='Jul''15 AGL'!F8,($E5-'Jul''15 AGL'!F7)*('Jul''15 AGL'!F12/100*1.1),('Jul''15 AGL'!F8-'Jul''15 AGL'!F7)*('Jul''15 AGL'!F12/100*1.1)))</f>
        <v>30.940800000000003</v>
      </c>
      <c r="D10" s="80">
        <f>IF($E5&lt;'Jul''15 AGL'!G7,0,IF($E5&lt;='Jul''15 AGL'!G8,($E5-'Jul''15 AGL'!G7)*('Jul''15 AGL'!G12/100*1.1),('Jul''15 AGL'!G8-'Jul''15 AGL'!G7)*('Jul''15 AGL'!G12/100*1.1)))</f>
        <v>30.940800000000003</v>
      </c>
      <c r="E10" s="80">
        <f>IF($E5&lt;'Jul''15 AGL'!H7,0,IF($E5&lt;='Jul''15 AGL'!H8,($E5-'Jul''15 AGL'!H7)*('Jul''15 AGL'!H12/100*1.1),('Jul''15 AGL'!H8-'Jul''15 AGL'!H7)*('Jul''15 AGL'!H12/100*1.1)))</f>
        <v>35.178000000000004</v>
      </c>
      <c r="F10" s="80">
        <f>IF($E5&lt;'Jul''15 AGL'!I7,0,IF($E5&lt;='Jul''15 AGL'!I8,($E5-'Jul''15 AGL'!I7)*('Jul''15 AGL'!I12/100*1.1),('Jul''15 AGL'!I8-'Jul''15 AGL'!I7)*('Jul''15 AGL'!I12/100*1.1)))</f>
        <v>30.940800000000003</v>
      </c>
      <c r="G10" s="80">
        <f>IF($E5&lt;'Jul''15 AGL'!J7,0,IF($E5&lt;='Jul''15 AGL'!J8,($E5-'Jul''15 AGL'!J7)*('Jul''15 AGL'!J12/100*1.1),('Jul''15 AGL'!J8-'Jul''15 AGL'!J7)*('Jul''15 AGL'!J12/100*1.1)))</f>
        <v>30.887999999999998</v>
      </c>
      <c r="H10" s="80">
        <f>IF($E5&lt;'Jul''15 AGL'!K7,0,IF($E5&lt;='Jul''15 AGL'!K8,($E5-'Jul''15 AGL'!K7)*('Jul''15 AGL'!K12/100*1.1),('Jul''15 AGL'!K8-'Jul''15 AGL'!K7)*('Jul''15 AGL'!K12/100*1.1)))</f>
        <v>37.785000000000004</v>
      </c>
      <c r="I10" s="53" t="s">
        <v>123</v>
      </c>
    </row>
    <row r="11" spans="1:14" x14ac:dyDescent="0.3">
      <c r="A11" s="45" t="s">
        <v>207</v>
      </c>
      <c r="B11" s="80">
        <f>IF($E5&lt;'Jul''15 AGL'!E8,0,IF($E5&lt;='Jul''15 AGL'!E9,($E5-'Jul''15 AGL'!E8)*('Jul''15 AGL'!E13/100*1.1),('Jul''15 AGL'!E9-'Jul''15 AGL'!E8)*('Jul''15 AGL'!E13/100*1.1)))</f>
        <v>38.051200000000001</v>
      </c>
      <c r="C11" s="80">
        <f>IF($E5&lt;'Jul''15 AGL'!F8,0,IF($E5&lt;='Jul''15 AGL'!F9,($E5-'Jul''15 AGL'!F8)*('Jul''15 AGL'!F13/100*1.1),('Jul''15 AGL'!F9-'Jul''15 AGL'!F8)*('Jul''15 AGL'!F13/100*1.1)))</f>
        <v>38.051200000000001</v>
      </c>
      <c r="D11" s="80">
        <f>IF($E5&lt;'Jul''15 AGL'!G8,0,IF($E5&lt;='Jul''15 AGL'!G9,($E5-'Jul''15 AGL'!G8)*('Jul''15 AGL'!G13/100*1.1),('Jul''15 AGL'!G9-'Jul''15 AGL'!G8)*('Jul''15 AGL'!G13/100*1.1)))</f>
        <v>38.051200000000001</v>
      </c>
      <c r="E11" s="80">
        <f>IF($E5&lt;'Jul''15 AGL'!H8,0,IF($E5&lt;='Jul''15 AGL'!H9,($E5-'Jul''15 AGL'!H8)*('Jul''15 AGL'!H13/100*1.1),('Jul''15 AGL'!H9-'Jul''15 AGL'!H8)*('Jul''15 AGL'!H13/100*1.1)))</f>
        <v>0</v>
      </c>
      <c r="F11" s="80">
        <f>IF($E5&lt;'Jul''15 AGL'!I8,0,IF($E5&lt;='Jul''15 AGL'!I9,($E5-'Jul''15 AGL'!I8)*('Jul''15 AGL'!I13/100*1.1),('Jul''15 AGL'!I9-'Jul''15 AGL'!I8)*('Jul''15 AGL'!I13/100*1.1)))</f>
        <v>38.051200000000001</v>
      </c>
      <c r="G11" s="80">
        <f>IF($E5&lt;'Jul''15 AGL'!J8,0,IF($E5&lt;='Jul''15 AGL'!J9,($E5-'Jul''15 AGL'!J8)*('Jul''15 AGL'!J13/100*1.1),('Jul''15 AGL'!J9-'Jul''15 AGL'!J8)*('Jul''15 AGL'!J13/100*1.1)))</f>
        <v>38.016000000000005</v>
      </c>
      <c r="H11" s="80">
        <f>IF($E5&lt;'Jul''15 AGL'!K8,0,IF($E5&lt;='Jul''15 AGL'!K9,($E5-'Jul''15 AGL'!K8)*('Jul''15 AGL'!K13/100*1.1),('Jul''15 AGL'!K9-'Jul''15 AGL'!K8)*('Jul''15 AGL'!K13/100*1.1)))</f>
        <v>0</v>
      </c>
      <c r="I11" s="53" t="s">
        <v>123</v>
      </c>
    </row>
    <row r="12" spans="1:14" x14ac:dyDescent="0.3">
      <c r="A12" s="45" t="s">
        <v>238</v>
      </c>
      <c r="B12" s="80">
        <f>IF($E5&lt;'Jul''15 AGL'!E9,0,IF($E5&lt;='Jul''15 AGL'!E10,($E5-'Jul''15 AGL'!E9)*('Jul''15 AGL'!E14/100*1.1),('Jul''15 AGL'!E10-'Jul''15 AGL'!E9)*('Jul''15 AGL'!E14/100*1.1)))</f>
        <v>0</v>
      </c>
      <c r="C12" s="80">
        <f>IF($E5&lt;'Jul''15 AGL'!F9,0,IF($E5&lt;='Jul''15 AGL'!F10,($E5-'Jul''15 AGL'!F9)*('Jul''15 AGL'!F14/100*1.1),('Jul''15 AGL'!F10-'Jul''15 AGL'!F9)*('Jul''15 AGL'!F14/100*1.1)))</f>
        <v>0</v>
      </c>
      <c r="D12" s="80">
        <f>IF($E5&lt;'Jul''15 AGL'!G9,0,IF($E5&lt;='Jul''15 AGL'!G10,($E5-'Jul''15 AGL'!G9)*('Jul''15 AGL'!G14/100*1.1),('Jul''15 AGL'!G10-'Jul''15 AGL'!G9)*('Jul''15 AGL'!G14/100*1.1)))</f>
        <v>0</v>
      </c>
      <c r="E12" s="80">
        <f>IF($E5&lt;'Jul''15 AGL'!H9,0,IF($E5&lt;='Jul''15 AGL'!H10,($E5-'Jul''15 AGL'!H9)*('Jul''15 AGL'!H14/100*1.1),('Jul''15 AGL'!H10-'Jul''15 AGL'!H9)*('Jul''15 AGL'!H14/100*1.1)))</f>
        <v>0</v>
      </c>
      <c r="F12" s="80">
        <f>IF($E5&lt;'Jul''15 AGL'!I9,0,IF($E5&lt;='Jul''15 AGL'!I10,($E5-'Jul''15 AGL'!I9)*('Jul''15 AGL'!I14/100*1.1),('Jul''15 AGL'!I10-'Jul''15 AGL'!I9)*('Jul''15 AGL'!I14/100*1.1)))</f>
        <v>0</v>
      </c>
      <c r="G12" s="80">
        <f>IF($E5&lt;'Jul''15 AGL'!J9,0,IF($E5&lt;='Jul''15 AGL'!J10,($E5-'Jul''15 AGL'!J9)*('Jul''15 AGL'!J14/100*1.1),('Jul''15 AGL'!J10-'Jul''15 AGL'!J9)*('Jul''15 AGL'!J14/100*1.1)))</f>
        <v>0</v>
      </c>
      <c r="H12" s="80">
        <f>IF($E5&lt;'Jul''15 AGL'!K9,0,IF($E5&lt;='Jul''15 AGL'!K10,($E5-'Jul''15 AGL'!K9)*('Jul''15 AGL'!K14/100*1.1),('Jul''15 AGL'!K10-'Jul''15 AGL'!K9)*('Jul''15 AGL'!K14/100*1.1)))</f>
        <v>0</v>
      </c>
      <c r="I12" s="53" t="s">
        <v>123</v>
      </c>
    </row>
    <row r="13" spans="1:14" x14ac:dyDescent="0.3">
      <c r="A13" s="45" t="s">
        <v>280</v>
      </c>
      <c r="B13" s="80">
        <f>IF(($E5&gt;'Jul''15 AGL'!E10),($E5-'Jul''15 AGL'!E10)*'Jul''15 AGL'!E15/100*1.1,0)</f>
        <v>0</v>
      </c>
      <c r="C13" s="80">
        <f>IF(($E5&gt;'Jul''15 AGL'!F10),($E5-'Jul''15 AGL'!F10)*'Jul''15 AGL'!F15/100*1.1,0)</f>
        <v>0</v>
      </c>
      <c r="D13" s="80">
        <f>IF(($E5&gt;'Jul''15 AGL'!G10),($E5-'Jul''15 AGL'!G10)*'Jul''15 AGL'!G15/100*1.1,0)</f>
        <v>0</v>
      </c>
      <c r="E13" s="80">
        <f>IF(($E5&gt;'Jul''15 AGL'!H10),($E5-'Jul''15 AGL'!H10)*'Jul''15 AGL'!H15/100*1.1,0)</f>
        <v>0</v>
      </c>
      <c r="F13" s="80">
        <f>IF(($E5&gt;'Jul''15 AGL'!I10),($E5-'Jul''15 AGL'!I10)*'Jul''15 AGL'!I15/100*1.1,0)</f>
        <v>0</v>
      </c>
      <c r="G13" s="80">
        <f>IF(($E5&gt;'Jul''15 AGL'!J10),($E5-'Jul''15 AGL'!J10)*'Jul''15 AGL'!J15/100*1.1,0)</f>
        <v>0</v>
      </c>
      <c r="H13" s="80">
        <f>IF(($E5&gt;'Jul''15 AGL'!K10),($E5-'Jul''15 AGL'!K10)*'Jul''15 AGL'!K15/100*1.1,0)</f>
        <v>0</v>
      </c>
      <c r="I13" s="53" t="s">
        <v>123</v>
      </c>
    </row>
    <row r="14" spans="1:14" x14ac:dyDescent="0.3">
      <c r="A14" s="35" t="s">
        <v>119</v>
      </c>
      <c r="B14" s="80">
        <f>'Jul''15 AGL'!E16*60/100*1.1</f>
        <v>35.646599999999999</v>
      </c>
      <c r="C14" s="80">
        <f>'Jul''15 AGL'!F16*60/100*1.1</f>
        <v>35.646599999999999</v>
      </c>
      <c r="D14" s="80">
        <f>'Jul''15 AGL'!G16*60/100*1.1</f>
        <v>35.646599999999999</v>
      </c>
      <c r="E14" s="80">
        <f>'Jul''15 AGL'!H16*60/100*1.1</f>
        <v>34.056000000000004</v>
      </c>
      <c r="F14" s="80">
        <f>'Jul''15 AGL'!I16*60/100*1.1</f>
        <v>35.646599999999999</v>
      </c>
      <c r="G14" s="80">
        <f>'Jul''15 AGL'!J16*60/100*1.1</f>
        <v>35.706000000000003</v>
      </c>
      <c r="H14" s="80">
        <f>'Jul''15 AGL'!K16*60/100*1.1</f>
        <v>33.983400000000003</v>
      </c>
      <c r="I14" s="53" t="s">
        <v>123</v>
      </c>
    </row>
    <row r="15" spans="1:14" x14ac:dyDescent="0.3">
      <c r="A15" s="35" t="s">
        <v>120</v>
      </c>
      <c r="B15" s="80">
        <f>SUM(B9:B14)</f>
        <v>150.97060000000002</v>
      </c>
      <c r="C15" s="80">
        <f t="shared" ref="C15:E15" si="0">SUM(C9:C14)</f>
        <v>150.97060000000002</v>
      </c>
      <c r="D15" s="80">
        <f t="shared" si="0"/>
        <v>150.97060000000002</v>
      </c>
      <c r="E15" s="80">
        <f t="shared" si="0"/>
        <v>171.64400000000001</v>
      </c>
      <c r="F15" s="80">
        <f t="shared" ref="F15:H15" si="1">SUM(F9:F14)</f>
        <v>150.97060000000002</v>
      </c>
      <c r="G15" s="80">
        <f t="shared" si="1"/>
        <v>150.94200000000001</v>
      </c>
      <c r="H15" s="80">
        <f t="shared" si="1"/>
        <v>184.24340000000001</v>
      </c>
      <c r="I15" s="53" t="s">
        <v>123</v>
      </c>
    </row>
    <row r="16" spans="1:14" x14ac:dyDescent="0.3">
      <c r="A16" s="46" t="s">
        <v>68</v>
      </c>
      <c r="B16" s="47">
        <f>B15*6</f>
        <v>905.82360000000017</v>
      </c>
      <c r="C16" s="47">
        <f t="shared" ref="C16:E16" si="2">C15*6</f>
        <v>905.82360000000017</v>
      </c>
      <c r="D16" s="47">
        <f t="shared" si="2"/>
        <v>905.82360000000017</v>
      </c>
      <c r="E16" s="47">
        <f t="shared" si="2"/>
        <v>1029.864</v>
      </c>
      <c r="F16" s="47">
        <f t="shared" ref="F16:H16" si="3">F15*6</f>
        <v>905.82360000000017</v>
      </c>
      <c r="G16" s="47">
        <f t="shared" si="3"/>
        <v>905.65200000000004</v>
      </c>
      <c r="H16" s="47">
        <f t="shared" si="3"/>
        <v>1105.4603999999999</v>
      </c>
      <c r="I16" s="47"/>
    </row>
    <row r="17" spans="1:12" x14ac:dyDescent="0.3">
      <c r="A17" s="49"/>
      <c r="B17" s="50"/>
      <c r="C17" s="50"/>
      <c r="D17" s="50"/>
      <c r="E17" s="51"/>
      <c r="F17" s="51"/>
      <c r="G17" s="51"/>
      <c r="H17" s="51"/>
    </row>
    <row r="18" spans="1:12" x14ac:dyDescent="0.3">
      <c r="A18" s="49"/>
      <c r="B18" s="50"/>
      <c r="C18" s="50"/>
      <c r="D18" s="50"/>
      <c r="E18" s="51"/>
      <c r="F18" s="51"/>
      <c r="G18" s="51"/>
      <c r="H18" s="51"/>
    </row>
    <row r="19" spans="1:12" x14ac:dyDescent="0.3">
      <c r="A19" s="41" t="s">
        <v>147</v>
      </c>
      <c r="B19" s="19" t="s">
        <v>204</v>
      </c>
      <c r="C19" s="19" t="s">
        <v>169</v>
      </c>
      <c r="D19" s="19" t="s">
        <v>124</v>
      </c>
      <c r="E19" s="19" t="s">
        <v>307</v>
      </c>
      <c r="F19" s="19" t="s">
        <v>98</v>
      </c>
      <c r="G19" s="19" t="s">
        <v>102</v>
      </c>
      <c r="H19" s="146" t="s">
        <v>44</v>
      </c>
      <c r="I19" s="146" t="s">
        <v>159</v>
      </c>
    </row>
    <row r="20" spans="1:12" x14ac:dyDescent="0.3">
      <c r="A20" s="45" t="s">
        <v>237</v>
      </c>
      <c r="B20" s="53" t="s">
        <v>123</v>
      </c>
      <c r="C20" s="53" t="s">
        <v>123</v>
      </c>
      <c r="D20" s="78">
        <f>IF($E5&gt;='Jul''15 Actew'!F7,('Jul''15 Actew'!F7*'Jul''15 Actew'!F11/100*1.1),($E5*'Jul''15 Actew'!F11/100*1.1))</f>
        <v>46.332000000000001</v>
      </c>
      <c r="E20" s="66" t="s">
        <v>123</v>
      </c>
      <c r="F20" s="66" t="s">
        <v>123</v>
      </c>
      <c r="G20" s="66" t="s">
        <v>123</v>
      </c>
      <c r="H20" s="66" t="s">
        <v>123</v>
      </c>
      <c r="I20" s="78">
        <f>IF($E5&gt;='Jul''15 Actew'!G7,('Jul''15 Actew'!G7*'Jul''15 Actew'!G11/100*1.1),($E5*'Jul''15 Actew'!G11/100*1.1))</f>
        <v>43.322400000000002</v>
      </c>
    </row>
    <row r="21" spans="1:12" x14ac:dyDescent="0.3">
      <c r="A21" s="45" t="s">
        <v>167</v>
      </c>
      <c r="B21" s="53" t="s">
        <v>123</v>
      </c>
      <c r="C21" s="53" t="s">
        <v>123</v>
      </c>
      <c r="D21" s="78">
        <f>IF($E5&lt;'Jul''15 Actew'!F7,0,IF($E5&lt;='Jul''15 Actew'!F8,($E5-'Jul''15 Actew'!F7)*('Jul''15 Actew'!F12/100*1.1),('Jul''15 Actew'!F8-'Jul''15 Actew'!F7)*('Jul''15 Actew'!F12/100*1.1)))</f>
        <v>30.940800000000003</v>
      </c>
      <c r="E21" s="66" t="s">
        <v>123</v>
      </c>
      <c r="F21" s="66" t="s">
        <v>123</v>
      </c>
      <c r="G21" s="66" t="s">
        <v>123</v>
      </c>
      <c r="H21" s="66" t="s">
        <v>123</v>
      </c>
      <c r="I21" s="78">
        <f>IF($E5&lt;'Jul''15 Actew'!G7,0,IF($E5&lt;='Jul''15 Actew'!G8,($E5-'Jul''15 Actew'!G7)*('Jul''15 Actew'!G12/100*1.1),('Jul''15 Actew'!G8-'Jul''15 Actew'!G7)*('Jul''15 Actew'!G12/100*1.1)))</f>
        <v>31.099199999999996</v>
      </c>
      <c r="K21" s="51"/>
      <c r="L21" s="51"/>
    </row>
    <row r="22" spans="1:12" x14ac:dyDescent="0.3">
      <c r="A22" s="45" t="s">
        <v>207</v>
      </c>
      <c r="B22" s="53" t="s">
        <v>123</v>
      </c>
      <c r="C22" s="53" t="s">
        <v>123</v>
      </c>
      <c r="D22" s="78">
        <f>IF($E5&lt;'Jul''15 Actew'!F8,0,IF($E5&lt;='Jul''15 Actew'!F9,($E5-'Jul''15 Actew'!F8)*('Jul''15 Actew'!F13/100*1.1),('Jul''15 Actew'!F9-'Jul''15 Actew'!F8)*('Jul''15 Actew'!F13/100*1.1)))</f>
        <v>38.051200000000001</v>
      </c>
      <c r="E22" s="66" t="s">
        <v>123</v>
      </c>
      <c r="F22" s="66" t="s">
        <v>123</v>
      </c>
      <c r="G22" s="66" t="s">
        <v>123</v>
      </c>
      <c r="H22" s="66" t="s">
        <v>123</v>
      </c>
      <c r="I22" s="78">
        <f>IF($E5&lt;'Jul''15 Actew'!G8,0,IF($E5&lt;='Jul''15 Actew'!G9,($E5-'Jul''15 Actew'!G8)*('Jul''15 Actew'!G13/100*1.1),('Jul''15 Actew'!G9-'Jul''15 Actew'!G8)*('Jul''15 Actew'!G13/100*1.1)))</f>
        <v>40.427199999999999</v>
      </c>
      <c r="K22" s="51"/>
      <c r="L22" s="51"/>
    </row>
    <row r="23" spans="1:12" x14ac:dyDescent="0.3">
      <c r="A23" s="45" t="s">
        <v>238</v>
      </c>
      <c r="B23" s="53" t="s">
        <v>123</v>
      </c>
      <c r="C23" s="53" t="s">
        <v>123</v>
      </c>
      <c r="D23" s="78">
        <f>IF($E5&lt;'Jul''15 Actew'!F9,0,IF($E5&lt;='Jul''15 Actew'!F10,($E5-'Jul''15 Actew'!F9)*('Jul''15 Actew'!F14/100*1.1),('Jul''15 Actew'!F10-'Jul''15 Actew'!F9)*('Jul''15 Actew'!F14/100*1.1)))</f>
        <v>0</v>
      </c>
      <c r="E23" s="66" t="s">
        <v>123</v>
      </c>
      <c r="F23" s="66" t="s">
        <v>123</v>
      </c>
      <c r="G23" s="66" t="s">
        <v>123</v>
      </c>
      <c r="H23" s="66" t="s">
        <v>123</v>
      </c>
      <c r="I23" s="78">
        <f>IF($E5&lt;'Jul''15 Actew'!G9,0,IF($E5&lt;='Jul''15 Actew'!G10,($E5-'Jul''15 Actew'!G9)*('Jul''15 Actew'!G14/100*1.1),('Jul''15 Actew'!G10-'Jul''15 Actew'!G9)*('Jul''15 Actew'!G14/100*1.1)))</f>
        <v>0</v>
      </c>
      <c r="K23" s="51"/>
      <c r="L23" s="51"/>
    </row>
    <row r="24" spans="1:12" x14ac:dyDescent="0.3">
      <c r="A24" s="45" t="s">
        <v>280</v>
      </c>
      <c r="B24" s="53" t="s">
        <v>123</v>
      </c>
      <c r="C24" s="53" t="s">
        <v>123</v>
      </c>
      <c r="D24" s="78">
        <f>IF(($E5&gt;'Jul''15 Actew'!F10),($E5-'Jul''15 Actew'!F10)*'Jul''15 Actew'!F15/100*1.1,0)</f>
        <v>0</v>
      </c>
      <c r="E24" s="66" t="s">
        <v>123</v>
      </c>
      <c r="F24" s="66" t="s">
        <v>123</v>
      </c>
      <c r="G24" s="66" t="s">
        <v>123</v>
      </c>
      <c r="H24" s="66" t="s">
        <v>123</v>
      </c>
      <c r="I24" s="78">
        <f>IF(($E5&gt;'Jul''15 Actew'!G10),($E5-'Jul''15 Actew'!G10)*'Jul''15 Actew'!G15/100*1.1,0)</f>
        <v>0</v>
      </c>
      <c r="K24" s="51"/>
      <c r="L24" s="51"/>
    </row>
    <row r="25" spans="1:12" x14ac:dyDescent="0.3">
      <c r="A25" s="35" t="s">
        <v>119</v>
      </c>
      <c r="B25" s="53" t="s">
        <v>123</v>
      </c>
      <c r="C25" s="53" t="s">
        <v>123</v>
      </c>
      <c r="D25" s="78">
        <f>'Jul''15 Actew'!F16*60/100*1.1</f>
        <v>35.646599999999999</v>
      </c>
      <c r="E25" s="66" t="s">
        <v>123</v>
      </c>
      <c r="F25" s="66" t="s">
        <v>123</v>
      </c>
      <c r="G25" s="66" t="s">
        <v>123</v>
      </c>
      <c r="H25" s="66" t="s">
        <v>123</v>
      </c>
      <c r="I25" s="78">
        <f>'Jul''15 Actew'!G16*60/100*1.1</f>
        <v>36.907200000000003</v>
      </c>
      <c r="K25" s="51"/>
      <c r="L25" s="51"/>
    </row>
    <row r="26" spans="1:12" x14ac:dyDescent="0.3">
      <c r="A26" s="35" t="s">
        <v>120</v>
      </c>
      <c r="B26" s="53" t="s">
        <v>123</v>
      </c>
      <c r="C26" s="53" t="s">
        <v>123</v>
      </c>
      <c r="D26" s="78">
        <f t="shared" ref="D26" si="4">SUM(D20:D25)</f>
        <v>150.97060000000002</v>
      </c>
      <c r="E26" s="66" t="s">
        <v>123</v>
      </c>
      <c r="F26" s="66" t="s">
        <v>123</v>
      </c>
      <c r="G26" s="66" t="s">
        <v>123</v>
      </c>
      <c r="H26" s="66" t="s">
        <v>123</v>
      </c>
      <c r="I26" s="78">
        <f t="shared" ref="I26" si="5">SUM(I20:I25)</f>
        <v>151.756</v>
      </c>
    </row>
    <row r="27" spans="1:12" x14ac:dyDescent="0.3">
      <c r="A27" s="46" t="s">
        <v>68</v>
      </c>
      <c r="B27" s="155"/>
      <c r="C27" s="155"/>
      <c r="D27" s="155">
        <f t="shared" ref="D27" si="6">D26*6</f>
        <v>905.82360000000017</v>
      </c>
      <c r="E27" s="155"/>
      <c r="F27" s="155"/>
      <c r="G27" s="155"/>
      <c r="H27" s="155"/>
      <c r="I27" s="155">
        <f t="shared" ref="I27" si="7">I26*6</f>
        <v>910.53600000000006</v>
      </c>
    </row>
    <row r="28" spans="1:12" x14ac:dyDescent="0.3">
      <c r="A28" s="49"/>
      <c r="B28" s="61"/>
      <c r="C28" s="61"/>
      <c r="D28" s="61"/>
    </row>
    <row r="29" spans="1:12" x14ac:dyDescent="0.3">
      <c r="A29" s="49"/>
      <c r="B29" s="61"/>
      <c r="C29" s="61"/>
      <c r="D29" s="61"/>
    </row>
    <row r="30" spans="1:12" x14ac:dyDescent="0.3">
      <c r="A30" s="39" t="s">
        <v>154</v>
      </c>
      <c r="B30" s="19" t="s">
        <v>204</v>
      </c>
      <c r="C30" s="19" t="s">
        <v>169</v>
      </c>
      <c r="D30" s="19" t="s">
        <v>124</v>
      </c>
      <c r="E30" s="19" t="s">
        <v>307</v>
      </c>
      <c r="F30" s="19" t="s">
        <v>98</v>
      </c>
      <c r="G30" s="19" t="s">
        <v>102</v>
      </c>
      <c r="H30" s="146" t="s">
        <v>44</v>
      </c>
      <c r="I30" s="146" t="s">
        <v>159</v>
      </c>
      <c r="K30" s="51"/>
      <c r="L30" s="51"/>
    </row>
    <row r="31" spans="1:12" x14ac:dyDescent="0.3">
      <c r="A31" s="45" t="s">
        <v>75</v>
      </c>
      <c r="B31" s="53" t="s">
        <v>123</v>
      </c>
      <c r="C31" s="80">
        <f>IF($E5&gt;'Jul''15 Origin'!E9,('Jul''15 Origin'!E9*'Jul''15 Origin'!E12/100*1.1),('Bills Jul''15'!$E5*'Jul''15 Origin'!E12/100*1.1))</f>
        <v>35.029499999999999</v>
      </c>
      <c r="D31" s="80">
        <f>IF($E5&gt;'Jul''15 Origin'!F9,('Jul''15 Origin'!F9*'Jul''15 Origin'!F12/100*1.1),('Bills Jul''15'!$E5*'Jul''15 Origin'!F12/100*1.1))</f>
        <v>94.512000000000015</v>
      </c>
      <c r="E31" s="53" t="s">
        <v>123</v>
      </c>
      <c r="F31" s="53" t="s">
        <v>123</v>
      </c>
      <c r="G31" s="53" t="s">
        <v>123</v>
      </c>
      <c r="H31" s="53" t="s">
        <v>123</v>
      </c>
      <c r="I31" s="53" t="s">
        <v>123</v>
      </c>
      <c r="K31" s="51"/>
      <c r="L31" s="51"/>
    </row>
    <row r="32" spans="1:12" x14ac:dyDescent="0.3">
      <c r="A32" s="45" t="s">
        <v>38</v>
      </c>
      <c r="B32" s="53" t="s">
        <v>123</v>
      </c>
      <c r="C32" s="66">
        <f>IF($E5&lt;'Jul''15 Origin'!E9,0,IF($E5&lt;='Jul''15 Origin'!E10,($E5-'Jul''15 Origin'!E9)*('Jul''15 Origin'!E13/100*1.1),('Jul''15 Origin'!E10-'Jul''15 Origin'!E9)*('Jul''15 Origin'!E13/100*1.1)))</f>
        <v>25.361600000000003</v>
      </c>
      <c r="D32" s="66">
        <f>IF($E5&lt;'Jul''15 Origin'!F9,0,IF($E5&lt;='Jul''15 Origin'!F10,($E5-'Jul''15 Origin'!F9)*('Jul''15 Origin'!F13/100*1.1),('Jul''15 Origin'!F10-'Jul''15 Origin'!F9)*('Jul''15 Origin'!F13/100*1.1)))</f>
        <v>0</v>
      </c>
      <c r="E32" s="53" t="s">
        <v>123</v>
      </c>
      <c r="F32" s="53" t="s">
        <v>123</v>
      </c>
      <c r="G32" s="53" t="s">
        <v>123</v>
      </c>
      <c r="H32" s="53" t="s">
        <v>123</v>
      </c>
      <c r="I32" s="53" t="s">
        <v>123</v>
      </c>
      <c r="K32" s="51"/>
      <c r="L32" s="51"/>
    </row>
    <row r="33" spans="1:12" x14ac:dyDescent="0.3">
      <c r="A33" s="45" t="s">
        <v>113</v>
      </c>
      <c r="B33" s="53" t="s">
        <v>123</v>
      </c>
      <c r="C33" s="80">
        <v>0</v>
      </c>
      <c r="D33" s="66">
        <f>IF($E5&lt;'Jul''15 Origin'!F10,0,IF($E5&lt;='Jul''15 Origin'!F11,($E5-'Jul''15 Origin'!F10)*('Jul''15 Origin'!F14/100*1.1),('Jul''15 Origin'!F11-'Jul''15 Origin'!F10)*('Jul''15 Origin'!F14/100*1.1)))</f>
        <v>0</v>
      </c>
      <c r="E33" s="53" t="s">
        <v>123</v>
      </c>
      <c r="F33" s="53" t="s">
        <v>123</v>
      </c>
      <c r="G33" s="53" t="s">
        <v>123</v>
      </c>
      <c r="H33" s="53" t="s">
        <v>123</v>
      </c>
      <c r="I33" s="53" t="s">
        <v>123</v>
      </c>
      <c r="K33" s="51"/>
      <c r="L33" s="51"/>
    </row>
    <row r="34" spans="1:12" x14ac:dyDescent="0.3">
      <c r="A34" s="45" t="s">
        <v>76</v>
      </c>
      <c r="B34" s="53" t="s">
        <v>123</v>
      </c>
      <c r="C34" s="80">
        <f>IF($E5&gt;'Jul''15 Origin'!E10,('Bills Jul''15'!$E5-'Jul''15 Origin'!E10)*'Jul''15 Origin'!E15/100*1.1,0)</f>
        <v>18.647199999999998</v>
      </c>
      <c r="D34" s="66">
        <f>IF(($E5&gt;'Jul''15 Origin'!F11),($E5-'Jul''15 Origin'!F11)*'Jul''15 Origin'!F15/100*1.1,0)</f>
        <v>0</v>
      </c>
      <c r="E34" s="53" t="s">
        <v>123</v>
      </c>
      <c r="F34" s="53" t="s">
        <v>123</v>
      </c>
      <c r="G34" s="53" t="s">
        <v>123</v>
      </c>
      <c r="H34" s="53" t="s">
        <v>123</v>
      </c>
      <c r="I34" s="53" t="s">
        <v>123</v>
      </c>
      <c r="K34" s="51"/>
      <c r="L34" s="51"/>
    </row>
    <row r="35" spans="1:12" x14ac:dyDescent="0.3">
      <c r="A35" s="45" t="s">
        <v>90</v>
      </c>
      <c r="B35" s="53" t="s">
        <v>123</v>
      </c>
      <c r="C35" s="80">
        <f>IF($E5&gt;'Jul''15 Origin'!E9,'Jul''15 Origin'!E9*'Jul''15 Origin'!E16/100*1.1,'Bills Jul''15'!$E5*'Jul''15 Origin'!E16/100*1.1)</f>
        <v>35.029499999999999</v>
      </c>
      <c r="D35" s="66">
        <f>IF($E5&gt;'Jul''15 Origin'!F9,('Jul''15 Origin'!F9*'Jul''15 Origin'!F16/100*1.1),($E5*'Jul''15 Origin'!F16/100*1.1))</f>
        <v>84.211600000000004</v>
      </c>
      <c r="E35" s="53" t="s">
        <v>123</v>
      </c>
      <c r="F35" s="53" t="s">
        <v>123</v>
      </c>
      <c r="G35" s="53" t="s">
        <v>123</v>
      </c>
      <c r="H35" s="53" t="s">
        <v>123</v>
      </c>
      <c r="I35" s="53" t="s">
        <v>123</v>
      </c>
    </row>
    <row r="36" spans="1:12" x14ac:dyDescent="0.3">
      <c r="A36" s="45" t="s">
        <v>1</v>
      </c>
      <c r="B36" s="53" t="s">
        <v>123</v>
      </c>
      <c r="C36" s="66">
        <f>IF($E5&lt;'Jul''15 Origin'!E9,0,IF($E5&lt;='Jul''15 Origin'!E10,($E5-'Jul''15 Origin'!E9)*('Jul''15 Origin'!E17/100*1.1),('Jul''15 Origin'!E10-'Jul''15 Origin'!E9)*('Jul''15 Origin'!E17/100*1.1)))</f>
        <v>25.361600000000003</v>
      </c>
      <c r="D36" s="66">
        <f>IF($E5&lt;'Jul''15 Origin'!F9,0,IF($E5&lt;='Jul''15 Origin'!F10,($E5-'Jul''15 Origin'!F9)*('Jul''15 Origin'!F17/100*1.1),('Jul''15 Origin'!F10-'Jul''15 Origin'!F9)*('Jul''15 Origin'!F17/100*1.1)))</f>
        <v>0</v>
      </c>
      <c r="E36" s="53" t="s">
        <v>123</v>
      </c>
      <c r="F36" s="53" t="s">
        <v>123</v>
      </c>
      <c r="G36" s="53" t="s">
        <v>123</v>
      </c>
      <c r="H36" s="53" t="s">
        <v>123</v>
      </c>
      <c r="I36" s="53" t="s">
        <v>123</v>
      </c>
    </row>
    <row r="37" spans="1:12" x14ac:dyDescent="0.3">
      <c r="A37" s="45" t="s">
        <v>2</v>
      </c>
      <c r="B37" s="53" t="s">
        <v>123</v>
      </c>
      <c r="C37" s="80">
        <v>0</v>
      </c>
      <c r="D37" s="66">
        <f>IF($E5&lt;'Jul''15 Origin'!F10,0,IF($E5&lt;='Jul''15 Origin'!F11,($E5-'Jul''15 Origin'!F10)*('Jul''15 Origin'!F18/100*1.1),('Jul''15 Origin'!F11-'Jul''15 Origin'!F10)*('Jul''15 Origin'!F18/100*1.1)))</f>
        <v>0</v>
      </c>
      <c r="E37" s="53" t="s">
        <v>123</v>
      </c>
      <c r="F37" s="53" t="s">
        <v>123</v>
      </c>
      <c r="G37" s="53" t="s">
        <v>123</v>
      </c>
      <c r="H37" s="53" t="s">
        <v>123</v>
      </c>
      <c r="I37" s="53" t="s">
        <v>123</v>
      </c>
    </row>
    <row r="38" spans="1:12" x14ac:dyDescent="0.3">
      <c r="A38" s="45" t="s">
        <v>203</v>
      </c>
      <c r="B38" s="53" t="s">
        <v>123</v>
      </c>
      <c r="C38" s="80">
        <f>IF($E5&gt;'Jul''15 Origin'!E10,($E5-'Jul''15 Origin'!E10)*'Jul''15 Origin'!E19/100*1.1,0)</f>
        <v>18.647199999999998</v>
      </c>
      <c r="D38" s="66">
        <f>IF(($E5&gt;'Jul''15 Origin'!F11),($E5-'Jul''15 Origin'!F11)*'Jul''15 Origin'!F19/100*1.1,0)</f>
        <v>0</v>
      </c>
      <c r="E38" s="53" t="s">
        <v>123</v>
      </c>
      <c r="F38" s="53" t="s">
        <v>123</v>
      </c>
      <c r="G38" s="53" t="s">
        <v>123</v>
      </c>
      <c r="H38" s="53" t="s">
        <v>123</v>
      </c>
      <c r="I38" s="53" t="s">
        <v>123</v>
      </c>
    </row>
    <row r="39" spans="1:12" x14ac:dyDescent="0.3">
      <c r="A39" s="35" t="s">
        <v>119</v>
      </c>
      <c r="B39" s="53" t="s">
        <v>123</v>
      </c>
      <c r="C39" s="80">
        <f>'Jul''15 Origin'!E20*60/100*1.1</f>
        <v>36.300000000000004</v>
      </c>
      <c r="D39" s="80">
        <f>'Jul''15 Origin'!F20*60/100*1.1</f>
        <v>48.82482000000001</v>
      </c>
      <c r="E39" s="53" t="s">
        <v>123</v>
      </c>
      <c r="F39" s="53" t="s">
        <v>123</v>
      </c>
      <c r="G39" s="53" t="s">
        <v>123</v>
      </c>
      <c r="H39" s="53" t="s">
        <v>123</v>
      </c>
      <c r="I39" s="53" t="s">
        <v>123</v>
      </c>
    </row>
    <row r="40" spans="1:12" x14ac:dyDescent="0.3">
      <c r="A40" s="35" t="s">
        <v>120</v>
      </c>
      <c r="B40" s="53" t="s">
        <v>123</v>
      </c>
      <c r="C40" s="66" t="s">
        <v>123</v>
      </c>
      <c r="D40" s="66" t="s">
        <v>123</v>
      </c>
      <c r="E40" s="53" t="s">
        <v>123</v>
      </c>
      <c r="F40" s="53" t="s">
        <v>123</v>
      </c>
      <c r="G40" s="53" t="s">
        <v>123</v>
      </c>
      <c r="H40" s="53" t="s">
        <v>123</v>
      </c>
      <c r="I40" s="53" t="s">
        <v>123</v>
      </c>
    </row>
    <row r="41" spans="1:12" x14ac:dyDescent="0.3">
      <c r="A41" s="46" t="s">
        <v>68</v>
      </c>
      <c r="B41" s="156"/>
      <c r="C41" s="157">
        <f>(C31*2)+(C32*2)+(C33*2)+(C34*2)+(C35*4)+(C36*4)+(C37*4)+(C38*4)+(C39*6)</f>
        <v>692.02980000000002</v>
      </c>
      <c r="D41" s="158">
        <f>(D31*2)+(D32*2)+(D33*2)+(D34*2)+(D35*4)+(D36*4)+(D37*4)+(D38*4)+(D39*6)</f>
        <v>818.81932000000006</v>
      </c>
      <c r="E41" s="159"/>
      <c r="F41" s="159"/>
      <c r="G41" s="159"/>
      <c r="H41" s="159"/>
      <c r="I41" s="160"/>
    </row>
    <row r="42" spans="1:12" x14ac:dyDescent="0.3">
      <c r="B42" s="61"/>
      <c r="C42" s="61"/>
      <c r="D42" s="61"/>
    </row>
    <row r="43" spans="1:12" x14ac:dyDescent="0.3">
      <c r="B43" s="61"/>
      <c r="C43" s="61"/>
      <c r="D43" s="61"/>
    </row>
    <row r="44" spans="1:12" x14ac:dyDescent="0.3">
      <c r="A44" s="39" t="s">
        <v>157</v>
      </c>
      <c r="B44" s="19" t="s">
        <v>204</v>
      </c>
      <c r="C44" s="19" t="s">
        <v>169</v>
      </c>
      <c r="D44" s="19" t="s">
        <v>124</v>
      </c>
      <c r="E44" s="19" t="s">
        <v>307</v>
      </c>
      <c r="F44" s="19" t="s">
        <v>98</v>
      </c>
      <c r="G44" s="19" t="s">
        <v>102</v>
      </c>
      <c r="H44" s="146" t="s">
        <v>44</v>
      </c>
      <c r="I44" s="146" t="s">
        <v>159</v>
      </c>
    </row>
    <row r="45" spans="1:12" x14ac:dyDescent="0.3">
      <c r="A45" s="45" t="s">
        <v>75</v>
      </c>
      <c r="B45" s="53" t="s">
        <v>123</v>
      </c>
      <c r="C45" s="66">
        <f>IF($E5&gt;'Jul''15 Origin'!E27,('Jul''15 Origin'!E27*'Jul''15 Origin'!E30/100*1.1),($E5*'Jul''15 Origin'!E30/100*1.1))</f>
        <v>53.179500000000004</v>
      </c>
      <c r="D45" s="66">
        <f>IF($E5&gt;'Jul''15 Origin'!F27,('Jul''15 Origin'!F27*'Jul''15 Origin'!F30/100*1.1),($E5*'Jul''15 Origin'!F30/100*1.1))</f>
        <v>147.86199999999999</v>
      </c>
      <c r="E45" s="53" t="s">
        <v>123</v>
      </c>
      <c r="F45" s="53" t="s">
        <v>123</v>
      </c>
      <c r="G45" s="53" t="s">
        <v>123</v>
      </c>
      <c r="H45" s="53" t="s">
        <v>123</v>
      </c>
      <c r="I45" s="53" t="s">
        <v>123</v>
      </c>
    </row>
    <row r="46" spans="1:12" x14ac:dyDescent="0.3">
      <c r="A46" s="45" t="s">
        <v>38</v>
      </c>
      <c r="B46" s="53" t="s">
        <v>123</v>
      </c>
      <c r="C46" s="66">
        <f>IF($E5&lt;'Jul''15 Origin'!E27,0,IF($E5&lt;='Jul''15 Origin'!E28,($E5-'Jul''15 Origin'!E27)*('Jul''15 Origin'!E31/100*1.1),('Jul''15 Origin'!E28-'Jul''15 Origin'!E27)*('Jul''15 Origin'!E31/100*1.1)))</f>
        <v>40.203900000000004</v>
      </c>
      <c r="D46" s="66">
        <f>IF($E5&lt;'Jul''15 Origin'!F27,0,IF($E5&lt;='Jul''15 Origin'!F28,($E5-'Jul''15 Origin'!F27)*('Jul''15 Origin'!F31/100*1.1),('Jul''15 Origin'!F28-'Jul''15 Origin'!F27)*('Jul''15 Origin'!F31/100*1.1)))</f>
        <v>0</v>
      </c>
      <c r="E46" s="53" t="s">
        <v>123</v>
      </c>
      <c r="F46" s="53" t="s">
        <v>123</v>
      </c>
      <c r="G46" s="53" t="s">
        <v>123</v>
      </c>
      <c r="H46" s="53" t="s">
        <v>123</v>
      </c>
      <c r="I46" s="53" t="s">
        <v>123</v>
      </c>
    </row>
    <row r="47" spans="1:12" x14ac:dyDescent="0.3">
      <c r="A47" s="45" t="s">
        <v>113</v>
      </c>
      <c r="B47" s="53" t="s">
        <v>123</v>
      </c>
      <c r="C47" s="80">
        <v>0</v>
      </c>
      <c r="D47" s="66">
        <f>IF($E5&lt;'Jul''15 Origin'!F28,0,IF($E5&lt;='Jul''15 Origin'!F29,($E5-'Jul''15 Origin'!F28)*('Jul''15 Origin'!F32/100*1.1),('Jul''15 Origin'!F29-'Jul''15 Origin'!F28)*('Jul''15 Origin'!F32/100*1.1)))</f>
        <v>0</v>
      </c>
      <c r="E47" s="53" t="s">
        <v>123</v>
      </c>
      <c r="F47" s="53" t="s">
        <v>123</v>
      </c>
      <c r="G47" s="53" t="s">
        <v>123</v>
      </c>
      <c r="H47" s="53" t="s">
        <v>123</v>
      </c>
      <c r="I47" s="53" t="s">
        <v>123</v>
      </c>
    </row>
    <row r="48" spans="1:12" x14ac:dyDescent="0.3">
      <c r="A48" s="45" t="s">
        <v>76</v>
      </c>
      <c r="B48" s="53" t="s">
        <v>123</v>
      </c>
      <c r="C48" s="66">
        <f>IF(($E5&gt;'Jul''15 Origin'!E28),($E5-'Jul''15 Origin'!E28)*'Jul''15 Origin'!E33/100*1.1,0)</f>
        <v>25.167999999999999</v>
      </c>
      <c r="D48" s="66">
        <f>IF(($E5&gt;'Jul''15 Origin'!F29),($E5-'Jul''15 Origin'!F29)*'Jul''15 Origin'!F33/100*1.1,0)</f>
        <v>0</v>
      </c>
      <c r="E48" s="53" t="s">
        <v>123</v>
      </c>
      <c r="F48" s="53" t="s">
        <v>123</v>
      </c>
      <c r="G48" s="53" t="s">
        <v>123</v>
      </c>
      <c r="H48" s="53" t="s">
        <v>123</v>
      </c>
      <c r="I48" s="53" t="s">
        <v>123</v>
      </c>
    </row>
    <row r="49" spans="1:9" x14ac:dyDescent="0.3">
      <c r="A49" s="45" t="s">
        <v>90</v>
      </c>
      <c r="B49" s="53" t="s">
        <v>123</v>
      </c>
      <c r="C49" s="66">
        <f>IF($E5&gt;'Jul''15 Origin'!E27,('Jul''15 Origin'!E27*'Jul''15 Origin'!E34/100*1.1),($E5*'Jul''15 Origin'!E34/100*1.1))</f>
        <v>53.179500000000004</v>
      </c>
      <c r="D49" s="66">
        <f>IF($E5&gt;'Jul''15 Origin'!F27,('Jul''15 Origin'!F27*'Jul''15 Origin'!F34/100*1.1),($E5*'Jul''15 Origin'!F34/100*1.1))</f>
        <v>101.0724</v>
      </c>
      <c r="E49" s="53" t="s">
        <v>123</v>
      </c>
      <c r="F49" s="53" t="s">
        <v>123</v>
      </c>
      <c r="G49" s="53" t="s">
        <v>123</v>
      </c>
      <c r="H49" s="53" t="s">
        <v>123</v>
      </c>
      <c r="I49" s="53" t="s">
        <v>123</v>
      </c>
    </row>
    <row r="50" spans="1:9" x14ac:dyDescent="0.3">
      <c r="A50" s="45" t="s">
        <v>1</v>
      </c>
      <c r="B50" s="53" t="s">
        <v>123</v>
      </c>
      <c r="C50" s="66">
        <f>IF($E5&lt;'Jul''15 Origin'!E27,0,IF($E5&lt;='Jul''15 Origin'!E28,($E5-'Jul''15 Origin'!E27)*('Jul''15 Origin'!E35/100*1.1),('Jul''15 Origin'!E28-'Jul''15 Origin'!E27)*('Jul''15 Origin'!E35/100*1.1)))</f>
        <v>40.203900000000004</v>
      </c>
      <c r="D50" s="66">
        <f>IF($E5&lt;'Jul''15 Origin'!F27,0,IF($E5&lt;='Jul''15 Origin'!F28,($E5-'Jul''15 Origin'!F27)*('Jul''15 Origin'!F35/100*1.1),('Jul''15 Origin'!F28-'Jul''15 Origin'!F27)*('Jul''15 Origin'!F35/100*1.1)))</f>
        <v>0</v>
      </c>
      <c r="E50" s="53" t="s">
        <v>123</v>
      </c>
      <c r="F50" s="53" t="s">
        <v>123</v>
      </c>
      <c r="G50" s="53" t="s">
        <v>123</v>
      </c>
      <c r="H50" s="53" t="s">
        <v>123</v>
      </c>
      <c r="I50" s="53" t="s">
        <v>123</v>
      </c>
    </row>
    <row r="51" spans="1:9" x14ac:dyDescent="0.3">
      <c r="A51" s="45" t="s">
        <v>2</v>
      </c>
      <c r="B51" s="53" t="s">
        <v>123</v>
      </c>
      <c r="C51" s="80">
        <v>0</v>
      </c>
      <c r="D51" s="66">
        <f>IF($E5&lt;'Jul''15 Origin'!F28,0,IF($E5&lt;='Jul''15 Origin'!F29,($E5-'Jul''15 Origin'!F28)*('Jul''15 Origin'!F36/100*1.1),('Jul''15 Origin'!F29-'Jul''15 Origin'!F28)*('Jul''15 Origin'!F36/100*1.1)))</f>
        <v>0</v>
      </c>
      <c r="E51" s="53" t="s">
        <v>123</v>
      </c>
      <c r="F51" s="53" t="s">
        <v>123</v>
      </c>
      <c r="G51" s="53" t="s">
        <v>123</v>
      </c>
      <c r="H51" s="53" t="s">
        <v>123</v>
      </c>
      <c r="I51" s="53" t="s">
        <v>123</v>
      </c>
    </row>
    <row r="52" spans="1:9" x14ac:dyDescent="0.3">
      <c r="A52" s="45" t="s">
        <v>203</v>
      </c>
      <c r="B52" s="53" t="s">
        <v>123</v>
      </c>
      <c r="C52" s="66">
        <f>IF(($E5&gt;'Jul''15 Origin'!E28),($E5-'Jul''15 Origin'!E28)*'Jul''15 Origin'!E37/100*1.1,0)</f>
        <v>25.167999999999999</v>
      </c>
      <c r="D52" s="66">
        <f>IF(($E5&gt;'Jul''15 Origin'!F29),($E5-'Jul''15 Origin'!F29)*'Jul''15 Origin'!F37/100*1.1,0)</f>
        <v>0</v>
      </c>
      <c r="E52" s="53" t="s">
        <v>123</v>
      </c>
      <c r="F52" s="53" t="s">
        <v>123</v>
      </c>
      <c r="G52" s="53" t="s">
        <v>123</v>
      </c>
      <c r="H52" s="53" t="s">
        <v>123</v>
      </c>
      <c r="I52" s="53" t="s">
        <v>123</v>
      </c>
    </row>
    <row r="53" spans="1:9" x14ac:dyDescent="0.3">
      <c r="A53" s="35" t="s">
        <v>119</v>
      </c>
      <c r="B53" s="53" t="s">
        <v>123</v>
      </c>
      <c r="C53" s="80">
        <f>'Jul''15 Origin'!E38*60/100*1.1</f>
        <v>41.58</v>
      </c>
      <c r="D53" s="80">
        <f>'Jul''15 Origin'!F38*60/100*1.1</f>
        <v>45.258839999999999</v>
      </c>
      <c r="E53" s="53" t="s">
        <v>123</v>
      </c>
      <c r="F53" s="53" t="s">
        <v>123</v>
      </c>
      <c r="G53" s="53" t="s">
        <v>123</v>
      </c>
      <c r="H53" s="53" t="s">
        <v>123</v>
      </c>
      <c r="I53" s="53" t="s">
        <v>123</v>
      </c>
    </row>
    <row r="54" spans="1:9" x14ac:dyDescent="0.3">
      <c r="A54" s="35" t="s">
        <v>120</v>
      </c>
      <c r="B54" s="53" t="s">
        <v>123</v>
      </c>
      <c r="C54" s="66" t="s">
        <v>123</v>
      </c>
      <c r="D54" s="66" t="s">
        <v>123</v>
      </c>
      <c r="E54" s="53" t="s">
        <v>123</v>
      </c>
      <c r="F54" s="53" t="s">
        <v>123</v>
      </c>
      <c r="G54" s="53" t="s">
        <v>123</v>
      </c>
      <c r="H54" s="53" t="s">
        <v>123</v>
      </c>
      <c r="I54" s="53" t="s">
        <v>123</v>
      </c>
    </row>
    <row r="55" spans="1:9" x14ac:dyDescent="0.3">
      <c r="A55" s="46" t="s">
        <v>68</v>
      </c>
      <c r="B55" s="47"/>
      <c r="C55" s="47">
        <f>(C45*2)+(C46*2)+(C47*2)+(C48*2)+(C49*4)+(C50*4)+(C51*4)+(C52*4)+(C53*6)</f>
        <v>960.78840000000014</v>
      </c>
      <c r="D55" s="47">
        <f>(D45*2)+(D46*2)+(D47*2)+(D48*2)+(D49*4)+(D50*4)+(D51*4)+(D52*4)+(D53*6)</f>
        <v>971.56664000000001</v>
      </c>
      <c r="E55" s="56"/>
      <c r="F55" s="56"/>
      <c r="G55" s="56"/>
      <c r="H55" s="56"/>
      <c r="I55" s="76"/>
    </row>
    <row r="58" spans="1:9" x14ac:dyDescent="0.3">
      <c r="A58" s="39" t="s">
        <v>59</v>
      </c>
      <c r="B58" s="19" t="s">
        <v>204</v>
      </c>
      <c r="C58" s="19" t="s">
        <v>169</v>
      </c>
      <c r="D58" s="19" t="s">
        <v>124</v>
      </c>
      <c r="E58" s="19" t="s">
        <v>307</v>
      </c>
      <c r="F58" s="19" t="s">
        <v>98</v>
      </c>
      <c r="G58" s="19" t="s">
        <v>102</v>
      </c>
      <c r="H58" s="146" t="s">
        <v>44</v>
      </c>
      <c r="I58" s="146" t="s">
        <v>159</v>
      </c>
    </row>
    <row r="59" spans="1:9" x14ac:dyDescent="0.3">
      <c r="A59" s="45" t="s">
        <v>138</v>
      </c>
      <c r="B59" s="147" t="s">
        <v>123</v>
      </c>
      <c r="C59" s="148">
        <f>E5*'Jul''15 Origin'!E43/100*1.1</f>
        <v>107.80000000000001</v>
      </c>
      <c r="D59" s="147" t="s">
        <v>123</v>
      </c>
      <c r="E59" s="147" t="s">
        <v>123</v>
      </c>
      <c r="F59" s="147" t="s">
        <v>123</v>
      </c>
      <c r="G59" s="147" t="s">
        <v>123</v>
      </c>
      <c r="H59" s="147" t="s">
        <v>123</v>
      </c>
      <c r="I59" s="147" t="s">
        <v>123</v>
      </c>
    </row>
    <row r="60" spans="1:9" x14ac:dyDescent="0.3">
      <c r="A60" s="35" t="s">
        <v>139</v>
      </c>
      <c r="B60" s="147" t="s">
        <v>123</v>
      </c>
      <c r="C60" s="148">
        <f>'Jul''15 Origin'!E44*60/100*1.1</f>
        <v>47.190000000000005</v>
      </c>
      <c r="D60" s="147" t="s">
        <v>123</v>
      </c>
      <c r="E60" s="147" t="s">
        <v>123</v>
      </c>
      <c r="F60" s="147" t="s">
        <v>123</v>
      </c>
      <c r="G60" s="147" t="s">
        <v>123</v>
      </c>
      <c r="H60" s="147" t="s">
        <v>123</v>
      </c>
      <c r="I60" s="147" t="s">
        <v>123</v>
      </c>
    </row>
    <row r="61" spans="1:9" x14ac:dyDescent="0.3">
      <c r="A61" s="35" t="s">
        <v>140</v>
      </c>
      <c r="B61" s="147" t="s">
        <v>123</v>
      </c>
      <c r="C61" s="148">
        <f>SUM(C59:C60)</f>
        <v>154.99</v>
      </c>
      <c r="D61" s="147" t="s">
        <v>123</v>
      </c>
      <c r="E61" s="147" t="s">
        <v>123</v>
      </c>
      <c r="F61" s="147" t="s">
        <v>123</v>
      </c>
      <c r="G61" s="147" t="s">
        <v>123</v>
      </c>
      <c r="H61" s="147" t="s">
        <v>123</v>
      </c>
      <c r="I61" s="147" t="s">
        <v>123</v>
      </c>
    </row>
    <row r="62" spans="1:9" x14ac:dyDescent="0.3">
      <c r="A62" s="46" t="s">
        <v>68</v>
      </c>
      <c r="B62" s="161"/>
      <c r="C62" s="161">
        <f>C61*6</f>
        <v>929.94</v>
      </c>
      <c r="D62" s="161"/>
      <c r="E62" s="161"/>
      <c r="F62" s="161"/>
      <c r="G62" s="161"/>
      <c r="H62" s="161"/>
      <c r="I62" s="161"/>
    </row>
    <row r="65" spans="1:9" x14ac:dyDescent="0.3">
      <c r="A65" s="39" t="s">
        <v>292</v>
      </c>
      <c r="B65" s="19" t="s">
        <v>204</v>
      </c>
      <c r="C65" s="19" t="s">
        <v>169</v>
      </c>
      <c r="D65" s="19" t="s">
        <v>124</v>
      </c>
      <c r="E65" s="19" t="s">
        <v>307</v>
      </c>
      <c r="F65" s="19" t="s">
        <v>98</v>
      </c>
      <c r="G65" s="19" t="s">
        <v>102</v>
      </c>
      <c r="H65" s="146" t="s">
        <v>44</v>
      </c>
      <c r="I65" s="146" t="s">
        <v>159</v>
      </c>
    </row>
    <row r="66" spans="1:9" x14ac:dyDescent="0.3">
      <c r="A66" s="45" t="s">
        <v>138</v>
      </c>
      <c r="B66" s="147" t="s">
        <v>123</v>
      </c>
      <c r="C66" s="148">
        <f>E5*'Jul''15 Origin'!E49/100*1.1</f>
        <v>108.68</v>
      </c>
      <c r="D66" s="147" t="s">
        <v>123</v>
      </c>
      <c r="E66" s="147" t="s">
        <v>123</v>
      </c>
      <c r="F66" s="147" t="s">
        <v>123</v>
      </c>
      <c r="G66" s="147" t="s">
        <v>123</v>
      </c>
      <c r="H66" s="147" t="s">
        <v>123</v>
      </c>
      <c r="I66" s="147" t="s">
        <v>123</v>
      </c>
    </row>
    <row r="67" spans="1:9" x14ac:dyDescent="0.3">
      <c r="A67" s="35" t="s">
        <v>139</v>
      </c>
      <c r="B67" s="147" t="s">
        <v>123</v>
      </c>
      <c r="C67" s="148">
        <f>'Jul''15 Origin'!E50*60/100*1.1</f>
        <v>50.80680000000001</v>
      </c>
      <c r="D67" s="147" t="s">
        <v>123</v>
      </c>
      <c r="E67" s="147" t="s">
        <v>123</v>
      </c>
      <c r="F67" s="147" t="s">
        <v>123</v>
      </c>
      <c r="G67" s="147" t="s">
        <v>123</v>
      </c>
      <c r="H67" s="147" t="s">
        <v>123</v>
      </c>
      <c r="I67" s="147" t="s">
        <v>123</v>
      </c>
    </row>
    <row r="68" spans="1:9" x14ac:dyDescent="0.3">
      <c r="A68" s="35" t="s">
        <v>140</v>
      </c>
      <c r="B68" s="147" t="s">
        <v>123</v>
      </c>
      <c r="C68" s="148">
        <f>SUM(C66:C67)</f>
        <v>159.48680000000002</v>
      </c>
      <c r="D68" s="147" t="s">
        <v>123</v>
      </c>
      <c r="E68" s="147" t="s">
        <v>123</v>
      </c>
      <c r="F68" s="147" t="s">
        <v>123</v>
      </c>
      <c r="G68" s="147" t="s">
        <v>123</v>
      </c>
      <c r="H68" s="147" t="s">
        <v>123</v>
      </c>
      <c r="I68" s="147" t="s">
        <v>123</v>
      </c>
    </row>
    <row r="69" spans="1:9" x14ac:dyDescent="0.3">
      <c r="A69" s="46" t="s">
        <v>68</v>
      </c>
      <c r="B69" s="161"/>
      <c r="C69" s="161">
        <f>C68*6</f>
        <v>956.9208000000001</v>
      </c>
      <c r="D69" s="161"/>
      <c r="E69" s="161"/>
      <c r="F69" s="161"/>
      <c r="G69" s="161"/>
      <c r="H69" s="161"/>
      <c r="I69" s="161"/>
    </row>
    <row r="72" spans="1:9" x14ac:dyDescent="0.3">
      <c r="A72" s="39" t="s">
        <v>48</v>
      </c>
      <c r="B72" s="19" t="s">
        <v>204</v>
      </c>
      <c r="C72" s="19" t="s">
        <v>169</v>
      </c>
      <c r="D72" s="19" t="s">
        <v>124</v>
      </c>
      <c r="E72" s="19" t="s">
        <v>307</v>
      </c>
      <c r="F72" s="19" t="s">
        <v>98</v>
      </c>
      <c r="G72" s="19" t="s">
        <v>102</v>
      </c>
      <c r="H72" s="146" t="s">
        <v>44</v>
      </c>
      <c r="I72" s="146" t="s">
        <v>159</v>
      </c>
    </row>
    <row r="73" spans="1:9" x14ac:dyDescent="0.3">
      <c r="A73" s="45" t="s">
        <v>138</v>
      </c>
      <c r="B73" s="147" t="s">
        <v>123</v>
      </c>
      <c r="C73" s="148">
        <f>E5*'Jul''15 Origin'!E55/100*1.1</f>
        <v>116.60000000000001</v>
      </c>
      <c r="D73" s="147" t="s">
        <v>123</v>
      </c>
      <c r="E73" s="147" t="s">
        <v>123</v>
      </c>
      <c r="F73" s="147" t="s">
        <v>123</v>
      </c>
      <c r="G73" s="147" t="s">
        <v>123</v>
      </c>
      <c r="H73" s="147" t="s">
        <v>123</v>
      </c>
      <c r="I73" s="147" t="s">
        <v>123</v>
      </c>
    </row>
    <row r="74" spans="1:9" x14ac:dyDescent="0.3">
      <c r="A74" s="35" t="s">
        <v>139</v>
      </c>
      <c r="B74" s="147" t="s">
        <v>123</v>
      </c>
      <c r="C74" s="148">
        <f>'Jul''15 Origin'!E56*60/100*1.1</f>
        <v>50.292000000000002</v>
      </c>
      <c r="D74" s="147" t="s">
        <v>123</v>
      </c>
      <c r="E74" s="147" t="s">
        <v>123</v>
      </c>
      <c r="F74" s="147" t="s">
        <v>123</v>
      </c>
      <c r="G74" s="147" t="s">
        <v>123</v>
      </c>
      <c r="H74" s="147" t="s">
        <v>123</v>
      </c>
      <c r="I74" s="147" t="s">
        <v>123</v>
      </c>
    </row>
    <row r="75" spans="1:9" x14ac:dyDescent="0.3">
      <c r="A75" s="35" t="s">
        <v>140</v>
      </c>
      <c r="B75" s="147" t="s">
        <v>123</v>
      </c>
      <c r="C75" s="148">
        <f>SUM(C73:C74)</f>
        <v>166.892</v>
      </c>
      <c r="D75" s="147" t="s">
        <v>123</v>
      </c>
      <c r="E75" s="147" t="s">
        <v>123</v>
      </c>
      <c r="F75" s="147" t="s">
        <v>123</v>
      </c>
      <c r="G75" s="147" t="s">
        <v>123</v>
      </c>
      <c r="H75" s="147" t="s">
        <v>123</v>
      </c>
      <c r="I75" s="147" t="s">
        <v>123</v>
      </c>
    </row>
    <row r="76" spans="1:9" x14ac:dyDescent="0.3">
      <c r="A76" s="46" t="s">
        <v>68</v>
      </c>
      <c r="B76" s="161"/>
      <c r="C76" s="161">
        <f>C75*6</f>
        <v>1001.352</v>
      </c>
      <c r="D76" s="161"/>
      <c r="E76" s="161"/>
      <c r="F76" s="161"/>
      <c r="G76" s="161"/>
      <c r="H76" s="161"/>
      <c r="I76" s="161"/>
    </row>
    <row r="79" spans="1:9" x14ac:dyDescent="0.3">
      <c r="A79" s="39" t="s">
        <v>47</v>
      </c>
      <c r="B79" s="19" t="s">
        <v>204</v>
      </c>
      <c r="C79" s="19" t="s">
        <v>169</v>
      </c>
      <c r="D79" s="19" t="s">
        <v>124</v>
      </c>
      <c r="E79" s="19" t="s">
        <v>307</v>
      </c>
      <c r="F79" s="19" t="s">
        <v>98</v>
      </c>
      <c r="G79" s="19" t="s">
        <v>102</v>
      </c>
      <c r="H79" s="146" t="s">
        <v>44</v>
      </c>
      <c r="I79" s="146" t="s">
        <v>159</v>
      </c>
    </row>
    <row r="80" spans="1:9" x14ac:dyDescent="0.3">
      <c r="A80" s="45" t="s">
        <v>138</v>
      </c>
      <c r="B80" s="147" t="s">
        <v>123</v>
      </c>
      <c r="C80" s="148">
        <f>E5*'Jul''15 Origin'!E61/100*1.1</f>
        <v>94.16</v>
      </c>
      <c r="D80" s="147" t="s">
        <v>123</v>
      </c>
      <c r="E80" s="147" t="s">
        <v>123</v>
      </c>
      <c r="F80" s="147" t="s">
        <v>123</v>
      </c>
      <c r="G80" s="147" t="s">
        <v>123</v>
      </c>
      <c r="H80" s="147" t="s">
        <v>123</v>
      </c>
      <c r="I80" s="147" t="s">
        <v>123</v>
      </c>
    </row>
    <row r="81" spans="1:10" x14ac:dyDescent="0.3">
      <c r="A81" s="35" t="s">
        <v>139</v>
      </c>
      <c r="B81" s="147" t="s">
        <v>123</v>
      </c>
      <c r="C81" s="148">
        <f>'Jul''15 Origin'!E62*60/100*1.1</f>
        <v>52.971600000000009</v>
      </c>
      <c r="D81" s="147" t="s">
        <v>123</v>
      </c>
      <c r="E81" s="147" t="s">
        <v>123</v>
      </c>
      <c r="F81" s="147" t="s">
        <v>123</v>
      </c>
      <c r="G81" s="147" t="s">
        <v>123</v>
      </c>
      <c r="H81" s="147" t="s">
        <v>123</v>
      </c>
      <c r="I81" s="147" t="s">
        <v>123</v>
      </c>
    </row>
    <row r="82" spans="1:10" x14ac:dyDescent="0.3">
      <c r="A82" s="35" t="s">
        <v>140</v>
      </c>
      <c r="B82" s="147" t="s">
        <v>123</v>
      </c>
      <c r="C82" s="148">
        <f>SUM(C80:C81)</f>
        <v>147.13159999999999</v>
      </c>
      <c r="D82" s="147" t="s">
        <v>123</v>
      </c>
      <c r="E82" s="147" t="s">
        <v>123</v>
      </c>
      <c r="F82" s="147" t="s">
        <v>123</v>
      </c>
      <c r="G82" s="147" t="s">
        <v>123</v>
      </c>
      <c r="H82" s="147" t="s">
        <v>123</v>
      </c>
      <c r="I82" s="147" t="s">
        <v>123</v>
      </c>
    </row>
    <row r="83" spans="1:10" x14ac:dyDescent="0.3">
      <c r="A83" s="46" t="s">
        <v>68</v>
      </c>
      <c r="B83" s="161"/>
      <c r="C83" s="161">
        <f>C82*6</f>
        <v>882.78959999999995</v>
      </c>
      <c r="D83" s="161"/>
      <c r="E83" s="161"/>
      <c r="F83" s="161"/>
      <c r="G83" s="161"/>
      <c r="H83" s="161"/>
      <c r="I83" s="161"/>
    </row>
    <row r="86" spans="1:10" x14ac:dyDescent="0.3">
      <c r="A86" s="39" t="s">
        <v>46</v>
      </c>
      <c r="B86" s="19" t="s">
        <v>204</v>
      </c>
      <c r="C86" s="19" t="s">
        <v>169</v>
      </c>
      <c r="D86" s="19" t="s">
        <v>124</v>
      </c>
      <c r="E86" s="19" t="s">
        <v>307</v>
      </c>
      <c r="F86" s="19" t="s">
        <v>98</v>
      </c>
      <c r="G86" s="19" t="s">
        <v>102</v>
      </c>
      <c r="H86" s="146" t="s">
        <v>44</v>
      </c>
      <c r="I86" s="146" t="s">
        <v>159</v>
      </c>
    </row>
    <row r="87" spans="1:10" x14ac:dyDescent="0.3">
      <c r="A87" s="45" t="s">
        <v>138</v>
      </c>
      <c r="B87" s="147" t="s">
        <v>123</v>
      </c>
      <c r="C87" s="148">
        <f>E5*'Jul''15 Origin'!E67/100*1.1</f>
        <v>167.20000000000002</v>
      </c>
      <c r="D87" s="147" t="s">
        <v>123</v>
      </c>
      <c r="E87" s="147" t="s">
        <v>123</v>
      </c>
      <c r="F87" s="147" t="s">
        <v>123</v>
      </c>
      <c r="G87" s="147" t="s">
        <v>123</v>
      </c>
      <c r="H87" s="147" t="s">
        <v>123</v>
      </c>
      <c r="I87" s="147" t="s">
        <v>123</v>
      </c>
    </row>
    <row r="88" spans="1:10" x14ac:dyDescent="0.3">
      <c r="A88" s="35" t="s">
        <v>139</v>
      </c>
      <c r="B88" s="147" t="s">
        <v>123</v>
      </c>
      <c r="C88" s="148">
        <f>'Jul''15 Origin'!E68*60/100*1.1</f>
        <v>43.804200000000009</v>
      </c>
      <c r="D88" s="147" t="s">
        <v>123</v>
      </c>
      <c r="E88" s="147" t="s">
        <v>123</v>
      </c>
      <c r="F88" s="147" t="s">
        <v>123</v>
      </c>
      <c r="G88" s="147" t="s">
        <v>123</v>
      </c>
      <c r="H88" s="147" t="s">
        <v>123</v>
      </c>
      <c r="I88" s="147" t="s">
        <v>123</v>
      </c>
    </row>
    <row r="89" spans="1:10" x14ac:dyDescent="0.3">
      <c r="A89" s="35" t="s">
        <v>140</v>
      </c>
      <c r="B89" s="147" t="s">
        <v>123</v>
      </c>
      <c r="C89" s="148">
        <f>SUM(C87:C88)</f>
        <v>211.00420000000003</v>
      </c>
      <c r="D89" s="147" t="s">
        <v>123</v>
      </c>
      <c r="E89" s="147" t="s">
        <v>123</v>
      </c>
      <c r="F89" s="147" t="s">
        <v>123</v>
      </c>
      <c r="G89" s="147" t="s">
        <v>123</v>
      </c>
      <c r="H89" s="147" t="s">
        <v>123</v>
      </c>
      <c r="I89" s="147" t="s">
        <v>123</v>
      </c>
    </row>
    <row r="90" spans="1:10" x14ac:dyDescent="0.3">
      <c r="A90" s="46" t="s">
        <v>68</v>
      </c>
      <c r="B90" s="161"/>
      <c r="C90" s="161">
        <f>C89*6</f>
        <v>1266.0252</v>
      </c>
      <c r="D90" s="161"/>
      <c r="E90" s="161"/>
      <c r="F90" s="161"/>
      <c r="G90" s="161"/>
      <c r="H90" s="161"/>
      <c r="I90" s="161"/>
    </row>
    <row r="92" spans="1:10" x14ac:dyDescent="0.3">
      <c r="A92" s="76"/>
      <c r="B92" s="76"/>
      <c r="C92" s="76"/>
      <c r="D92" s="76"/>
      <c r="E92" s="76"/>
      <c r="F92" s="76"/>
      <c r="G92" s="76"/>
      <c r="H92" s="76"/>
      <c r="I92" s="76"/>
      <c r="J92" s="76"/>
    </row>
    <row r="93" spans="1:10" x14ac:dyDescent="0.3">
      <c r="A93" s="43" t="s">
        <v>171</v>
      </c>
      <c r="B93" s="19" t="s">
        <v>204</v>
      </c>
      <c r="C93" s="19" t="s">
        <v>169</v>
      </c>
      <c r="D93" s="19" t="s">
        <v>124</v>
      </c>
      <c r="E93" s="19" t="s">
        <v>307</v>
      </c>
      <c r="F93" s="19" t="s">
        <v>98</v>
      </c>
      <c r="G93" s="19" t="s">
        <v>101</v>
      </c>
      <c r="H93" s="19" t="s">
        <v>44</v>
      </c>
      <c r="I93" s="19" t="s">
        <v>159</v>
      </c>
    </row>
    <row r="94" spans="1:10" x14ac:dyDescent="0.3">
      <c r="A94" s="45" t="s">
        <v>144</v>
      </c>
      <c r="B94" s="23" t="s">
        <v>104</v>
      </c>
      <c r="C94" s="24" t="s">
        <v>214</v>
      </c>
      <c r="D94" s="24" t="s">
        <v>247</v>
      </c>
      <c r="E94" s="24" t="s">
        <v>214</v>
      </c>
      <c r="F94" s="51" t="s">
        <v>99</v>
      </c>
      <c r="G94" s="26" t="s">
        <v>22</v>
      </c>
      <c r="H94" s="26" t="s">
        <v>22</v>
      </c>
      <c r="I94" s="51" t="s">
        <v>18</v>
      </c>
    </row>
    <row r="95" spans="1:10" x14ac:dyDescent="0.3">
      <c r="A95" s="44" t="s">
        <v>174</v>
      </c>
      <c r="B95" s="24" t="s">
        <v>176</v>
      </c>
      <c r="C95" s="24" t="s">
        <v>176</v>
      </c>
      <c r="D95" s="24" t="s">
        <v>176</v>
      </c>
      <c r="E95" s="24" t="s">
        <v>126</v>
      </c>
      <c r="F95" s="24" t="s">
        <v>126</v>
      </c>
      <c r="G95" s="51" t="s">
        <v>23</v>
      </c>
      <c r="H95" s="26" t="s">
        <v>22</v>
      </c>
      <c r="I95" s="51" t="s">
        <v>19</v>
      </c>
    </row>
    <row r="96" spans="1:10" x14ac:dyDescent="0.3">
      <c r="A96" s="35" t="s">
        <v>394</v>
      </c>
      <c r="B96" s="25" t="s">
        <v>247</v>
      </c>
      <c r="C96" s="25" t="s">
        <v>214</v>
      </c>
      <c r="D96" s="25" t="s">
        <v>247</v>
      </c>
      <c r="E96" s="25">
        <v>75</v>
      </c>
      <c r="F96" s="25">
        <v>20</v>
      </c>
      <c r="G96" s="25" t="s">
        <v>24</v>
      </c>
      <c r="H96" s="26" t="s">
        <v>22</v>
      </c>
      <c r="I96" s="51" t="s">
        <v>20</v>
      </c>
    </row>
    <row r="97" spans="1:14" x14ac:dyDescent="0.3">
      <c r="A97" s="35" t="s">
        <v>177</v>
      </c>
      <c r="B97" s="26" t="s">
        <v>103</v>
      </c>
      <c r="C97" s="26" t="s">
        <v>17</v>
      </c>
      <c r="D97" s="24" t="s">
        <v>105</v>
      </c>
      <c r="E97" s="51" t="s">
        <v>100</v>
      </c>
      <c r="F97" s="51" t="s">
        <v>100</v>
      </c>
      <c r="G97" s="51" t="s">
        <v>25</v>
      </c>
      <c r="H97" s="51" t="s">
        <v>45</v>
      </c>
      <c r="I97" s="51" t="s">
        <v>214</v>
      </c>
    </row>
    <row r="98" spans="1:14" x14ac:dyDescent="0.3">
      <c r="A98" s="35" t="s">
        <v>379</v>
      </c>
      <c r="B98" s="27">
        <v>11.93</v>
      </c>
      <c r="C98" s="25">
        <v>12</v>
      </c>
      <c r="D98" s="25">
        <v>12</v>
      </c>
      <c r="E98" s="25" t="s">
        <v>214</v>
      </c>
      <c r="F98" s="25" t="s">
        <v>214</v>
      </c>
      <c r="G98" s="26" t="s">
        <v>26</v>
      </c>
      <c r="H98" s="25" t="s">
        <v>214</v>
      </c>
      <c r="I98" s="27">
        <v>13.95</v>
      </c>
    </row>
    <row r="99" spans="1:14" x14ac:dyDescent="0.3">
      <c r="A99" s="44" t="s">
        <v>328</v>
      </c>
      <c r="B99" s="25" t="s">
        <v>325</v>
      </c>
      <c r="C99" s="25" t="s">
        <v>182</v>
      </c>
      <c r="D99" s="51" t="s">
        <v>214</v>
      </c>
      <c r="E99" s="26" t="s">
        <v>214</v>
      </c>
      <c r="F99" s="26" t="s">
        <v>214</v>
      </c>
      <c r="G99" s="51" t="s">
        <v>27</v>
      </c>
      <c r="H99" s="26" t="s">
        <v>214</v>
      </c>
      <c r="I99" s="51" t="s">
        <v>21</v>
      </c>
    </row>
    <row r="100" spans="1:14" x14ac:dyDescent="0.3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</row>
  </sheetData>
  <sheetProtection algorithmName="SHA-512" hashValue="9d88C2IaiMMJ7Ak4UIZNfKfeJbEQXtkR6d6QCWlgOW2sRCiwlWqhyR/JpDpqxugIWTEjedcEEEq6EneYMxbJ5g==" saltValue="IRS4WgDg5qTlT/Vl7MBvNA==" spinCount="100000" sheet="1" objects="1" scenarios="1"/>
  <phoneticPr fontId="11" type="noConversion"/>
  <pageMargins left="0.75" right="0.75" top="1" bottom="1" header="0.5" footer="0.5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6C06AEFE68DA44B3582731E93C0ECA" ma:contentTypeVersion="15" ma:contentTypeDescription="Create a new document." ma:contentTypeScope="" ma:versionID="30ca38b1eff923f3368842b7c3ec4c70">
  <xsd:schema xmlns:xsd="http://www.w3.org/2001/XMLSchema" xmlns:xs="http://www.w3.org/2001/XMLSchema" xmlns:p="http://schemas.microsoft.com/office/2006/metadata/properties" xmlns:ns2="e946c23e-31c6-4ae6-bb23-d746b577e357" xmlns:ns3="d52e542d-780a-4ad3-81e5-efaa2ff47712" xmlns:ns4="73d85984-15f2-4ae1-928a-e67d5ef2c9c8" targetNamespace="http://schemas.microsoft.com/office/2006/metadata/properties" ma:root="true" ma:fieldsID="7d015c40a05cddf47453fe44a3ce9b64" ns2:_="" ns3:_="" ns4:_="">
    <xsd:import namespace="e946c23e-31c6-4ae6-bb23-d746b577e357"/>
    <xsd:import namespace="d52e542d-780a-4ad3-81e5-efaa2ff47712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46c23e-31c6-4ae6-bb23-d746b577e3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2e542d-780a-4ad3-81e5-efaa2ff4771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586c982e-a356-4c35-8f67-e15c6e843ba3}" ma:internalName="TaxCatchAll" ma:showField="CatchAllData" ma:web="d52e542d-780a-4ad3-81e5-efaa2ff477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E5D4D5-669D-4108-80DA-13CC49D2B0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230E6F-DBFB-401A-9E45-65F2556462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46c23e-31c6-4ae6-bb23-d746b577e357"/>
    <ds:schemaRef ds:uri="d52e542d-780a-4ad3-81e5-efaa2ff47712"/>
    <ds:schemaRef ds:uri="73d85984-15f2-4ae1-928a-e67d5ef2c9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</vt:i4>
      </vt:variant>
    </vt:vector>
  </HeadingPairs>
  <TitlesOfParts>
    <vt:vector size="39" baseType="lpstr">
      <vt:lpstr>Summary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Jul'12</vt:lpstr>
      <vt:lpstr>Bills Jul'11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Jul'15 AGL</vt:lpstr>
      <vt:lpstr>Jul'15 Actew</vt:lpstr>
      <vt:lpstr>Jul'15 Origin</vt:lpstr>
      <vt:lpstr>Jul'14 AGL</vt:lpstr>
      <vt:lpstr>Jul'14 Actew</vt:lpstr>
      <vt:lpstr>Jul'14 Origin</vt:lpstr>
      <vt:lpstr>Jul'13 AGL</vt:lpstr>
      <vt:lpstr>Jul'13 Actew</vt:lpstr>
      <vt:lpstr>Jul'13 Origin</vt:lpstr>
      <vt:lpstr>Jul'12 AGL</vt:lpstr>
      <vt:lpstr>Jul'12 Actew</vt:lpstr>
      <vt:lpstr>Jul'12 Origin</vt:lpstr>
      <vt:lpstr>Jul'11 AGL</vt:lpstr>
      <vt:lpstr>Jul'11 Country</vt:lpstr>
      <vt:lpstr>Jul'11 Actew</vt:lpstr>
      <vt:lpstr>Jul'11 Origin</vt:lpstr>
      <vt:lpstr>'Bills Jul''20'!_GoBack</vt:lpstr>
      <vt:lpstr>'Bills Jul''21'!_GoBack</vt:lpstr>
      <vt:lpstr>'Bills Jul''22'!_GoBack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Kathy Jiang</cp:lastModifiedBy>
  <dcterms:created xsi:type="dcterms:W3CDTF">2011-07-19T04:42:39Z</dcterms:created>
  <dcterms:modified xsi:type="dcterms:W3CDTF">2022-11-03T00:35:08Z</dcterms:modified>
</cp:coreProperties>
</file>