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9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SA/SA Workbooks/Locked workbooks/"/>
    </mc:Choice>
  </mc:AlternateContent>
  <xr:revisionPtr revIDLastSave="0" documentId="13_ncr:1_{558EC31E-9E9B-8E4C-945B-51CA02ED989D}" xr6:coauthVersionLast="47" xr6:coauthVersionMax="47" xr10:uidLastSave="{00000000-0000-0000-0000-000000000000}"/>
  <workbookProtection workbookAlgorithmName="SHA-512" workbookHashValue="cv3Z5l5Z3kX8qleqyKQ0O+w2KtuGfku3dL5qBpsSsKbCwbNvxg8kXXKuJSlrGXSpwSKhJKQqbdpJB3E4lHJJdg==" workbookSaltValue="rDb6lZmfymbhWNVeH4M6MQ==" workbookSpinCount="100000" lockStructure="1"/>
  <bookViews>
    <workbookView xWindow="2260" yWindow="1620" windowWidth="38400" windowHeight="20840" tabRatio="500" activeTab="1" xr2:uid="{00000000-000D-0000-FFFF-FFFF00000000}"/>
  </bookViews>
  <sheets>
    <sheet name="Summary" sheetId="1" r:id="rId1"/>
    <sheet name="Bills Jul'23" sheetId="31" r:id="rId2"/>
    <sheet name="Bills Jul'22" sheetId="29" r:id="rId3"/>
    <sheet name="Bills Jul'21" sheetId="27" r:id="rId4"/>
    <sheet name="Bills Jul'20" sheetId="25" r:id="rId5"/>
    <sheet name="Bills Jul'19" sheetId="23" r:id="rId6"/>
    <sheet name="Bills Jul'18" sheetId="21" r:id="rId7"/>
    <sheet name="Bills Jul'17" sheetId="19" r:id="rId8"/>
    <sheet name="Bills Jul'16" sheetId="16" r:id="rId9"/>
    <sheet name="Bills Jul'15" sheetId="14" r:id="rId10"/>
    <sheet name="Bills Jul'14" sheetId="12" r:id="rId11"/>
    <sheet name="Bills Jul'13" sheetId="10" r:id="rId12"/>
    <sheet name="Bills Jul'12" sheetId="2" r:id="rId13"/>
    <sheet name="Bills Jul'11" sheetId="3" r:id="rId14"/>
    <sheet name="Bills Jul'10" sheetId="4" r:id="rId15"/>
    <sheet name="Bills Jul'09" sheetId="5" r:id="rId16"/>
    <sheet name="Tariffs 2023" sheetId="30" state="hidden" r:id="rId17"/>
    <sheet name="Tariffs 2022" sheetId="28" state="hidden" r:id="rId18"/>
    <sheet name="Tariffs 2021" sheetId="26" state="hidden" r:id="rId19"/>
    <sheet name="Tariffs 2020" sheetId="24" state="hidden" r:id="rId20"/>
    <sheet name="Tariffs 2019" sheetId="22" state="hidden" r:id="rId21"/>
    <sheet name="Tariffs 2018" sheetId="20" state="hidden" r:id="rId22"/>
    <sheet name="Tariffs 2017" sheetId="18" state="hidden" r:id="rId23"/>
    <sheet name="Tariffs 2016" sheetId="17" state="hidden" r:id="rId24"/>
    <sheet name="Tariffs Jul'15" sheetId="15" state="hidden" r:id="rId25"/>
    <sheet name="Tariffs Jul'14" sheetId="13" state="hidden" r:id="rId26"/>
    <sheet name="Tariffs Jul'13" sheetId="11" state="hidden" r:id="rId27"/>
    <sheet name="Tariffs Jul'12" sheetId="6" state="hidden" r:id="rId28"/>
    <sheet name="Tariffs Jul'11" sheetId="7" state="hidden" r:id="rId29"/>
    <sheet name="Tariffs Jul'10" sheetId="8" state="hidden" r:id="rId30"/>
    <sheet name="Tariffs Jul'09" sheetId="9" state="hidden" r:id="rId3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0" i="31" l="1"/>
  <c r="G23" i="31" l="1"/>
  <c r="E23" i="31"/>
  <c r="D23" i="31"/>
  <c r="C23" i="31"/>
  <c r="B23" i="31"/>
  <c r="A23" i="31"/>
  <c r="G21" i="31"/>
  <c r="E21" i="31"/>
  <c r="D21" i="31"/>
  <c r="C21" i="31"/>
  <c r="B21" i="31"/>
  <c r="A21" i="31"/>
  <c r="G19" i="31"/>
  <c r="E19" i="31"/>
  <c r="D19" i="31"/>
  <c r="C19" i="31"/>
  <c r="B19" i="31"/>
  <c r="A19" i="31"/>
  <c r="G17" i="31"/>
  <c r="E17" i="31"/>
  <c r="D17" i="31"/>
  <c r="C17" i="31"/>
  <c r="B17" i="31"/>
  <c r="A17" i="31"/>
  <c r="G15" i="31"/>
  <c r="E15" i="31"/>
  <c r="D15" i="31"/>
  <c r="C15" i="31"/>
  <c r="B15" i="31"/>
  <c r="A15" i="31"/>
  <c r="G14" i="31"/>
  <c r="E14" i="31"/>
  <c r="D14" i="31"/>
  <c r="C14" i="31"/>
  <c r="B14" i="31"/>
  <c r="A14" i="31"/>
  <c r="G13" i="31"/>
  <c r="E13" i="31"/>
  <c r="D13" i="31"/>
  <c r="C13" i="31"/>
  <c r="B13" i="31"/>
  <c r="A13" i="31"/>
  <c r="G12" i="31"/>
  <c r="F12" i="31"/>
  <c r="E12" i="31"/>
  <c r="D12" i="31"/>
  <c r="H12" i="31" s="1"/>
  <c r="I12" i="31" s="1"/>
  <c r="J12" i="31" s="1"/>
  <c r="C12" i="31"/>
  <c r="B12" i="31"/>
  <c r="A12" i="31"/>
  <c r="G11" i="31"/>
  <c r="E11" i="31"/>
  <c r="D11" i="31"/>
  <c r="C11" i="31"/>
  <c r="B11" i="31"/>
  <c r="A11" i="31"/>
  <c r="G10" i="31"/>
  <c r="H10" i="31" s="1"/>
  <c r="I10" i="31" s="1"/>
  <c r="F10" i="31"/>
  <c r="E10" i="31"/>
  <c r="D10" i="31"/>
  <c r="C10" i="31"/>
  <c r="B10" i="31"/>
  <c r="A10" i="31"/>
  <c r="G9" i="31"/>
  <c r="E9" i="31"/>
  <c r="D9" i="31"/>
  <c r="C9" i="31"/>
  <c r="B9" i="31"/>
  <c r="A9" i="31"/>
  <c r="G8" i="31"/>
  <c r="E8" i="31"/>
  <c r="D8" i="31"/>
  <c r="C8" i="31"/>
  <c r="B8" i="31"/>
  <c r="A8" i="31"/>
  <c r="H23" i="31"/>
  <c r="I23" i="31" s="1"/>
  <c r="J23" i="31" s="1"/>
  <c r="H15" i="31"/>
  <c r="I15" i="31" s="1"/>
  <c r="J15" i="31" s="1"/>
  <c r="H11" i="31"/>
  <c r="I11" i="31" s="1"/>
  <c r="J11" i="31" s="1"/>
  <c r="H8" i="31"/>
  <c r="I8" i="31" s="1"/>
  <c r="J8" i="31" s="1"/>
  <c r="G23" i="29"/>
  <c r="E23" i="29"/>
  <c r="H23" i="29" s="1"/>
  <c r="I23" i="29" s="1"/>
  <c r="J23" i="29" s="1"/>
  <c r="D23" i="29"/>
  <c r="C23" i="29"/>
  <c r="B23" i="29"/>
  <c r="A23" i="29"/>
  <c r="G21" i="29"/>
  <c r="H21" i="29" s="1"/>
  <c r="I21" i="29" s="1"/>
  <c r="J21" i="29" s="1"/>
  <c r="E21" i="29"/>
  <c r="D21" i="29"/>
  <c r="C21" i="29"/>
  <c r="B21" i="29"/>
  <c r="A21" i="29"/>
  <c r="G19" i="29"/>
  <c r="E19" i="29"/>
  <c r="H19" i="29" s="1"/>
  <c r="I19" i="29" s="1"/>
  <c r="J19" i="29" s="1"/>
  <c r="D19" i="29"/>
  <c r="C19" i="29"/>
  <c r="B19" i="29"/>
  <c r="A19" i="29"/>
  <c r="G17" i="29"/>
  <c r="E17" i="29"/>
  <c r="D17" i="29"/>
  <c r="H17" i="29"/>
  <c r="I17" i="29"/>
  <c r="J17" i="29" s="1"/>
  <c r="C17" i="29"/>
  <c r="B17" i="29"/>
  <c r="A17" i="29"/>
  <c r="G15" i="29"/>
  <c r="E15" i="29"/>
  <c r="H15" i="29" s="1"/>
  <c r="I15" i="29" s="1"/>
  <c r="J15" i="29" s="1"/>
  <c r="D15" i="29"/>
  <c r="C15" i="29"/>
  <c r="B15" i="29"/>
  <c r="A15" i="29"/>
  <c r="G14" i="29"/>
  <c r="E14" i="29"/>
  <c r="H14" i="29"/>
  <c r="I14" i="29"/>
  <c r="J14" i="29"/>
  <c r="D14" i="29"/>
  <c r="C14" i="29"/>
  <c r="B14" i="29"/>
  <c r="A14" i="29"/>
  <c r="G13" i="29"/>
  <c r="E13" i="29"/>
  <c r="D13" i="29"/>
  <c r="C13" i="29"/>
  <c r="B13" i="29"/>
  <c r="A13" i="29"/>
  <c r="G12" i="29"/>
  <c r="F12" i="29"/>
  <c r="E12" i="29"/>
  <c r="D12" i="29"/>
  <c r="C12" i="29"/>
  <c r="B12" i="29"/>
  <c r="A12" i="29"/>
  <c r="G11" i="29"/>
  <c r="E11" i="29"/>
  <c r="D11" i="29"/>
  <c r="H11" i="29"/>
  <c r="I11" i="29"/>
  <c r="J11" i="29"/>
  <c r="C11" i="29"/>
  <c r="B11" i="29"/>
  <c r="A11" i="29"/>
  <c r="G10" i="29"/>
  <c r="E10" i="29"/>
  <c r="F10" i="29"/>
  <c r="H10" i="29"/>
  <c r="I10" i="29"/>
  <c r="J10" i="29"/>
  <c r="D10" i="29"/>
  <c r="C10" i="29"/>
  <c r="B10" i="29"/>
  <c r="A10" i="29"/>
  <c r="G9" i="29"/>
  <c r="E9" i="29"/>
  <c r="H9" i="29"/>
  <c r="I9" i="29"/>
  <c r="J9" i="29"/>
  <c r="D9" i="29"/>
  <c r="C9" i="29"/>
  <c r="B9" i="29"/>
  <c r="A9" i="29"/>
  <c r="G8" i="29"/>
  <c r="E8" i="29"/>
  <c r="H8" i="29" s="1"/>
  <c r="I8" i="29" s="1"/>
  <c r="J8" i="29" s="1"/>
  <c r="D8" i="29"/>
  <c r="C8" i="29"/>
  <c r="B8" i="29"/>
  <c r="A8" i="29"/>
  <c r="J15" i="27"/>
  <c r="C15" i="27"/>
  <c r="D15" i="27"/>
  <c r="H15" i="27"/>
  <c r="I15" i="27"/>
  <c r="E15" i="27"/>
  <c r="G15" i="27"/>
  <c r="B15" i="27"/>
  <c r="A15" i="27"/>
  <c r="H12" i="29"/>
  <c r="I12" i="29"/>
  <c r="J12" i="29" s="1"/>
  <c r="H13" i="29"/>
  <c r="I13" i="29" s="1"/>
  <c r="J13" i="29" s="1"/>
  <c r="A8" i="27"/>
  <c r="G23" i="27"/>
  <c r="G21" i="27"/>
  <c r="G19" i="27"/>
  <c r="G17" i="27"/>
  <c r="G14" i="27"/>
  <c r="G13" i="27"/>
  <c r="G12" i="27"/>
  <c r="G11" i="27"/>
  <c r="G10" i="27"/>
  <c r="G9" i="27"/>
  <c r="G8" i="27"/>
  <c r="F12" i="27"/>
  <c r="F10" i="27"/>
  <c r="E23" i="27"/>
  <c r="E21" i="27"/>
  <c r="E19" i="27"/>
  <c r="E17" i="27"/>
  <c r="E14" i="27"/>
  <c r="E13" i="27"/>
  <c r="E12" i="27"/>
  <c r="E11" i="27"/>
  <c r="E10" i="27"/>
  <c r="E9" i="27"/>
  <c r="E8" i="27"/>
  <c r="D23" i="27"/>
  <c r="D21" i="27"/>
  <c r="D19" i="27"/>
  <c r="D17" i="27"/>
  <c r="D14" i="27"/>
  <c r="D13" i="27"/>
  <c r="D12" i="27"/>
  <c r="H12" i="27"/>
  <c r="I12" i="27"/>
  <c r="J12" i="27"/>
  <c r="D11" i="27"/>
  <c r="D10" i="27"/>
  <c r="D9" i="27"/>
  <c r="D8" i="27"/>
  <c r="C23" i="27"/>
  <c r="C21" i="27"/>
  <c r="C19" i="27"/>
  <c r="C17" i="27"/>
  <c r="C14" i="27"/>
  <c r="C13" i="27"/>
  <c r="C12" i="27"/>
  <c r="C11" i="27"/>
  <c r="C10" i="27"/>
  <c r="C9" i="27"/>
  <c r="C8" i="27"/>
  <c r="B23" i="27"/>
  <c r="B21" i="27"/>
  <c r="B19" i="27"/>
  <c r="B17" i="27"/>
  <c r="B14" i="27"/>
  <c r="B13" i="27"/>
  <c r="B12" i="27"/>
  <c r="B11" i="27"/>
  <c r="B10" i="27"/>
  <c r="B9" i="27"/>
  <c r="B8" i="27"/>
  <c r="A23" i="27"/>
  <c r="A21" i="27"/>
  <c r="A19" i="27"/>
  <c r="A17" i="27"/>
  <c r="A14" i="27"/>
  <c r="A13" i="27"/>
  <c r="A12" i="27"/>
  <c r="A11" i="27"/>
  <c r="A10" i="27"/>
  <c r="A9" i="27"/>
  <c r="A8" i="23"/>
  <c r="H8" i="27"/>
  <c r="I8" i="27"/>
  <c r="J8" i="27"/>
  <c r="H10" i="27"/>
  <c r="I10" i="27"/>
  <c r="J10" i="27"/>
  <c r="H17" i="27"/>
  <c r="I17" i="27"/>
  <c r="J17" i="27"/>
  <c r="H21" i="27"/>
  <c r="I21" i="27"/>
  <c r="J21" i="27"/>
  <c r="H13" i="27"/>
  <c r="I13" i="27"/>
  <c r="J13" i="27"/>
  <c r="H19" i="27"/>
  <c r="I19" i="27"/>
  <c r="J19" i="27"/>
  <c r="H23" i="27"/>
  <c r="I23" i="27"/>
  <c r="J23" i="27"/>
  <c r="H14" i="27"/>
  <c r="I14" i="27"/>
  <c r="J14" i="27"/>
  <c r="H9" i="27"/>
  <c r="I9" i="27"/>
  <c r="J9" i="27"/>
  <c r="H11" i="27"/>
  <c r="I11" i="27"/>
  <c r="J11" i="27"/>
  <c r="E15" i="25"/>
  <c r="E14" i="25"/>
  <c r="E12" i="25"/>
  <c r="F12" i="25"/>
  <c r="D12" i="25"/>
  <c r="G15" i="25"/>
  <c r="D15" i="25"/>
  <c r="C15" i="25"/>
  <c r="B15" i="25"/>
  <c r="A15" i="25"/>
  <c r="H15" i="25"/>
  <c r="I15" i="25"/>
  <c r="J15" i="25"/>
  <c r="G23" i="25"/>
  <c r="E23" i="25"/>
  <c r="D23" i="25"/>
  <c r="C23" i="25"/>
  <c r="B23" i="25"/>
  <c r="A23" i="25"/>
  <c r="G21" i="25"/>
  <c r="E21" i="25"/>
  <c r="H21" i="25"/>
  <c r="I21" i="25"/>
  <c r="J21" i="25"/>
  <c r="D21" i="25"/>
  <c r="C21" i="25"/>
  <c r="B21" i="25"/>
  <c r="A21" i="25"/>
  <c r="G19" i="25"/>
  <c r="E19" i="25"/>
  <c r="D19" i="25"/>
  <c r="C19" i="25"/>
  <c r="B19" i="25"/>
  <c r="A19" i="25"/>
  <c r="G17" i="25"/>
  <c r="E17" i="25"/>
  <c r="H17" i="25"/>
  <c r="I17" i="25"/>
  <c r="J17" i="25"/>
  <c r="D17" i="25"/>
  <c r="C17" i="25"/>
  <c r="B17" i="25"/>
  <c r="A17" i="25"/>
  <c r="G14" i="25"/>
  <c r="D14" i="25"/>
  <c r="C14" i="25"/>
  <c r="B14" i="25"/>
  <c r="A14" i="25"/>
  <c r="G13" i="25"/>
  <c r="E13" i="25"/>
  <c r="D13" i="25"/>
  <c r="C13" i="25"/>
  <c r="B13" i="25"/>
  <c r="A13" i="25"/>
  <c r="G12" i="25"/>
  <c r="C12" i="25"/>
  <c r="B12" i="25"/>
  <c r="A12" i="25"/>
  <c r="G11" i="25"/>
  <c r="E11" i="25"/>
  <c r="D11" i="25"/>
  <c r="C11" i="25"/>
  <c r="B11" i="25"/>
  <c r="A11" i="25"/>
  <c r="G10" i="25"/>
  <c r="F10" i="25"/>
  <c r="E10" i="25"/>
  <c r="D10" i="25"/>
  <c r="C10" i="25"/>
  <c r="B10" i="25"/>
  <c r="A10" i="25"/>
  <c r="G9" i="25"/>
  <c r="E9" i="25"/>
  <c r="D9" i="25"/>
  <c r="C9" i="25"/>
  <c r="B9" i="25"/>
  <c r="A9" i="25"/>
  <c r="G8" i="25"/>
  <c r="E8" i="25"/>
  <c r="D8" i="25"/>
  <c r="C8" i="25"/>
  <c r="B8" i="25"/>
  <c r="A8" i="25"/>
  <c r="H19" i="25"/>
  <c r="I19" i="25"/>
  <c r="J19" i="25"/>
  <c r="H23" i="25"/>
  <c r="I23" i="25"/>
  <c r="J23" i="25"/>
  <c r="H11" i="25"/>
  <c r="I11" i="25"/>
  <c r="J11" i="25"/>
  <c r="H14" i="25"/>
  <c r="I14" i="25"/>
  <c r="J14" i="25"/>
  <c r="H8" i="25"/>
  <c r="I8" i="25"/>
  <c r="J8" i="25"/>
  <c r="H10" i="25"/>
  <c r="I10" i="25"/>
  <c r="J10" i="25"/>
  <c r="H12" i="25"/>
  <c r="I12" i="25"/>
  <c r="J12" i="25"/>
  <c r="H13" i="25"/>
  <c r="I13" i="25"/>
  <c r="J13" i="25"/>
  <c r="H9" i="25"/>
  <c r="I9" i="25"/>
  <c r="J9" i="25"/>
  <c r="C14" i="23"/>
  <c r="D14" i="23"/>
  <c r="E14" i="23"/>
  <c r="H14" i="23"/>
  <c r="I14" i="23"/>
  <c r="J14" i="23"/>
  <c r="G14" i="23"/>
  <c r="A14" i="23"/>
  <c r="B14" i="23"/>
  <c r="G22" i="23"/>
  <c r="E22" i="23"/>
  <c r="D22" i="23"/>
  <c r="C22" i="23"/>
  <c r="B22" i="23"/>
  <c r="A22" i="23"/>
  <c r="G20" i="23"/>
  <c r="E20" i="23"/>
  <c r="D20" i="23"/>
  <c r="C20" i="23"/>
  <c r="B20" i="23"/>
  <c r="A20" i="23"/>
  <c r="G18" i="23"/>
  <c r="E18" i="23"/>
  <c r="D18" i="23"/>
  <c r="C18" i="23"/>
  <c r="B18" i="23"/>
  <c r="A18" i="23"/>
  <c r="G16" i="23"/>
  <c r="E16" i="23"/>
  <c r="D16" i="23"/>
  <c r="C16" i="23"/>
  <c r="B16" i="23"/>
  <c r="A16" i="23"/>
  <c r="G13" i="23"/>
  <c r="E13" i="23"/>
  <c r="D13" i="23"/>
  <c r="C13" i="23"/>
  <c r="B13" i="23"/>
  <c r="A13" i="23"/>
  <c r="G12" i="23"/>
  <c r="F12" i="23"/>
  <c r="E12" i="23"/>
  <c r="D12" i="23"/>
  <c r="C12" i="23"/>
  <c r="B12" i="23"/>
  <c r="A12" i="23"/>
  <c r="G11" i="23"/>
  <c r="E11" i="23"/>
  <c r="D11" i="23"/>
  <c r="C11" i="23"/>
  <c r="B11" i="23"/>
  <c r="A11" i="23"/>
  <c r="G10" i="23"/>
  <c r="F10" i="23"/>
  <c r="E10" i="23"/>
  <c r="D10" i="23"/>
  <c r="C10" i="23"/>
  <c r="B10" i="23"/>
  <c r="A10" i="23"/>
  <c r="G9" i="23"/>
  <c r="E9" i="23"/>
  <c r="D9" i="23"/>
  <c r="C9" i="23"/>
  <c r="B9" i="23"/>
  <c r="A9" i="23"/>
  <c r="G8" i="23"/>
  <c r="E8" i="23"/>
  <c r="D8" i="23"/>
  <c r="C8" i="23"/>
  <c r="B8" i="23"/>
  <c r="H22" i="23"/>
  <c r="I22" i="23"/>
  <c r="J22" i="23"/>
  <c r="H8" i="23"/>
  <c r="I8" i="23"/>
  <c r="J8" i="23"/>
  <c r="H13" i="23"/>
  <c r="I13" i="23"/>
  <c r="J13" i="23"/>
  <c r="H20" i="23"/>
  <c r="I20" i="23"/>
  <c r="J20" i="23"/>
  <c r="H18" i="23"/>
  <c r="I18" i="23"/>
  <c r="J18" i="23"/>
  <c r="H9" i="23"/>
  <c r="I9" i="23"/>
  <c r="J9" i="23"/>
  <c r="H11" i="23"/>
  <c r="I11" i="23"/>
  <c r="J11" i="23"/>
  <c r="H12" i="23"/>
  <c r="I12" i="23"/>
  <c r="J12" i="23"/>
  <c r="H16" i="23"/>
  <c r="I16" i="23"/>
  <c r="J16" i="23"/>
  <c r="H10" i="23"/>
  <c r="I10" i="23"/>
  <c r="J10" i="23"/>
  <c r="G8" i="21"/>
  <c r="E8" i="21"/>
  <c r="G21" i="21"/>
  <c r="E21" i="21"/>
  <c r="D21" i="21"/>
  <c r="C21" i="21"/>
  <c r="B21" i="21"/>
  <c r="A21" i="21"/>
  <c r="G19" i="21"/>
  <c r="E19" i="21"/>
  <c r="D19" i="21"/>
  <c r="C19" i="21"/>
  <c r="B19" i="21"/>
  <c r="A19" i="21"/>
  <c r="G17" i="21"/>
  <c r="E17" i="21"/>
  <c r="D17" i="21"/>
  <c r="C17" i="21"/>
  <c r="B17" i="21"/>
  <c r="A17" i="21"/>
  <c r="G15" i="21"/>
  <c r="E15" i="21"/>
  <c r="D15" i="21"/>
  <c r="C15" i="21"/>
  <c r="B15" i="21"/>
  <c r="A15" i="21"/>
  <c r="G13" i="21"/>
  <c r="E13" i="21"/>
  <c r="D13" i="21"/>
  <c r="C13" i="21"/>
  <c r="B13" i="21"/>
  <c r="A13" i="21"/>
  <c r="G12" i="21"/>
  <c r="F12" i="21"/>
  <c r="E12" i="21"/>
  <c r="D12" i="21"/>
  <c r="C12" i="21"/>
  <c r="B12" i="21"/>
  <c r="A12" i="21"/>
  <c r="G11" i="21"/>
  <c r="E11" i="21"/>
  <c r="D11" i="21"/>
  <c r="C11" i="21"/>
  <c r="B11" i="21"/>
  <c r="A11" i="21"/>
  <c r="G10" i="21"/>
  <c r="F10" i="21"/>
  <c r="E10" i="21"/>
  <c r="D10" i="21"/>
  <c r="C10" i="21"/>
  <c r="B10" i="21"/>
  <c r="A10" i="21"/>
  <c r="G9" i="21"/>
  <c r="E9" i="21"/>
  <c r="D9" i="21"/>
  <c r="C9" i="21"/>
  <c r="B9" i="21"/>
  <c r="A9" i="21"/>
  <c r="D8" i="21"/>
  <c r="H8" i="21"/>
  <c r="I8" i="21"/>
  <c r="J8" i="21"/>
  <c r="C8" i="21"/>
  <c r="B8" i="21"/>
  <c r="A8" i="21"/>
  <c r="H19" i="21"/>
  <c r="I19" i="21"/>
  <c r="J19" i="21"/>
  <c r="H15" i="21"/>
  <c r="I15" i="21"/>
  <c r="J15" i="21"/>
  <c r="H11" i="21"/>
  <c r="I11" i="21"/>
  <c r="J11" i="21"/>
  <c r="H17" i="21"/>
  <c r="I17" i="21"/>
  <c r="J17" i="21"/>
  <c r="H13" i="21"/>
  <c r="I13" i="21"/>
  <c r="J13" i="21"/>
  <c r="H21" i="21"/>
  <c r="I21" i="21"/>
  <c r="J21" i="21"/>
  <c r="H9" i="21"/>
  <c r="I9" i="21"/>
  <c r="J9" i="21"/>
  <c r="H10" i="21"/>
  <c r="I10" i="21"/>
  <c r="J10" i="21"/>
  <c r="H12" i="21"/>
  <c r="I12" i="21"/>
  <c r="J12" i="21"/>
  <c r="C10" i="5"/>
  <c r="C11" i="5"/>
  <c r="C12" i="5"/>
  <c r="D10" i="5"/>
  <c r="D11" i="5"/>
  <c r="D12" i="5"/>
  <c r="E10" i="5"/>
  <c r="E11" i="5"/>
  <c r="E12" i="5"/>
  <c r="F10" i="5"/>
  <c r="F11" i="5"/>
  <c r="F12" i="5"/>
  <c r="G10" i="5"/>
  <c r="G11" i="5"/>
  <c r="G12" i="5"/>
  <c r="C10" i="4"/>
  <c r="C11" i="4"/>
  <c r="C12" i="4"/>
  <c r="D10" i="4"/>
  <c r="D11" i="4"/>
  <c r="D12" i="4"/>
  <c r="E10" i="4"/>
  <c r="E11" i="4"/>
  <c r="E12" i="4"/>
  <c r="F10" i="4"/>
  <c r="F11" i="4"/>
  <c r="F12" i="4"/>
  <c r="G10" i="4"/>
  <c r="G11" i="4"/>
  <c r="G12" i="4"/>
  <c r="C10" i="3"/>
  <c r="C11" i="3"/>
  <c r="C12" i="3"/>
  <c r="D10" i="3"/>
  <c r="D11" i="3"/>
  <c r="D12" i="3"/>
  <c r="E10" i="3"/>
  <c r="E11" i="3"/>
  <c r="E13" i="3"/>
  <c r="E14" i="3"/>
  <c r="E12" i="3"/>
  <c r="F10" i="3"/>
  <c r="F11" i="3"/>
  <c r="F12" i="3"/>
  <c r="G10" i="3"/>
  <c r="G11" i="3"/>
  <c r="G12" i="3"/>
  <c r="C10" i="2"/>
  <c r="C11" i="2"/>
  <c r="C12" i="2"/>
  <c r="D10" i="2"/>
  <c r="D11" i="2"/>
  <c r="D12" i="2"/>
  <c r="E10" i="2"/>
  <c r="E11" i="2"/>
  <c r="E12" i="2"/>
  <c r="F10" i="2"/>
  <c r="F11" i="2"/>
  <c r="F12" i="2"/>
  <c r="G10" i="2"/>
  <c r="G11" i="2"/>
  <c r="G12" i="2"/>
  <c r="D10" i="10"/>
  <c r="E10" i="10"/>
  <c r="F10" i="10"/>
  <c r="G10" i="10"/>
  <c r="D11" i="10"/>
  <c r="E11" i="10"/>
  <c r="F11" i="10"/>
  <c r="G11" i="10"/>
  <c r="D12" i="10"/>
  <c r="E12" i="10"/>
  <c r="F12" i="10"/>
  <c r="G12" i="10"/>
  <c r="C12" i="10"/>
  <c r="C11" i="10"/>
  <c r="C10" i="10"/>
  <c r="G13" i="10"/>
  <c r="G14" i="10"/>
  <c r="G12" i="12"/>
  <c r="F12" i="12"/>
  <c r="E12" i="12"/>
  <c r="D12" i="12"/>
  <c r="C12" i="12"/>
  <c r="G11" i="12"/>
  <c r="F11" i="12"/>
  <c r="E11" i="12"/>
  <c r="D11" i="12"/>
  <c r="C11" i="12"/>
  <c r="G10" i="12"/>
  <c r="F10" i="12"/>
  <c r="E10" i="12"/>
  <c r="D10" i="12"/>
  <c r="C10" i="12"/>
  <c r="D12" i="14"/>
  <c r="D10" i="14"/>
  <c r="D11" i="14"/>
  <c r="D13" i="14"/>
  <c r="C10" i="14"/>
  <c r="C11" i="14"/>
  <c r="C12" i="14"/>
  <c r="C13" i="14"/>
  <c r="E10" i="14"/>
  <c r="E11" i="14"/>
  <c r="E12" i="14"/>
  <c r="E13" i="14"/>
  <c r="F10" i="14"/>
  <c r="F11" i="14"/>
  <c r="F12" i="14"/>
  <c r="F13" i="14"/>
  <c r="G10" i="14"/>
  <c r="G11" i="14"/>
  <c r="G12" i="14"/>
  <c r="G13" i="14"/>
  <c r="C39" i="14"/>
  <c r="C40" i="14"/>
  <c r="C41" i="14"/>
  <c r="C32" i="14"/>
  <c r="C33" i="14"/>
  <c r="C34" i="14"/>
  <c r="C25" i="14"/>
  <c r="C26" i="14"/>
  <c r="C27" i="14"/>
  <c r="C18" i="14"/>
  <c r="C19" i="14"/>
  <c r="C20" i="14"/>
  <c r="A14" i="16"/>
  <c r="B14" i="16"/>
  <c r="C14" i="16"/>
  <c r="D14" i="16"/>
  <c r="E14" i="16"/>
  <c r="G14" i="16"/>
  <c r="D9" i="16"/>
  <c r="E9" i="16"/>
  <c r="G9" i="16"/>
  <c r="D10" i="16"/>
  <c r="E10" i="16"/>
  <c r="F10" i="16"/>
  <c r="G10" i="16"/>
  <c r="D11" i="16"/>
  <c r="E11" i="16"/>
  <c r="G11" i="16"/>
  <c r="D12" i="16"/>
  <c r="E12" i="16"/>
  <c r="F12" i="16"/>
  <c r="G12" i="16"/>
  <c r="D16" i="16"/>
  <c r="E16" i="16"/>
  <c r="G16" i="16"/>
  <c r="D18" i="16"/>
  <c r="E18" i="16"/>
  <c r="G18" i="16"/>
  <c r="D20" i="16"/>
  <c r="E20" i="16"/>
  <c r="G20" i="16"/>
  <c r="D8" i="16"/>
  <c r="E8" i="16"/>
  <c r="F8" i="16"/>
  <c r="G8" i="16"/>
  <c r="A9" i="16"/>
  <c r="B9" i="16"/>
  <c r="C9" i="16"/>
  <c r="A10" i="16"/>
  <c r="B10" i="16"/>
  <c r="C10" i="16"/>
  <c r="A11" i="16"/>
  <c r="B11" i="16"/>
  <c r="C11" i="16"/>
  <c r="A12" i="16"/>
  <c r="B12" i="16"/>
  <c r="C12" i="16"/>
  <c r="A16" i="16"/>
  <c r="B16" i="16"/>
  <c r="C16" i="16"/>
  <c r="A18" i="16"/>
  <c r="B18" i="16"/>
  <c r="C18" i="16"/>
  <c r="A20" i="16"/>
  <c r="B20" i="16"/>
  <c r="C20" i="16"/>
  <c r="C8" i="16"/>
  <c r="B8" i="16"/>
  <c r="A8" i="16"/>
  <c r="E8" i="19"/>
  <c r="E13" i="19"/>
  <c r="G13" i="19"/>
  <c r="D13" i="19"/>
  <c r="A13" i="19"/>
  <c r="B13" i="19"/>
  <c r="C13" i="19"/>
  <c r="G21" i="19"/>
  <c r="E21" i="19"/>
  <c r="D21" i="19"/>
  <c r="C21" i="19"/>
  <c r="B21" i="19"/>
  <c r="A21" i="19"/>
  <c r="G19" i="19"/>
  <c r="E19" i="19"/>
  <c r="D19" i="19"/>
  <c r="C19" i="19"/>
  <c r="B19" i="19"/>
  <c r="A19" i="19"/>
  <c r="G17" i="19"/>
  <c r="E17" i="19"/>
  <c r="D17" i="19"/>
  <c r="C17" i="19"/>
  <c r="B17" i="19"/>
  <c r="A17" i="19"/>
  <c r="G15" i="19"/>
  <c r="E15" i="19"/>
  <c r="D15" i="19"/>
  <c r="C15" i="19"/>
  <c r="B15" i="19"/>
  <c r="A15" i="19"/>
  <c r="G12" i="19"/>
  <c r="F12" i="19"/>
  <c r="E12" i="19"/>
  <c r="D12" i="19"/>
  <c r="C12" i="19"/>
  <c r="B12" i="19"/>
  <c r="A12" i="19"/>
  <c r="G11" i="19"/>
  <c r="E11" i="19"/>
  <c r="D11" i="19"/>
  <c r="C11" i="19"/>
  <c r="B11" i="19"/>
  <c r="A11" i="19"/>
  <c r="G10" i="19"/>
  <c r="F10" i="19"/>
  <c r="E10" i="19"/>
  <c r="D10" i="19"/>
  <c r="C10" i="19"/>
  <c r="B10" i="19"/>
  <c r="A10" i="19"/>
  <c r="G9" i="19"/>
  <c r="E9" i="19"/>
  <c r="D9" i="19"/>
  <c r="C9" i="19"/>
  <c r="B9" i="19"/>
  <c r="A9" i="19"/>
  <c r="D8" i="19"/>
  <c r="C8" i="19"/>
  <c r="B8" i="19"/>
  <c r="A8" i="19"/>
  <c r="F13" i="2"/>
  <c r="F14" i="2"/>
  <c r="C13" i="2"/>
  <c r="G13" i="3"/>
  <c r="G14" i="3"/>
  <c r="G13" i="4"/>
  <c r="G14" i="4"/>
  <c r="C13" i="10"/>
  <c r="C14" i="10"/>
  <c r="D13" i="4"/>
  <c r="D14" i="4"/>
  <c r="H9" i="19"/>
  <c r="I9" i="19"/>
  <c r="J9" i="19"/>
  <c r="H17" i="19"/>
  <c r="I17" i="19"/>
  <c r="J17" i="19"/>
  <c r="H21" i="19"/>
  <c r="I21" i="19"/>
  <c r="J21" i="19"/>
  <c r="H8" i="19"/>
  <c r="I8" i="19"/>
  <c r="J8" i="19"/>
  <c r="H8" i="16"/>
  <c r="I8" i="16"/>
  <c r="J8" i="16"/>
  <c r="H11" i="16"/>
  <c r="I11" i="16"/>
  <c r="J11" i="16"/>
  <c r="F13" i="5"/>
  <c r="F14" i="5"/>
  <c r="E13" i="10"/>
  <c r="E14" i="10"/>
  <c r="C42" i="14"/>
  <c r="C43" i="14"/>
  <c r="C14" i="14"/>
  <c r="F13" i="12"/>
  <c r="F14" i="12"/>
  <c r="G13" i="5"/>
  <c r="G14" i="5"/>
  <c r="C13" i="5"/>
  <c r="C14" i="5"/>
  <c r="H12" i="16"/>
  <c r="I12" i="16"/>
  <c r="J12" i="16"/>
  <c r="H10" i="16"/>
  <c r="I10" i="16"/>
  <c r="J10" i="16"/>
  <c r="H9" i="16"/>
  <c r="I9" i="16"/>
  <c r="J9" i="16"/>
  <c r="D13" i="10"/>
  <c r="D14" i="10"/>
  <c r="C13" i="3"/>
  <c r="E13" i="4"/>
  <c r="E14" i="4"/>
  <c r="C13" i="4"/>
  <c r="D13" i="5"/>
  <c r="D14" i="5"/>
  <c r="H10" i="19"/>
  <c r="I10" i="19"/>
  <c r="J10" i="19"/>
  <c r="H12" i="19"/>
  <c r="I12" i="19"/>
  <c r="J12" i="19"/>
  <c r="H15" i="19"/>
  <c r="I15" i="19"/>
  <c r="J15" i="19"/>
  <c r="C21" i="14"/>
  <c r="C22" i="14"/>
  <c r="E14" i="14"/>
  <c r="E15" i="14"/>
  <c r="H13" i="19"/>
  <c r="I13" i="19"/>
  <c r="J13" i="19"/>
  <c r="H18" i="16"/>
  <c r="I18" i="16"/>
  <c r="J18" i="16"/>
  <c r="H14" i="16"/>
  <c r="I14" i="16"/>
  <c r="J14" i="16"/>
  <c r="C35" i="14"/>
  <c r="C36" i="14"/>
  <c r="G14" i="14"/>
  <c r="G15" i="14"/>
  <c r="F14" i="14"/>
  <c r="F15" i="14"/>
  <c r="D14" i="14"/>
  <c r="D15" i="14"/>
  <c r="E13" i="12"/>
  <c r="E14" i="12"/>
  <c r="D13" i="12"/>
  <c r="D14" i="12"/>
  <c r="C13" i="12"/>
  <c r="G13" i="12"/>
  <c r="G14" i="12"/>
  <c r="F13" i="10"/>
  <c r="F14" i="10"/>
  <c r="G13" i="2"/>
  <c r="G14" i="2"/>
  <c r="E13" i="2"/>
  <c r="E14" i="2"/>
  <c r="F13" i="4"/>
  <c r="F14" i="4"/>
  <c r="E13" i="5"/>
  <c r="E14" i="5"/>
  <c r="C28" i="14"/>
  <c r="C29" i="14"/>
  <c r="D13" i="2"/>
  <c r="D14" i="2"/>
  <c r="F13" i="3"/>
  <c r="F14" i="3"/>
  <c r="D13" i="3"/>
  <c r="D14" i="3"/>
  <c r="C14" i="12"/>
  <c r="H16" i="16"/>
  <c r="I16" i="16"/>
  <c r="J16" i="16"/>
  <c r="C15" i="14"/>
  <c r="C14" i="2"/>
  <c r="C14" i="3"/>
  <c r="H14" i="3"/>
  <c r="H20" i="16"/>
  <c r="I20" i="16"/>
  <c r="J20" i="16"/>
  <c r="H11" i="19"/>
  <c r="I11" i="19"/>
  <c r="J11" i="19"/>
  <c r="H19" i="19"/>
  <c r="I19" i="19"/>
  <c r="J19" i="19"/>
  <c r="H14" i="10"/>
  <c r="H13" i="3"/>
  <c r="H14" i="14"/>
  <c r="H14" i="5"/>
  <c r="H13" i="5"/>
  <c r="H13" i="12"/>
  <c r="H13" i="4"/>
  <c r="H13" i="10"/>
  <c r="H14" i="12"/>
  <c r="H14" i="2"/>
  <c r="C14" i="4"/>
  <c r="H14" i="4"/>
  <c r="H15" i="14"/>
  <c r="H13" i="2"/>
  <c r="H13" i="31" l="1"/>
  <c r="I13" i="31" s="1"/>
  <c r="J13" i="31" s="1"/>
  <c r="H19" i="31"/>
  <c r="I19" i="31" s="1"/>
  <c r="J19" i="31" s="1"/>
  <c r="H9" i="31"/>
  <c r="I9" i="31" s="1"/>
  <c r="J9" i="31" s="1"/>
  <c r="H14" i="31"/>
  <c r="I14" i="31" s="1"/>
  <c r="J14" i="31" s="1"/>
  <c r="H21" i="31"/>
  <c r="I21" i="31" s="1"/>
  <c r="J21" i="31" s="1"/>
  <c r="H17" i="31"/>
  <c r="I17" i="31" s="1"/>
  <c r="J17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9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
Took effect 1 July 2014</t>
        </r>
      </text>
    </comment>
    <comment ref="A17" authorId="1" shapeId="0" xr:uid="{00000000-0006-0000-03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July 2014</t>
        </r>
      </text>
    </comment>
    <comment ref="A24" authorId="1" shapeId="0" xr:uid="{00000000-0006-0000-03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July 2014</t>
        </r>
      </text>
    </comment>
    <comment ref="A31" authorId="1" shapeId="0" xr:uid="{00000000-0006-0000-03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July 2014</t>
        </r>
      </text>
    </comment>
    <comment ref="A38" authorId="1" shapeId="0" xr:uid="{00000000-0006-0000-03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July 2014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4" authorId="0" shapeId="0" xr:uid="{B63E3E14-A9EC-FF43-A9CE-EA4416D86FFE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1st and 2nd block combined</t>
        </r>
      </text>
    </comment>
    <comment ref="K6" authorId="0" shapeId="0" xr:uid="{9A0130F6-5A65-3949-9AE1-338C0DB42421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4" authorId="0" shapeId="0" xr:uid="{E007A7CB-3979-904F-8C41-32328B636800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1st and 2nd block combined</t>
        </r>
      </text>
    </comment>
    <comment ref="K6" authorId="0" shapeId="0" xr:uid="{ED503CFC-8D82-F744-B82B-D2199F8A3827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4" authorId="0" shapeId="0" xr:uid="{497CFEDE-539A-BD4D-8631-4289CFB77364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1st and 2nd block combined</t>
        </r>
      </text>
    </comment>
    <comment ref="K6" authorId="0" shapeId="0" xr:uid="{240440D8-CDFD-BA4E-B9FE-D4AFB23FCCC2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4" authorId="0" shapeId="0" xr:uid="{AA44B3C4-403E-FB46-9F51-FAD7031578FA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1st and 2nd block combined</t>
        </r>
      </text>
    </comment>
    <comment ref="K6" authorId="0" shapeId="0" xr:uid="{B12BC6E0-CAA2-C242-BDF2-F0FC870CC57C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4" authorId="0" shapeId="0" xr:uid="{00000000-0006-0000-0A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  <comment ref="K6" authorId="0" shapeId="0" xr:uid="{00000000-0006-0000-0A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2" authorId="0" shapeId="0" xr:uid="{00000000-0006-0000-0B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  <comment ref="K4" authorId="0" shapeId="0" xr:uid="{00000000-0006-0000-0B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  <comment ref="K6" authorId="0" shapeId="0" xr:uid="{00000000-0006-0000-0B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6" authorId="0" shapeId="0" xr:uid="{00000000-0006-0000-0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
Took effect 1 August 2013</t>
        </r>
      </text>
    </comment>
    <comment ref="F7" authorId="1" shapeId="0" xr:uid="{00000000-0006-0000-0C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27.4725 Mj/day</t>
        </r>
      </text>
    </comment>
    <comment ref="G7" authorId="1" shapeId="0" xr:uid="{00000000-0006-0000-0C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27.4725 Mj/day</t>
        </r>
      </text>
    </comment>
    <comment ref="I7" authorId="1" shapeId="0" xr:uid="{00000000-0006-0000-0C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49.4506 Mj/day</t>
        </r>
      </text>
    </comment>
    <comment ref="F8" authorId="1" shapeId="0" xr:uid="{00000000-0006-0000-0C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21.978 Mj/day</t>
        </r>
      </text>
    </comment>
    <comment ref="G8" authorId="1" shapeId="0" xr:uid="{00000000-0006-0000-0C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21.978 Mj/day</t>
        </r>
      </text>
    </comment>
    <comment ref="H8" authorId="1" shapeId="0" xr:uid="{00000000-0006-0000-0C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2500+2000</t>
        </r>
      </text>
    </comment>
    <comment ref="A14" authorId="1" shapeId="0" xr:uid="{00000000-0006-0000-0C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A20" authorId="1" shapeId="0" xr:uid="{00000000-0006-0000-0C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A26" authorId="1" shapeId="0" xr:uid="{00000000-0006-0000-0C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A32" authorId="1" shapeId="0" xr:uid="{00000000-0006-0000-0C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D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
Took effect 1 August 2013</t>
        </r>
      </text>
    </comment>
    <comment ref="F6" authorId="1" shapeId="0" xr:uid="{00000000-0006-0000-0D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G6" authorId="1" shapeId="0" xr:uid="{00000000-0006-0000-0D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H6" authorId="1" shapeId="0" xr:uid="{00000000-0006-0000-0D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I6" authorId="1" shapeId="0" xr:uid="{00000000-0006-0000-0D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
Took effect 1 August 2013</t>
        </r>
      </text>
    </comment>
    <comment ref="F6" authorId="1" shapeId="0" xr:uid="{00000000-0006-0000-0E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G6" authorId="1" shapeId="0" xr:uid="{00000000-0006-0000-0E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H6" authorId="1" shapeId="0" xr:uid="{00000000-0006-0000-0E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I6" authorId="1" shapeId="0" xr:uid="{00000000-0006-0000-0E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0F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C7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
Took effect 1 July 2014</t>
        </r>
      </text>
    </comment>
    <comment ref="D7" authorId="1" shapeId="0" xr:uid="{00000000-0006-0000-04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July 2014</t>
        </r>
      </text>
    </comment>
    <comment ref="E7" authorId="1" shapeId="0" xr:uid="{00000000-0006-0000-04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July 2014</t>
        </r>
      </text>
    </comment>
    <comment ref="F7" authorId="1" shapeId="0" xr:uid="{00000000-0006-0000-04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July 2014</t>
        </r>
      </text>
    </comment>
    <comment ref="G7" authorId="1" shapeId="0" xr:uid="{00000000-0006-0000-04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July 2014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1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2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C7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
Took effect 1 August 2013</t>
        </r>
      </text>
    </comment>
    <comment ref="D7" authorId="1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E7" authorId="1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F7" authorId="1" shapeId="0" xr:uid="{00000000-0006-0000-05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  <comment ref="G7" authorId="1" shapeId="0" xr:uid="{00000000-0006-0000-05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August 2013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7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7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7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7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4" authorId="0" shapeId="0" xr:uid="{3345D6B3-3B5B-AC42-9ACD-A8242B39C7B7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1st and 2nd block combined</t>
        </r>
      </text>
    </comment>
    <comment ref="K6" authorId="0" shapeId="0" xr:uid="{98D1B64E-E808-514B-BBE8-4FDDFC412658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1st and 2nd block combined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4" authorId="0" shapeId="0" xr:uid="{65915D0C-ED79-FA48-A6AF-A72AB5C942BE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1st and 2nd block combined</t>
        </r>
      </text>
    </comment>
    <comment ref="K6" authorId="0" shapeId="0" xr:uid="{18007982-62A6-5C41-890F-74862C0F0D05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1st and 2nd block combined</t>
        </r>
      </text>
    </comment>
  </commentList>
</comments>
</file>

<file path=xl/sharedStrings.xml><?xml version="1.0" encoding="utf-8"?>
<sst xmlns="http://schemas.openxmlformats.org/spreadsheetml/2006/main" count="1373" uniqueCount="242">
  <si>
    <t>Adelaide - incl Barossa and Peterborough</t>
    <phoneticPr fontId="9" type="noConversion"/>
  </si>
  <si>
    <t>July 2010</t>
  </si>
  <si>
    <t>Bill impacts for all gas zones July 2013</t>
    <phoneticPr fontId="9" type="noConversion"/>
  </si>
  <si>
    <t>Origin's Standing Offers July 2013 (inc GST)</t>
    <phoneticPr fontId="9" type="noConversion"/>
  </si>
  <si>
    <t>July 2014</t>
    <phoneticPr fontId="22" type="noConversion"/>
  </si>
  <si>
    <t>Average</t>
    <phoneticPr fontId="9" type="noConversion"/>
  </si>
  <si>
    <t>Standing offer</t>
    <phoneticPr fontId="9" type="noConversion"/>
  </si>
  <si>
    <t>This workbook contains:</t>
  </si>
  <si>
    <t>St Vincent de Paul Society, South Australian Tariff-Tracking Project, Workbook 2: Gas Standing Offers</t>
    <phoneticPr fontId="9" type="noConversion"/>
  </si>
  <si>
    <t>All gas zones</t>
    <phoneticPr fontId="9" type="noConversion"/>
  </si>
  <si>
    <t>c/Mj 1st block</t>
    <phoneticPr fontId="9" type="noConversion"/>
  </si>
  <si>
    <t>c/Mj balance</t>
    <phoneticPr fontId="9" type="noConversion"/>
  </si>
  <si>
    <t xml:space="preserve">The St Vincent de Paul Society and Alviss Consulting Pty Ltd do not accept liability for any action taken based on the information provided in  </t>
    <phoneticPr fontId="22" type="noConversion"/>
  </si>
  <si>
    <t xml:space="preserve">no parts may be adapted, reproduced, copied, stored, distributed, published or put to commercial use </t>
    <phoneticPr fontId="22" type="noConversion"/>
  </si>
  <si>
    <t xml:space="preserve">without prior written permission from the St Vincent de Paul Society. </t>
  </si>
  <si>
    <t>Project outputs</t>
  </si>
  <si>
    <t>Envestra Adelaide</t>
    <phoneticPr fontId="9" type="noConversion"/>
  </si>
  <si>
    <t xml:space="preserve">Alinta Energy </t>
    <phoneticPr fontId="9" type="noConversion"/>
  </si>
  <si>
    <t>SA</t>
    <phoneticPr fontId="9" type="noConversion"/>
  </si>
  <si>
    <t>Envestra Adelaide</t>
    <phoneticPr fontId="9" type="noConversion"/>
  </si>
  <si>
    <t>EnergyAustralia</t>
    <phoneticPr fontId="9" type="noConversion"/>
  </si>
  <si>
    <t>Origin Energy</t>
    <phoneticPr fontId="9" type="noConversion"/>
  </si>
  <si>
    <t>Simply Energy</t>
    <phoneticPr fontId="9" type="noConversion"/>
  </si>
  <si>
    <t>Envestra Port Pirie</t>
    <phoneticPr fontId="9" type="noConversion"/>
  </si>
  <si>
    <t>Envestra Whyalla</t>
    <phoneticPr fontId="9" type="noConversion"/>
  </si>
  <si>
    <t>c/day fixed charges</t>
    <phoneticPr fontId="9" type="noConversion"/>
  </si>
  <si>
    <t xml:space="preserve">*Analysis of bills (consumption level/pattern variable) across gas zones (inc GST) </t>
    <phoneticPr fontId="9" type="noConversion"/>
  </si>
  <si>
    <t>Fixed charges/qtr</t>
    <phoneticPr fontId="9" type="noConversion"/>
  </si>
  <si>
    <t>1st block/qtr</t>
    <phoneticPr fontId="9" type="noConversion"/>
  </si>
  <si>
    <t>Balance/qtr</t>
    <phoneticPr fontId="9" type="noConversion"/>
  </si>
  <si>
    <t>Annual bill</t>
  </si>
  <si>
    <t>Port Pirie</t>
    <phoneticPr fontId="9" type="noConversion"/>
  </si>
  <si>
    <t>Bill impacts for all gas zones July 2009</t>
    <phoneticPr fontId="9" type="noConversion"/>
  </si>
  <si>
    <t>South Australian Tariff-Tracking Project, St Vincent de Paul Society</t>
    <phoneticPr fontId="18" type="noConversion"/>
  </si>
  <si>
    <t>By May Mauseth Johnston, Alviss Consulting Pty Ltd</t>
    <phoneticPr fontId="18" type="noConversion"/>
  </si>
  <si>
    <t>Mt Gambier</t>
    <phoneticPr fontId="9" type="noConversion"/>
  </si>
  <si>
    <t>Riverland</t>
    <phoneticPr fontId="9" type="noConversion"/>
  </si>
  <si>
    <t xml:space="preserve">relied upon. The workbook is not an appropriate substitute for obtaining an offer from an energy retailer.  The information presented </t>
  </si>
  <si>
    <t>July 2011</t>
    <phoneticPr fontId="22" type="noConversion"/>
  </si>
  <si>
    <t>Bill impacts for all gas zones July 2011</t>
    <phoneticPr fontId="9" type="noConversion"/>
  </si>
  <si>
    <t>2nd block/qtr</t>
    <phoneticPr fontId="9" type="noConversion"/>
  </si>
  <si>
    <t>Average</t>
    <phoneticPr fontId="9" type="noConversion"/>
  </si>
  <si>
    <t>AGL</t>
    <phoneticPr fontId="9" type="noConversion"/>
  </si>
  <si>
    <t>Energy Aus</t>
    <phoneticPr fontId="9" type="noConversion"/>
  </si>
  <si>
    <t>na</t>
    <phoneticPr fontId="9" type="noConversion"/>
  </si>
  <si>
    <t>AGL</t>
    <phoneticPr fontId="9" type="noConversion"/>
  </si>
  <si>
    <t>Energy Aus</t>
    <phoneticPr fontId="9" type="noConversion"/>
  </si>
  <si>
    <t>Whyalla</t>
    <phoneticPr fontId="9" type="noConversion"/>
  </si>
  <si>
    <t>Origin Energy</t>
    <phoneticPr fontId="9" type="noConversion"/>
  </si>
  <si>
    <t>Origin's Standing Offers July 2012 (inc GST)</t>
    <phoneticPr fontId="9" type="noConversion"/>
  </si>
  <si>
    <t>1st Block (Mj/qtr)</t>
    <phoneticPr fontId="9" type="noConversion"/>
  </si>
  <si>
    <t>2nd Block (Mj/qtr)</t>
    <phoneticPr fontId="9" type="noConversion"/>
  </si>
  <si>
    <t>c/Mj 2nd block</t>
    <phoneticPr fontId="9" type="noConversion"/>
  </si>
  <si>
    <t>Bill impacts for all gas zones July 2014</t>
    <phoneticPr fontId="9" type="noConversion"/>
  </si>
  <si>
    <t>Origin's Standing Offers July 2014 (inc GST)</t>
    <phoneticPr fontId="9" type="noConversion"/>
  </si>
  <si>
    <t>Bill impacts for all gas zones July 2015</t>
    <phoneticPr fontId="9" type="noConversion"/>
  </si>
  <si>
    <t>July 2015</t>
    <phoneticPr fontId="22" type="noConversion"/>
  </si>
  <si>
    <t xml:space="preserve">St Vincent de Paul Society, South Australian Tariff-Tracking Project, Workbook 2: Gas Standing Offers </t>
    <phoneticPr fontId="9" type="noConversion"/>
  </si>
  <si>
    <t>Whyalla</t>
    <phoneticPr fontId="9" type="noConversion"/>
  </si>
  <si>
    <t>July 2012</t>
    <phoneticPr fontId="22" type="noConversion"/>
  </si>
  <si>
    <t>changes to domestic energy offers in South Australia.  If regularly updated, this tariff-tracking tool can be used to:</t>
    <phoneticPr fontId="9" type="noConversion"/>
  </si>
  <si>
    <t>Alinta</t>
    <phoneticPr fontId="9" type="noConversion"/>
  </si>
  <si>
    <t xml:space="preserve">St Vincent de Paul Society, South Australian Tariff-Tracking Project, Workbook 2: Gas Standing Offers </t>
    <phoneticPr fontId="9" type="noConversion"/>
  </si>
  <si>
    <t>Qtr bill</t>
    <phoneticPr fontId="9" type="noConversion"/>
  </si>
  <si>
    <t>www.energymadeeasy.gov.au or contact the energy retailers directly.</t>
    <phoneticPr fontId="9" type="noConversion"/>
  </si>
  <si>
    <t>Gas standing offers</t>
  </si>
  <si>
    <t>Tab colours:</t>
  </si>
  <si>
    <t>DISCLAIMER:</t>
  </si>
  <si>
    <t>1st Block (Mj/qtr)</t>
    <phoneticPr fontId="9" type="noConversion"/>
  </si>
  <si>
    <t>Origin's Standing Offers July 2011 (inc GST)</t>
    <phoneticPr fontId="9" type="noConversion"/>
  </si>
  <si>
    <t>Origin's Standing Offers July 2010 (inc GST)</t>
    <phoneticPr fontId="9" type="noConversion"/>
  </si>
  <si>
    <t>Origin's Standing Offers July 2009 (inc GST)</t>
    <phoneticPr fontId="9" type="noConversion"/>
  </si>
  <si>
    <t xml:space="preserve">in the workbook is not provided as financial advice. While we have taken great care to ensure accuracy of the information provided in this </t>
  </si>
  <si>
    <t xml:space="preserve">1) Inform the community about changes to energy retail prices and increase consumer awareness </t>
  </si>
  <si>
    <t>July 2013</t>
    <phoneticPr fontId="22" type="noConversion"/>
  </si>
  <si>
    <t>can be adjusted. All red cells contain variables for the user to insert</t>
    <phoneticPr fontId="9" type="noConversion"/>
  </si>
  <si>
    <t>South Astralian gas zones:</t>
    <phoneticPr fontId="9" type="noConversion"/>
  </si>
  <si>
    <t>AGL</t>
  </si>
  <si>
    <t>Energy Aus</t>
    <phoneticPr fontId="9" type="noConversion"/>
  </si>
  <si>
    <t>Alinta</t>
    <phoneticPr fontId="9" type="noConversion"/>
  </si>
  <si>
    <t>Simply</t>
  </si>
  <si>
    <t>Simply</t>
    <phoneticPr fontId="9" type="noConversion"/>
  </si>
  <si>
    <t>Origin</t>
    <phoneticPr fontId="9" type="noConversion"/>
  </si>
  <si>
    <t>Standing Offers July 2015 (exc GST)</t>
    <phoneticPr fontId="9" type="noConversion"/>
  </si>
  <si>
    <t>Envestra</t>
    <phoneticPr fontId="9" type="noConversion"/>
  </si>
  <si>
    <t>Number of peak months</t>
    <phoneticPr fontId="9" type="noConversion"/>
  </si>
  <si>
    <t>Number of off-peak months</t>
    <phoneticPr fontId="9" type="noConversion"/>
  </si>
  <si>
    <t>SA</t>
    <phoneticPr fontId="9" type="noConversion"/>
  </si>
  <si>
    <t>Envestra Adelaide</t>
    <phoneticPr fontId="9" type="noConversion"/>
  </si>
  <si>
    <t>AGL</t>
    <phoneticPr fontId="9" type="noConversion"/>
  </si>
  <si>
    <t>n</t>
    <phoneticPr fontId="9" type="noConversion"/>
  </si>
  <si>
    <t>Envestra Riverland</t>
    <phoneticPr fontId="9" type="noConversion"/>
  </si>
  <si>
    <t>Standing offer</t>
    <phoneticPr fontId="9" type="noConversion"/>
  </si>
  <si>
    <t>Supply charge</t>
  </si>
  <si>
    <t>Annual bill (excl GST)</t>
  </si>
  <si>
    <t xml:space="preserve">South Australia, ENVESTRA </t>
    <phoneticPr fontId="9" type="noConversion"/>
  </si>
  <si>
    <t>Gas offers</t>
    <phoneticPr fontId="9" type="noConversion"/>
  </si>
  <si>
    <t>Gas zone</t>
    <phoneticPr fontId="9" type="noConversion"/>
  </si>
  <si>
    <t>1st block</t>
    <phoneticPr fontId="9" type="noConversion"/>
  </si>
  <si>
    <t>2nd block</t>
    <phoneticPr fontId="9" type="noConversion"/>
  </si>
  <si>
    <t>Balance</t>
    <phoneticPr fontId="9" type="noConversion"/>
  </si>
  <si>
    <t>Annual bill (incl GST)</t>
    <phoneticPr fontId="9" type="noConversion"/>
  </si>
  <si>
    <t>St Vincent de Paul Society, South Australian Tariff-Tracking Project, Workbook 2: Gas Standing Offers</t>
    <phoneticPr fontId="9" type="noConversion"/>
  </si>
  <si>
    <t>Effective from</t>
    <phoneticPr fontId="9" type="noConversion"/>
  </si>
  <si>
    <t>July 2016</t>
    <phoneticPr fontId="22" type="noConversion"/>
  </si>
  <si>
    <t>5th off-peak rate (c/MJ)</t>
    <phoneticPr fontId="9" type="noConversion"/>
  </si>
  <si>
    <t>6th off-peak rate (c/MJ)</t>
    <phoneticPr fontId="9" type="noConversion"/>
  </si>
  <si>
    <t>1st shoulder rate (c/MJ)</t>
    <phoneticPr fontId="9" type="noConversion"/>
  </si>
  <si>
    <t xml:space="preserve">The energy offers, tariffs and bill calculations presented in this workbook should be used as a general guide only and should not be </t>
  </si>
  <si>
    <t>ID</t>
  </si>
  <si>
    <t>Timestamp</t>
    <phoneticPr fontId="9" type="noConversion"/>
  </si>
  <si>
    <t>State</t>
    <phoneticPr fontId="9" type="noConversion"/>
  </si>
  <si>
    <t>Pricing zone</t>
    <phoneticPr fontId="9" type="noConversion"/>
  </si>
  <si>
    <t>Effective from</t>
    <phoneticPr fontId="9" type="noConversion"/>
  </si>
  <si>
    <t>Retailer</t>
  </si>
  <si>
    <t>Name</t>
    <phoneticPr fontId="9" type="noConversion"/>
  </si>
  <si>
    <t>Bill impacts for all gas zones July 2010</t>
    <phoneticPr fontId="9" type="noConversion"/>
  </si>
  <si>
    <t xml:space="preserve">workbook, it is suitable for use only as a research and advocacy tool. We do not accept any legal responsibility for errors or inaccuracies. </t>
  </si>
  <si>
    <t>Purpose of project</t>
  </si>
  <si>
    <r>
      <t>Acknowledgement:</t>
    </r>
    <r>
      <rPr>
        <sz val="11"/>
        <rFont val="Arial"/>
        <family val="2"/>
      </rPr>
      <t xml:space="preserve"> The St Vincent de Paul Society received funding from Energy Consumers Australia (ECA),</t>
    </r>
    <phoneticPr fontId="9" type="noConversion"/>
  </si>
  <si>
    <t>and previously, the Consumer Advocacy Panel to undertake this project.</t>
    <phoneticPr fontId="9" type="noConversion"/>
  </si>
  <si>
    <t>*All supply charges published as quarterly charges have been divided by 91 days.</t>
    <phoneticPr fontId="9" type="noConversion"/>
  </si>
  <si>
    <t>The main purpose of this workbook is to provide consumer advocates with a tool to track and analyse</t>
  </si>
  <si>
    <t>© St Vincent de Paul Society and Alviss Consulting Pty Ltd</t>
  </si>
  <si>
    <t xml:space="preserve">this workbook or for any loss, economic or otherwise, suffered as a result of reliance on the information presented in this workbook. If you </t>
    <phoneticPr fontId="22" type="noConversion"/>
  </si>
  <si>
    <t>July 2009</t>
  </si>
  <si>
    <t>Supply (c/day)</t>
  </si>
  <si>
    <t>block type</t>
    <phoneticPr fontId="9" type="noConversion"/>
  </si>
  <si>
    <t>1st step (MJ)</t>
    <phoneticPr fontId="9" type="noConversion"/>
  </si>
  <si>
    <t>2nd step (MJ)</t>
    <phoneticPr fontId="9" type="noConversion"/>
  </si>
  <si>
    <t>3rd step (MJ)</t>
    <phoneticPr fontId="9" type="noConversion"/>
  </si>
  <si>
    <t>4th step (MJ)</t>
    <phoneticPr fontId="9" type="noConversion"/>
  </si>
  <si>
    <t>5th step (MJ)</t>
    <phoneticPr fontId="9" type="noConversion"/>
  </si>
  <si>
    <t>1st peak rate (c/MJ)</t>
    <phoneticPr fontId="9" type="noConversion"/>
  </si>
  <si>
    <t>2nd peak rate (c/MJ)</t>
    <phoneticPr fontId="9" type="noConversion"/>
  </si>
  <si>
    <t>3rd peak rate (c/MJ)</t>
    <phoneticPr fontId="9" type="noConversion"/>
  </si>
  <si>
    <t>4th peak rate (c/MJ)</t>
    <phoneticPr fontId="9" type="noConversion"/>
  </si>
  <si>
    <t>5th peak rate (c/MJ)</t>
    <phoneticPr fontId="9" type="noConversion"/>
  </si>
  <si>
    <t>6th peak rate (c/MJ)</t>
    <phoneticPr fontId="9" type="noConversion"/>
  </si>
  <si>
    <t>1st off-peak rate (c/MJ)</t>
    <phoneticPr fontId="9" type="noConversion"/>
  </si>
  <si>
    <t>2nd off-peak rate (c/MJ)</t>
    <phoneticPr fontId="9" type="noConversion"/>
  </si>
  <si>
    <t>3rd off-peak rate (c/MJ)</t>
    <phoneticPr fontId="9" type="noConversion"/>
  </si>
  <si>
    <t>4th off-peak rate (c/MJ)</t>
    <phoneticPr fontId="9" type="noConversion"/>
  </si>
  <si>
    <t>quarterly</t>
    <phoneticPr fontId="9" type="noConversion"/>
  </si>
  <si>
    <t>Envestra SA</t>
    <phoneticPr fontId="9" type="noConversion"/>
  </si>
  <si>
    <t>Red Energy</t>
    <phoneticPr fontId="9" type="noConversion"/>
  </si>
  <si>
    <t>SA</t>
    <phoneticPr fontId="9" type="noConversion"/>
  </si>
  <si>
    <t>SA</t>
    <phoneticPr fontId="9" type="noConversion"/>
  </si>
  <si>
    <t>Envestra Riverland</t>
    <phoneticPr fontId="9" type="noConversion"/>
  </si>
  <si>
    <t>quarterly</t>
    <phoneticPr fontId="9" type="noConversion"/>
  </si>
  <si>
    <t>quarterly</t>
    <phoneticPr fontId="9" type="noConversion"/>
  </si>
  <si>
    <t>Bill impacts for all gas zones July 2012</t>
    <phoneticPr fontId="9" type="noConversion"/>
  </si>
  <si>
    <t>Adelaide</t>
    <phoneticPr fontId="9" type="noConversion"/>
  </si>
  <si>
    <t>2) Monitor the impact tariff changes have on household bills and energy affordability</t>
  </si>
  <si>
    <t xml:space="preserve">This workbook is copyright. All works contained in it are St Vincent de Paul Society and Alviss Consulting’s  </t>
    <phoneticPr fontId="22" type="noConversion"/>
  </si>
  <si>
    <t>intellectual property and subject to copyright. Apart from any use permitted under the Copyright Act 1968 (Ctw),</t>
    <phoneticPr fontId="22" type="noConversion"/>
  </si>
  <si>
    <t>would like to obtain information about energy offers available to you as a customer, see the AER’s Energy Made Easy website</t>
    <phoneticPr fontId="9" type="noConversion"/>
  </si>
  <si>
    <t>2nd shoulder rate (c/MJ)</t>
    <phoneticPr fontId="9" type="noConversion"/>
  </si>
  <si>
    <t>3rd shoulder rate (c/MJ)</t>
    <phoneticPr fontId="9" type="noConversion"/>
  </si>
  <si>
    <t>4th shoulder rate (c/MJ)</t>
    <phoneticPr fontId="9" type="noConversion"/>
  </si>
  <si>
    <t>5th shoulder rate (c/MJ)</t>
    <phoneticPr fontId="9" type="noConversion"/>
  </si>
  <si>
    <t>6th shoulder rate (c/MJ)</t>
    <phoneticPr fontId="9" type="noConversion"/>
  </si>
  <si>
    <t>Seasonal? (y/n)</t>
    <phoneticPr fontId="9" type="noConversion"/>
  </si>
  <si>
    <t>Summer or winter peak (s/w)</t>
    <phoneticPr fontId="9" type="noConversion"/>
  </si>
  <si>
    <t>Envestra Mt Gambier</t>
    <phoneticPr fontId="9" type="noConversion"/>
  </si>
  <si>
    <r>
      <t>Report 1: South Australian</t>
    </r>
    <r>
      <rPr>
        <sz val="10"/>
        <rFont val="Arial"/>
        <family val="2"/>
      </rPr>
      <t xml:space="preserve"> Energy Prices 2009 - 2012</t>
    </r>
    <r>
      <rPr>
        <sz val="10"/>
        <rFont val="Verdana"/>
        <family val="2"/>
      </rPr>
      <t xml:space="preserve"> (August 2012)   </t>
    </r>
  </si>
  <si>
    <r>
      <t>Report 2: South Australian</t>
    </r>
    <r>
      <rPr>
        <sz val="10"/>
        <rFont val="Arial"/>
        <family val="2"/>
      </rPr>
      <t xml:space="preserve"> Energy Prices, An update report 2012 - 2013</t>
    </r>
    <r>
      <rPr>
        <sz val="10"/>
        <rFont val="Verdana"/>
        <family val="2"/>
      </rPr>
      <t xml:space="preserve"> (August 2013)   </t>
    </r>
  </si>
  <si>
    <r>
      <t>Report 3: South Australian</t>
    </r>
    <r>
      <rPr>
        <sz val="10"/>
        <rFont val="Arial"/>
        <family val="2"/>
      </rPr>
      <t xml:space="preserve"> Energy Prices, An update report 2013 - 2014</t>
    </r>
    <r>
      <rPr>
        <sz val="10"/>
        <rFont val="Verdana"/>
        <family val="2"/>
      </rPr>
      <t xml:space="preserve"> (August 2014)   </t>
    </r>
  </si>
  <si>
    <r>
      <t>Report 4: South Australian</t>
    </r>
    <r>
      <rPr>
        <sz val="10"/>
        <rFont val="Arial"/>
        <family val="2"/>
      </rPr>
      <t xml:space="preserve"> Energy Prices, An update report 2014 - 2015</t>
    </r>
    <r>
      <rPr>
        <sz val="10"/>
        <rFont val="Verdana"/>
        <family val="2"/>
      </rPr>
      <t xml:space="preserve"> (August 2015)   </t>
    </r>
  </si>
  <si>
    <r>
      <t>Report 5: South Australian</t>
    </r>
    <r>
      <rPr>
        <sz val="10"/>
        <rFont val="Arial"/>
        <family val="2"/>
      </rPr>
      <t xml:space="preserve"> Energy Prices, An update report 2015 - 2016</t>
    </r>
    <r>
      <rPr>
        <sz val="10"/>
        <rFont val="Verdana"/>
        <family val="2"/>
      </rPr>
      <t xml:space="preserve"> (August 2016)   </t>
    </r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</si>
  <si>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</si>
  <si>
    <t>July 2017</t>
  </si>
  <si>
    <t xml:space="preserve">Alinta Energy </t>
  </si>
  <si>
    <t>EnergyAustralia</t>
  </si>
  <si>
    <t>Origin Energy</t>
  </si>
  <si>
    <t>Simply Energy</t>
  </si>
  <si>
    <t>Red Energy</t>
  </si>
  <si>
    <t>Retailers:</t>
  </si>
  <si>
    <t>July 2018</t>
  </si>
  <si>
    <t>quarterly</t>
  </si>
  <si>
    <t xml:space="preserve">Alinta Energy </t>
    <phoneticPr fontId="3" type="noConversion"/>
  </si>
  <si>
    <t>Insert quartely consumption (MJ):</t>
  </si>
  <si>
    <t>July 2019</t>
  </si>
  <si>
    <t>not accidently changed. The spreadsheets containing the tariff data are hidden.</t>
  </si>
  <si>
    <t xml:space="preserve">*All spreadsheets are locked (apart from the interactive red cells), in order to ensure that formulas are </t>
  </si>
  <si>
    <t>Lumo Energy</t>
  </si>
  <si>
    <t xml:space="preserve">*The spreadsheets (bills) are interactive spreadsheet where quarterly consumption (MJ)  </t>
  </si>
  <si>
    <t>Insert quarterly consumption (MJ):</t>
  </si>
  <si>
    <t>July 2020</t>
  </si>
  <si>
    <t>https://www.energymadeeasy.gov.au/plan?id=AGL15384SRG2&amp;postcode=5000</t>
  </si>
  <si>
    <t>https://www.alintaenergy.com.au/sa/residential/electricity-and-gas/products/standard-retail-contract/residential-gas-pricing</t>
  </si>
  <si>
    <t>https://www.energymadeeasy.gov.au/plan?id=ORI15617SRG2&amp;postcode=5000</t>
  </si>
  <si>
    <t>https://www.energymadeeasy.gov.au/plan?id=SIM57426SRG2&amp;postcode=5000</t>
  </si>
  <si>
    <t>https://www.energymadeeasy.gov.au/plan?id=RED21274SRG3&amp;postcode=5000</t>
  </si>
  <si>
    <t>https://www.energymadeeasy.gov.au/plan?id=LUM19151SRG4&amp;postcode=5000</t>
  </si>
  <si>
    <t>SA</t>
  </si>
  <si>
    <t>Envestra SA</t>
  </si>
  <si>
    <t>Standing offer</t>
  </si>
  <si>
    <t>n</t>
  </si>
  <si>
    <t>Envestra Adelaide</t>
  </si>
  <si>
    <t>GloBird Energy</t>
  </si>
  <si>
    <t>https://www.energymadeeasy.gov.au/plan?id=GLO51404SRG2&amp;postcode=5000</t>
  </si>
  <si>
    <t>Envestra Port Pirie</t>
  </si>
  <si>
    <t>Envestra Whyalla</t>
  </si>
  <si>
    <t>Envestra Mt Gambier</t>
  </si>
  <si>
    <t>Envestra Riverland</t>
  </si>
  <si>
    <t>https://www.energymadeeasy.gov.au/plan?id=ENE19248SRG8&amp;postcode=5000</t>
  </si>
  <si>
    <t>Quarterly bill</t>
  </si>
  <si>
    <t>July 2021</t>
  </si>
  <si>
    <t xml:space="preserve">Report 6: South Australian Energy Prices July 2017, An update report (August 2017)   </t>
  </si>
  <si>
    <t xml:space="preserve">Report 7: South Australian Energy Prices July 2018, An update report (September 2018)   </t>
  </si>
  <si>
    <t xml:space="preserve">Report 8: South Australian Energy Prices July 2019, An update report (September 2019)   </t>
  </si>
  <si>
    <t xml:space="preserve">Report 9: South Australian Energy Prices July 2020, An update report (September 2020)   </t>
  </si>
  <si>
    <t xml:space="preserve">Report 10: South Australian Energy Prices July 2021, An update report (August 2021)   </t>
  </si>
  <si>
    <t>July 2022</t>
  </si>
  <si>
    <t xml:space="preserve">Workbook 2: Gas standing offers </t>
  </si>
  <si>
    <t xml:space="preserve">Report 11: South Australian Energy Prices July 2022, An update report (August 2022)   </t>
  </si>
  <si>
    <t>https://www.energymadeeasy.gov.au/plan?id=AGL15384SRG10&amp;postcode=5000</t>
  </si>
  <si>
    <t>https://www.energymadeeasy.gov.au/plan?id=ALI13148SRG12&amp;postcode=5000</t>
  </si>
  <si>
    <t>https://www.energymadeeasy.gov.au/plan?id=ENE19248SRG22&amp;postcode=5000</t>
  </si>
  <si>
    <t>https://www.energymadeeasy.gov.au/plan?id=ORI429177SRG1&amp;postcode=5000</t>
  </si>
  <si>
    <t>https://www.energymadeeasy.gov.au/plan?id=RED21274SRG5&amp;postcode=5000</t>
  </si>
  <si>
    <t>https://www.energymadeeasy.gov.au/plan?id=LUM19151SRG6&amp;postcode=5000</t>
  </si>
  <si>
    <t>https://www.energymadeeasy.gov.au/plan?id=GLO433212SRG1&amp;postcode=5000</t>
  </si>
  <si>
    <t>https://www.energymadeeasy.gov.au/plan?id=SIM422133SRG&amp;utm_source=Simply%20Energy&amp;utm_campaign=bpi-retailer&amp;utm_medium=retailer&amp;postcode=5000</t>
  </si>
  <si>
    <t>*Gas standing offers from 2009 to 2023</t>
  </si>
  <si>
    <t>July 2023</t>
  </si>
  <si>
    <t xml:space="preserve">The South Australian Tariff-Tracking project has produced 5 workbooks and 12 reports: </t>
  </si>
  <si>
    <t>Workbook 1: Electricity standing offers July 2009 - July 2023</t>
  </si>
  <si>
    <t>Workbook 2: Gas standing offers July 2009 - July 2023</t>
  </si>
  <si>
    <t>Workbook 3: Published electricity market offers as of July 2012 - July 2023</t>
  </si>
  <si>
    <t>Workbook 4: Published gas market offers as of July 2012 - July 2023</t>
  </si>
  <si>
    <t>Workbook 5: Solar offers July 2016 - July 2023</t>
  </si>
  <si>
    <t xml:space="preserve">Report 12: South Australian Energy Prices July 2023, An update report (August 2023)   </t>
  </si>
  <si>
    <t>https://www.energymadeeasy.gov.au/plan?id=AGL15384SRG14&amp;postcode=5000</t>
  </si>
  <si>
    <t>https://www.energymadeeasy.gov.au/plan?id=ALI13148SRG13&amp;postcode=5000</t>
  </si>
  <si>
    <t>https://www.energymadeeasy.gov.au/plan?id=ENE19248SRG27&amp;postcode=5000</t>
  </si>
  <si>
    <t>https://www.energymadeeasy.gov.au/plan?id=ORI429177SRG4&amp;postcode=5000</t>
  </si>
  <si>
    <t>https://www.energymadeeasy.gov.au/plan?id=SIM589890SRG1&amp;postcode=5000</t>
  </si>
  <si>
    <t>https://www.energymadeeasy.gov.au/plan?id=RED21274SRG6&amp;postcode=5000</t>
  </si>
  <si>
    <t>https://www.energymadeeasy.gov.au/plan?id=LUM19151SRG7&amp;postcode=5000</t>
  </si>
  <si>
    <t>https://www.energymadeeasy.gov.au/plan?id=GLO578764SRG1&amp;postcode=5000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</si>
</sst>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4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b/>
      <sz val="11"/>
      <color indexed="12"/>
      <name val="Arial"/>
      <family val="2"/>
    </font>
    <font>
      <b/>
      <sz val="11"/>
      <color indexed="57"/>
      <name val="Arial"/>
      <family val="2"/>
    </font>
    <font>
      <b/>
      <sz val="10"/>
      <color indexed="12"/>
      <name val="Arial"/>
      <family val="2"/>
    </font>
    <font>
      <b/>
      <sz val="10"/>
      <color indexed="45"/>
      <name val="Arial"/>
      <family val="2"/>
    </font>
    <font>
      <sz val="10"/>
      <color indexed="45"/>
      <name val="Arial"/>
      <family val="2"/>
    </font>
    <font>
      <sz val="8"/>
      <name val="Arial"/>
      <family val="2"/>
    </font>
    <font>
      <sz val="10"/>
      <color indexed="9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18"/>
      <name val="Arial"/>
      <family val="2"/>
    </font>
    <font>
      <b/>
      <sz val="11"/>
      <color indexed="18"/>
      <name val="Arial"/>
      <family val="2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u/>
      <sz val="10"/>
      <color theme="10"/>
      <name val="Verdana"/>
      <family val="2"/>
    </font>
    <font>
      <sz val="10"/>
      <name val="Verdana"/>
      <family val="2"/>
    </font>
    <font>
      <sz val="10"/>
      <color theme="0"/>
      <name val="Verdana"/>
      <family val="2"/>
    </font>
    <font>
      <sz val="11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lightUp">
        <bgColor auto="1"/>
      </patternFill>
    </fill>
    <fill>
      <patternFill patternType="lightUp">
        <fgColor auto="1"/>
        <bgColor auto="1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39997558519241921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0" fillId="0" borderId="0" applyNumberFormat="0" applyFill="0" applyBorder="0" applyAlignment="0" applyProtection="0"/>
    <xf numFmtId="43" fontId="31" fillId="0" borderId="0" applyFont="0" applyFill="0" applyBorder="0" applyAlignment="0" applyProtection="0"/>
    <xf numFmtId="0" fontId="2" fillId="0" borderId="0"/>
  </cellStyleXfs>
  <cellXfs count="210">
    <xf numFmtId="0" fontId="0" fillId="0" borderId="0" xfId="0"/>
    <xf numFmtId="0" fontId="14" fillId="0" borderId="0" xfId="0" applyFont="1"/>
    <xf numFmtId="0" fontId="12" fillId="0" borderId="0" xfId="0" applyFont="1"/>
    <xf numFmtId="0" fontId="0" fillId="4" borderId="0" xfId="0" applyFill="1"/>
    <xf numFmtId="0" fontId="0" fillId="5" borderId="0" xfId="0" applyFill="1"/>
    <xf numFmtId="0" fontId="0" fillId="3" borderId="0" xfId="0" applyFill="1"/>
    <xf numFmtId="0" fontId="0" fillId="6" borderId="0" xfId="0" applyFill="1"/>
    <xf numFmtId="0" fontId="14" fillId="0" borderId="3" xfId="0" applyFont="1" applyBorder="1"/>
    <xf numFmtId="0" fontId="0" fillId="0" borderId="3" xfId="0" applyBorder="1"/>
    <xf numFmtId="0" fontId="0" fillId="4" borderId="3" xfId="0" applyFill="1" applyBorder="1"/>
    <xf numFmtId="0" fontId="10" fillId="7" borderId="0" xfId="0" applyFont="1" applyFill="1"/>
    <xf numFmtId="0" fontId="0" fillId="7" borderId="0" xfId="0" applyFill="1"/>
    <xf numFmtId="0" fontId="0" fillId="0" borderId="1" xfId="0" applyBorder="1"/>
    <xf numFmtId="0" fontId="0" fillId="4" borderId="1" xfId="0" applyFill="1" applyBorder="1"/>
    <xf numFmtId="0" fontId="10" fillId="5" borderId="0" xfId="0" applyFont="1" applyFill="1"/>
    <xf numFmtId="0" fontId="10" fillId="3" borderId="0" xfId="0" applyFont="1" applyFill="1"/>
    <xf numFmtId="0" fontId="10" fillId="6" borderId="0" xfId="0" applyFont="1" applyFill="1"/>
    <xf numFmtId="0" fontId="7" fillId="0" borderId="1" xfId="0" applyFont="1" applyBorder="1"/>
    <xf numFmtId="0" fontId="7" fillId="0" borderId="0" xfId="0" applyFont="1"/>
    <xf numFmtId="0" fontId="0" fillId="10" borderId="0" xfId="0" applyFill="1"/>
    <xf numFmtId="0" fontId="10" fillId="10" borderId="0" xfId="0" applyFont="1" applyFill="1"/>
    <xf numFmtId="0" fontId="10" fillId="0" borderId="0" xfId="0" applyFont="1" applyProtection="1">
      <protection hidden="1"/>
    </xf>
    <xf numFmtId="0" fontId="0" fillId="0" borderId="0" xfId="0" applyProtection="1">
      <protection hidden="1"/>
    </xf>
    <xf numFmtId="0" fontId="0" fillId="6" borderId="1" xfId="0" applyFill="1" applyBorder="1" applyProtection="1">
      <protection hidden="1"/>
    </xf>
    <xf numFmtId="0" fontId="11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4" fillId="0" borderId="0" xfId="0" applyFont="1" applyProtection="1">
      <protection hidden="1"/>
    </xf>
    <xf numFmtId="4" fontId="0" fillId="0" borderId="0" xfId="0" applyNumberFormat="1" applyProtection="1">
      <protection hidden="1"/>
    </xf>
    <xf numFmtId="3" fontId="8" fillId="4" borderId="0" xfId="0" applyNumberFormat="1" applyFont="1" applyFill="1" applyProtection="1">
      <protection hidden="1"/>
    </xf>
    <xf numFmtId="0" fontId="11" fillId="4" borderId="0" xfId="0" applyFont="1" applyFill="1" applyProtection="1">
      <protection hidden="1"/>
    </xf>
    <xf numFmtId="0" fontId="0" fillId="4" borderId="0" xfId="0" applyFill="1" applyProtection="1">
      <protection hidden="1"/>
    </xf>
    <xf numFmtId="3" fontId="8" fillId="4" borderId="2" xfId="0" applyNumberFormat="1" applyFont="1" applyFill="1" applyBorder="1" applyProtection="1">
      <protection hidden="1"/>
    </xf>
    <xf numFmtId="0" fontId="0" fillId="6" borderId="0" xfId="0" applyFill="1" applyProtection="1">
      <protection hidden="1"/>
    </xf>
    <xf numFmtId="0" fontId="11" fillId="2" borderId="0" xfId="0" applyFont="1" applyFill="1" applyProtection="1">
      <protection locked="0"/>
    </xf>
    <xf numFmtId="0" fontId="0" fillId="3" borderId="1" xfId="0" applyFill="1" applyBorder="1" applyProtection="1">
      <protection hidden="1"/>
    </xf>
    <xf numFmtId="0" fontId="0" fillId="3" borderId="0" xfId="0" applyFill="1" applyProtection="1">
      <protection hidden="1"/>
    </xf>
    <xf numFmtId="0" fontId="0" fillId="5" borderId="1" xfId="0" applyFill="1" applyBorder="1" applyProtection="1">
      <protection hidden="1"/>
    </xf>
    <xf numFmtId="0" fontId="0" fillId="5" borderId="0" xfId="0" applyFill="1" applyProtection="1">
      <protection hidden="1"/>
    </xf>
    <xf numFmtId="0" fontId="0" fillId="7" borderId="1" xfId="0" applyFill="1" applyBorder="1" applyProtection="1">
      <protection hidden="1"/>
    </xf>
    <xf numFmtId="0" fontId="0" fillId="7" borderId="0" xfId="0" applyFill="1" applyProtection="1">
      <protection hidden="1"/>
    </xf>
    <xf numFmtId="0" fontId="0" fillId="10" borderId="1" xfId="0" applyFill="1" applyBorder="1" applyProtection="1">
      <protection hidden="1"/>
    </xf>
    <xf numFmtId="0" fontId="0" fillId="10" borderId="0" xfId="0" applyFill="1" applyProtection="1">
      <protection hidden="1"/>
    </xf>
    <xf numFmtId="0" fontId="17" fillId="8" borderId="0" xfId="0" applyFont="1" applyFill="1" applyProtection="1">
      <protection hidden="1"/>
    </xf>
    <xf numFmtId="0" fontId="11" fillId="8" borderId="0" xfId="0" applyFont="1" applyFill="1" applyProtection="1">
      <protection hidden="1"/>
    </xf>
    <xf numFmtId="0" fontId="0" fillId="8" borderId="0" xfId="0" applyFill="1" applyProtection="1">
      <protection hidden="1"/>
    </xf>
    <xf numFmtId="0" fontId="19" fillId="8" borderId="0" xfId="0" applyFont="1" applyFill="1" applyProtection="1">
      <protection hidden="1"/>
    </xf>
    <xf numFmtId="0" fontId="20" fillId="8" borderId="0" xfId="0" applyFont="1" applyFill="1" applyProtection="1">
      <protection hidden="1"/>
    </xf>
    <xf numFmtId="0" fontId="21" fillId="8" borderId="0" xfId="0" applyFont="1" applyFill="1" applyProtection="1">
      <protection hidden="1"/>
    </xf>
    <xf numFmtId="0" fontId="14" fillId="8" borderId="6" xfId="0" applyFont="1" applyFill="1" applyBorder="1" applyProtection="1">
      <protection hidden="1"/>
    </xf>
    <xf numFmtId="0" fontId="10" fillId="8" borderId="7" xfId="0" applyFont="1" applyFill="1" applyBorder="1" applyProtection="1">
      <protection hidden="1"/>
    </xf>
    <xf numFmtId="0" fontId="10" fillId="8" borderId="8" xfId="0" applyFont="1" applyFill="1" applyBorder="1" applyProtection="1">
      <protection hidden="1"/>
    </xf>
    <xf numFmtId="0" fontId="18" fillId="8" borderId="0" xfId="0" applyFont="1" applyFill="1" applyProtection="1">
      <protection hidden="1"/>
    </xf>
    <xf numFmtId="0" fontId="10" fillId="8" borderId="4" xfId="0" applyFont="1" applyFill="1" applyBorder="1" applyProtection="1">
      <protection hidden="1"/>
    </xf>
    <xf numFmtId="0" fontId="10" fillId="8" borderId="0" xfId="0" applyFont="1" applyFill="1" applyProtection="1">
      <protection hidden="1"/>
    </xf>
    <xf numFmtId="0" fontId="10" fillId="8" borderId="5" xfId="0" applyFont="1" applyFill="1" applyBorder="1" applyProtection="1">
      <protection hidden="1"/>
    </xf>
    <xf numFmtId="0" fontId="10" fillId="8" borderId="9" xfId="0" applyFont="1" applyFill="1" applyBorder="1" applyProtection="1">
      <protection hidden="1"/>
    </xf>
    <xf numFmtId="0" fontId="10" fillId="8" borderId="10" xfId="0" applyFont="1" applyFill="1" applyBorder="1" applyProtection="1">
      <protection hidden="1"/>
    </xf>
    <xf numFmtId="0" fontId="10" fillId="8" borderId="11" xfId="0" applyFont="1" applyFill="1" applyBorder="1" applyProtection="1">
      <protection hidden="1"/>
    </xf>
    <xf numFmtId="0" fontId="0" fillId="0" borderId="12" xfId="0" applyBorder="1" applyProtection="1">
      <protection hidden="1"/>
    </xf>
    <xf numFmtId="49" fontId="23" fillId="10" borderId="13" xfId="0" applyNumberFormat="1" applyFont="1" applyFill="1" applyBorder="1" applyProtection="1">
      <protection hidden="1"/>
    </xf>
    <xf numFmtId="49" fontId="23" fillId="7" borderId="13" xfId="0" applyNumberFormat="1" applyFont="1" applyFill="1" applyBorder="1" applyProtection="1">
      <protection hidden="1"/>
    </xf>
    <xf numFmtId="49" fontId="0" fillId="5" borderId="13" xfId="0" applyNumberFormat="1" applyFill="1" applyBorder="1" applyProtection="1">
      <protection hidden="1"/>
    </xf>
    <xf numFmtId="49" fontId="0" fillId="3" borderId="13" xfId="0" applyNumberFormat="1" applyFill="1" applyBorder="1" applyProtection="1">
      <protection hidden="1"/>
    </xf>
    <xf numFmtId="49" fontId="0" fillId="9" borderId="14" xfId="0" applyNumberFormat="1" applyFill="1" applyBorder="1" applyProtection="1">
      <protection hidden="1"/>
    </xf>
    <xf numFmtId="0" fontId="0" fillId="4" borderId="15" xfId="0" applyFill="1" applyBorder="1" applyProtection="1">
      <protection hidden="1"/>
    </xf>
    <xf numFmtId="0" fontId="0" fillId="4" borderId="16" xfId="0" applyFill="1" applyBorder="1" applyProtection="1">
      <protection hidden="1"/>
    </xf>
    <xf numFmtId="0" fontId="0" fillId="4" borderId="17" xfId="0" applyFill="1" applyBorder="1" applyProtection="1">
      <protection hidden="1"/>
    </xf>
    <xf numFmtId="0" fontId="0" fillId="8" borderId="4" xfId="0" applyFill="1" applyBorder="1" applyProtection="1">
      <protection hidden="1"/>
    </xf>
    <xf numFmtId="0" fontId="0" fillId="8" borderId="5" xfId="0" applyFill="1" applyBorder="1" applyProtection="1">
      <protection hidden="1"/>
    </xf>
    <xf numFmtId="0" fontId="0" fillId="8" borderId="9" xfId="0" applyFill="1" applyBorder="1" applyProtection="1">
      <protection hidden="1"/>
    </xf>
    <xf numFmtId="0" fontId="0" fillId="8" borderId="10" xfId="0" applyFill="1" applyBorder="1" applyProtection="1">
      <protection hidden="1"/>
    </xf>
    <xf numFmtId="0" fontId="0" fillId="8" borderId="11" xfId="0" applyFill="1" applyBorder="1" applyProtection="1">
      <protection hidden="1"/>
    </xf>
    <xf numFmtId="0" fontId="24" fillId="8" borderId="0" xfId="0" applyFont="1" applyFill="1" applyProtection="1">
      <protection hidden="1"/>
    </xf>
    <xf numFmtId="49" fontId="6" fillId="11" borderId="13" xfId="0" applyNumberFormat="1" applyFont="1" applyFill="1" applyBorder="1" applyProtection="1">
      <protection hidden="1"/>
    </xf>
    <xf numFmtId="0" fontId="0" fillId="11" borderId="1" xfId="0" applyFill="1" applyBorder="1" applyProtection="1">
      <protection hidden="1"/>
    </xf>
    <xf numFmtId="0" fontId="0" fillId="11" borderId="0" xfId="0" applyFill="1" applyProtection="1">
      <protection hidden="1"/>
    </xf>
    <xf numFmtId="0" fontId="10" fillId="11" borderId="0" xfId="0" applyFont="1" applyFill="1"/>
    <xf numFmtId="0" fontId="0" fillId="11" borderId="0" xfId="0" applyFill="1"/>
    <xf numFmtId="0" fontId="5" fillId="0" borderId="1" xfId="0" applyFont="1" applyBorder="1"/>
    <xf numFmtId="0" fontId="5" fillId="0" borderId="0" xfId="0" applyFont="1"/>
    <xf numFmtId="49" fontId="23" fillId="12" borderId="13" xfId="0" applyNumberFormat="1" applyFont="1" applyFill="1" applyBorder="1" applyProtection="1">
      <protection hidden="1"/>
    </xf>
    <xf numFmtId="0" fontId="0" fillId="12" borderId="1" xfId="0" applyFill="1" applyBorder="1" applyProtection="1">
      <protection hidden="1"/>
    </xf>
    <xf numFmtId="0" fontId="10" fillId="12" borderId="0" xfId="0" applyFont="1" applyFill="1"/>
    <xf numFmtId="0" fontId="0" fillId="12" borderId="0" xfId="0" applyFill="1"/>
    <xf numFmtId="0" fontId="26" fillId="0" borderId="0" xfId="0" applyFont="1"/>
    <xf numFmtId="0" fontId="26" fillId="0" borderId="0" xfId="0" applyFont="1" applyProtection="1">
      <protection hidden="1"/>
    </xf>
    <xf numFmtId="0" fontId="0" fillId="0" borderId="0" xfId="0" applyAlignment="1" applyProtection="1">
      <alignment horizontal="right"/>
      <protection hidden="1"/>
    </xf>
    <xf numFmtId="3" fontId="3" fillId="4" borderId="0" xfId="0" applyNumberFormat="1" applyFont="1" applyFill="1" applyProtection="1">
      <protection hidden="1"/>
    </xf>
    <xf numFmtId="0" fontId="25" fillId="8" borderId="0" xfId="0" applyFont="1" applyFill="1" applyProtection="1">
      <protection hidden="1"/>
    </xf>
    <xf numFmtId="0" fontId="4" fillId="0" borderId="0" xfId="0" applyFont="1"/>
    <xf numFmtId="0" fontId="4" fillId="0" borderId="1" xfId="0" applyFont="1" applyBorder="1"/>
    <xf numFmtId="2" fontId="0" fillId="0" borderId="0" xfId="0" applyNumberFormat="1" applyProtection="1">
      <protection hidden="1"/>
    </xf>
    <xf numFmtId="0" fontId="0" fillId="13" borderId="0" xfId="0" applyFill="1" applyAlignment="1">
      <alignment horizontal="right" wrapText="1"/>
    </xf>
    <xf numFmtId="0" fontId="0" fillId="13" borderId="0" xfId="0" applyFill="1" applyAlignment="1">
      <alignment horizontal="left" wrapText="1"/>
    </xf>
    <xf numFmtId="0" fontId="0" fillId="13" borderId="0" xfId="0" applyFill="1" applyAlignment="1">
      <alignment wrapText="1"/>
    </xf>
    <xf numFmtId="0" fontId="0" fillId="4" borderId="19" xfId="0" applyFill="1" applyBorder="1" applyAlignment="1">
      <alignment horizontal="right" wrapText="1"/>
    </xf>
    <xf numFmtId="0" fontId="0" fillId="14" borderId="0" xfId="0" applyFill="1" applyAlignment="1">
      <alignment horizontal="right" wrapText="1"/>
    </xf>
    <xf numFmtId="0" fontId="0" fillId="14" borderId="20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0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1" borderId="20" xfId="0" applyFill="1" applyBorder="1" applyAlignment="1">
      <alignment horizontal="right" wrapText="1"/>
    </xf>
    <xf numFmtId="0" fontId="0" fillId="15" borderId="0" xfId="0" applyFill="1" applyAlignment="1">
      <alignment horizontal="right" wrapText="1"/>
    </xf>
    <xf numFmtId="0" fontId="0" fillId="15" borderId="20" xfId="0" applyFill="1" applyBorder="1" applyAlignment="1">
      <alignment horizontal="right" wrapText="1"/>
    </xf>
    <xf numFmtId="0" fontId="0" fillId="16" borderId="0" xfId="0" applyFill="1" applyAlignment="1">
      <alignment horizontal="center" wrapText="1"/>
    </xf>
    <xf numFmtId="0" fontId="0" fillId="16" borderId="21" xfId="0" applyFill="1" applyBorder="1" applyAlignment="1">
      <alignment horizontal="center" wrapText="1"/>
    </xf>
    <xf numFmtId="0" fontId="0" fillId="13" borderId="18" xfId="0" applyFill="1" applyBorder="1"/>
    <xf numFmtId="0" fontId="0" fillId="0" borderId="18" xfId="0" applyBorder="1" applyAlignment="1">
      <alignment horizontal="left"/>
    </xf>
    <xf numFmtId="0" fontId="0" fillId="0" borderId="18" xfId="0" applyBorder="1"/>
    <xf numFmtId="14" fontId="0" fillId="0" borderId="18" xfId="0" applyNumberFormat="1" applyBorder="1"/>
    <xf numFmtId="0" fontId="0" fillId="0" borderId="18" xfId="0" applyBorder="1" applyAlignment="1">
      <alignment horizontal="right"/>
    </xf>
    <xf numFmtId="1" fontId="0" fillId="0" borderId="18" xfId="0" applyNumberFormat="1" applyBorder="1"/>
    <xf numFmtId="0" fontId="0" fillId="0" borderId="18" xfId="0" applyBorder="1" applyAlignment="1">
      <alignment horizontal="center"/>
    </xf>
    <xf numFmtId="1" fontId="0" fillId="11" borderId="18" xfId="0" applyNumberFormat="1" applyFill="1" applyBorder="1"/>
    <xf numFmtId="14" fontId="0" fillId="3" borderId="18" xfId="0" applyNumberFormat="1" applyFill="1" applyBorder="1"/>
    <xf numFmtId="49" fontId="2" fillId="15" borderId="13" xfId="0" applyNumberFormat="1" applyFont="1" applyFill="1" applyBorder="1" applyProtection="1">
      <protection hidden="1"/>
    </xf>
    <xf numFmtId="0" fontId="2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25" fillId="15" borderId="0" xfId="0" applyFont="1" applyFill="1" applyProtection="1">
      <protection hidden="1"/>
    </xf>
    <xf numFmtId="0" fontId="27" fillId="8" borderId="6" xfId="0" applyFont="1" applyFill="1" applyBorder="1" applyProtection="1">
      <protection hidden="1"/>
    </xf>
    <xf numFmtId="0" fontId="27" fillId="8" borderId="7" xfId="0" applyFont="1" applyFill="1" applyBorder="1" applyProtection="1">
      <protection hidden="1"/>
    </xf>
    <xf numFmtId="0" fontId="24" fillId="8" borderId="7" xfId="0" applyFont="1" applyFill="1" applyBorder="1" applyProtection="1">
      <protection hidden="1"/>
    </xf>
    <xf numFmtId="0" fontId="24" fillId="8" borderId="8" xfId="0" applyFont="1" applyFill="1" applyBorder="1" applyProtection="1">
      <protection hidden="1"/>
    </xf>
    <xf numFmtId="0" fontId="24" fillId="8" borderId="4" xfId="0" applyFont="1" applyFill="1" applyBorder="1" applyProtection="1">
      <protection hidden="1"/>
    </xf>
    <xf numFmtId="0" fontId="24" fillId="8" borderId="5" xfId="0" applyFont="1" applyFill="1" applyBorder="1" applyProtection="1">
      <protection hidden="1"/>
    </xf>
    <xf numFmtId="0" fontId="0" fillId="0" borderId="4" xfId="0" applyBorder="1" applyProtection="1">
      <protection hidden="1"/>
    </xf>
    <xf numFmtId="15" fontId="0" fillId="0" borderId="0" xfId="0" applyNumberFormat="1" applyAlignment="1" applyProtection="1">
      <alignment horizontal="left"/>
      <protection hidden="1"/>
    </xf>
    <xf numFmtId="3" fontId="0" fillId="0" borderId="0" xfId="0" applyNumberFormat="1" applyProtection="1">
      <protection hidden="1"/>
    </xf>
    <xf numFmtId="3" fontId="1" fillId="4" borderId="5" xfId="0" applyNumberFormat="1" applyFont="1" applyFill="1" applyBorder="1" applyAlignment="1" applyProtection="1">
      <alignment horizontal="right"/>
      <protection hidden="1"/>
    </xf>
    <xf numFmtId="0" fontId="0" fillId="0" borderId="9" xfId="0" applyBorder="1" applyProtection="1">
      <protection hidden="1"/>
    </xf>
    <xf numFmtId="0" fontId="0" fillId="0" borderId="10" xfId="0" applyBorder="1" applyProtection="1">
      <protection hidden="1"/>
    </xf>
    <xf numFmtId="15" fontId="0" fillId="0" borderId="10" xfId="0" applyNumberFormat="1" applyBorder="1" applyAlignment="1" applyProtection="1">
      <alignment horizontal="left"/>
      <protection hidden="1"/>
    </xf>
    <xf numFmtId="2" fontId="0" fillId="0" borderId="10" xfId="0" applyNumberFormat="1" applyBorder="1" applyProtection="1">
      <protection hidden="1"/>
    </xf>
    <xf numFmtId="3" fontId="0" fillId="0" borderId="10" xfId="0" applyNumberFormat="1" applyBorder="1" applyProtection="1">
      <protection hidden="1"/>
    </xf>
    <xf numFmtId="3" fontId="1" fillId="4" borderId="11" xfId="0" applyNumberFormat="1" applyFont="1" applyFill="1" applyBorder="1" applyAlignment="1" applyProtection="1">
      <alignment horizontal="right"/>
      <protection hidden="1"/>
    </xf>
    <xf numFmtId="14" fontId="0" fillId="15" borderId="0" xfId="0" applyNumberFormat="1" applyFill="1" applyProtection="1">
      <protection hidden="1"/>
    </xf>
    <xf numFmtId="14" fontId="0" fillId="9" borderId="18" xfId="0" applyNumberFormat="1" applyFill="1" applyBorder="1"/>
    <xf numFmtId="0" fontId="0" fillId="17" borderId="0" xfId="0" applyFill="1" applyProtection="1">
      <protection hidden="1"/>
    </xf>
    <xf numFmtId="0" fontId="0" fillId="18" borderId="0" xfId="0" applyFill="1" applyProtection="1">
      <protection hidden="1"/>
    </xf>
    <xf numFmtId="49" fontId="0" fillId="19" borderId="13" xfId="0" applyNumberFormat="1" applyFill="1" applyBorder="1" applyProtection="1">
      <protection hidden="1"/>
    </xf>
    <xf numFmtId="0" fontId="1" fillId="8" borderId="6" xfId="0" applyFont="1" applyFill="1" applyBorder="1" applyProtection="1">
      <protection hidden="1"/>
    </xf>
    <xf numFmtId="0" fontId="0" fillId="8" borderId="8" xfId="0" applyFill="1" applyBorder="1" applyProtection="1">
      <protection hidden="1"/>
    </xf>
    <xf numFmtId="0" fontId="2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25" fillId="19" borderId="0" xfId="0" applyFont="1" applyFill="1" applyProtection="1">
      <protection hidden="1"/>
    </xf>
    <xf numFmtId="14" fontId="0" fillId="19" borderId="0" xfId="0" applyNumberFormat="1" applyFill="1" applyProtection="1">
      <protection hidden="1"/>
    </xf>
    <xf numFmtId="0" fontId="2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25" fillId="20" borderId="0" xfId="0" applyFont="1" applyFill="1" applyProtection="1">
      <protection hidden="1"/>
    </xf>
    <xf numFmtId="49" fontId="0" fillId="20" borderId="13" xfId="0" applyNumberFormat="1" applyFill="1" applyBorder="1" applyProtection="1">
      <protection hidden="1"/>
    </xf>
    <xf numFmtId="0" fontId="2" fillId="0" borderId="18" xfId="0" applyFont="1" applyBorder="1" applyAlignment="1">
      <alignment horizontal="right"/>
    </xf>
    <xf numFmtId="14" fontId="0" fillId="20" borderId="0" xfId="0" applyNumberFormat="1" applyFill="1" applyProtection="1">
      <protection hidden="1"/>
    </xf>
    <xf numFmtId="14" fontId="0" fillId="21" borderId="18" xfId="0" applyNumberFormat="1" applyFill="1" applyBorder="1"/>
    <xf numFmtId="0" fontId="2" fillId="8" borderId="0" xfId="0" applyFont="1" applyFill="1" applyProtection="1">
      <protection hidden="1"/>
    </xf>
    <xf numFmtId="0" fontId="2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25" fillId="22" borderId="0" xfId="0" applyFont="1" applyFill="1" applyProtection="1">
      <protection hidden="1"/>
    </xf>
    <xf numFmtId="14" fontId="0" fillId="22" borderId="0" xfId="0" applyNumberFormat="1" applyFill="1" applyProtection="1">
      <protection hidden="1"/>
    </xf>
    <xf numFmtId="49" fontId="2" fillId="22" borderId="13" xfId="0" applyNumberFormat="1" applyFont="1" applyFill="1" applyBorder="1" applyProtection="1">
      <protection hidden="1"/>
    </xf>
    <xf numFmtId="2" fontId="0" fillId="0" borderId="18" xfId="0" applyNumberFormat="1" applyBorder="1"/>
    <xf numFmtId="0" fontId="2" fillId="0" borderId="18" xfId="0" applyFont="1" applyBorder="1" applyAlignment="1">
      <alignment horizontal="left"/>
    </xf>
    <xf numFmtId="49" fontId="2" fillId="23" borderId="13" xfId="0" applyNumberFormat="1" applyFont="1" applyFill="1" applyBorder="1" applyProtection="1">
      <protection hidden="1"/>
    </xf>
    <xf numFmtId="0" fontId="24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25" fillId="23" borderId="0" xfId="0" applyFont="1" applyFill="1" applyProtection="1">
      <protection hidden="1"/>
    </xf>
    <xf numFmtId="14" fontId="0" fillId="23" borderId="0" xfId="0" applyNumberFormat="1" applyFill="1" applyProtection="1">
      <protection hidden="1"/>
    </xf>
    <xf numFmtId="0" fontId="30" fillId="0" borderId="0" xfId="1"/>
    <xf numFmtId="0" fontId="27" fillId="24" borderId="22" xfId="0" applyFont="1" applyFill="1" applyBorder="1" applyAlignment="1" applyProtection="1">
      <alignment wrapText="1"/>
      <protection hidden="1"/>
    </xf>
    <xf numFmtId="0" fontId="27" fillId="24" borderId="2" xfId="0" applyFont="1" applyFill="1" applyBorder="1" applyAlignment="1" applyProtection="1">
      <alignment wrapText="1"/>
      <protection hidden="1"/>
    </xf>
    <xf numFmtId="0" fontId="24" fillId="24" borderId="2" xfId="0" applyFont="1" applyFill="1" applyBorder="1" applyAlignment="1" applyProtection="1">
      <alignment wrapText="1"/>
      <protection hidden="1"/>
    </xf>
    <xf numFmtId="0" fontId="25" fillId="24" borderId="23" xfId="0" applyFont="1" applyFill="1" applyBorder="1" applyAlignment="1" applyProtection="1">
      <alignment horizontal="right" wrapText="1"/>
      <protection hidden="1"/>
    </xf>
    <xf numFmtId="164" fontId="11" fillId="2" borderId="0" xfId="2" applyNumberFormat="1" applyFont="1" applyFill="1" applyProtection="1">
      <protection locked="0"/>
    </xf>
    <xf numFmtId="0" fontId="27" fillId="4" borderId="22" xfId="0" applyFont="1" applyFill="1" applyBorder="1" applyAlignment="1" applyProtection="1">
      <alignment wrapText="1"/>
      <protection hidden="1"/>
    </xf>
    <xf numFmtId="0" fontId="27" fillId="4" borderId="2" xfId="0" applyFont="1" applyFill="1" applyBorder="1" applyAlignment="1" applyProtection="1">
      <alignment wrapText="1"/>
      <protection hidden="1"/>
    </xf>
    <xf numFmtId="0" fontId="27" fillId="4" borderId="18" xfId="0" applyFont="1" applyFill="1" applyBorder="1" applyAlignment="1" applyProtection="1">
      <alignment wrapText="1"/>
      <protection hidden="1"/>
    </xf>
    <xf numFmtId="0" fontId="27" fillId="4" borderId="24" xfId="0" applyFont="1" applyFill="1" applyBorder="1" applyAlignment="1" applyProtection="1">
      <alignment wrapText="1"/>
      <protection hidden="1"/>
    </xf>
    <xf numFmtId="0" fontId="24" fillId="4" borderId="18" xfId="0" applyFont="1" applyFill="1" applyBorder="1" applyAlignment="1" applyProtection="1">
      <alignment wrapText="1"/>
      <protection hidden="1"/>
    </xf>
    <xf numFmtId="0" fontId="25" fillId="4" borderId="25" xfId="0" applyFont="1" applyFill="1" applyBorder="1" applyAlignment="1" applyProtection="1">
      <alignment horizontal="left" wrapText="1"/>
      <protection hidden="1"/>
    </xf>
    <xf numFmtId="0" fontId="27" fillId="25" borderId="22" xfId="0" applyFont="1" applyFill="1" applyBorder="1" applyAlignment="1" applyProtection="1">
      <alignment wrapText="1"/>
      <protection hidden="1"/>
    </xf>
    <xf numFmtId="0" fontId="27" fillId="25" borderId="2" xfId="0" applyFont="1" applyFill="1" applyBorder="1" applyAlignment="1" applyProtection="1">
      <alignment wrapText="1"/>
      <protection hidden="1"/>
    </xf>
    <xf numFmtId="0" fontId="24" fillId="25" borderId="2" xfId="0" applyFont="1" applyFill="1" applyBorder="1" applyAlignment="1" applyProtection="1">
      <alignment wrapText="1"/>
      <protection hidden="1"/>
    </xf>
    <xf numFmtId="0" fontId="25" fillId="25" borderId="23" xfId="0" applyFont="1" applyFill="1" applyBorder="1" applyAlignment="1" applyProtection="1">
      <alignment horizontal="right" wrapText="1"/>
      <protection hidden="1"/>
    </xf>
    <xf numFmtId="0" fontId="27" fillId="4" borderId="26" xfId="0" applyFont="1" applyFill="1" applyBorder="1" applyAlignment="1" applyProtection="1">
      <alignment wrapText="1"/>
      <protection hidden="1"/>
    </xf>
    <xf numFmtId="0" fontId="25" fillId="4" borderId="18" xfId="0" applyFont="1" applyFill="1" applyBorder="1" applyAlignment="1" applyProtection="1">
      <alignment horizontal="left" wrapText="1"/>
      <protection hidden="1"/>
    </xf>
    <xf numFmtId="0" fontId="27" fillId="24" borderId="26" xfId="0" applyFont="1" applyFill="1" applyBorder="1" applyAlignment="1" applyProtection="1">
      <alignment wrapText="1"/>
      <protection hidden="1"/>
    </xf>
    <xf numFmtId="0" fontId="25" fillId="24" borderId="24" xfId="0" applyFont="1" applyFill="1" applyBorder="1" applyAlignment="1" applyProtection="1">
      <alignment horizontal="right" wrapText="1"/>
      <protection hidden="1"/>
    </xf>
    <xf numFmtId="164" fontId="11" fillId="2" borderId="0" xfId="2" applyNumberFormat="1" applyFont="1" applyFill="1" applyBorder="1" applyProtection="1">
      <protection locked="0"/>
    </xf>
    <xf numFmtId="164" fontId="25" fillId="2" borderId="0" xfId="2" applyNumberFormat="1" applyFont="1" applyFill="1" applyBorder="1" applyProtection="1">
      <protection locked="0"/>
    </xf>
    <xf numFmtId="14" fontId="2" fillId="0" borderId="18" xfId="0" applyNumberFormat="1" applyFont="1" applyBorder="1"/>
    <xf numFmtId="0" fontId="24" fillId="26" borderId="0" xfId="3" applyFont="1" applyFill="1" applyProtection="1">
      <protection hidden="1"/>
    </xf>
    <xf numFmtId="0" fontId="0" fillId="26" borderId="0" xfId="0" applyFill="1"/>
    <xf numFmtId="49" fontId="2" fillId="26" borderId="13" xfId="0" applyNumberFormat="1" applyFont="1" applyFill="1" applyBorder="1" applyProtection="1">
      <protection hidden="1"/>
    </xf>
    <xf numFmtId="14" fontId="0" fillId="27" borderId="18" xfId="0" applyNumberFormat="1" applyFill="1" applyBorder="1"/>
    <xf numFmtId="0" fontId="0" fillId="28" borderId="0" xfId="0" applyFill="1"/>
    <xf numFmtId="0" fontId="32" fillId="28" borderId="0" xfId="0" applyFont="1" applyFill="1"/>
    <xf numFmtId="0" fontId="33" fillId="28" borderId="0" xfId="3" applyFont="1" applyFill="1" applyProtection="1">
      <protection hidden="1"/>
    </xf>
    <xf numFmtId="0" fontId="1" fillId="0" borderId="18" xfId="0" applyFont="1" applyBorder="1"/>
    <xf numFmtId="2" fontId="2" fillId="0" borderId="18" xfId="0" applyNumberFormat="1" applyFont="1" applyBorder="1"/>
    <xf numFmtId="2" fontId="1" fillId="0" borderId="0" xfId="0" applyNumberFormat="1" applyFont="1"/>
    <xf numFmtId="0" fontId="2" fillId="0" borderId="0" xfId="0" applyFont="1"/>
    <xf numFmtId="0" fontId="1" fillId="0" borderId="0" xfId="0" applyFont="1"/>
    <xf numFmtId="2" fontId="0" fillId="0" borderId="0" xfId="0" applyNumberFormat="1"/>
    <xf numFmtId="1" fontId="0" fillId="29" borderId="18" xfId="0" applyNumberFormat="1" applyFill="1" applyBorder="1"/>
    <xf numFmtId="1" fontId="0" fillId="0" borderId="0" xfId="0" applyNumberFormat="1"/>
    <xf numFmtId="0" fontId="32" fillId="30" borderId="0" xfId="0" applyFont="1" applyFill="1"/>
    <xf numFmtId="0" fontId="33" fillId="30" borderId="0" xfId="3" applyFont="1" applyFill="1" applyProtection="1">
      <protection hidden="1"/>
    </xf>
    <xf numFmtId="0" fontId="0" fillId="30" borderId="0" xfId="0" applyFill="1"/>
    <xf numFmtId="49" fontId="32" fillId="31" borderId="13" xfId="0" applyNumberFormat="1" applyFont="1" applyFill="1" applyBorder="1" applyProtection="1">
      <protection hidden="1"/>
    </xf>
    <xf numFmtId="49" fontId="32" fillId="30" borderId="13" xfId="0" applyNumberFormat="1" applyFont="1" applyFill="1" applyBorder="1" applyProtection="1">
      <protection hidden="1"/>
    </xf>
  </cellXfs>
  <cellStyles count="4">
    <cellStyle name="Comma" xfId="2" builtinId="3"/>
    <cellStyle name="Hyperlink" xfId="1" builtinId="8"/>
    <cellStyle name="Normal" xfId="0" builtinId="0"/>
    <cellStyle name="Normal 2" xfId="3" xr:uid="{78FC1E33-1101-7C42-8A94-AAB29423774C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6</xdr:row>
      <xdr:rowOff>0</xdr:rowOff>
    </xdr:from>
    <xdr:to>
      <xdr:col>11</xdr:col>
      <xdr:colOff>393700</xdr:colOff>
      <xdr:row>10</xdr:row>
      <xdr:rowOff>32385</xdr:rowOff>
    </xdr:to>
    <xdr:pic>
      <xdr:nvPicPr>
        <xdr:cNvPr id="2" name="Picture 1" descr="Alviss-Consulting-Logo-Inline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1028700"/>
          <a:ext cx="1587500" cy="71818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11</xdr:col>
      <xdr:colOff>357019</xdr:colOff>
      <xdr:row>4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0"/>
          <a:ext cx="4484519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hyperlink" Target="https://www.energymadeeasy.gov.au/plan?id=ENE19248SRG8&amp;postcode=5000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J114"/>
  <sheetViews>
    <sheetView showGridLines="0" workbookViewId="0">
      <selection activeCell="O21" sqref="O21:P29"/>
    </sheetView>
  </sheetViews>
  <sheetFormatPr baseColWidth="10" defaultRowHeight="13" x14ac:dyDescent="0.15"/>
  <cols>
    <col min="1" max="11" width="10.83203125" style="22"/>
    <col min="12" max="12" width="14.1640625" style="22" customWidth="1"/>
    <col min="13" max="13" width="12.1640625" style="22" customWidth="1"/>
    <col min="14" max="14" width="12" style="22" customWidth="1"/>
    <col min="15" max="15" width="12.1640625" style="22" customWidth="1"/>
    <col min="16" max="17" width="10.83203125" style="22"/>
    <col min="18" max="18" width="14.6640625" style="22" customWidth="1"/>
    <col min="19" max="19" width="19.33203125" style="22" customWidth="1"/>
    <col min="20" max="16384" width="10.83203125" style="22"/>
  </cols>
  <sheetData>
    <row r="1" spans="1:36" ht="14" x14ac:dyDescent="0.15">
      <c r="A1" s="43" t="s">
        <v>33</v>
      </c>
      <c r="B1" s="44"/>
      <c r="C1" s="44"/>
      <c r="D1" s="44"/>
      <c r="E1" s="44"/>
      <c r="F1" s="44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</row>
    <row r="2" spans="1:36" ht="14" thickBot="1" x14ac:dyDescent="0.2">
      <c r="A2" s="46" t="s">
        <v>34</v>
      </c>
      <c r="B2" s="47"/>
      <c r="C2" s="47"/>
      <c r="D2" s="47"/>
      <c r="E2" s="47"/>
      <c r="F2" s="48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</row>
    <row r="3" spans="1:36" ht="14" x14ac:dyDescent="0.15">
      <c r="A3" s="52" t="s">
        <v>215</v>
      </c>
      <c r="B3" s="44"/>
      <c r="C3" s="44"/>
      <c r="D3" s="44"/>
      <c r="E3" s="44"/>
      <c r="F3" s="45"/>
      <c r="G3" s="45"/>
      <c r="H3" s="45"/>
      <c r="I3" s="45"/>
      <c r="J3" s="45"/>
      <c r="K3" s="45"/>
      <c r="L3" s="45"/>
      <c r="M3" s="49" t="s">
        <v>123</v>
      </c>
      <c r="N3" s="50"/>
      <c r="O3" s="50"/>
      <c r="P3" s="50"/>
      <c r="Q3" s="50"/>
      <c r="R3" s="50"/>
      <c r="S3" s="51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</row>
    <row r="4" spans="1:36" x14ac:dyDescent="0.15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53" t="s">
        <v>154</v>
      </c>
      <c r="N4" s="54"/>
      <c r="O4" s="54"/>
      <c r="P4" s="54"/>
      <c r="Q4" s="54"/>
      <c r="R4" s="54"/>
      <c r="S4" s="5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</row>
    <row r="5" spans="1:36" x14ac:dyDescent="0.15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53" t="s">
        <v>155</v>
      </c>
      <c r="N5" s="54"/>
      <c r="O5" s="54"/>
      <c r="P5" s="54"/>
      <c r="Q5" s="54"/>
      <c r="R5" s="54"/>
      <c r="S5" s="5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</row>
    <row r="6" spans="1:36" x14ac:dyDescent="0.15">
      <c r="A6" s="44" t="s">
        <v>118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53" t="s">
        <v>13</v>
      </c>
      <c r="N6" s="54"/>
      <c r="O6" s="54"/>
      <c r="P6" s="54"/>
      <c r="Q6" s="54"/>
      <c r="R6" s="54"/>
      <c r="S6" s="5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</row>
    <row r="7" spans="1:36" ht="14" thickBot="1" x14ac:dyDescent="0.2">
      <c r="A7" s="45" t="s">
        <v>122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56" t="s">
        <v>14</v>
      </c>
      <c r="N7" s="57"/>
      <c r="O7" s="57"/>
      <c r="P7" s="57"/>
      <c r="Q7" s="57"/>
      <c r="R7" s="57"/>
      <c r="S7" s="58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</row>
    <row r="8" spans="1:36" x14ac:dyDescent="0.15">
      <c r="A8" s="45" t="s">
        <v>60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</row>
    <row r="9" spans="1:36" ht="14" thickBot="1" x14ac:dyDescent="0.2">
      <c r="A9" s="45" t="s">
        <v>73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</row>
    <row r="10" spans="1:36" x14ac:dyDescent="0.15">
      <c r="A10" s="45" t="s">
        <v>153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9" t="s">
        <v>67</v>
      </c>
      <c r="N10" s="50"/>
      <c r="O10" s="50"/>
      <c r="P10" s="50"/>
      <c r="Q10" s="50"/>
      <c r="R10" s="50"/>
      <c r="S10" s="50"/>
      <c r="T10" s="50"/>
      <c r="U10" s="51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</row>
    <row r="11" spans="1:36" x14ac:dyDescent="0.15">
      <c r="A11" s="45"/>
      <c r="B11" s="45"/>
      <c r="C11" s="45"/>
      <c r="D11" s="45"/>
      <c r="E11" s="45"/>
      <c r="F11" s="45"/>
      <c r="G11" s="45"/>
      <c r="H11" s="45"/>
      <c r="I11" s="45"/>
      <c r="K11" s="45"/>
      <c r="L11" s="45"/>
      <c r="M11" s="53" t="s">
        <v>108</v>
      </c>
      <c r="N11" s="54"/>
      <c r="O11" s="54"/>
      <c r="P11" s="54"/>
      <c r="Q11" s="54"/>
      <c r="R11" s="54"/>
      <c r="S11" s="54"/>
      <c r="T11" s="54"/>
      <c r="U11" s="5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</row>
    <row r="12" spans="1:36" ht="14" x14ac:dyDescent="0.15">
      <c r="A12" s="89" t="s">
        <v>119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53" t="s">
        <v>37</v>
      </c>
      <c r="N12" s="54"/>
      <c r="O12" s="54"/>
      <c r="P12" s="54"/>
      <c r="Q12" s="54"/>
      <c r="R12" s="54"/>
      <c r="S12" s="54"/>
      <c r="T12" s="54"/>
      <c r="U12" s="5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</row>
    <row r="13" spans="1:36" ht="14" x14ac:dyDescent="0.15">
      <c r="A13" s="73" t="s">
        <v>120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53" t="s">
        <v>72</v>
      </c>
      <c r="N13" s="54"/>
      <c r="O13" s="54"/>
      <c r="P13" s="54"/>
      <c r="Q13" s="54"/>
      <c r="R13" s="54"/>
      <c r="S13" s="54"/>
      <c r="T13" s="54"/>
      <c r="U13" s="5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</row>
    <row r="14" spans="1:36" x14ac:dyDescent="0.1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53" t="s">
        <v>117</v>
      </c>
      <c r="N14" s="54"/>
      <c r="O14" s="54"/>
      <c r="P14" s="54"/>
      <c r="Q14" s="54"/>
      <c r="R14" s="54"/>
      <c r="S14" s="54"/>
      <c r="T14" s="54"/>
      <c r="U14" s="5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</row>
    <row r="15" spans="1:36" x14ac:dyDescent="0.15">
      <c r="A15" s="44" t="s">
        <v>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53" t="s">
        <v>12</v>
      </c>
      <c r="N15" s="54"/>
      <c r="O15" s="54"/>
      <c r="P15" s="54"/>
      <c r="Q15" s="54"/>
      <c r="R15" s="54"/>
      <c r="S15" s="54"/>
      <c r="T15" s="54"/>
      <c r="U15" s="5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</row>
    <row r="16" spans="1:36" x14ac:dyDescent="0.15">
      <c r="A16" s="154" t="s">
        <v>227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53" t="s">
        <v>124</v>
      </c>
      <c r="N16" s="54"/>
      <c r="O16" s="54"/>
      <c r="P16" s="54"/>
      <c r="Q16" s="54"/>
      <c r="R16" s="54"/>
      <c r="S16" s="54"/>
      <c r="T16" s="54"/>
      <c r="U16" s="5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</row>
    <row r="17" spans="1:36" x14ac:dyDescent="0.15">
      <c r="A17" s="154" t="s">
        <v>228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53" t="s">
        <v>156</v>
      </c>
      <c r="N17" s="54"/>
      <c r="O17" s="54"/>
      <c r="P17" s="54"/>
      <c r="Q17" s="54"/>
      <c r="R17" s="54"/>
      <c r="S17" s="54"/>
      <c r="T17" s="54"/>
      <c r="U17" s="5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</row>
    <row r="18" spans="1:36" ht="14" thickBot="1" x14ac:dyDescent="0.2">
      <c r="A18" s="154" t="s">
        <v>229</v>
      </c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56" t="s">
        <v>64</v>
      </c>
      <c r="N18" s="57"/>
      <c r="O18" s="57"/>
      <c r="P18" s="57"/>
      <c r="Q18" s="57"/>
      <c r="R18" s="57"/>
      <c r="S18" s="57"/>
      <c r="T18" s="57"/>
      <c r="U18" s="58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</row>
    <row r="19" spans="1:36" x14ac:dyDescent="0.15">
      <c r="A19" s="154" t="s">
        <v>230</v>
      </c>
      <c r="B19" s="45"/>
      <c r="C19" s="45"/>
      <c r="D19" s="45"/>
      <c r="E19" s="45"/>
      <c r="F19" s="45"/>
      <c r="G19" s="45"/>
      <c r="I19" s="45"/>
      <c r="J19" s="45"/>
      <c r="K19" s="45"/>
      <c r="L19" s="45"/>
      <c r="M19" s="54"/>
      <c r="N19" s="54"/>
      <c r="O19" s="54"/>
      <c r="P19" s="54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</row>
    <row r="20" spans="1:36" ht="14" thickBot="1" x14ac:dyDescent="0.2">
      <c r="A20" s="154" t="s">
        <v>231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</row>
    <row r="21" spans="1:36" x14ac:dyDescent="0.15">
      <c r="A21" s="154" t="s">
        <v>232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59" t="s">
        <v>66</v>
      </c>
      <c r="N21" s="45"/>
      <c r="O21" s="141" t="s">
        <v>177</v>
      </c>
      <c r="P21" s="142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</row>
    <row r="22" spans="1:36" x14ac:dyDescent="0.15">
      <c r="A22" s="45" t="s">
        <v>165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209" t="s">
        <v>226</v>
      </c>
      <c r="N22" s="45"/>
      <c r="O22" s="68" t="s">
        <v>77</v>
      </c>
      <c r="P22" s="69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</row>
    <row r="23" spans="1:36" x14ac:dyDescent="0.15">
      <c r="A23" s="45" t="s">
        <v>166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08" t="s">
        <v>214</v>
      </c>
      <c r="N23" s="45"/>
      <c r="O23" s="68" t="s">
        <v>172</v>
      </c>
      <c r="P23" s="69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</row>
    <row r="24" spans="1:36" x14ac:dyDescent="0.15">
      <c r="A24" s="45" t="s">
        <v>167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192" t="s">
        <v>208</v>
      </c>
      <c r="N24" s="45"/>
      <c r="O24" s="68" t="s">
        <v>173</v>
      </c>
      <c r="P24" s="69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</row>
    <row r="25" spans="1:36" x14ac:dyDescent="0.15">
      <c r="A25" s="45" t="s">
        <v>168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162" t="s">
        <v>188</v>
      </c>
      <c r="N25" s="45"/>
      <c r="O25" s="68" t="s">
        <v>174</v>
      </c>
      <c r="P25" s="69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</row>
    <row r="26" spans="1:36" x14ac:dyDescent="0.15">
      <c r="A26" s="45" t="s">
        <v>169</v>
      </c>
      <c r="B26" s="45"/>
      <c r="C26" s="45"/>
      <c r="D26" s="45"/>
      <c r="E26" s="45"/>
      <c r="F26" s="45"/>
      <c r="G26" s="45"/>
      <c r="I26" s="45"/>
      <c r="J26" s="45"/>
      <c r="K26" s="45"/>
      <c r="L26" s="45"/>
      <c r="M26" s="159" t="s">
        <v>182</v>
      </c>
      <c r="N26" s="45"/>
      <c r="O26" s="68" t="s">
        <v>175</v>
      </c>
      <c r="P26" s="69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</row>
    <row r="27" spans="1:36" x14ac:dyDescent="0.15">
      <c r="A27" s="154" t="s">
        <v>209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150" t="s">
        <v>178</v>
      </c>
      <c r="N27" s="45"/>
      <c r="O27" s="68" t="s">
        <v>176</v>
      </c>
      <c r="P27" s="69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</row>
    <row r="28" spans="1:36" x14ac:dyDescent="0.15">
      <c r="A28" s="154" t="s">
        <v>210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140" t="s">
        <v>171</v>
      </c>
      <c r="N28" s="45"/>
      <c r="O28" s="68" t="s">
        <v>185</v>
      </c>
      <c r="P28" s="69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</row>
    <row r="29" spans="1:36" ht="14" thickBot="1" x14ac:dyDescent="0.2">
      <c r="A29" s="154" t="s">
        <v>211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116" t="s">
        <v>104</v>
      </c>
      <c r="N29" s="45"/>
      <c r="O29" s="70" t="s">
        <v>200</v>
      </c>
      <c r="P29" s="72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</row>
    <row r="30" spans="1:36" x14ac:dyDescent="0.15">
      <c r="A30" s="154" t="s">
        <v>212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81" t="s">
        <v>56</v>
      </c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</row>
    <row r="31" spans="1:36" x14ac:dyDescent="0.15">
      <c r="A31" s="154" t="s">
        <v>213</v>
      </c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74" t="s">
        <v>4</v>
      </c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</row>
    <row r="32" spans="1:36" x14ac:dyDescent="0.15">
      <c r="A32" s="154" t="s">
        <v>216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60" t="s">
        <v>74</v>
      </c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</row>
    <row r="33" spans="1:36" x14ac:dyDescent="0.15">
      <c r="A33" s="154" t="s">
        <v>233</v>
      </c>
      <c r="H33" s="45"/>
      <c r="I33" s="45"/>
      <c r="J33" s="45"/>
      <c r="K33" s="45"/>
      <c r="L33" s="45"/>
      <c r="M33" s="61" t="s">
        <v>59</v>
      </c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</row>
    <row r="34" spans="1:36" ht="14" x14ac:dyDescent="0.15">
      <c r="A34" s="73" t="s">
        <v>170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62" t="s">
        <v>38</v>
      </c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</row>
    <row r="35" spans="1:36" x14ac:dyDescent="0.15">
      <c r="A35" s="44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63" t="s">
        <v>1</v>
      </c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</row>
    <row r="36" spans="1:36" ht="14" thickBot="1" x14ac:dyDescent="0.2">
      <c r="A36" s="44" t="s">
        <v>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/>
      <c r="M36" s="64" t="s">
        <v>125</v>
      </c>
      <c r="N36"/>
      <c r="O36"/>
      <c r="P36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</row>
    <row r="37" spans="1:36" ht="14" thickBot="1" x14ac:dyDescent="0.2">
      <c r="A37" s="154" t="s">
        <v>225</v>
      </c>
      <c r="B37" s="45"/>
      <c r="C37" s="45"/>
      <c r="D37" s="45"/>
      <c r="E37" s="45"/>
      <c r="F37" s="45"/>
      <c r="H37" s="45"/>
      <c r="I37" s="45"/>
      <c r="J37" s="45"/>
      <c r="K37" s="45"/>
      <c r="L37"/>
      <c r="M37"/>
      <c r="N37"/>
      <c r="O37"/>
      <c r="P37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</row>
    <row r="38" spans="1:36" x14ac:dyDescent="0.15">
      <c r="A38" s="45" t="s">
        <v>26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/>
      <c r="M38" s="65" t="s">
        <v>76</v>
      </c>
      <c r="N38" s="66"/>
      <c r="O38" s="67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</row>
    <row r="39" spans="1:36" x14ac:dyDescent="0.1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/>
      <c r="M39" s="68" t="s">
        <v>0</v>
      </c>
      <c r="N39" s="45"/>
      <c r="O39" s="69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</row>
    <row r="40" spans="1:36" x14ac:dyDescent="0.15">
      <c r="A40" s="45" t="s">
        <v>186</v>
      </c>
      <c r="B40" s="45"/>
      <c r="C40" s="45"/>
      <c r="D40" s="45"/>
      <c r="E40" s="45"/>
      <c r="F40" s="139"/>
      <c r="G40" s="45"/>
      <c r="H40" s="45"/>
      <c r="I40" s="45"/>
      <c r="J40" s="45"/>
      <c r="K40" s="45"/>
      <c r="L40"/>
      <c r="M40" s="68" t="s">
        <v>31</v>
      </c>
      <c r="N40" s="45"/>
      <c r="O40" s="69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</row>
    <row r="41" spans="1:36" x14ac:dyDescent="0.15">
      <c r="A41" s="45" t="s">
        <v>75</v>
      </c>
      <c r="B41" s="45"/>
      <c r="C41" s="45"/>
      <c r="D41" s="45"/>
      <c r="E41" s="45"/>
      <c r="F41" s="45"/>
      <c r="G41" s="138"/>
      <c r="H41" s="45"/>
      <c r="I41" s="45"/>
      <c r="J41" s="45"/>
      <c r="K41" s="45"/>
      <c r="L41"/>
      <c r="M41" s="68" t="s">
        <v>47</v>
      </c>
      <c r="N41" s="45"/>
      <c r="O41" s="69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</row>
    <row r="42" spans="1:36" x14ac:dyDescent="0.15">
      <c r="A42" s="154" t="s">
        <v>184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/>
      <c r="M42" s="68" t="s">
        <v>35</v>
      </c>
      <c r="N42" s="45"/>
      <c r="O42" s="69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</row>
    <row r="43" spans="1:36" ht="14" thickBot="1" x14ac:dyDescent="0.2">
      <c r="A43" s="154" t="s">
        <v>183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/>
      <c r="M43" s="70" t="s">
        <v>36</v>
      </c>
      <c r="N43" s="71"/>
      <c r="O43" s="72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</row>
    <row r="44" spans="1:36" x14ac:dyDescent="0.1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</row>
    <row r="45" spans="1:36" x14ac:dyDescent="0.15">
      <c r="A45" s="45" t="s">
        <v>121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</row>
    <row r="46" spans="1:36" x14ac:dyDescent="0.1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</row>
    <row r="47" spans="1:36" x14ac:dyDescent="0.1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</row>
    <row r="48" spans="1:36" x14ac:dyDescent="0.1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</row>
    <row r="49" spans="1:36" x14ac:dyDescent="0.1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</row>
    <row r="50" spans="1:36" x14ac:dyDescent="0.1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</row>
    <row r="51" spans="1:36" x14ac:dyDescent="0.1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</row>
    <row r="52" spans="1:36" x14ac:dyDescent="0.1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</row>
    <row r="53" spans="1:36" x14ac:dyDescent="0.1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</row>
    <row r="54" spans="1:36" x14ac:dyDescent="0.1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</row>
    <row r="55" spans="1:36" x14ac:dyDescent="0.1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</row>
    <row r="56" spans="1:36" x14ac:dyDescent="0.1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</row>
    <row r="57" spans="1:36" x14ac:dyDescent="0.1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</row>
    <row r="58" spans="1:36" x14ac:dyDescent="0.1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</row>
    <row r="59" spans="1:36" x14ac:dyDescent="0.1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</row>
    <row r="60" spans="1:36" x14ac:dyDescent="0.1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</row>
    <row r="61" spans="1:36" x14ac:dyDescent="0.1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</row>
    <row r="62" spans="1:36" x14ac:dyDescent="0.1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</row>
    <row r="63" spans="1:36" x14ac:dyDescent="0.1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</row>
    <row r="64" spans="1:36" x14ac:dyDescent="0.1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</row>
    <row r="65" spans="1:36" x14ac:dyDescent="0.1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</row>
    <row r="66" spans="1:36" x14ac:dyDescent="0.1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</row>
    <row r="67" spans="1:36" x14ac:dyDescent="0.1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</row>
    <row r="68" spans="1:36" x14ac:dyDescent="0.1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</row>
    <row r="69" spans="1:36" x14ac:dyDescent="0.1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</row>
    <row r="70" spans="1:36" x14ac:dyDescent="0.1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</row>
    <row r="71" spans="1:36" x14ac:dyDescent="0.1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</row>
    <row r="72" spans="1:36" x14ac:dyDescent="0.1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</row>
    <row r="73" spans="1:36" x14ac:dyDescent="0.1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</row>
    <row r="74" spans="1:36" x14ac:dyDescent="0.1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</row>
    <row r="75" spans="1:36" x14ac:dyDescent="0.1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</row>
    <row r="76" spans="1:36" x14ac:dyDescent="0.1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</row>
    <row r="77" spans="1:36" x14ac:dyDescent="0.1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</row>
    <row r="78" spans="1:36" x14ac:dyDescent="0.1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</row>
    <row r="79" spans="1:36" x14ac:dyDescent="0.1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</row>
    <row r="80" spans="1:36" x14ac:dyDescent="0.1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</row>
    <row r="81" spans="1:36" x14ac:dyDescent="0.1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</row>
    <row r="82" spans="1:36" x14ac:dyDescent="0.1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</row>
    <row r="83" spans="1:36" x14ac:dyDescent="0.1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</row>
    <row r="84" spans="1:36" x14ac:dyDescent="0.1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</row>
    <row r="85" spans="1:36" x14ac:dyDescent="0.1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</row>
    <row r="86" spans="1:36" x14ac:dyDescent="0.1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</row>
    <row r="87" spans="1:36" x14ac:dyDescent="0.1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</row>
    <row r="88" spans="1:36" x14ac:dyDescent="0.1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</row>
    <row r="89" spans="1:36" x14ac:dyDescent="0.1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</row>
    <row r="90" spans="1:36" x14ac:dyDescent="0.1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</row>
    <row r="91" spans="1:36" x14ac:dyDescent="0.1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</row>
    <row r="92" spans="1:36" x14ac:dyDescent="0.1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</row>
    <row r="93" spans="1:36" x14ac:dyDescent="0.1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</row>
    <row r="94" spans="1:36" x14ac:dyDescent="0.1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</row>
    <row r="95" spans="1:36" x14ac:dyDescent="0.1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</row>
    <row r="96" spans="1:36" x14ac:dyDescent="0.1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</row>
    <row r="97" spans="1:36" x14ac:dyDescent="0.1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</row>
    <row r="98" spans="1:36" x14ac:dyDescent="0.1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</row>
    <row r="99" spans="1:36" x14ac:dyDescent="0.1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</row>
    <row r="100" spans="1:36" x14ac:dyDescent="0.1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</row>
    <row r="101" spans="1:36" x14ac:dyDescent="0.1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</row>
    <row r="102" spans="1:36" x14ac:dyDescent="0.1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</row>
    <row r="103" spans="1:36" x14ac:dyDescent="0.1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</row>
    <row r="104" spans="1:36" x14ac:dyDescent="0.1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</row>
    <row r="105" spans="1:36" x14ac:dyDescent="0.1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</row>
    <row r="106" spans="1:36" x14ac:dyDescent="0.1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</row>
    <row r="107" spans="1:36" x14ac:dyDescent="0.1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</row>
    <row r="108" spans="1:36" x14ac:dyDescent="0.1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</row>
    <row r="109" spans="1:36" x14ac:dyDescent="0.1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</row>
    <row r="110" spans="1:36" x14ac:dyDescent="0.1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</row>
    <row r="111" spans="1:36" x14ac:dyDescent="0.1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</row>
    <row r="112" spans="1:36" x14ac:dyDescent="0.15">
      <c r="A112" s="45"/>
      <c r="B112" s="45"/>
      <c r="C112" s="45"/>
      <c r="D112" s="45"/>
      <c r="E112" s="45"/>
      <c r="F112" s="45"/>
      <c r="G112" s="45"/>
      <c r="H112" s="45"/>
      <c r="I112" s="45"/>
      <c r="M112" s="45"/>
      <c r="N112" s="45"/>
      <c r="O112" s="45"/>
      <c r="P112" s="45"/>
    </row>
    <row r="113" spans="1:9" x14ac:dyDescent="0.15">
      <c r="A113" s="45"/>
      <c r="B113" s="45"/>
      <c r="C113" s="45"/>
      <c r="D113" s="45"/>
      <c r="E113" s="45"/>
      <c r="F113" s="45"/>
      <c r="G113" s="45"/>
      <c r="H113" s="45"/>
      <c r="I113" s="45"/>
    </row>
    <row r="114" spans="1:9" x14ac:dyDescent="0.15">
      <c r="A114" s="45"/>
      <c r="B114" s="45"/>
      <c r="C114" s="45"/>
      <c r="D114" s="45"/>
      <c r="E114" s="45"/>
      <c r="F114" s="45"/>
      <c r="G114" s="45"/>
    </row>
  </sheetData>
  <sheetProtection algorithmName="SHA-512" hashValue="hCx6I5xlr820q5i1wt2+ytkDKt5jnEPWjzSZXh/Xp94cfBadoWZy2lxYmwgYIe4p/5xNnfKEGE+LslLNBX3cyg==" saltValue="PilSr3wcKLluNvH6UwEyvg==" spinCount="100000" sheet="1" objects="1" scenarios="1"/>
  <phoneticPr fontId="9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K45"/>
  <sheetViews>
    <sheetView zoomScale="150" workbookViewId="0">
      <selection activeCell="F5" sqref="F5"/>
    </sheetView>
  </sheetViews>
  <sheetFormatPr baseColWidth="10" defaultRowHeight="13" x14ac:dyDescent="0.15"/>
  <cols>
    <col min="1" max="1" width="14.1640625" style="22" customWidth="1"/>
    <col min="2" max="2" width="3.5" style="22" customWidth="1"/>
    <col min="3" max="11" width="10" style="22" customWidth="1"/>
    <col min="12" max="16384" width="10.83203125" style="22"/>
  </cols>
  <sheetData>
    <row r="1" spans="1:11" x14ac:dyDescent="0.15">
      <c r="A1" s="21" t="s">
        <v>57</v>
      </c>
    </row>
    <row r="2" spans="1:11" x14ac:dyDescent="0.15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</row>
    <row r="3" spans="1:11" x14ac:dyDescent="0.15">
      <c r="A3" s="24" t="s">
        <v>55</v>
      </c>
    </row>
    <row r="5" spans="1:11" x14ac:dyDescent="0.15">
      <c r="A5" s="25" t="s">
        <v>65</v>
      </c>
      <c r="B5" s="25"/>
      <c r="C5" s="25" t="s">
        <v>187</v>
      </c>
      <c r="F5" s="34">
        <v>5250</v>
      </c>
    </row>
    <row r="6" spans="1:11" x14ac:dyDescent="0.15">
      <c r="C6" s="26"/>
      <c r="D6" s="26"/>
      <c r="E6" s="26"/>
      <c r="F6" s="26"/>
      <c r="G6" s="26"/>
      <c r="H6" s="26"/>
      <c r="I6" s="26"/>
      <c r="J6" s="26"/>
      <c r="K6" s="26"/>
    </row>
    <row r="7" spans="1:11" x14ac:dyDescent="0.15">
      <c r="A7" s="27" t="s">
        <v>84</v>
      </c>
    </row>
    <row r="8" spans="1:11" x14ac:dyDescent="0.15">
      <c r="C8" s="28"/>
      <c r="D8" s="28"/>
      <c r="E8" s="28"/>
      <c r="F8" s="28"/>
      <c r="G8" s="28"/>
    </row>
    <row r="9" spans="1:11" x14ac:dyDescent="0.15">
      <c r="A9" s="25" t="s">
        <v>152</v>
      </c>
      <c r="C9" s="86" t="s">
        <v>82</v>
      </c>
      <c r="D9" s="86" t="s">
        <v>77</v>
      </c>
      <c r="E9" s="86" t="s">
        <v>78</v>
      </c>
      <c r="F9" s="86" t="s">
        <v>81</v>
      </c>
      <c r="G9" s="86" t="s">
        <v>79</v>
      </c>
      <c r="H9" s="86" t="s">
        <v>41</v>
      </c>
    </row>
    <row r="10" spans="1:11" x14ac:dyDescent="0.15">
      <c r="A10" s="22" t="s">
        <v>28</v>
      </c>
      <c r="C10" s="28">
        <f>IF($F5&gt;'Tariffs Jul''15'!E7,('Tariffs Jul''15'!E7*'Tariffs Jul''15'!E9/100*1.1),('Bills Jul''15'!$F5*'Tariffs Jul''15'!E9/100*1.1))</f>
        <v>203.79150000000001</v>
      </c>
      <c r="D10" s="28">
        <f>IF($F5&gt;'Tariffs Jul''15'!F7,('Tariffs Jul''15'!F7*'Tariffs Jul''15'!F9/100*1.1),('Bills Jul''15'!$F5*'Tariffs Jul''15'!F9/100*1.1))</f>
        <v>117.17750000000001</v>
      </c>
      <c r="E10" s="28">
        <f>IF($F5&gt;'Tariffs Jul''15'!G7,('Tariffs Jul''15'!G7*'Tariffs Jul''15'!G9/100*1.1),('Bills Jul''15'!$F5*'Tariffs Jul''15'!G9/100*1.1))</f>
        <v>113.30000000000001</v>
      </c>
      <c r="F10" s="28">
        <f>IF($F5&gt;'Tariffs Jul''15'!H7,('Tariffs Jul''15'!H7*'Tariffs Jul''15'!H9/100*1.1),('Bills Jul''15'!$F5*'Tariffs Jul''15'!H9/100*1.1))</f>
        <v>128.97500000000002</v>
      </c>
      <c r="G10" s="28">
        <f>IF($F5&gt;'Tariffs Jul''15'!I7,('Tariffs Jul''15'!I7*'Tariffs Jul''15'!I9/100*1.1),('Bills Jul''15'!$F5*'Tariffs Jul''15'!I9/100*1.1))</f>
        <v>201.96</v>
      </c>
      <c r="H10" s="29"/>
    </row>
    <row r="11" spans="1:11" x14ac:dyDescent="0.15">
      <c r="A11" s="22" t="s">
        <v>40</v>
      </c>
      <c r="C11" s="28">
        <f>IF($F5&lt;'Tariffs Jul''15'!E7,0,IF($F5&lt;='Tariffs Jul''15'!E8,($F5-'Tariffs Jul''15'!E7)*('Tariffs Jul''15'!E10/100*1.1),('Tariffs Jul''15'!E8-'Tariffs Jul''15'!E7)*('Tariffs Jul''15'!E10/100*1.1)))</f>
        <v>0</v>
      </c>
      <c r="D11" s="28">
        <f>IF($F5&lt;'Tariffs Jul''15'!F7,0,IF($F5&lt;='Tariffs Jul''15'!F8,($F5-'Tariffs Jul''15'!F7)*('Tariffs Jul''15'!F10/100*1.1),('Tariffs Jul''15'!F8-'Tariffs Jul''15'!F7)*('Tariffs Jul''15'!F10/100*1.1)))</f>
        <v>77.814000000000007</v>
      </c>
      <c r="E11" s="28">
        <f>IF($F5&lt;'Tariffs Jul''15'!G7,0,IF($F5&lt;='Tariffs Jul''15'!G8,($F5-'Tariffs Jul''15'!G7)*('Tariffs Jul''15'!G10/100*1.1),('Tariffs Jul''15'!G8-'Tariffs Jul''15'!G7)*('Tariffs Jul''15'!G10/100*1.1)))</f>
        <v>90.186800000000005</v>
      </c>
      <c r="F11" s="28">
        <f>IF($F5&lt;'Tariffs Jul''15'!H7,0,IF($F5&lt;='Tariffs Jul''15'!H8,($F5-'Tariffs Jul''15'!H7)*('Tariffs Jul''15'!H10/100*1.1),('Tariffs Jul''15'!H8-'Tariffs Jul''15'!H7)*('Tariffs Jul''15'!H10/100*1.1)))</f>
        <v>62.260000000000012</v>
      </c>
      <c r="G11" s="28">
        <f>IF($F5&lt;'Tariffs Jul''15'!I7,0,IF($F5&lt;='Tariffs Jul''15'!I8,($F5-'Tariffs Jul''15'!I7)*('Tariffs Jul''15'!I10/100*1.1),('Tariffs Jul''15'!I8-'Tariffs Jul''15'!I7)*('Tariffs Jul''15'!I10/100*1.1)))</f>
        <v>0</v>
      </c>
      <c r="H11" s="29"/>
    </row>
    <row r="12" spans="1:11" x14ac:dyDescent="0.15">
      <c r="A12" s="22" t="s">
        <v>29</v>
      </c>
      <c r="C12" s="28">
        <f>IF(($F5&lt;'Tariffs Jul''15'!E8),(0),($F5-'Tariffs Jul''15'!E8)*'Tariffs Jul''15'!E11/100*1.1)</f>
        <v>15.526500000000002</v>
      </c>
      <c r="D12" s="28">
        <f>IF(($F5&lt;'Tariffs Jul''15'!F8),(0),($F5-'Tariffs Jul''15'!F8)*'Tariffs Jul''15'!F11/100*1.1)</f>
        <v>14.396250000000002</v>
      </c>
      <c r="E12" s="28">
        <f>IF(($F5&lt;'Tariffs Jul''15'!G8),(0),($F5-'Tariffs Jul''15'!G8)*'Tariffs Jul''15'!G11/100*1.1)</f>
        <v>21.243750000000006</v>
      </c>
      <c r="F12" s="28">
        <f>IF(($F5&lt;'Tariffs Jul''15'!H8),(0),($F5-'Tariffs Jul''15'!H8)*'Tariffs Jul''15'!H11/100*1.1)</f>
        <v>13.777500000000002</v>
      </c>
      <c r="G12" s="28">
        <f>IF(($F5&lt;'Tariffs Jul''15'!I8),(0),($F5-'Tariffs Jul''15'!I8)*'Tariffs Jul''15'!I11/100*1.1)</f>
        <v>17.490000000000002</v>
      </c>
      <c r="H12" s="29"/>
    </row>
    <row r="13" spans="1:11" x14ac:dyDescent="0.15">
      <c r="A13" s="22" t="s">
        <v>27</v>
      </c>
      <c r="C13" s="28">
        <f>'Tariffs Jul''15'!E12*91/100*1.1</f>
        <v>68.658590000000018</v>
      </c>
      <c r="D13" s="28">
        <f>'Tariffs Jul''15'!F12*91/100*1.1</f>
        <v>72.53246</v>
      </c>
      <c r="E13" s="28">
        <f>'Tariffs Jul''15'!G12*91/100*1.1</f>
        <v>89.080992000000023</v>
      </c>
      <c r="F13" s="28">
        <f>'Tariffs Jul''15'!H12*91/100*1.1</f>
        <v>77.557479999999998</v>
      </c>
      <c r="G13" s="28">
        <f>'Tariffs Jul''15'!I12*91/100*1.1</f>
        <v>72.282210000000006</v>
      </c>
      <c r="H13" s="29"/>
    </row>
    <row r="14" spans="1:11" x14ac:dyDescent="0.15">
      <c r="A14" s="22" t="s">
        <v>63</v>
      </c>
      <c r="C14" s="28">
        <f>SUM(C10:C13)</f>
        <v>287.97659000000004</v>
      </c>
      <c r="D14" s="28">
        <f>SUM(D10:D13)</f>
        <v>281.92021000000005</v>
      </c>
      <c r="E14" s="28">
        <f>SUM(E10:E13)</f>
        <v>313.81154200000003</v>
      </c>
      <c r="F14" s="28">
        <f>SUM(F10:F13)</f>
        <v>282.56998000000004</v>
      </c>
      <c r="G14" s="28">
        <f>SUM(G10:G13)</f>
        <v>291.73221000000001</v>
      </c>
      <c r="H14" s="29">
        <f>AVERAGE(C14:G14)</f>
        <v>291.60210640000003</v>
      </c>
    </row>
    <row r="15" spans="1:11" x14ac:dyDescent="0.15">
      <c r="A15" s="30" t="s">
        <v>30</v>
      </c>
      <c r="B15" s="31"/>
      <c r="C15" s="29">
        <f>C14*4</f>
        <v>1151.9063600000002</v>
      </c>
      <c r="D15" s="29">
        <f>D14*4</f>
        <v>1127.6808400000002</v>
      </c>
      <c r="E15" s="29">
        <f>E14*4</f>
        <v>1255.2461680000001</v>
      </c>
      <c r="F15" s="29">
        <f>F14*4</f>
        <v>1130.2799200000002</v>
      </c>
      <c r="G15" s="29">
        <f>G14*4</f>
        <v>1166.92884</v>
      </c>
      <c r="H15" s="32">
        <f>AVERAGE(C15:G15)</f>
        <v>1166.4084256000001</v>
      </c>
    </row>
    <row r="17" spans="1:7" x14ac:dyDescent="0.15">
      <c r="A17" s="25" t="s">
        <v>31</v>
      </c>
      <c r="C17" s="86" t="s">
        <v>82</v>
      </c>
      <c r="D17" s="86" t="s">
        <v>42</v>
      </c>
      <c r="E17" s="86" t="s">
        <v>43</v>
      </c>
      <c r="F17" s="86" t="s">
        <v>80</v>
      </c>
      <c r="G17" s="86" t="s">
        <v>79</v>
      </c>
    </row>
    <row r="18" spans="1:7" x14ac:dyDescent="0.15">
      <c r="A18" s="22" t="s">
        <v>28</v>
      </c>
      <c r="C18" s="92">
        <f>IF($F5&lt;'Tariffs Jul''15'!E15,('Bills Jul''15'!$F5*'Tariffs Jul''15'!E16/100*1.1),('Tariffs Jul''15'!E15*'Tariffs Jul''15'!E16/100*1.1))</f>
        <v>203.79150000000001</v>
      </c>
      <c r="D18" s="87" t="s">
        <v>44</v>
      </c>
      <c r="E18" s="87" t="s">
        <v>44</v>
      </c>
      <c r="F18" s="87" t="s">
        <v>44</v>
      </c>
      <c r="G18" s="87" t="s">
        <v>44</v>
      </c>
    </row>
    <row r="19" spans="1:7" x14ac:dyDescent="0.15">
      <c r="A19" s="22" t="s">
        <v>29</v>
      </c>
      <c r="C19" s="92">
        <f>IF($F5&gt;'Tariffs Jul''15'!E15,('Bills Jul''15'!$F5-'Tariffs Jul''15'!E15)*'Tariffs Jul''15'!E17/100*1.1,0)</f>
        <v>15.526500000000002</v>
      </c>
      <c r="D19" s="87" t="s">
        <v>44</v>
      </c>
      <c r="E19" s="87" t="s">
        <v>44</v>
      </c>
      <c r="F19" s="87" t="s">
        <v>44</v>
      </c>
      <c r="G19" s="87" t="s">
        <v>44</v>
      </c>
    </row>
    <row r="20" spans="1:7" x14ac:dyDescent="0.15">
      <c r="A20" s="22" t="s">
        <v>27</v>
      </c>
      <c r="C20" s="92">
        <f>'Tariffs Jul''15'!E18*91/100*1.1</f>
        <v>68.658590000000018</v>
      </c>
      <c r="D20" s="87" t="s">
        <v>44</v>
      </c>
      <c r="E20" s="87" t="s">
        <v>44</v>
      </c>
      <c r="F20" s="87" t="s">
        <v>44</v>
      </c>
      <c r="G20" s="87" t="s">
        <v>44</v>
      </c>
    </row>
    <row r="21" spans="1:7" x14ac:dyDescent="0.15">
      <c r="A21" s="22" t="s">
        <v>63</v>
      </c>
      <c r="C21" s="28">
        <f>SUM(C17:C20)</f>
        <v>287.97659000000004</v>
      </c>
      <c r="D21" s="87" t="s">
        <v>44</v>
      </c>
      <c r="E21" s="87" t="s">
        <v>44</v>
      </c>
      <c r="F21" s="87" t="s">
        <v>44</v>
      </c>
      <c r="G21" s="87" t="s">
        <v>44</v>
      </c>
    </row>
    <row r="22" spans="1:7" x14ac:dyDescent="0.15">
      <c r="A22" s="30" t="s">
        <v>30</v>
      </c>
      <c r="B22" s="31"/>
      <c r="C22" s="29">
        <f>C21*4</f>
        <v>1151.9063600000002</v>
      </c>
      <c r="D22" s="88"/>
      <c r="E22" s="31"/>
      <c r="F22" s="31"/>
      <c r="G22" s="31"/>
    </row>
    <row r="24" spans="1:7" x14ac:dyDescent="0.15">
      <c r="A24" s="25" t="s">
        <v>58</v>
      </c>
      <c r="C24" s="86" t="s">
        <v>82</v>
      </c>
      <c r="D24" s="86" t="s">
        <v>45</v>
      </c>
      <c r="E24" s="86" t="s">
        <v>46</v>
      </c>
      <c r="F24" s="86" t="s">
        <v>80</v>
      </c>
      <c r="G24" s="86" t="s">
        <v>61</v>
      </c>
    </row>
    <row r="25" spans="1:7" x14ac:dyDescent="0.15">
      <c r="A25" s="22" t="s">
        <v>28</v>
      </c>
      <c r="C25" s="92">
        <f>IF($F5&lt;'Tariffs Jul''15'!E21,('Bills Jul''15'!$F5*'Tariffs Jul''15'!E22/100*1.1),('Tariffs Jul''15'!E21*'Tariffs Jul''15'!E22/100*1.1))</f>
        <v>203.79150000000001</v>
      </c>
      <c r="D25" s="87" t="s">
        <v>44</v>
      </c>
      <c r="E25" s="87" t="s">
        <v>44</v>
      </c>
      <c r="F25" s="87" t="s">
        <v>44</v>
      </c>
      <c r="G25" s="87" t="s">
        <v>44</v>
      </c>
    </row>
    <row r="26" spans="1:7" x14ac:dyDescent="0.15">
      <c r="A26" s="22" t="s">
        <v>29</v>
      </c>
      <c r="C26" s="92">
        <f>IF($F5&gt;'Tariffs Jul''15'!E21,('Bills Jul''15'!$F5-'Tariffs Jul''15'!E21)*'Tariffs Jul''15'!E23/100*1.1,0)</f>
        <v>15.526500000000002</v>
      </c>
      <c r="D26" s="87" t="s">
        <v>44</v>
      </c>
      <c r="E26" s="87" t="s">
        <v>44</v>
      </c>
      <c r="F26" s="87" t="s">
        <v>44</v>
      </c>
      <c r="G26" s="87" t="s">
        <v>44</v>
      </c>
    </row>
    <row r="27" spans="1:7" x14ac:dyDescent="0.15">
      <c r="A27" s="22" t="s">
        <v>27</v>
      </c>
      <c r="C27" s="92">
        <f>'Tariffs Jul''15'!E24*91/100*1.1</f>
        <v>68.658590000000018</v>
      </c>
      <c r="D27" s="87" t="s">
        <v>44</v>
      </c>
      <c r="E27" s="87" t="s">
        <v>44</v>
      </c>
      <c r="F27" s="87" t="s">
        <v>44</v>
      </c>
      <c r="G27" s="87" t="s">
        <v>44</v>
      </c>
    </row>
    <row r="28" spans="1:7" x14ac:dyDescent="0.15">
      <c r="A28" s="22" t="s">
        <v>63</v>
      </c>
      <c r="C28" s="28">
        <f>SUM(C24:C27)</f>
        <v>287.97659000000004</v>
      </c>
      <c r="D28" s="87" t="s">
        <v>44</v>
      </c>
      <c r="E28" s="87" t="s">
        <v>44</v>
      </c>
      <c r="F28" s="87" t="s">
        <v>44</v>
      </c>
      <c r="G28" s="87" t="s">
        <v>44</v>
      </c>
    </row>
    <row r="29" spans="1:7" x14ac:dyDescent="0.15">
      <c r="A29" s="30" t="s">
        <v>30</v>
      </c>
      <c r="B29" s="31"/>
      <c r="C29" s="29">
        <f>C28*4</f>
        <v>1151.9063600000002</v>
      </c>
      <c r="D29" s="88"/>
      <c r="E29" s="31"/>
      <c r="F29" s="31"/>
      <c r="G29" s="31"/>
    </row>
    <row r="31" spans="1:7" x14ac:dyDescent="0.15">
      <c r="A31" s="25" t="s">
        <v>35</v>
      </c>
      <c r="C31" s="86" t="s">
        <v>82</v>
      </c>
      <c r="D31" s="86" t="s">
        <v>45</v>
      </c>
      <c r="E31" s="86" t="s">
        <v>46</v>
      </c>
      <c r="F31" s="86" t="s">
        <v>80</v>
      </c>
      <c r="G31" s="86" t="s">
        <v>61</v>
      </c>
    </row>
    <row r="32" spans="1:7" x14ac:dyDescent="0.15">
      <c r="A32" s="22" t="s">
        <v>28</v>
      </c>
      <c r="C32" s="92">
        <f>IF($F5&lt;'Tariffs Jul''15'!E27,('Bills Jul''15'!$F5*'Tariffs Jul''15'!E28/100*1.1),('Tariffs Jul''15'!E27*'Tariffs Jul''15'!E28/100*1.1))</f>
        <v>203.79150000000001</v>
      </c>
      <c r="D32" s="87" t="s">
        <v>44</v>
      </c>
      <c r="E32" s="87" t="s">
        <v>44</v>
      </c>
      <c r="F32" s="87" t="s">
        <v>44</v>
      </c>
      <c r="G32" s="87" t="s">
        <v>44</v>
      </c>
    </row>
    <row r="33" spans="1:11" x14ac:dyDescent="0.15">
      <c r="A33" s="22" t="s">
        <v>29</v>
      </c>
      <c r="C33" s="92">
        <f>IF($F5&gt;'Tariffs Jul''15'!E27,('Bills Jul''15'!$F5-'Tariffs Jul''15'!E27)*'Tariffs Jul''15'!E29/100*1.1,0)</f>
        <v>15.526500000000002</v>
      </c>
      <c r="D33" s="87" t="s">
        <v>44</v>
      </c>
      <c r="E33" s="87" t="s">
        <v>44</v>
      </c>
      <c r="F33" s="87" t="s">
        <v>44</v>
      </c>
      <c r="G33" s="87" t="s">
        <v>44</v>
      </c>
    </row>
    <row r="34" spans="1:11" x14ac:dyDescent="0.15">
      <c r="A34" s="22" t="s">
        <v>27</v>
      </c>
      <c r="C34" s="92">
        <f>'Tariffs Jul''15'!E30*91/100*1.1</f>
        <v>68.658590000000018</v>
      </c>
      <c r="D34" s="87" t="s">
        <v>44</v>
      </c>
      <c r="E34" s="87" t="s">
        <v>44</v>
      </c>
      <c r="F34" s="87" t="s">
        <v>44</v>
      </c>
      <c r="G34" s="87" t="s">
        <v>44</v>
      </c>
    </row>
    <row r="35" spans="1:11" x14ac:dyDescent="0.15">
      <c r="A35" s="22" t="s">
        <v>63</v>
      </c>
      <c r="C35" s="28">
        <f>SUM(C31:C34)</f>
        <v>287.97659000000004</v>
      </c>
      <c r="D35" s="87" t="s">
        <v>44</v>
      </c>
      <c r="E35" s="87" t="s">
        <v>44</v>
      </c>
      <c r="F35" s="87" t="s">
        <v>44</v>
      </c>
      <c r="G35" s="87" t="s">
        <v>44</v>
      </c>
    </row>
    <row r="36" spans="1:11" x14ac:dyDescent="0.15">
      <c r="A36" s="30" t="s">
        <v>30</v>
      </c>
      <c r="B36" s="31"/>
      <c r="C36" s="29">
        <f>C35*4</f>
        <v>1151.9063600000002</v>
      </c>
      <c r="D36" s="88"/>
      <c r="E36" s="31"/>
      <c r="F36" s="31"/>
      <c r="G36" s="31"/>
    </row>
    <row r="38" spans="1:11" x14ac:dyDescent="0.15">
      <c r="A38" s="25" t="s">
        <v>36</v>
      </c>
      <c r="C38" s="86" t="s">
        <v>82</v>
      </c>
      <c r="D38" s="86" t="s">
        <v>45</v>
      </c>
      <c r="E38" s="86" t="s">
        <v>46</v>
      </c>
      <c r="F38" s="86" t="s">
        <v>80</v>
      </c>
      <c r="G38" s="86" t="s">
        <v>61</v>
      </c>
    </row>
    <row r="39" spans="1:11" x14ac:dyDescent="0.15">
      <c r="A39" s="22" t="s">
        <v>28</v>
      </c>
      <c r="C39" s="92">
        <f>IF($F5&lt;'Tariffs Jul''15'!E33,('Bills Jul''15'!$F5*'Tariffs Jul''15'!E34/100*1.1),('Tariffs Jul''15'!E33*'Tariffs Jul''15'!E34/100*1.1))</f>
        <v>203.79150000000001</v>
      </c>
      <c r="D39" s="87" t="s">
        <v>44</v>
      </c>
      <c r="E39" s="87" t="s">
        <v>44</v>
      </c>
      <c r="F39" s="87" t="s">
        <v>44</v>
      </c>
      <c r="G39" s="87" t="s">
        <v>44</v>
      </c>
    </row>
    <row r="40" spans="1:11" x14ac:dyDescent="0.15">
      <c r="A40" s="22" t="s">
        <v>29</v>
      </c>
      <c r="C40" s="92">
        <f>IF($F5&gt;'Tariffs Jul''15'!E33,('Bills Jul''15'!$F5-'Tariffs Jul''15'!E33)*'Tariffs Jul''15'!E35/100*1.1,0)</f>
        <v>15.526500000000002</v>
      </c>
      <c r="D40" s="87" t="s">
        <v>44</v>
      </c>
      <c r="E40" s="87" t="s">
        <v>44</v>
      </c>
      <c r="F40" s="87" t="s">
        <v>44</v>
      </c>
      <c r="G40" s="87" t="s">
        <v>44</v>
      </c>
    </row>
    <row r="41" spans="1:11" x14ac:dyDescent="0.15">
      <c r="A41" s="22" t="s">
        <v>27</v>
      </c>
      <c r="C41" s="92">
        <f>'Tariffs Jul''15'!E36*91/100*1.1</f>
        <v>68.658590000000018</v>
      </c>
      <c r="D41" s="87" t="s">
        <v>44</v>
      </c>
      <c r="E41" s="87" t="s">
        <v>44</v>
      </c>
      <c r="F41" s="87" t="s">
        <v>44</v>
      </c>
      <c r="G41" s="87" t="s">
        <v>44</v>
      </c>
    </row>
    <row r="42" spans="1:11" x14ac:dyDescent="0.15">
      <c r="A42" s="22" t="s">
        <v>63</v>
      </c>
      <c r="C42" s="28">
        <f>SUM(C38:C41)</f>
        <v>287.97659000000004</v>
      </c>
      <c r="D42" s="87" t="s">
        <v>44</v>
      </c>
      <c r="E42" s="87" t="s">
        <v>44</v>
      </c>
      <c r="F42" s="87" t="s">
        <v>44</v>
      </c>
      <c r="G42" s="87" t="s">
        <v>44</v>
      </c>
    </row>
    <row r="43" spans="1:11" x14ac:dyDescent="0.15">
      <c r="A43" s="30" t="s">
        <v>30</v>
      </c>
      <c r="B43" s="31"/>
      <c r="C43" s="29">
        <f>C42*4</f>
        <v>1151.9063600000002</v>
      </c>
      <c r="D43" s="88"/>
      <c r="E43" s="31"/>
      <c r="F43" s="31"/>
      <c r="G43" s="31"/>
    </row>
    <row r="45" spans="1:11" x14ac:dyDescent="0.15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</row>
  </sheetData>
  <sheetProtection algorithmName="SHA-512" hashValue="Y8elZBa4SRWha2tjjsYijDoQVE+xZ+wdulsAumYSKlqtyHY7jXT9FSOonuOs5/p2DvUlZFRoFt3fXMPGYySaiw==" saltValue="yXgR16HCvy7jJwTK26Cw4Q==" spinCount="100000" sheet="1" objects="1" scenarios="1"/>
  <phoneticPr fontId="9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K17"/>
  <sheetViews>
    <sheetView zoomScale="150" workbookViewId="0">
      <selection activeCell="F5" sqref="F5"/>
    </sheetView>
  </sheetViews>
  <sheetFormatPr baseColWidth="10" defaultRowHeight="13" x14ac:dyDescent="0.15"/>
  <cols>
    <col min="1" max="1" width="14.1640625" style="22" customWidth="1"/>
    <col min="2" max="2" width="3.5" style="22" customWidth="1"/>
    <col min="3" max="11" width="10" style="22" customWidth="1"/>
    <col min="12" max="16384" width="10.83203125" style="22"/>
  </cols>
  <sheetData>
    <row r="1" spans="1:11" x14ac:dyDescent="0.15">
      <c r="A1" s="21" t="s">
        <v>57</v>
      </c>
    </row>
    <row r="2" spans="1:11" x14ac:dyDescent="0.15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</row>
    <row r="3" spans="1:11" x14ac:dyDescent="0.15">
      <c r="A3" s="24" t="s">
        <v>53</v>
      </c>
    </row>
    <row r="5" spans="1:11" x14ac:dyDescent="0.15">
      <c r="A5" s="25" t="s">
        <v>65</v>
      </c>
      <c r="B5" s="25"/>
      <c r="C5" s="25" t="s">
        <v>187</v>
      </c>
      <c r="F5" s="34">
        <v>5250</v>
      </c>
    </row>
    <row r="6" spans="1:11" x14ac:dyDescent="0.15">
      <c r="C6" s="26"/>
      <c r="D6" s="26"/>
      <c r="E6" s="26"/>
      <c r="F6" s="26"/>
      <c r="G6" s="26"/>
      <c r="H6" s="26"/>
      <c r="I6" s="26"/>
      <c r="J6" s="26"/>
      <c r="K6" s="26"/>
    </row>
    <row r="7" spans="1:11" x14ac:dyDescent="0.15">
      <c r="A7" s="27" t="s">
        <v>48</v>
      </c>
      <c r="C7" s="25" t="s">
        <v>152</v>
      </c>
      <c r="D7" s="25" t="s">
        <v>31</v>
      </c>
      <c r="E7" s="25" t="s">
        <v>58</v>
      </c>
      <c r="F7" s="25" t="s">
        <v>35</v>
      </c>
      <c r="G7" s="25" t="s">
        <v>36</v>
      </c>
      <c r="H7" s="25" t="s">
        <v>5</v>
      </c>
    </row>
    <row r="8" spans="1:11" x14ac:dyDescent="0.15">
      <c r="C8" s="28"/>
      <c r="D8" s="28"/>
      <c r="E8" s="28"/>
      <c r="F8" s="28"/>
      <c r="G8" s="28"/>
      <c r="H8" s="29"/>
    </row>
    <row r="9" spans="1:11" x14ac:dyDescent="0.15">
      <c r="A9" s="25" t="s">
        <v>6</v>
      </c>
      <c r="C9" s="28"/>
      <c r="D9" s="28"/>
      <c r="E9" s="28"/>
      <c r="F9" s="28"/>
      <c r="G9" s="28"/>
      <c r="H9" s="29"/>
    </row>
    <row r="10" spans="1:11" x14ac:dyDescent="0.15">
      <c r="A10" s="22" t="s">
        <v>28</v>
      </c>
      <c r="C10" s="28">
        <f>IF($F5&lt;'Tariffs Jul''14'!E7,('Bills Jul''14'!$F5*'Tariffs Jul''14'!E8/100),('Tariffs Jul''14'!E7*'Tariffs Jul''14'!E8/100))</f>
        <v>204.93</v>
      </c>
      <c r="D10" s="28">
        <f>IF($F5&lt;'Tariffs Jul''14'!F7,('Bills Jul''14'!$F5*'Tariffs Jul''14'!F8/100),('Tariffs Jul''14'!F7*'Tariffs Jul''14'!F8/100))</f>
        <v>204.93</v>
      </c>
      <c r="E10" s="28">
        <f>IF($F5&lt;'Tariffs Jul''14'!G7,('Bills Jul''14'!$F5*'Tariffs Jul''14'!G8/100),('Tariffs Jul''14'!G7*'Tariffs Jul''14'!G8/100))</f>
        <v>204.93</v>
      </c>
      <c r="F10" s="28">
        <f>IF($F5&lt;'Tariffs Jul''14'!H7,('Bills Jul''14'!$F5*'Tariffs Jul''14'!H8/100),('Tariffs Jul''14'!H7*'Tariffs Jul''14'!H8/100))</f>
        <v>204.93</v>
      </c>
      <c r="G10" s="28">
        <f>IF($F5&lt;'Tariffs Jul''14'!I7,('Bills Jul''14'!$F5*'Tariffs Jul''14'!I8/100),('Tariffs Jul''14'!I7*'Tariffs Jul''14'!I8/100))</f>
        <v>204.93</v>
      </c>
      <c r="H10" s="29"/>
    </row>
    <row r="11" spans="1:11" x14ac:dyDescent="0.15">
      <c r="A11" s="22" t="s">
        <v>29</v>
      </c>
      <c r="C11" s="28">
        <f>IF($F5&gt;'Tariffs Jul''14'!E7,('Bills Jul''14'!$F5-'Tariffs Jul''14'!E7)*'Tariffs Jul''14'!E9/100,0)</f>
        <v>16.59075</v>
      </c>
      <c r="D11" s="28">
        <f>IF($F5&gt;'Tariffs Jul''14'!F7,('Bills Jul''14'!$F5-'Tariffs Jul''14'!F7)*'Tariffs Jul''14'!F9/100,0)</f>
        <v>16.59075</v>
      </c>
      <c r="E11" s="28">
        <f>IF($F5&gt;'Tariffs Jul''14'!G7,('Bills Jul''14'!$F5-'Tariffs Jul''14'!G7)*'Tariffs Jul''14'!G9/100,0)</f>
        <v>16.59075</v>
      </c>
      <c r="F11" s="28">
        <f>IF($F5&gt;'Tariffs Jul''14'!H7,('Bills Jul''14'!$F5-'Tariffs Jul''14'!H7)*'Tariffs Jul''14'!H9/100,0)</f>
        <v>16.59075</v>
      </c>
      <c r="G11" s="28">
        <f>IF($F5&gt;'Tariffs Jul''14'!I7,('Bills Jul''14'!$F5-'Tariffs Jul''14'!I7)*'Tariffs Jul''14'!I9/100,0)</f>
        <v>16.59075</v>
      </c>
      <c r="H11" s="29"/>
    </row>
    <row r="12" spans="1:11" x14ac:dyDescent="0.15">
      <c r="A12" s="22" t="s">
        <v>27</v>
      </c>
      <c r="C12" s="28">
        <f>'Tariffs Jul''14'!E10*91/100</f>
        <v>68.198130000000006</v>
      </c>
      <c r="D12" s="28">
        <f>'Tariffs Jul''14'!F10*91/100</f>
        <v>68.198130000000006</v>
      </c>
      <c r="E12" s="28">
        <f>'Tariffs Jul''14'!G10*91/100</f>
        <v>68.198130000000006</v>
      </c>
      <c r="F12" s="28">
        <f>'Tariffs Jul''14'!H10*91/100</f>
        <v>68.198130000000006</v>
      </c>
      <c r="G12" s="28">
        <f>'Tariffs Jul''14'!I10*91/100</f>
        <v>68.198130000000006</v>
      </c>
      <c r="H12" s="29"/>
    </row>
    <row r="13" spans="1:11" x14ac:dyDescent="0.15">
      <c r="A13" s="22" t="s">
        <v>63</v>
      </c>
      <c r="C13" s="28">
        <f>SUM(C10:C12)</f>
        <v>289.71888000000001</v>
      </c>
      <c r="D13" s="28">
        <f>SUM(D10:D12)</f>
        <v>289.71888000000001</v>
      </c>
      <c r="E13" s="28">
        <f>SUM(E10:E12)</f>
        <v>289.71888000000001</v>
      </c>
      <c r="F13" s="28">
        <f>SUM(F10:F12)</f>
        <v>289.71888000000001</v>
      </c>
      <c r="G13" s="28">
        <f>SUM(G10:G12)</f>
        <v>289.71888000000001</v>
      </c>
      <c r="H13" s="29">
        <f>AVERAGE(C13:G13)</f>
        <v>289.71888000000001</v>
      </c>
    </row>
    <row r="14" spans="1:11" x14ac:dyDescent="0.15">
      <c r="A14" s="30" t="s">
        <v>30</v>
      </c>
      <c r="B14" s="31"/>
      <c r="C14" s="29">
        <f>C13*4</f>
        <v>1158.8755200000001</v>
      </c>
      <c r="D14" s="29">
        <f>D13*4</f>
        <v>1158.8755200000001</v>
      </c>
      <c r="E14" s="29">
        <f>E13*4</f>
        <v>1158.8755200000001</v>
      </c>
      <c r="F14" s="29">
        <f>F13*4</f>
        <v>1158.8755200000001</v>
      </c>
      <c r="G14" s="29">
        <f>G13*4</f>
        <v>1158.8755200000001</v>
      </c>
      <c r="H14" s="32">
        <f>AVERAGE(C14:G14)</f>
        <v>1158.8755200000001</v>
      </c>
    </row>
    <row r="17" spans="1:11" x14ac:dyDescent="0.15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</row>
  </sheetData>
  <sheetProtection algorithmName="SHA-512" hashValue="r0QU4tiBywzL1fzWFZY/y1NpR48kAKzltDvHBGzDtN46K+ZkH2tLhPJrhbgiZPUiNcsa/8bXGrmYMSTS2SxcKQ==" saltValue="HD/cnmT7ge8qq759nxCrQA==" spinCount="100000" sheet="1" objects="1" scenarios="1"/>
  <phoneticPr fontId="9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K17"/>
  <sheetViews>
    <sheetView zoomScale="150" workbookViewId="0">
      <selection activeCell="C11" sqref="C11"/>
    </sheetView>
  </sheetViews>
  <sheetFormatPr baseColWidth="10" defaultRowHeight="13" x14ac:dyDescent="0.15"/>
  <cols>
    <col min="1" max="1" width="14.1640625" style="22" customWidth="1"/>
    <col min="2" max="2" width="3.5" style="22" customWidth="1"/>
    <col min="3" max="11" width="10" style="22" customWidth="1"/>
    <col min="12" max="16384" width="10.83203125" style="22"/>
  </cols>
  <sheetData>
    <row r="1" spans="1:11" x14ac:dyDescent="0.15">
      <c r="A1" s="21" t="s">
        <v>62</v>
      </c>
    </row>
    <row r="2" spans="1:11" x14ac:dyDescent="0.1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15">
      <c r="A3" s="24" t="s">
        <v>2</v>
      </c>
    </row>
    <row r="5" spans="1:11" x14ac:dyDescent="0.15">
      <c r="A5" s="25" t="s">
        <v>65</v>
      </c>
      <c r="B5" s="25"/>
      <c r="C5" s="25" t="s">
        <v>187</v>
      </c>
      <c r="F5" s="34">
        <v>5250</v>
      </c>
    </row>
    <row r="6" spans="1:11" x14ac:dyDescent="0.15">
      <c r="C6" s="26"/>
      <c r="D6" s="26"/>
      <c r="E6" s="26"/>
      <c r="F6" s="26"/>
      <c r="G6" s="26"/>
      <c r="H6" s="26"/>
      <c r="I6" s="26"/>
      <c r="J6" s="26"/>
      <c r="K6" s="26"/>
    </row>
    <row r="7" spans="1:11" x14ac:dyDescent="0.15">
      <c r="A7" s="27" t="s">
        <v>48</v>
      </c>
      <c r="C7" s="25" t="s">
        <v>152</v>
      </c>
      <c r="D7" s="25" t="s">
        <v>31</v>
      </c>
      <c r="E7" s="25" t="s">
        <v>58</v>
      </c>
      <c r="F7" s="25" t="s">
        <v>35</v>
      </c>
      <c r="G7" s="25" t="s">
        <v>36</v>
      </c>
      <c r="H7" s="25" t="s">
        <v>5</v>
      </c>
    </row>
    <row r="8" spans="1:11" x14ac:dyDescent="0.15">
      <c r="C8" s="28"/>
      <c r="D8" s="28"/>
      <c r="E8" s="28"/>
      <c r="F8" s="28"/>
      <c r="G8" s="28"/>
      <c r="H8" s="29"/>
    </row>
    <row r="9" spans="1:11" x14ac:dyDescent="0.15">
      <c r="A9" s="25" t="s">
        <v>6</v>
      </c>
      <c r="C9" s="28"/>
      <c r="D9" s="28"/>
      <c r="E9" s="28"/>
      <c r="F9" s="28"/>
      <c r="G9" s="28"/>
      <c r="H9" s="29"/>
    </row>
    <row r="10" spans="1:11" x14ac:dyDescent="0.15">
      <c r="A10" s="22" t="s">
        <v>28</v>
      </c>
      <c r="C10" s="28">
        <f>IF($F5&lt;'Tariffs Jul''13'!E7,('Bills Jul''13'!$F5*'Tariffs Jul''13'!E8/100),('Tariffs Jul''13'!E7*'Tariffs Jul''13'!E8/100))</f>
        <v>176.81399999999996</v>
      </c>
      <c r="D10" s="28">
        <f>IF($F5&lt;'Tariffs Jul''13'!F7,('Bills Jul''13'!$F5*'Tariffs Jul''13'!F8/100),('Tariffs Jul''13'!F7*'Tariffs Jul''13'!F8/100))</f>
        <v>179.58600000000001</v>
      </c>
      <c r="E10" s="28">
        <f>IF($F5&lt;'Tariffs Jul''13'!G7,('Bills Jul''13'!$F5*'Tariffs Jul''13'!G8/100),('Tariffs Jul''13'!G7*'Tariffs Jul''13'!G8/100))</f>
        <v>179.58600000000001</v>
      </c>
      <c r="F10" s="28">
        <f>IF($F5&lt;'Tariffs Jul''13'!H7,('Bills Jul''13'!$F5*'Tariffs Jul''13'!H8/100),('Tariffs Jul''13'!H7*'Tariffs Jul''13'!H8/100))</f>
        <v>179.63549999999998</v>
      </c>
      <c r="G10" s="28">
        <f>IF($F5&lt;'Tariffs Jul''13'!I7,('Bills Jul''13'!$F5*'Tariffs Jul''13'!I8/100),('Tariffs Jul''13'!I7*'Tariffs Jul''13'!I8/100))</f>
        <v>180.77399999999997</v>
      </c>
      <c r="H10" s="29"/>
    </row>
    <row r="11" spans="1:11" x14ac:dyDescent="0.15">
      <c r="A11" s="22" t="s">
        <v>29</v>
      </c>
      <c r="C11" s="28">
        <f>IF($F5&gt;'Tariffs Jul''13'!E7,('Bills Jul''13'!$F5-'Tariffs Jul''13'!E7)*'Tariffs Jul''13'!E9/100,0)</f>
        <v>13.002000000000001</v>
      </c>
      <c r="D11" s="28">
        <f>IF($F5&gt;'Tariffs Jul''13'!F7,('Bills Jul''13'!$F5-'Tariffs Jul''13'!F7)*'Tariffs Jul''13'!F9/100,0)</f>
        <v>12.936000000000002</v>
      </c>
      <c r="E11" s="28">
        <f>IF($F5&gt;'Tariffs Jul''13'!G7,('Bills Jul''13'!$F5-'Tariffs Jul''13'!G7)*'Tariffs Jul''13'!G9/100,0)</f>
        <v>13.092750000000001</v>
      </c>
      <c r="F11" s="28">
        <f>IF($F5&gt;'Tariffs Jul''13'!H7,('Bills Jul''13'!$F5-'Tariffs Jul''13'!H7)*'Tariffs Jul''13'!H9/100,0)</f>
        <v>13.12575</v>
      </c>
      <c r="G11" s="28">
        <f>IF($F5&gt;'Tariffs Jul''13'!I7,('Bills Jul''13'!$F5-'Tariffs Jul''13'!I7)*'Tariffs Jul''13'!I9/100,0)</f>
        <v>13.398</v>
      </c>
      <c r="H11" s="29"/>
    </row>
    <row r="12" spans="1:11" x14ac:dyDescent="0.15">
      <c r="A12" s="22" t="s">
        <v>27</v>
      </c>
      <c r="C12" s="28">
        <f>'Tariffs Jul''13'!E10*91/100</f>
        <v>65.064999999999998</v>
      </c>
      <c r="D12" s="28">
        <f>'Tariffs Jul''13'!F10*91/100</f>
        <v>65.064999999999998</v>
      </c>
      <c r="E12" s="28">
        <f>'Tariffs Jul''13'!G10*91/100</f>
        <v>65.064999999999998</v>
      </c>
      <c r="F12" s="28">
        <f>'Tariffs Jul''13'!H10*91/100</f>
        <v>65.064999999999998</v>
      </c>
      <c r="G12" s="28">
        <f>'Tariffs Jul''13'!I10*91/100</f>
        <v>65.064999999999998</v>
      </c>
      <c r="H12" s="29"/>
    </row>
    <row r="13" spans="1:11" x14ac:dyDescent="0.15">
      <c r="A13" s="22" t="s">
        <v>63</v>
      </c>
      <c r="C13" s="28">
        <f>SUM(C10:C12)</f>
        <v>254.88099999999997</v>
      </c>
      <c r="D13" s="28">
        <f>SUM(D10:D12)</f>
        <v>257.58699999999999</v>
      </c>
      <c r="E13" s="28">
        <f>SUM(E10:E12)</f>
        <v>257.74374999999998</v>
      </c>
      <c r="F13" s="28">
        <f>SUM(F10:F12)</f>
        <v>257.82624999999996</v>
      </c>
      <c r="G13" s="28">
        <f>SUM(G10:G12)</f>
        <v>259.23699999999997</v>
      </c>
      <c r="H13" s="29">
        <f>AVERAGE(C13:G13)</f>
        <v>257.45500000000004</v>
      </c>
    </row>
    <row r="14" spans="1:11" x14ac:dyDescent="0.15">
      <c r="A14" s="30" t="s">
        <v>30</v>
      </c>
      <c r="B14" s="31"/>
      <c r="C14" s="29">
        <f>C13*4</f>
        <v>1019.5239999999999</v>
      </c>
      <c r="D14" s="29">
        <f>D13*4</f>
        <v>1030.348</v>
      </c>
      <c r="E14" s="29">
        <f>E13*4</f>
        <v>1030.9749999999999</v>
      </c>
      <c r="F14" s="29">
        <f>F13*4</f>
        <v>1031.3049999999998</v>
      </c>
      <c r="G14" s="29">
        <f>G13*4</f>
        <v>1036.9479999999999</v>
      </c>
      <c r="H14" s="32">
        <f>AVERAGE(C14:G14)</f>
        <v>1029.8200000000002</v>
      </c>
    </row>
    <row r="17" spans="1:11" x14ac:dyDescent="0.15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</row>
  </sheetData>
  <sheetProtection algorithmName="SHA-512" hashValue="iQpJ8w9mPfRTN2ic4pT4ZIz3CRLddXAECSZpdQ5kKH/VZmtyhwpV2A66af4dQkA+WVoimpVBx8Vq1avHqRyKGw==" saltValue="Nv+MbSJRk9pL/wwtZTMhmQ==" spinCount="100000" sheet="1" objects="1" scenarios="1"/>
  <phoneticPr fontId="9" type="noConversion"/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O17"/>
  <sheetViews>
    <sheetView zoomScale="150" workbookViewId="0">
      <selection activeCell="F5" sqref="F5"/>
    </sheetView>
  </sheetViews>
  <sheetFormatPr baseColWidth="10" defaultRowHeight="13" x14ac:dyDescent="0.15"/>
  <cols>
    <col min="1" max="1" width="14.1640625" style="22" customWidth="1"/>
    <col min="2" max="2" width="3.5" style="22" customWidth="1"/>
    <col min="3" max="15" width="10" style="22" customWidth="1"/>
    <col min="16" max="16384" width="10.83203125" style="22"/>
  </cols>
  <sheetData>
    <row r="1" spans="1:15" x14ac:dyDescent="0.15">
      <c r="A1" s="21" t="s">
        <v>62</v>
      </c>
    </row>
    <row r="2" spans="1:15" x14ac:dyDescent="0.1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</row>
    <row r="3" spans="1:15" x14ac:dyDescent="0.15">
      <c r="A3" s="24" t="s">
        <v>151</v>
      </c>
    </row>
    <row r="5" spans="1:15" x14ac:dyDescent="0.15">
      <c r="A5" s="25" t="s">
        <v>65</v>
      </c>
      <c r="B5" s="25"/>
      <c r="C5" s="25" t="s">
        <v>187</v>
      </c>
      <c r="F5" s="34">
        <v>5250</v>
      </c>
    </row>
    <row r="6" spans="1:15" x14ac:dyDescent="0.15"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5" x14ac:dyDescent="0.15">
      <c r="A7" s="27" t="s">
        <v>48</v>
      </c>
      <c r="C7" s="25" t="s">
        <v>152</v>
      </c>
      <c r="D7" s="25" t="s">
        <v>31</v>
      </c>
      <c r="E7" s="25" t="s">
        <v>58</v>
      </c>
      <c r="F7" s="25" t="s">
        <v>35</v>
      </c>
      <c r="G7" s="25" t="s">
        <v>36</v>
      </c>
      <c r="H7" s="25" t="s">
        <v>5</v>
      </c>
    </row>
    <row r="8" spans="1:15" x14ac:dyDescent="0.15">
      <c r="C8" s="28"/>
      <c r="D8" s="28"/>
      <c r="E8" s="28"/>
      <c r="F8" s="28"/>
      <c r="G8" s="28"/>
      <c r="H8" s="29"/>
    </row>
    <row r="9" spans="1:15" x14ac:dyDescent="0.15">
      <c r="A9" s="25" t="s">
        <v>6</v>
      </c>
      <c r="C9" s="28"/>
      <c r="D9" s="28"/>
      <c r="E9" s="28"/>
      <c r="F9" s="28"/>
      <c r="G9" s="28"/>
      <c r="H9" s="29"/>
    </row>
    <row r="10" spans="1:15" x14ac:dyDescent="0.15">
      <c r="A10" s="22" t="s">
        <v>28</v>
      </c>
      <c r="C10" s="28">
        <f>IF($F5&lt;'Tariffs Jul''12'!E7,('Bills Jul''12'!$F5*'Tariffs Jul''12'!E8/100),('Tariffs Jul''12'!E7*'Tariffs Jul''12'!E8/100))</f>
        <v>149.39099999999999</v>
      </c>
      <c r="D10" s="28">
        <f>IF($F5&lt;'Tariffs Jul''12'!F7,('Bills Jul''12'!$F5*'Tariffs Jul''12'!F8/100),('Tariffs Jul''12'!F7*'Tariffs Jul''12'!F8/100))</f>
        <v>152.16300000000001</v>
      </c>
      <c r="E10" s="28">
        <f>IF($F5&lt;'Tariffs Jul''12'!G7,('Bills Jul''12'!$F5*'Tariffs Jul''12'!G8/100),('Tariffs Jul''12'!G7*'Tariffs Jul''12'!G8/100))</f>
        <v>152.16300000000001</v>
      </c>
      <c r="F10" s="28">
        <f>IF($F5&lt;'Tariffs Jul''12'!H7,('Bills Jul''12'!$F5*'Tariffs Jul''12'!H8/100),('Tariffs Jul''12'!H7*'Tariffs Jul''12'!H8/100))</f>
        <v>152.262</v>
      </c>
      <c r="G10" s="28">
        <f>IF($F5&lt;'Tariffs Jul''12'!I7,('Bills Jul''12'!$F5*'Tariffs Jul''12'!I8/100),('Tariffs Jul''12'!I7*'Tariffs Jul''12'!I8/100))</f>
        <v>153.351</v>
      </c>
      <c r="H10" s="29"/>
    </row>
    <row r="11" spans="1:15" x14ac:dyDescent="0.15">
      <c r="A11" s="22" t="s">
        <v>29</v>
      </c>
      <c r="C11" s="28">
        <f>IF($F5&gt;'Tariffs Jul''12'!E7,('Bills Jul''12'!$F5-'Tariffs Jul''12'!E7)*'Tariffs Jul''12'!E9/100,0)</f>
        <v>13.0185</v>
      </c>
      <c r="D11" s="28">
        <f>IF($F5&gt;'Tariffs Jul''12'!F7,('Bills Jul''12'!$F5-'Tariffs Jul''12'!F7)*'Tariffs Jul''12'!F9/100,0)</f>
        <v>12.952500000000001</v>
      </c>
      <c r="E11" s="28">
        <f>IF($F5&gt;'Tariffs Jul''12'!G7,('Bills Jul''12'!$F5-'Tariffs Jul''12'!G7)*'Tariffs Jul''12'!G9/100,0)</f>
        <v>13.109249999999999</v>
      </c>
      <c r="F11" s="28">
        <f>IF($F5&gt;'Tariffs Jul''12'!H7,('Bills Jul''12'!$F5-'Tariffs Jul''12'!H7)*'Tariffs Jul''12'!H9/100,0)</f>
        <v>13.142249999999999</v>
      </c>
      <c r="G11" s="28">
        <f>IF($F5&gt;'Tariffs Jul''12'!I7,('Bills Jul''12'!$F5-'Tariffs Jul''12'!I7)*'Tariffs Jul''12'!I9/100,0)</f>
        <v>13.4145</v>
      </c>
      <c r="H11" s="29"/>
    </row>
    <row r="12" spans="1:15" x14ac:dyDescent="0.15">
      <c r="A12" s="22" t="s">
        <v>27</v>
      </c>
      <c r="C12" s="28">
        <f>'Tariffs Jul''12'!E10*91/100</f>
        <v>64.674610000000001</v>
      </c>
      <c r="D12" s="28">
        <f>'Tariffs Jul''12'!F10*91/100</f>
        <v>64.674610000000001</v>
      </c>
      <c r="E12" s="28">
        <f>'Tariffs Jul''12'!G10*91/100</f>
        <v>64.674610000000001</v>
      </c>
      <c r="F12" s="28">
        <f>'Tariffs Jul''12'!H10*91/100</f>
        <v>64.674610000000001</v>
      </c>
      <c r="G12" s="28">
        <f>'Tariffs Jul''12'!I10*91/100</f>
        <v>64.674610000000001</v>
      </c>
      <c r="H12" s="29"/>
    </row>
    <row r="13" spans="1:15" x14ac:dyDescent="0.15">
      <c r="A13" s="22" t="s">
        <v>63</v>
      </c>
      <c r="C13" s="28">
        <f>SUM(C10:C12)</f>
        <v>227.08410999999998</v>
      </c>
      <c r="D13" s="28">
        <f>SUM(D10:D12)</f>
        <v>229.79011</v>
      </c>
      <c r="E13" s="28">
        <f>SUM(E10:E12)</f>
        <v>229.94686000000002</v>
      </c>
      <c r="F13" s="28">
        <f>SUM(F10:F12)</f>
        <v>230.07885999999999</v>
      </c>
      <c r="G13" s="28">
        <f>SUM(G10:G12)</f>
        <v>231.44011</v>
      </c>
      <c r="H13" s="29">
        <f>AVERAGE(C13:G13)</f>
        <v>229.66800999999995</v>
      </c>
    </row>
    <row r="14" spans="1:15" x14ac:dyDescent="0.15">
      <c r="A14" s="30" t="s">
        <v>30</v>
      </c>
      <c r="B14" s="31"/>
      <c r="C14" s="29">
        <f>C13*4</f>
        <v>908.33643999999993</v>
      </c>
      <c r="D14" s="29">
        <f>D13*4</f>
        <v>919.16043999999999</v>
      </c>
      <c r="E14" s="29">
        <f>E13*4</f>
        <v>919.78744000000006</v>
      </c>
      <c r="F14" s="29">
        <f>F13*4</f>
        <v>920.31543999999997</v>
      </c>
      <c r="G14" s="29">
        <f>G13*4</f>
        <v>925.76044000000002</v>
      </c>
      <c r="H14" s="32">
        <f>AVERAGE(C14:G14)</f>
        <v>918.67203999999981</v>
      </c>
    </row>
    <row r="17" spans="1:15" x14ac:dyDescent="0.15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</row>
  </sheetData>
  <sheetProtection algorithmName="SHA-512" hashValue="snT8ljnSjWCkD/gvWuqsDF938Ll46YJGVR9BQ4KcGozRDW8VKlNx4HGtfTOZIpJeQPt1EYnfQSz0KbT/lP6NvA==" saltValue="CciQ+dQXpvEL/U1P9tn+vA==" spinCount="100000" sheet="1" objects="1" scenarios="1"/>
  <phoneticPr fontId="9" type="noConversion"/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O17"/>
  <sheetViews>
    <sheetView zoomScale="150" workbookViewId="0">
      <selection activeCell="F5" sqref="F5"/>
    </sheetView>
  </sheetViews>
  <sheetFormatPr baseColWidth="10" defaultRowHeight="13" x14ac:dyDescent="0.15"/>
  <cols>
    <col min="1" max="1" width="14.1640625" style="22" customWidth="1"/>
    <col min="2" max="2" width="3.5" style="22" customWidth="1"/>
    <col min="3" max="15" width="10" style="22" customWidth="1"/>
    <col min="16" max="16384" width="10.83203125" style="22"/>
  </cols>
  <sheetData>
    <row r="1" spans="1:15" x14ac:dyDescent="0.15">
      <c r="A1" s="21" t="s">
        <v>62</v>
      </c>
    </row>
    <row r="2" spans="1:15" x14ac:dyDescent="0.1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1:15" x14ac:dyDescent="0.15">
      <c r="A3" s="24" t="s">
        <v>39</v>
      </c>
    </row>
    <row r="5" spans="1:15" x14ac:dyDescent="0.15">
      <c r="A5" s="25" t="s">
        <v>65</v>
      </c>
      <c r="B5" s="25"/>
      <c r="C5" s="25" t="s">
        <v>187</v>
      </c>
      <c r="F5" s="34">
        <v>5250</v>
      </c>
    </row>
    <row r="6" spans="1:15" x14ac:dyDescent="0.15"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5" x14ac:dyDescent="0.15">
      <c r="A7" s="27" t="s">
        <v>48</v>
      </c>
      <c r="C7" s="25" t="s">
        <v>152</v>
      </c>
      <c r="D7" s="25" t="s">
        <v>31</v>
      </c>
      <c r="E7" s="25" t="s">
        <v>58</v>
      </c>
      <c r="F7" s="25" t="s">
        <v>35</v>
      </c>
      <c r="G7" s="25" t="s">
        <v>36</v>
      </c>
      <c r="H7" s="25" t="s">
        <v>5</v>
      </c>
    </row>
    <row r="8" spans="1:15" x14ac:dyDescent="0.15">
      <c r="C8" s="28"/>
      <c r="D8" s="28"/>
      <c r="E8" s="28"/>
      <c r="F8" s="28"/>
      <c r="G8" s="28"/>
      <c r="H8" s="29"/>
    </row>
    <row r="9" spans="1:15" x14ac:dyDescent="0.15">
      <c r="A9" s="25" t="s">
        <v>6</v>
      </c>
      <c r="C9" s="28"/>
      <c r="D9" s="28"/>
      <c r="E9" s="28"/>
      <c r="F9" s="28"/>
      <c r="G9" s="28"/>
      <c r="H9" s="29"/>
    </row>
    <row r="10" spans="1:15" x14ac:dyDescent="0.15">
      <c r="A10" s="22" t="s">
        <v>28</v>
      </c>
      <c r="C10" s="28">
        <f>IF($F5&lt;'Tariffs Jul''11'!E7,('Bills Jul''11'!$F5*'Tariffs Jul''11'!E8/100),('Tariffs Jul''11'!E7*'Tariffs Jul''11'!E8/100))</f>
        <v>119.79</v>
      </c>
      <c r="D10" s="28">
        <f>IF($F5&lt;'Tariffs Jul''11'!F7,('Bills Jul''11'!$F5*'Tariffs Jul''11'!F8/100),('Tariffs Jul''11'!F7*'Tariffs Jul''11'!F8/100))</f>
        <v>122.76000000000002</v>
      </c>
      <c r="E10" s="28">
        <f>IF($F5&lt;'Tariffs Jul''11'!G7,('Bills Jul''11'!$F5*'Tariffs Jul''11'!G8/100),('Tariffs Jul''11'!G7*'Tariffs Jul''11'!G8/100))</f>
        <v>122.76000000000002</v>
      </c>
      <c r="F10" s="28">
        <f>IF($F5&lt;'Tariffs Jul''11'!H7,('Bills Jul''11'!$F5*'Tariffs Jul''11'!H8/100),('Tariffs Jul''11'!H7*'Tariffs Jul''11'!H8/100))</f>
        <v>122.76000000000002</v>
      </c>
      <c r="G10" s="28">
        <f>IF($F5&lt;'Tariffs Jul''11'!I7,('Bills Jul''11'!$F5*'Tariffs Jul''11'!I8/100),('Tariffs Jul''11'!I7*'Tariffs Jul''11'!I8/100))</f>
        <v>123.75</v>
      </c>
      <c r="H10" s="29"/>
    </row>
    <row r="11" spans="1:15" x14ac:dyDescent="0.15">
      <c r="A11" s="22" t="s">
        <v>29</v>
      </c>
      <c r="C11" s="28">
        <f>IF($F5&gt;'Tariffs Jul''11'!E7,('Bills Jul''11'!$F5-'Tariffs Jul''11'!E7)*'Tariffs Jul''11'!E9/100,0)</f>
        <v>11.385</v>
      </c>
      <c r="D11" s="28">
        <f>IF($F5&gt;'Tariffs Jul''11'!F7,('Bills Jul''11'!$F5-'Tariffs Jul''11'!F7)*'Tariffs Jul''11'!F9/100,0)</f>
        <v>11.3025</v>
      </c>
      <c r="E11" s="28">
        <f>IF($F5&gt;'Tariffs Jul''11'!G7,('Bills Jul''11'!$F5-'Tariffs Jul''11'!G7)*'Tariffs Jul''11'!G9/100,0)</f>
        <v>11.467499999999999</v>
      </c>
      <c r="F11" s="28">
        <f>IF($F5&gt;'Tariffs Jul''11'!H7,('Bills Jul''11'!$F5-'Tariffs Jul''11'!H7)*'Tariffs Jul''11'!H9/100,0)</f>
        <v>11.55</v>
      </c>
      <c r="G11" s="28">
        <f>IF($F5&gt;'Tariffs Jul''11'!I7,('Bills Jul''11'!$F5-'Tariffs Jul''11'!I7)*'Tariffs Jul''11'!I9/100,0)</f>
        <v>11.797499999999999</v>
      </c>
      <c r="H11" s="29"/>
    </row>
    <row r="12" spans="1:15" x14ac:dyDescent="0.15">
      <c r="A12" s="22" t="s">
        <v>27</v>
      </c>
      <c r="C12" s="28">
        <f>'Tariffs Jul''11'!E10*91/100</f>
        <v>60.512151700000004</v>
      </c>
      <c r="D12" s="28">
        <f>'Tariffs Jul''11'!F10*91/100</f>
        <v>60.512151700000004</v>
      </c>
      <c r="E12" s="28">
        <f>'Tariffs Jul''11'!G10*91/100</f>
        <v>60.512151700000004</v>
      </c>
      <c r="F12" s="28">
        <f>'Tariffs Jul''11'!H10*91/100</f>
        <v>60.512151700000004</v>
      </c>
      <c r="G12" s="28">
        <f>'Tariffs Jul''11'!I10*91/100</f>
        <v>60.512151700000004</v>
      </c>
      <c r="H12" s="29"/>
    </row>
    <row r="13" spans="1:15" x14ac:dyDescent="0.15">
      <c r="A13" s="22" t="s">
        <v>63</v>
      </c>
      <c r="C13" s="28">
        <f>SUM(C10:C12)</f>
        <v>191.68715170000002</v>
      </c>
      <c r="D13" s="28">
        <f>SUM(D10:D12)</f>
        <v>194.57465170000003</v>
      </c>
      <c r="E13" s="28">
        <f>SUM(E10:E12)</f>
        <v>194.73965170000002</v>
      </c>
      <c r="F13" s="28">
        <f>SUM(F10:F12)</f>
        <v>194.82215170000003</v>
      </c>
      <c r="G13" s="28">
        <f>SUM(G10:G12)</f>
        <v>196.05965170000002</v>
      </c>
      <c r="H13" s="29">
        <f>AVERAGE(C13:G13)</f>
        <v>194.37665170000005</v>
      </c>
    </row>
    <row r="14" spans="1:15" x14ac:dyDescent="0.15">
      <c r="A14" s="30" t="s">
        <v>30</v>
      </c>
      <c r="B14" s="31"/>
      <c r="C14" s="29">
        <f>C13*4</f>
        <v>766.74860680000006</v>
      </c>
      <c r="D14" s="29">
        <f>D13*4</f>
        <v>778.29860680000013</v>
      </c>
      <c r="E14" s="29">
        <f>E13*4</f>
        <v>778.9586068000001</v>
      </c>
      <c r="F14" s="29">
        <f>F13*4</f>
        <v>779.28860680000014</v>
      </c>
      <c r="G14" s="29">
        <f>G13*4</f>
        <v>784.23860680000007</v>
      </c>
      <c r="H14" s="32">
        <f>AVERAGE(C14:G14)</f>
        <v>777.50660680000021</v>
      </c>
    </row>
    <row r="17" spans="1:15" x14ac:dyDescent="0.15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</row>
  </sheetData>
  <sheetProtection algorithmName="SHA-512" hashValue="BOMY+lHAch9NDeDDInTRWXntjOuqNau38UNdq7BbGXQOdAmWElgjqAo63kA5UGn+Xo4S3IL7ZZPHhyQ03xmKQg==" saltValue="x5blPHm+0jt5nerF0okfAw==" spinCount="100000" sheet="1" objects="1" scenarios="1"/>
  <phoneticPr fontId="9" type="noConversion"/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O17"/>
  <sheetViews>
    <sheetView zoomScale="150" workbookViewId="0">
      <selection activeCell="F5" sqref="F5"/>
    </sheetView>
  </sheetViews>
  <sheetFormatPr baseColWidth="10" defaultRowHeight="13" x14ac:dyDescent="0.15"/>
  <cols>
    <col min="1" max="1" width="14.1640625" style="22" customWidth="1"/>
    <col min="2" max="2" width="3.5" style="22" customWidth="1"/>
    <col min="3" max="15" width="10" style="22" customWidth="1"/>
    <col min="16" max="16384" width="10.83203125" style="22"/>
  </cols>
  <sheetData>
    <row r="1" spans="1:15" x14ac:dyDescent="0.15">
      <c r="A1" s="21" t="s">
        <v>62</v>
      </c>
    </row>
    <row r="2" spans="1:15" x14ac:dyDescent="0.15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15">
      <c r="A3" s="24" t="s">
        <v>116</v>
      </c>
    </row>
    <row r="5" spans="1:15" x14ac:dyDescent="0.15">
      <c r="A5" s="25" t="s">
        <v>65</v>
      </c>
      <c r="B5" s="25"/>
      <c r="C5" s="25" t="s">
        <v>187</v>
      </c>
      <c r="F5" s="34">
        <v>5250</v>
      </c>
    </row>
    <row r="6" spans="1:15" x14ac:dyDescent="0.15"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5" x14ac:dyDescent="0.15">
      <c r="A7" s="27" t="s">
        <v>48</v>
      </c>
      <c r="C7" s="25" t="s">
        <v>152</v>
      </c>
      <c r="D7" s="25" t="s">
        <v>31</v>
      </c>
      <c r="E7" s="25" t="s">
        <v>58</v>
      </c>
      <c r="F7" s="25" t="s">
        <v>35</v>
      </c>
      <c r="G7" s="25" t="s">
        <v>36</v>
      </c>
      <c r="H7" s="25" t="s">
        <v>5</v>
      </c>
    </row>
    <row r="8" spans="1:15" x14ac:dyDescent="0.15">
      <c r="C8" s="28"/>
      <c r="D8" s="28"/>
      <c r="E8" s="28"/>
      <c r="F8" s="28"/>
      <c r="G8" s="28"/>
      <c r="H8" s="29"/>
    </row>
    <row r="9" spans="1:15" x14ac:dyDescent="0.15">
      <c r="A9" s="25" t="s">
        <v>6</v>
      </c>
      <c r="C9" s="28"/>
      <c r="D9" s="28"/>
      <c r="E9" s="28"/>
      <c r="F9" s="28"/>
      <c r="G9" s="28"/>
      <c r="H9" s="29"/>
    </row>
    <row r="10" spans="1:15" x14ac:dyDescent="0.15">
      <c r="A10" s="22" t="s">
        <v>28</v>
      </c>
      <c r="C10" s="28">
        <f>IF($F5&lt;'Tariffs Jul''10'!E7,('Bills Jul''10'!$F5*'Tariffs Jul''10'!E8/100),('Tariffs Jul''10'!E7*'Tariffs Jul''10'!E8/100))</f>
        <v>101.3265</v>
      </c>
      <c r="D10" s="28">
        <f>IF($F5&lt;'Tariffs Jul''10'!F7,('Bills Jul''10'!$F5*'Tariffs Jul''10'!F8/100),('Tariffs Jul''10'!F7*'Tariffs Jul''10'!F8/100))</f>
        <v>103.90049999999999</v>
      </c>
      <c r="E10" s="28">
        <f>IF($F5&lt;'Tariffs Jul''10'!G7,('Bills Jul''10'!$F5*'Tariffs Jul''10'!G8/100),('Tariffs Jul''10'!G7*'Tariffs Jul''10'!G8/100))</f>
        <v>103.90049999999999</v>
      </c>
      <c r="F10" s="28">
        <f>IF($F5&lt;'Tariffs Jul''10'!H7,('Bills Jul''10'!$F5*'Tariffs Jul''10'!H8/100),('Tariffs Jul''10'!H7*'Tariffs Jul''10'!H8/100))</f>
        <v>103.95</v>
      </c>
      <c r="G10" s="28">
        <f>IF($F5&lt;'Tariffs Jul''10'!I7,('Bills Jul''10'!$F5*'Tariffs Jul''10'!I8/100),('Tariffs Jul''10'!I7*'Tariffs Jul''10'!I8/100))</f>
        <v>104.98949999999999</v>
      </c>
      <c r="H10" s="29"/>
    </row>
    <row r="11" spans="1:15" x14ac:dyDescent="0.15">
      <c r="A11" s="22" t="s">
        <v>29</v>
      </c>
      <c r="C11" s="28">
        <f>IF($F5&gt;'Tariffs Jul''10'!E7,('Bills Jul''10'!$F5-'Tariffs Jul''10'!E7)*'Tariffs Jul''10'!E9/100,0)</f>
        <v>11.525249999999998</v>
      </c>
      <c r="D11" s="28">
        <f>IF($F5&gt;'Tariffs Jul''10'!F7,('Bills Jul''10'!$F5-'Tariffs Jul''10'!F7)*'Tariffs Jul''10'!F9/100,0)</f>
        <v>11.459249999999999</v>
      </c>
      <c r="E11" s="28">
        <f>IF($F5&gt;'Tariffs Jul''10'!G7,('Bills Jul''10'!$F5-'Tariffs Jul''10'!G7)*'Tariffs Jul''10'!G9/100,0)</f>
        <v>11.599500000000001</v>
      </c>
      <c r="F11" s="28">
        <f>IF($F5&gt;'Tariffs Jul''10'!H7,('Bills Jul''10'!$F5-'Tariffs Jul''10'!H7)*'Tariffs Jul''10'!H9/100,0)</f>
        <v>11.6325</v>
      </c>
      <c r="G11" s="28">
        <f>IF($F5&gt;'Tariffs Jul''10'!I7,('Bills Jul''10'!$F5-'Tariffs Jul''10'!I7)*'Tariffs Jul''10'!I9/100,0)</f>
        <v>11.888250000000001</v>
      </c>
      <c r="H11" s="29"/>
    </row>
    <row r="12" spans="1:15" x14ac:dyDescent="0.15">
      <c r="A12" s="22" t="s">
        <v>27</v>
      </c>
      <c r="C12" s="28">
        <f>'Tariffs Jul''10'!E10*91/100</f>
        <v>54.581799999999994</v>
      </c>
      <c r="D12" s="28">
        <f>'Tariffs Jul''10'!F10*91/100</f>
        <v>54.581799999999994</v>
      </c>
      <c r="E12" s="28">
        <f>'Tariffs Jul''10'!G10*91/100</f>
        <v>54.581799999999994</v>
      </c>
      <c r="F12" s="28">
        <f>'Tariffs Jul''10'!H10*91/100</f>
        <v>54.581799999999994</v>
      </c>
      <c r="G12" s="28">
        <f>'Tariffs Jul''10'!I10*91/100</f>
        <v>54.581799999999994</v>
      </c>
      <c r="H12" s="29"/>
    </row>
    <row r="13" spans="1:15" x14ac:dyDescent="0.15">
      <c r="A13" s="22" t="s">
        <v>63</v>
      </c>
      <c r="C13" s="28">
        <f>SUM(C10:C12)</f>
        <v>167.43355</v>
      </c>
      <c r="D13" s="28">
        <f>SUM(D10:D12)</f>
        <v>169.94154999999998</v>
      </c>
      <c r="E13" s="28">
        <f>SUM(E10:E12)</f>
        <v>170.08179999999999</v>
      </c>
      <c r="F13" s="28">
        <f>SUM(F10:F12)</f>
        <v>170.1643</v>
      </c>
      <c r="G13" s="28">
        <f>SUM(G10:G12)</f>
        <v>171.45954999999998</v>
      </c>
      <c r="H13" s="29">
        <f>AVERAGE(C13:G13)</f>
        <v>169.81614999999996</v>
      </c>
    </row>
    <row r="14" spans="1:15" x14ac:dyDescent="0.15">
      <c r="A14" s="30" t="s">
        <v>30</v>
      </c>
      <c r="B14" s="31"/>
      <c r="C14" s="29">
        <f>C13*4</f>
        <v>669.73419999999999</v>
      </c>
      <c r="D14" s="29">
        <f>D13*4</f>
        <v>679.76619999999991</v>
      </c>
      <c r="E14" s="29">
        <f>E13*4</f>
        <v>680.32719999999995</v>
      </c>
      <c r="F14" s="29">
        <f>F13*4</f>
        <v>680.65719999999999</v>
      </c>
      <c r="G14" s="29">
        <f>G13*4</f>
        <v>685.83819999999992</v>
      </c>
      <c r="H14" s="32">
        <f>AVERAGE(C14:G14)</f>
        <v>679.26459999999986</v>
      </c>
    </row>
    <row r="17" spans="1:15" x14ac:dyDescent="0.15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</row>
  </sheetData>
  <sheetProtection algorithmName="SHA-512" hashValue="4EsrJIk2FtUByh0jjtq7ksmsftJvArPPOOc7znxs2Qw3jTJg/1HgRiFcUYLk6Ps0/u3rdrvJP9X8dVFFNyIN2g==" saltValue="j3+XIpDFwIhX+nb0sCCVdA==" spinCount="100000" sheet="1" objects="1" scenarios="1"/>
  <phoneticPr fontId="9" type="noConversion"/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O17"/>
  <sheetViews>
    <sheetView zoomScale="150" workbookViewId="0">
      <selection activeCell="D11" sqref="D11"/>
    </sheetView>
  </sheetViews>
  <sheetFormatPr baseColWidth="10" defaultRowHeight="13" x14ac:dyDescent="0.15"/>
  <cols>
    <col min="1" max="1" width="14.1640625" style="22" customWidth="1"/>
    <col min="2" max="2" width="3.5" style="22" customWidth="1"/>
    <col min="3" max="15" width="10" style="22" customWidth="1"/>
    <col min="16" max="16384" width="10.83203125" style="22"/>
  </cols>
  <sheetData>
    <row r="1" spans="1:15" x14ac:dyDescent="0.15">
      <c r="A1" s="21" t="s">
        <v>62</v>
      </c>
    </row>
    <row r="2" spans="1:15" x14ac:dyDescent="0.1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</row>
    <row r="3" spans="1:15" x14ac:dyDescent="0.15">
      <c r="A3" s="24" t="s">
        <v>32</v>
      </c>
    </row>
    <row r="5" spans="1:15" x14ac:dyDescent="0.15">
      <c r="A5" s="25" t="s">
        <v>65</v>
      </c>
      <c r="B5" s="25"/>
      <c r="C5" s="25" t="s">
        <v>187</v>
      </c>
      <c r="F5" s="34">
        <v>5250</v>
      </c>
    </row>
    <row r="6" spans="1:15" x14ac:dyDescent="0.15"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5" x14ac:dyDescent="0.15">
      <c r="A7" s="27" t="s">
        <v>48</v>
      </c>
      <c r="C7" s="25" t="s">
        <v>152</v>
      </c>
      <c r="D7" s="25" t="s">
        <v>31</v>
      </c>
      <c r="E7" s="25" t="s">
        <v>58</v>
      </c>
      <c r="F7" s="25" t="s">
        <v>35</v>
      </c>
      <c r="G7" s="25" t="s">
        <v>36</v>
      </c>
      <c r="H7" s="25" t="s">
        <v>5</v>
      </c>
    </row>
    <row r="8" spans="1:15" x14ac:dyDescent="0.15">
      <c r="C8" s="28"/>
      <c r="D8" s="28"/>
      <c r="E8" s="28"/>
      <c r="F8" s="28"/>
      <c r="G8" s="28"/>
      <c r="H8" s="29"/>
    </row>
    <row r="9" spans="1:15" x14ac:dyDescent="0.15">
      <c r="A9" s="25" t="s">
        <v>6</v>
      </c>
      <c r="C9" s="28"/>
      <c r="D9" s="28"/>
      <c r="E9" s="28"/>
      <c r="F9" s="28"/>
      <c r="G9" s="28"/>
      <c r="H9" s="29"/>
    </row>
    <row r="10" spans="1:15" x14ac:dyDescent="0.15">
      <c r="A10" s="22" t="s">
        <v>28</v>
      </c>
      <c r="C10" s="28">
        <f>IF($F5&lt;'Tariffs Jul''09'!E7,('Bills Jul''09'!$F5*'Tariffs Jul''09'!E8/100),('Tariffs Jul''09'!E7*'Tariffs Jul''09'!E8/100))</f>
        <v>99.198000000000008</v>
      </c>
      <c r="D10" s="28">
        <f>IF($F5&lt;'Tariffs Jul''09'!F7,('Bills Jul''09'!$F5*'Tariffs Jul''09'!F8/100),('Tariffs Jul''09'!F7*'Tariffs Jul''09'!F8/100))</f>
        <v>100.93050000000001</v>
      </c>
      <c r="E10" s="28">
        <f>IF($F5&lt;'Tariffs Jul''09'!G7,('Bills Jul''09'!$F5*'Tariffs Jul''09'!G8/100),('Tariffs Jul''09'!G7*'Tariffs Jul''09'!G8/100))</f>
        <v>100.93050000000001</v>
      </c>
      <c r="F10" s="28">
        <f>IF($F5&lt;'Tariffs Jul''09'!H7,('Bills Jul''09'!$F5*'Tariffs Jul''09'!H8/100),('Tariffs Jul''09'!H7*'Tariffs Jul''09'!H8/100))</f>
        <v>100.98000000000002</v>
      </c>
      <c r="G10" s="28">
        <f>IF($F5&lt;'Tariffs Jul''09'!I7,('Bills Jul''09'!$F5*'Tariffs Jul''09'!I8/100),('Tariffs Jul''09'!I7*'Tariffs Jul''09'!I8/100))</f>
        <v>101.47499999999999</v>
      </c>
      <c r="H10" s="29"/>
    </row>
    <row r="11" spans="1:15" x14ac:dyDescent="0.15">
      <c r="A11" s="22" t="s">
        <v>29</v>
      </c>
      <c r="C11" s="28">
        <f>IF($F5&gt;'Tariffs Jul''09'!E7,('Bills Jul''09'!$F5-'Tariffs Jul''09'!E7)*'Tariffs Jul''09'!E9/100,0)</f>
        <v>11.09625</v>
      </c>
      <c r="D11" s="28">
        <f>IF($F5&gt;'Tariffs Jul''09'!F7,('Bills Jul''09'!$F5-'Tariffs Jul''09'!F7)*'Tariffs Jul''09'!F9/100,0)</f>
        <v>11.01375</v>
      </c>
      <c r="E11" s="28">
        <f>IF($F5&gt;'Tariffs Jul''09'!G7,('Bills Jul''09'!$F5-'Tariffs Jul''09'!G7)*'Tariffs Jul''09'!G9/100,0)</f>
        <v>11.14575</v>
      </c>
      <c r="F11" s="28">
        <f>IF($F5&gt;'Tariffs Jul''09'!H7,('Bills Jul''09'!$F5-'Tariffs Jul''09'!H7)*'Tariffs Jul''09'!H9/100,0)</f>
        <v>11.178750000000001</v>
      </c>
      <c r="G11" s="28">
        <f>IF($F5&gt;'Tariffs Jul''09'!I7,('Bills Jul''09'!$F5-'Tariffs Jul''09'!I7)*'Tariffs Jul''09'!I9/100,0)</f>
        <v>11.417999999999999</v>
      </c>
      <c r="H11" s="29"/>
    </row>
    <row r="12" spans="1:15" x14ac:dyDescent="0.15">
      <c r="A12" s="22" t="s">
        <v>27</v>
      </c>
      <c r="C12" s="28">
        <f>'Tariffs Jul''09'!E10*91/100</f>
        <v>52.188500000000005</v>
      </c>
      <c r="D12" s="28">
        <f>'Tariffs Jul''09'!F10*91/100</f>
        <v>52.188500000000005</v>
      </c>
      <c r="E12" s="28">
        <f>'Tariffs Jul''09'!G10*91/100</f>
        <v>52.188500000000005</v>
      </c>
      <c r="F12" s="28">
        <f>'Tariffs Jul''09'!H10*91/100</f>
        <v>52.188500000000005</v>
      </c>
      <c r="G12" s="28">
        <f>'Tariffs Jul''09'!I10*91/100</f>
        <v>52.188500000000005</v>
      </c>
      <c r="H12" s="29"/>
    </row>
    <row r="13" spans="1:15" x14ac:dyDescent="0.15">
      <c r="A13" s="22" t="s">
        <v>63</v>
      </c>
      <c r="C13" s="28">
        <f>SUM(C10:C12)</f>
        <v>162.48275000000001</v>
      </c>
      <c r="D13" s="28">
        <f>SUM(D10:D12)</f>
        <v>164.13275000000002</v>
      </c>
      <c r="E13" s="28">
        <f>SUM(E10:E12)</f>
        <v>164.26475000000002</v>
      </c>
      <c r="F13" s="28">
        <f>SUM(F10:F12)</f>
        <v>164.34725000000003</v>
      </c>
      <c r="G13" s="28">
        <f>SUM(G10:G12)</f>
        <v>165.08150000000001</v>
      </c>
      <c r="H13" s="29">
        <f>AVERAGE(C13:G13)</f>
        <v>164.06180000000001</v>
      </c>
    </row>
    <row r="14" spans="1:15" x14ac:dyDescent="0.15">
      <c r="A14" s="30" t="s">
        <v>30</v>
      </c>
      <c r="B14" s="31"/>
      <c r="C14" s="29">
        <f>C13*4</f>
        <v>649.93100000000004</v>
      </c>
      <c r="D14" s="29">
        <f>D13*4</f>
        <v>656.53100000000006</v>
      </c>
      <c r="E14" s="29">
        <f>E13*4</f>
        <v>657.05900000000008</v>
      </c>
      <c r="F14" s="29">
        <f>F13*4</f>
        <v>657.38900000000012</v>
      </c>
      <c r="G14" s="29">
        <f>G13*4</f>
        <v>660.32600000000002</v>
      </c>
      <c r="H14" s="32">
        <f>AVERAGE(C14:G14)</f>
        <v>656.24720000000002</v>
      </c>
    </row>
    <row r="17" spans="1:15" x14ac:dyDescent="0.1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</row>
  </sheetData>
  <sheetProtection algorithmName="SHA-512" hashValue="/nQ4WWmpWF6fTfi7MUkm2rw27F/Azf93NO9hQkIv9VIbfhd9kiENayNLxXgKyCYonQ3uAswO2C3retusLZMZEA==" saltValue="53zw3nvPChrK9DRkDi7nTA==" spinCount="100000" sheet="1" objects="1" scenarios="1"/>
  <phoneticPr fontId="9" type="noConversion"/>
  <pageMargins left="0.75" right="0.75" top="1" bottom="1" header="0.5" footer="0.5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54CB8-AD94-3C4D-A15A-D8C18705EAE1}">
  <sheetPr codeName="Sheet31"/>
  <dimension ref="A1:AK13"/>
  <sheetViews>
    <sheetView zoomScale="150" zoomScaleNormal="15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H2" sqref="H2:H9"/>
    </sheetView>
  </sheetViews>
  <sheetFormatPr baseColWidth="10" defaultRowHeight="13" x14ac:dyDescent="0.15"/>
  <cols>
    <col min="4" max="4" width="19" bestFit="1" customWidth="1"/>
    <col min="6" max="6" width="14.1640625" bestFit="1" customWidth="1"/>
    <col min="7" max="7" width="13.1640625" bestFit="1" customWidth="1"/>
    <col min="8" max="8" width="12.6640625" bestFit="1" customWidth="1"/>
    <col min="15" max="17" width="11.6640625" bestFit="1" customWidth="1"/>
  </cols>
  <sheetData>
    <row r="1" spans="1:37" ht="42" x14ac:dyDescent="0.15">
      <c r="A1" s="93" t="s">
        <v>109</v>
      </c>
      <c r="B1" s="93" t="s">
        <v>110</v>
      </c>
      <c r="C1" s="94" t="s">
        <v>111</v>
      </c>
      <c r="D1" s="95" t="s">
        <v>112</v>
      </c>
      <c r="E1" s="93" t="s">
        <v>103</v>
      </c>
      <c r="F1" s="94" t="s">
        <v>114</v>
      </c>
      <c r="G1" s="95" t="s">
        <v>115</v>
      </c>
      <c r="H1" s="96" t="s">
        <v>126</v>
      </c>
      <c r="I1" s="97" t="s">
        <v>127</v>
      </c>
      <c r="J1" s="97" t="s">
        <v>128</v>
      </c>
      <c r="K1" s="97" t="s">
        <v>129</v>
      </c>
      <c r="L1" s="97" t="s">
        <v>130</v>
      </c>
      <c r="M1" s="97" t="s">
        <v>131</v>
      </c>
      <c r="N1" s="98" t="s">
        <v>132</v>
      </c>
      <c r="O1" s="99" t="s">
        <v>133</v>
      </c>
      <c r="P1" s="99" t="s">
        <v>134</v>
      </c>
      <c r="Q1" s="99" t="s">
        <v>135</v>
      </c>
      <c r="R1" s="99" t="s">
        <v>136</v>
      </c>
      <c r="S1" s="99" t="s">
        <v>137</v>
      </c>
      <c r="T1" s="100" t="s">
        <v>138</v>
      </c>
      <c r="U1" s="101" t="s">
        <v>139</v>
      </c>
      <c r="V1" s="101" t="s">
        <v>140</v>
      </c>
      <c r="W1" s="101" t="s">
        <v>141</v>
      </c>
      <c r="X1" s="101" t="s">
        <v>142</v>
      </c>
      <c r="Y1" s="101" t="s">
        <v>105</v>
      </c>
      <c r="Z1" s="102" t="s">
        <v>106</v>
      </c>
      <c r="AA1" s="103" t="s">
        <v>107</v>
      </c>
      <c r="AB1" s="103" t="s">
        <v>157</v>
      </c>
      <c r="AC1" s="103" t="s">
        <v>158</v>
      </c>
      <c r="AD1" s="103" t="s">
        <v>159</v>
      </c>
      <c r="AE1" s="103" t="s">
        <v>160</v>
      </c>
      <c r="AF1" s="104" t="s">
        <v>161</v>
      </c>
      <c r="AG1" s="105" t="s">
        <v>162</v>
      </c>
      <c r="AH1" s="105" t="s">
        <v>163</v>
      </c>
      <c r="AI1" s="105" t="s">
        <v>85</v>
      </c>
      <c r="AJ1" s="106" t="s">
        <v>86</v>
      </c>
    </row>
    <row r="2" spans="1:37" x14ac:dyDescent="0.15">
      <c r="A2" s="107">
        <v>416</v>
      </c>
      <c r="B2" s="110">
        <v>43649</v>
      </c>
      <c r="C2" s="108" t="s">
        <v>195</v>
      </c>
      <c r="D2" s="109" t="s">
        <v>199</v>
      </c>
      <c r="E2" s="189">
        <v>43648</v>
      </c>
      <c r="F2" s="108" t="s">
        <v>77</v>
      </c>
      <c r="G2" s="109" t="s">
        <v>197</v>
      </c>
      <c r="H2" s="198">
        <v>82.11818181818181</v>
      </c>
      <c r="I2" s="151" t="s">
        <v>179</v>
      </c>
      <c r="J2" s="112">
        <v>10000</v>
      </c>
      <c r="K2" s="112">
        <v>10000</v>
      </c>
      <c r="L2" s="109"/>
      <c r="M2" s="109"/>
      <c r="N2" s="109"/>
      <c r="O2" s="198">
        <v>4.7545454545454549</v>
      </c>
      <c r="P2" s="198">
        <v>2.9272727272727272</v>
      </c>
      <c r="Q2" s="197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13" t="s">
        <v>198</v>
      </c>
      <c r="AH2" s="113"/>
      <c r="AI2" s="113"/>
      <c r="AJ2" s="113"/>
      <c r="AK2" t="s">
        <v>234</v>
      </c>
    </row>
    <row r="3" spans="1:37" x14ac:dyDescent="0.15">
      <c r="A3" s="107">
        <v>426</v>
      </c>
      <c r="B3" s="110">
        <v>43649</v>
      </c>
      <c r="C3" s="108" t="s">
        <v>195</v>
      </c>
      <c r="D3" s="109" t="s">
        <v>199</v>
      </c>
      <c r="E3" s="110">
        <v>43646</v>
      </c>
      <c r="F3" s="108" t="s">
        <v>172</v>
      </c>
      <c r="G3" s="109" t="s">
        <v>197</v>
      </c>
      <c r="H3" s="198">
        <v>71.11818181818181</v>
      </c>
      <c r="I3" s="111" t="s">
        <v>179</v>
      </c>
      <c r="J3" s="112">
        <v>4500</v>
      </c>
      <c r="K3" s="112">
        <v>4500</v>
      </c>
      <c r="L3" s="109"/>
      <c r="M3" s="109"/>
      <c r="N3" s="109"/>
      <c r="O3" s="198">
        <v>5.8545454545454545</v>
      </c>
      <c r="P3" s="198">
        <v>3.9909090909090903</v>
      </c>
      <c r="Q3" s="197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13" t="s">
        <v>198</v>
      </c>
      <c r="AH3" s="113"/>
      <c r="AI3" s="113"/>
      <c r="AJ3" s="113"/>
      <c r="AK3" t="s">
        <v>235</v>
      </c>
    </row>
    <row r="4" spans="1:37" x14ac:dyDescent="0.15">
      <c r="A4" s="107"/>
      <c r="B4" s="110">
        <v>43649</v>
      </c>
      <c r="C4" s="108" t="s">
        <v>195</v>
      </c>
      <c r="D4" s="109" t="s">
        <v>199</v>
      </c>
      <c r="E4" s="110">
        <v>43646</v>
      </c>
      <c r="F4" s="108" t="s">
        <v>173</v>
      </c>
      <c r="G4" s="109" t="s">
        <v>197</v>
      </c>
      <c r="H4" s="198">
        <v>90.3</v>
      </c>
      <c r="I4" s="111" t="s">
        <v>179</v>
      </c>
      <c r="J4" s="112">
        <v>2500</v>
      </c>
      <c r="K4" s="112">
        <v>4500</v>
      </c>
      <c r="L4" s="109"/>
      <c r="M4" s="109"/>
      <c r="N4" s="109"/>
      <c r="O4" s="198">
        <v>6.2272727272727266</v>
      </c>
      <c r="P4" s="198">
        <v>4.6090909090909093</v>
      </c>
      <c r="Q4" s="198">
        <v>2.9545454545454541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13" t="s">
        <v>198</v>
      </c>
      <c r="AH4" s="113"/>
      <c r="AI4" s="113"/>
      <c r="AJ4" s="113"/>
      <c r="AK4" t="s">
        <v>236</v>
      </c>
    </row>
    <row r="5" spans="1:37" x14ac:dyDescent="0.15">
      <c r="A5" s="107">
        <v>397</v>
      </c>
      <c r="B5" s="110">
        <v>43649</v>
      </c>
      <c r="C5" s="108" t="s">
        <v>195</v>
      </c>
      <c r="D5" s="109" t="s">
        <v>199</v>
      </c>
      <c r="E5" s="110">
        <v>43646</v>
      </c>
      <c r="F5" s="108" t="s">
        <v>174</v>
      </c>
      <c r="G5" s="109" t="s">
        <v>197</v>
      </c>
      <c r="H5" s="198">
        <v>83.75454545454545</v>
      </c>
      <c r="I5" s="111" t="s">
        <v>179</v>
      </c>
      <c r="J5" s="112">
        <v>4500</v>
      </c>
      <c r="K5" s="112">
        <v>4500</v>
      </c>
      <c r="L5" s="109"/>
      <c r="M5" s="109"/>
      <c r="N5" s="109"/>
      <c r="O5" s="198">
        <v>5.127272727272727</v>
      </c>
      <c r="P5" s="198">
        <v>2.6454545454545455</v>
      </c>
      <c r="Q5" s="197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13" t="s">
        <v>198</v>
      </c>
      <c r="AH5" s="113"/>
      <c r="AI5" s="113"/>
      <c r="AJ5" s="113"/>
      <c r="AK5" t="s">
        <v>237</v>
      </c>
    </row>
    <row r="6" spans="1:37" x14ac:dyDescent="0.15">
      <c r="A6" s="107">
        <v>867</v>
      </c>
      <c r="B6" s="110">
        <v>43649</v>
      </c>
      <c r="C6" s="108" t="s">
        <v>195</v>
      </c>
      <c r="D6" s="109" t="s">
        <v>199</v>
      </c>
      <c r="E6" s="110">
        <v>43646</v>
      </c>
      <c r="F6" s="108" t="s">
        <v>175</v>
      </c>
      <c r="G6" s="109" t="s">
        <v>197</v>
      </c>
      <c r="H6" s="198">
        <v>62.61818181818181</v>
      </c>
      <c r="I6" s="111" t="s">
        <v>179</v>
      </c>
      <c r="J6" s="203">
        <v>2500</v>
      </c>
      <c r="K6" s="203">
        <v>4500</v>
      </c>
      <c r="L6" s="109"/>
      <c r="M6" s="109"/>
      <c r="N6" s="109"/>
      <c r="O6" s="198">
        <v>7.3636363636363624</v>
      </c>
      <c r="P6" s="198">
        <v>4.5636363636363626</v>
      </c>
      <c r="Q6" s="198">
        <v>2.8545454545454545</v>
      </c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13" t="s">
        <v>198</v>
      </c>
      <c r="AH6" s="113"/>
      <c r="AI6" s="113"/>
      <c r="AJ6" s="113"/>
      <c r="AK6" t="s">
        <v>238</v>
      </c>
    </row>
    <row r="7" spans="1:37" x14ac:dyDescent="0.15">
      <c r="A7" s="107">
        <v>1089</v>
      </c>
      <c r="B7" s="110">
        <v>43649</v>
      </c>
      <c r="C7" s="108" t="s">
        <v>195</v>
      </c>
      <c r="D7" s="109" t="s">
        <v>199</v>
      </c>
      <c r="E7" s="110">
        <v>43646</v>
      </c>
      <c r="F7" s="108" t="s">
        <v>176</v>
      </c>
      <c r="G7" s="109" t="s">
        <v>197</v>
      </c>
      <c r="H7" s="198">
        <v>109.99999999999999</v>
      </c>
      <c r="I7" s="111" t="s">
        <v>179</v>
      </c>
      <c r="J7" s="112">
        <v>4500</v>
      </c>
      <c r="K7" s="112">
        <v>4500</v>
      </c>
      <c r="L7" s="112"/>
      <c r="M7" s="112"/>
      <c r="N7" s="112"/>
      <c r="O7" s="198">
        <v>4.5272727272727273</v>
      </c>
      <c r="P7" s="198">
        <v>2.5818181818181816</v>
      </c>
      <c r="Q7" s="197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13" t="s">
        <v>198</v>
      </c>
      <c r="AH7" s="113"/>
      <c r="AI7" s="113"/>
      <c r="AJ7" s="113"/>
      <c r="AK7" t="s">
        <v>239</v>
      </c>
    </row>
    <row r="8" spans="1:37" x14ac:dyDescent="0.15">
      <c r="A8" s="107"/>
      <c r="B8" s="110">
        <v>43649</v>
      </c>
      <c r="C8" s="108" t="s">
        <v>195</v>
      </c>
      <c r="D8" s="109" t="s">
        <v>199</v>
      </c>
      <c r="E8" s="110">
        <v>43646</v>
      </c>
      <c r="F8" s="161" t="s">
        <v>185</v>
      </c>
      <c r="G8" s="109" t="s">
        <v>197</v>
      </c>
      <c r="H8" s="198">
        <v>109.99999999999999</v>
      </c>
      <c r="I8" s="111" t="s">
        <v>179</v>
      </c>
      <c r="J8" s="112">
        <v>4500</v>
      </c>
      <c r="K8" s="112">
        <v>4500</v>
      </c>
      <c r="L8" s="112"/>
      <c r="M8" s="112"/>
      <c r="N8" s="112"/>
      <c r="O8" s="198">
        <v>4.5272727272727273</v>
      </c>
      <c r="P8" s="198">
        <v>2.5818181818181816</v>
      </c>
      <c r="Q8" s="197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13" t="s">
        <v>198</v>
      </c>
      <c r="AH8" s="113"/>
      <c r="AI8" s="113"/>
      <c r="AJ8" s="113"/>
      <c r="AK8" t="s">
        <v>240</v>
      </c>
    </row>
    <row r="9" spans="1:37" x14ac:dyDescent="0.15">
      <c r="A9" s="107"/>
      <c r="B9" s="110">
        <v>43649</v>
      </c>
      <c r="C9" s="108" t="s">
        <v>195</v>
      </c>
      <c r="D9" s="109" t="s">
        <v>199</v>
      </c>
      <c r="E9" s="110">
        <v>43646</v>
      </c>
      <c r="F9" s="161" t="s">
        <v>200</v>
      </c>
      <c r="G9" s="109" t="s">
        <v>197</v>
      </c>
      <c r="H9" s="198">
        <v>80</v>
      </c>
      <c r="I9" s="111" t="s">
        <v>179</v>
      </c>
      <c r="J9" s="112">
        <v>4500</v>
      </c>
      <c r="K9" s="112">
        <v>4500</v>
      </c>
      <c r="L9" s="112"/>
      <c r="M9" s="112"/>
      <c r="N9" s="112"/>
      <c r="O9" s="198">
        <v>8.4999999999999982</v>
      </c>
      <c r="P9" s="198">
        <v>6.5</v>
      </c>
      <c r="Q9" s="197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13" t="s">
        <v>198</v>
      </c>
      <c r="AH9" s="113"/>
      <c r="AI9" s="113"/>
      <c r="AJ9" s="113"/>
      <c r="AK9" t="s">
        <v>241</v>
      </c>
    </row>
    <row r="10" spans="1:37" x14ac:dyDescent="0.15">
      <c r="A10" s="107">
        <v>401</v>
      </c>
      <c r="B10" s="110">
        <v>43649</v>
      </c>
      <c r="C10" s="108" t="s">
        <v>195</v>
      </c>
      <c r="D10" s="109" t="s">
        <v>196</v>
      </c>
      <c r="E10" s="110">
        <v>43646</v>
      </c>
      <c r="F10" s="108" t="s">
        <v>174</v>
      </c>
      <c r="G10" s="109" t="s">
        <v>197</v>
      </c>
      <c r="H10" s="198">
        <v>83.75454545454545</v>
      </c>
      <c r="I10" s="111" t="s">
        <v>179</v>
      </c>
      <c r="J10" s="112">
        <v>4500</v>
      </c>
      <c r="K10" s="112">
        <v>4500</v>
      </c>
      <c r="L10" s="109"/>
      <c r="M10" s="109"/>
      <c r="N10" s="109"/>
      <c r="O10" s="198">
        <v>5.127272727272727</v>
      </c>
      <c r="P10" s="198">
        <v>2.6454545454545455</v>
      </c>
      <c r="Q10" s="197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13" t="s">
        <v>198</v>
      </c>
      <c r="AH10" s="113"/>
      <c r="AI10" s="113"/>
      <c r="AJ10" s="113"/>
    </row>
    <row r="11" spans="1:37" x14ac:dyDescent="0.15">
      <c r="A11" s="107">
        <v>405</v>
      </c>
      <c r="B11" s="110">
        <v>43649</v>
      </c>
      <c r="C11" s="108" t="s">
        <v>195</v>
      </c>
      <c r="D11" s="109" t="s">
        <v>196</v>
      </c>
      <c r="E11" s="110">
        <v>43646</v>
      </c>
      <c r="F11" s="108" t="s">
        <v>174</v>
      </c>
      <c r="G11" s="109" t="s">
        <v>197</v>
      </c>
      <c r="H11" s="198">
        <v>83.75454545454545</v>
      </c>
      <c r="I11" s="111" t="s">
        <v>179</v>
      </c>
      <c r="J11" s="112">
        <v>4500</v>
      </c>
      <c r="K11" s="112">
        <v>4500</v>
      </c>
      <c r="L11" s="109"/>
      <c r="M11" s="109"/>
      <c r="N11" s="109"/>
      <c r="O11" s="198">
        <v>5.127272727272727</v>
      </c>
      <c r="P11" s="198">
        <v>2.6454545454545455</v>
      </c>
      <c r="Q11" s="197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13" t="s">
        <v>198</v>
      </c>
      <c r="AH11" s="113"/>
      <c r="AI11" s="113"/>
      <c r="AJ11" s="113"/>
    </row>
    <row r="12" spans="1:37" x14ac:dyDescent="0.15">
      <c r="A12" s="107">
        <v>409</v>
      </c>
      <c r="B12" s="110">
        <v>43649</v>
      </c>
      <c r="C12" s="108" t="s">
        <v>195</v>
      </c>
      <c r="D12" s="109" t="s">
        <v>196</v>
      </c>
      <c r="E12" s="110">
        <v>43646</v>
      </c>
      <c r="F12" s="108" t="s">
        <v>174</v>
      </c>
      <c r="G12" s="109" t="s">
        <v>197</v>
      </c>
      <c r="H12" s="198">
        <v>83.75454545454545</v>
      </c>
      <c r="I12" s="111" t="s">
        <v>179</v>
      </c>
      <c r="J12" s="112">
        <v>4500</v>
      </c>
      <c r="K12" s="112">
        <v>4500</v>
      </c>
      <c r="L12" s="109"/>
      <c r="M12" s="109"/>
      <c r="N12" s="109"/>
      <c r="O12" s="198">
        <v>5.127272727272727</v>
      </c>
      <c r="P12" s="198">
        <v>2.6454545454545455</v>
      </c>
      <c r="Q12" s="197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13" t="s">
        <v>198</v>
      </c>
      <c r="AH12" s="113"/>
      <c r="AI12" s="113"/>
      <c r="AJ12" s="113"/>
    </row>
    <row r="13" spans="1:37" x14ac:dyDescent="0.15">
      <c r="A13" s="107">
        <v>413</v>
      </c>
      <c r="B13" s="110">
        <v>43649</v>
      </c>
      <c r="C13" s="108" t="s">
        <v>195</v>
      </c>
      <c r="D13" s="109" t="s">
        <v>196</v>
      </c>
      <c r="E13" s="110">
        <v>43646</v>
      </c>
      <c r="F13" s="108" t="s">
        <v>174</v>
      </c>
      <c r="G13" s="109" t="s">
        <v>197</v>
      </c>
      <c r="H13" s="198">
        <v>83.75454545454545</v>
      </c>
      <c r="I13" s="111" t="s">
        <v>179</v>
      </c>
      <c r="J13" s="112">
        <v>4500</v>
      </c>
      <c r="K13" s="112">
        <v>4500</v>
      </c>
      <c r="L13" s="109"/>
      <c r="M13" s="109"/>
      <c r="N13" s="109"/>
      <c r="O13" s="198">
        <v>5.127272727272727</v>
      </c>
      <c r="P13" s="198">
        <v>2.6454545454545455</v>
      </c>
      <c r="Q13" s="197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13" t="s">
        <v>198</v>
      </c>
      <c r="AH13" s="113"/>
      <c r="AI13" s="113"/>
      <c r="AJ13" s="113"/>
    </row>
  </sheetData>
  <sheetProtection algorithmName="SHA-512" hashValue="pJ1lUR6QraGnYuxrmM4ODZ9l0AzIlpVVSRMt8bs5ZhiofkxCxj7drOzBipgD77FrH1j3B02pRD/kL59YQRZOVA==" saltValue="YAXS2E/ox5HSs4lDKRRPOw==" spinCount="100000" sheet="1" objects="1" scenarios="1"/>
  <pageMargins left="0.75" right="0.75" top="1" bottom="1" header="0.5" footer="0.5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ADF40-69D1-8148-82B6-72B0C111BCDC}">
  <sheetPr codeName="Sheet28"/>
  <dimension ref="A1:AK18"/>
  <sheetViews>
    <sheetView zoomScale="150" zoomScaleNormal="15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H6" sqref="H6"/>
    </sheetView>
  </sheetViews>
  <sheetFormatPr baseColWidth="10" defaultRowHeight="13" x14ac:dyDescent="0.15"/>
  <cols>
    <col min="4" max="4" width="19" bestFit="1" customWidth="1"/>
    <col min="6" max="6" width="14.1640625" bestFit="1" customWidth="1"/>
    <col min="7" max="7" width="13.1640625" bestFit="1" customWidth="1"/>
    <col min="8" max="8" width="12.6640625" bestFit="1" customWidth="1"/>
    <col min="15" max="17" width="11.6640625" bestFit="1" customWidth="1"/>
  </cols>
  <sheetData>
    <row r="1" spans="1:37" ht="42" x14ac:dyDescent="0.15">
      <c r="A1" s="93" t="s">
        <v>109</v>
      </c>
      <c r="B1" s="93" t="s">
        <v>110</v>
      </c>
      <c r="C1" s="94" t="s">
        <v>111</v>
      </c>
      <c r="D1" s="95" t="s">
        <v>112</v>
      </c>
      <c r="E1" s="93" t="s">
        <v>103</v>
      </c>
      <c r="F1" s="94" t="s">
        <v>114</v>
      </c>
      <c r="G1" s="95" t="s">
        <v>115</v>
      </c>
      <c r="H1" s="96" t="s">
        <v>126</v>
      </c>
      <c r="I1" s="97" t="s">
        <v>127</v>
      </c>
      <c r="J1" s="97" t="s">
        <v>128</v>
      </c>
      <c r="K1" s="97" t="s">
        <v>129</v>
      </c>
      <c r="L1" s="97" t="s">
        <v>130</v>
      </c>
      <c r="M1" s="97" t="s">
        <v>131</v>
      </c>
      <c r="N1" s="98" t="s">
        <v>132</v>
      </c>
      <c r="O1" s="99" t="s">
        <v>133</v>
      </c>
      <c r="P1" s="99" t="s">
        <v>134</v>
      </c>
      <c r="Q1" s="99" t="s">
        <v>135</v>
      </c>
      <c r="R1" s="99" t="s">
        <v>136</v>
      </c>
      <c r="S1" s="99" t="s">
        <v>137</v>
      </c>
      <c r="T1" s="100" t="s">
        <v>138</v>
      </c>
      <c r="U1" s="101" t="s">
        <v>139</v>
      </c>
      <c r="V1" s="101" t="s">
        <v>140</v>
      </c>
      <c r="W1" s="101" t="s">
        <v>141</v>
      </c>
      <c r="X1" s="101" t="s">
        <v>142</v>
      </c>
      <c r="Y1" s="101" t="s">
        <v>105</v>
      </c>
      <c r="Z1" s="102" t="s">
        <v>106</v>
      </c>
      <c r="AA1" s="103" t="s">
        <v>107</v>
      </c>
      <c r="AB1" s="103" t="s">
        <v>157</v>
      </c>
      <c r="AC1" s="103" t="s">
        <v>158</v>
      </c>
      <c r="AD1" s="103" t="s">
        <v>159</v>
      </c>
      <c r="AE1" s="103" t="s">
        <v>160</v>
      </c>
      <c r="AF1" s="104" t="s">
        <v>161</v>
      </c>
      <c r="AG1" s="105" t="s">
        <v>162</v>
      </c>
      <c r="AH1" s="105" t="s">
        <v>163</v>
      </c>
      <c r="AI1" s="105" t="s">
        <v>85</v>
      </c>
      <c r="AJ1" s="106" t="s">
        <v>86</v>
      </c>
    </row>
    <row r="2" spans="1:37" x14ac:dyDescent="0.15">
      <c r="A2" s="107">
        <v>416</v>
      </c>
      <c r="B2" s="193">
        <v>43307</v>
      </c>
      <c r="C2" s="108" t="s">
        <v>195</v>
      </c>
      <c r="D2" s="109" t="s">
        <v>196</v>
      </c>
      <c r="E2" s="189">
        <v>43284</v>
      </c>
      <c r="F2" s="108" t="s">
        <v>77</v>
      </c>
      <c r="G2" s="109" t="s">
        <v>197</v>
      </c>
      <c r="H2" s="198">
        <v>74.652892561983464</v>
      </c>
      <c r="I2" s="151" t="s">
        <v>179</v>
      </c>
      <c r="J2" s="112">
        <v>10000</v>
      </c>
      <c r="K2" s="112">
        <v>10000</v>
      </c>
      <c r="L2" s="109"/>
      <c r="M2" s="109"/>
      <c r="N2" s="109"/>
      <c r="O2" s="198">
        <v>3.9669421487603298</v>
      </c>
      <c r="P2" s="198">
        <v>2.4462809917355366</v>
      </c>
      <c r="Q2" s="197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13" t="s">
        <v>198</v>
      </c>
      <c r="AH2" s="113"/>
      <c r="AI2" s="113"/>
      <c r="AJ2" s="113"/>
      <c r="AK2" t="s">
        <v>217</v>
      </c>
    </row>
    <row r="3" spans="1:37" x14ac:dyDescent="0.15">
      <c r="A3" s="107">
        <v>426</v>
      </c>
      <c r="B3" s="193">
        <v>43307</v>
      </c>
      <c r="C3" s="108" t="s">
        <v>195</v>
      </c>
      <c r="D3" s="109" t="s">
        <v>199</v>
      </c>
      <c r="E3" s="110">
        <v>43281</v>
      </c>
      <c r="F3" s="108" t="s">
        <v>172</v>
      </c>
      <c r="G3" s="109" t="s">
        <v>197</v>
      </c>
      <c r="H3" s="198">
        <v>63.702479338842963</v>
      </c>
      <c r="I3" s="111" t="s">
        <v>179</v>
      </c>
      <c r="J3" s="112">
        <v>4500</v>
      </c>
      <c r="K3" s="112">
        <v>4500</v>
      </c>
      <c r="L3" s="109"/>
      <c r="M3" s="109"/>
      <c r="N3" s="109"/>
      <c r="O3" s="198">
        <v>4.4297520661157028</v>
      </c>
      <c r="P3" s="198">
        <v>3.0165289256198342</v>
      </c>
      <c r="Q3" s="197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13" t="s">
        <v>198</v>
      </c>
      <c r="AH3" s="113"/>
      <c r="AI3" s="113"/>
      <c r="AJ3" s="113"/>
      <c r="AK3" t="s">
        <v>218</v>
      </c>
    </row>
    <row r="4" spans="1:37" x14ac:dyDescent="0.15">
      <c r="A4" s="107"/>
      <c r="B4" s="193">
        <v>43307</v>
      </c>
      <c r="C4" s="108" t="s">
        <v>195</v>
      </c>
      <c r="D4" s="109" t="s">
        <v>199</v>
      </c>
      <c r="E4" s="110">
        <v>43281</v>
      </c>
      <c r="F4" s="108" t="s">
        <v>173</v>
      </c>
      <c r="G4" s="109" t="s">
        <v>197</v>
      </c>
      <c r="H4" s="198">
        <v>79.462809917355358</v>
      </c>
      <c r="I4" s="111" t="s">
        <v>179</v>
      </c>
      <c r="J4" s="112">
        <v>2500</v>
      </c>
      <c r="K4" s="112">
        <v>4500</v>
      </c>
      <c r="L4" s="109"/>
      <c r="M4" s="109"/>
      <c r="N4" s="109"/>
      <c r="O4" s="198">
        <v>4.4958677685950406</v>
      </c>
      <c r="P4" s="198">
        <v>3.7438016528925617</v>
      </c>
      <c r="Q4" s="198">
        <v>2.2479338842975203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13" t="s">
        <v>198</v>
      </c>
      <c r="AH4" s="113"/>
      <c r="AI4" s="113"/>
      <c r="AJ4" s="113"/>
      <c r="AK4" t="s">
        <v>219</v>
      </c>
    </row>
    <row r="5" spans="1:37" x14ac:dyDescent="0.15">
      <c r="A5" s="107">
        <v>397</v>
      </c>
      <c r="B5" s="193">
        <v>43307</v>
      </c>
      <c r="C5" s="108" t="s">
        <v>195</v>
      </c>
      <c r="D5" s="109" t="s">
        <v>199</v>
      </c>
      <c r="E5" s="110">
        <v>43281</v>
      </c>
      <c r="F5" s="108" t="s">
        <v>174</v>
      </c>
      <c r="G5" s="109" t="s">
        <v>197</v>
      </c>
      <c r="H5" s="198">
        <v>74.644628099173531</v>
      </c>
      <c r="I5" s="111" t="s">
        <v>179</v>
      </c>
      <c r="J5" s="112">
        <v>4500</v>
      </c>
      <c r="K5" s="112">
        <v>4500</v>
      </c>
      <c r="L5" s="109"/>
      <c r="M5" s="109"/>
      <c r="N5" s="109"/>
      <c r="O5" s="198">
        <v>4.2892561983471067</v>
      </c>
      <c r="P5" s="198">
        <v>2.1900826446280988</v>
      </c>
      <c r="Q5" s="197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13" t="s">
        <v>198</v>
      </c>
      <c r="AH5" s="113"/>
      <c r="AI5" s="113"/>
      <c r="AJ5" s="113"/>
      <c r="AK5" t="s">
        <v>220</v>
      </c>
    </row>
    <row r="6" spans="1:37" x14ac:dyDescent="0.15">
      <c r="A6" s="107">
        <v>867</v>
      </c>
      <c r="B6" s="193">
        <v>43307</v>
      </c>
      <c r="C6" s="108" t="s">
        <v>195</v>
      </c>
      <c r="D6" s="109" t="s">
        <v>199</v>
      </c>
      <c r="E6" s="110">
        <v>43281</v>
      </c>
      <c r="F6" s="108" t="s">
        <v>175</v>
      </c>
      <c r="G6" s="109" t="s">
        <v>197</v>
      </c>
      <c r="H6" s="198">
        <v>58.73</v>
      </c>
      <c r="I6" s="111" t="s">
        <v>179</v>
      </c>
      <c r="J6" s="203">
        <v>2500</v>
      </c>
      <c r="K6" s="203">
        <v>4500</v>
      </c>
      <c r="L6" s="109"/>
      <c r="M6" s="109"/>
      <c r="N6" s="109"/>
      <c r="O6" s="198">
        <v>6.57</v>
      </c>
      <c r="P6" s="198">
        <v>4.07</v>
      </c>
      <c r="Q6" s="198">
        <v>2.54</v>
      </c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13" t="s">
        <v>198</v>
      </c>
      <c r="AH6" s="113"/>
      <c r="AI6" s="113"/>
      <c r="AJ6" s="113"/>
      <c r="AK6" t="s">
        <v>224</v>
      </c>
    </row>
    <row r="7" spans="1:37" x14ac:dyDescent="0.15">
      <c r="A7" s="107">
        <v>1089</v>
      </c>
      <c r="B7" s="193">
        <v>43307</v>
      </c>
      <c r="C7" s="108" t="s">
        <v>195</v>
      </c>
      <c r="D7" s="109" t="s">
        <v>199</v>
      </c>
      <c r="E7" s="110">
        <v>43281</v>
      </c>
      <c r="F7" s="108" t="s">
        <v>176</v>
      </c>
      <c r="G7" s="109" t="s">
        <v>197</v>
      </c>
      <c r="H7" s="198">
        <v>89.818181818181813</v>
      </c>
      <c r="I7" s="111" t="s">
        <v>179</v>
      </c>
      <c r="J7" s="112">
        <v>4500</v>
      </c>
      <c r="K7" s="112">
        <v>4500</v>
      </c>
      <c r="L7" s="112"/>
      <c r="M7" s="112"/>
      <c r="N7" s="112"/>
      <c r="O7" s="198">
        <v>3.9173553719008258</v>
      </c>
      <c r="P7" s="198">
        <v>2.1818181818181817</v>
      </c>
      <c r="Q7" s="197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13" t="s">
        <v>198</v>
      </c>
      <c r="AH7" s="113"/>
      <c r="AI7" s="113"/>
      <c r="AJ7" s="113"/>
      <c r="AK7" t="s">
        <v>221</v>
      </c>
    </row>
    <row r="8" spans="1:37" x14ac:dyDescent="0.15">
      <c r="A8" s="107"/>
      <c r="B8" s="193">
        <v>43307</v>
      </c>
      <c r="C8" s="108" t="s">
        <v>195</v>
      </c>
      <c r="D8" s="109" t="s">
        <v>199</v>
      </c>
      <c r="E8" s="110">
        <v>43281</v>
      </c>
      <c r="F8" s="161" t="s">
        <v>185</v>
      </c>
      <c r="G8" s="109" t="s">
        <v>197</v>
      </c>
      <c r="H8" s="198">
        <v>89.818181818181813</v>
      </c>
      <c r="I8" s="111" t="s">
        <v>179</v>
      </c>
      <c r="J8" s="112">
        <v>4500</v>
      </c>
      <c r="K8" s="112">
        <v>4500</v>
      </c>
      <c r="L8" s="112"/>
      <c r="M8" s="112"/>
      <c r="N8" s="112"/>
      <c r="O8" s="198">
        <v>3.9173553719008258</v>
      </c>
      <c r="P8" s="198">
        <v>2.1818181818181817</v>
      </c>
      <c r="Q8" s="197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13" t="s">
        <v>198</v>
      </c>
      <c r="AH8" s="113"/>
      <c r="AI8" s="113"/>
      <c r="AJ8" s="113"/>
      <c r="AK8" t="s">
        <v>222</v>
      </c>
    </row>
    <row r="9" spans="1:37" x14ac:dyDescent="0.15">
      <c r="A9" s="107"/>
      <c r="B9" s="193">
        <v>43307</v>
      </c>
      <c r="C9" s="108" t="s">
        <v>195</v>
      </c>
      <c r="D9" s="109" t="s">
        <v>199</v>
      </c>
      <c r="E9" s="110">
        <v>43280</v>
      </c>
      <c r="F9" s="161" t="s">
        <v>200</v>
      </c>
      <c r="G9" s="109" t="s">
        <v>197</v>
      </c>
      <c r="H9" s="198">
        <v>72.72727272727272</v>
      </c>
      <c r="I9" s="111" t="s">
        <v>179</v>
      </c>
      <c r="J9" s="112">
        <v>4500</v>
      </c>
      <c r="K9" s="112">
        <v>4500</v>
      </c>
      <c r="L9" s="112"/>
      <c r="M9" s="112"/>
      <c r="N9" s="112"/>
      <c r="O9" s="198">
        <v>7.7272727272727249</v>
      </c>
      <c r="P9" s="198">
        <v>5.9090909090909083</v>
      </c>
      <c r="Q9" s="197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13" t="s">
        <v>198</v>
      </c>
      <c r="AH9" s="113"/>
      <c r="AI9" s="113"/>
      <c r="AJ9" s="113"/>
      <c r="AK9" t="s">
        <v>223</v>
      </c>
    </row>
    <row r="10" spans="1:37" x14ac:dyDescent="0.15">
      <c r="A10" s="107">
        <v>401</v>
      </c>
      <c r="B10" s="193">
        <v>43307</v>
      </c>
      <c r="C10" s="108" t="s">
        <v>195</v>
      </c>
      <c r="D10" s="109" t="s">
        <v>202</v>
      </c>
      <c r="E10" s="110">
        <v>43281</v>
      </c>
      <c r="F10" s="108" t="s">
        <v>174</v>
      </c>
      <c r="G10" s="109" t="s">
        <v>197</v>
      </c>
      <c r="H10" s="198">
        <v>74.644628099173531</v>
      </c>
      <c r="I10" s="111" t="s">
        <v>179</v>
      </c>
      <c r="J10" s="112">
        <v>4500</v>
      </c>
      <c r="K10" s="112">
        <v>4500</v>
      </c>
      <c r="L10" s="109"/>
      <c r="M10" s="109"/>
      <c r="N10" s="109"/>
      <c r="O10" s="198">
        <v>4.2892561983471067</v>
      </c>
      <c r="P10" s="198">
        <v>2.1900826446280988</v>
      </c>
      <c r="Q10" s="197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13" t="s">
        <v>198</v>
      </c>
      <c r="AH10" s="113"/>
      <c r="AI10" s="113"/>
      <c r="AJ10" s="113"/>
    </row>
    <row r="11" spans="1:37" x14ac:dyDescent="0.15">
      <c r="A11" s="107">
        <v>405</v>
      </c>
      <c r="B11" s="193">
        <v>43307</v>
      </c>
      <c r="C11" s="108" t="s">
        <v>195</v>
      </c>
      <c r="D11" s="109" t="s">
        <v>203</v>
      </c>
      <c r="E11" s="110">
        <v>43281</v>
      </c>
      <c r="F11" s="108" t="s">
        <v>174</v>
      </c>
      <c r="G11" s="109" t="s">
        <v>197</v>
      </c>
      <c r="H11" s="198">
        <v>74.644628099173531</v>
      </c>
      <c r="I11" s="111" t="s">
        <v>179</v>
      </c>
      <c r="J11" s="112">
        <v>4500</v>
      </c>
      <c r="K11" s="112">
        <v>4500</v>
      </c>
      <c r="L11" s="109"/>
      <c r="M11" s="109"/>
      <c r="N11" s="109"/>
      <c r="O11" s="198">
        <v>4.2892561983471067</v>
      </c>
      <c r="P11" s="198">
        <v>2.1900826446280988</v>
      </c>
      <c r="Q11" s="197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13" t="s">
        <v>198</v>
      </c>
      <c r="AH11" s="113"/>
      <c r="AI11" s="113"/>
      <c r="AJ11" s="113"/>
    </row>
    <row r="12" spans="1:37" x14ac:dyDescent="0.15">
      <c r="A12" s="107">
        <v>409</v>
      </c>
      <c r="B12" s="193">
        <v>43307</v>
      </c>
      <c r="C12" s="108" t="s">
        <v>195</v>
      </c>
      <c r="D12" s="109" t="s">
        <v>204</v>
      </c>
      <c r="E12" s="110">
        <v>43281</v>
      </c>
      <c r="F12" s="108" t="s">
        <v>174</v>
      </c>
      <c r="G12" s="109" t="s">
        <v>197</v>
      </c>
      <c r="H12" s="198">
        <v>74.644628099173531</v>
      </c>
      <c r="I12" s="111" t="s">
        <v>179</v>
      </c>
      <c r="J12" s="112">
        <v>4500</v>
      </c>
      <c r="K12" s="112">
        <v>4500</v>
      </c>
      <c r="L12" s="109"/>
      <c r="M12" s="109"/>
      <c r="N12" s="109"/>
      <c r="O12" s="198">
        <v>4.2892561983471067</v>
      </c>
      <c r="P12" s="198">
        <v>2.1900826446280988</v>
      </c>
      <c r="Q12" s="197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13" t="s">
        <v>198</v>
      </c>
      <c r="AH12" s="113"/>
      <c r="AI12" s="113"/>
      <c r="AJ12" s="113"/>
    </row>
    <row r="13" spans="1:37" x14ac:dyDescent="0.15">
      <c r="A13" s="107">
        <v>413</v>
      </c>
      <c r="B13" s="193">
        <v>43307</v>
      </c>
      <c r="C13" s="108" t="s">
        <v>195</v>
      </c>
      <c r="D13" s="109" t="s">
        <v>205</v>
      </c>
      <c r="E13" s="110">
        <v>43281</v>
      </c>
      <c r="F13" s="108" t="s">
        <v>174</v>
      </c>
      <c r="G13" s="109" t="s">
        <v>197</v>
      </c>
      <c r="H13" s="198">
        <v>74.644628099173531</v>
      </c>
      <c r="I13" s="111" t="s">
        <v>179</v>
      </c>
      <c r="J13" s="112">
        <v>4500</v>
      </c>
      <c r="K13" s="112">
        <v>4500</v>
      </c>
      <c r="L13" s="109"/>
      <c r="M13" s="109"/>
      <c r="N13" s="109"/>
      <c r="O13" s="198">
        <v>4.2892561983471067</v>
      </c>
      <c r="P13" s="198">
        <v>2.1900826446280988</v>
      </c>
      <c r="Q13" s="197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13" t="s">
        <v>198</v>
      </c>
      <c r="AH13" s="113"/>
      <c r="AI13" s="113"/>
      <c r="AJ13" s="113"/>
    </row>
    <row r="15" spans="1:37" x14ac:dyDescent="0.15">
      <c r="H15" s="200"/>
    </row>
    <row r="16" spans="1:37" x14ac:dyDescent="0.15">
      <c r="H16" s="199"/>
      <c r="O16" s="199"/>
      <c r="P16" s="199"/>
      <c r="Q16" s="201"/>
    </row>
    <row r="17" spans="8:17" x14ac:dyDescent="0.15">
      <c r="H17" s="202"/>
      <c r="I17" s="202"/>
      <c r="J17" s="202"/>
      <c r="K17" s="202"/>
      <c r="L17" s="202"/>
      <c r="M17" s="202"/>
      <c r="N17" s="202"/>
      <c r="O17" s="202"/>
      <c r="P17" s="202"/>
      <c r="Q17" s="202"/>
    </row>
    <row r="18" spans="8:17" x14ac:dyDescent="0.15">
      <c r="J18" s="204"/>
    </row>
  </sheetData>
  <sheetProtection algorithmName="SHA-512" hashValue="ZNJykaAnbcfzkHwzQv/6odxke2Xl3UTbrK6JOPYOjwaLvFXW57+LGLgayMTdTPdwizDtCTMTiAxzlbgXHTun1w==" saltValue="a0IIChQO2hid+Cwv6Kb0cA==" spinCount="100000" sheet="1" objects="1" scenarios="1"/>
  <pageMargins left="0.75" right="0.75" top="1" bottom="1" header="0.5" footer="0.5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6046C-1AF0-004E-93C7-2B50095465F8}">
  <sheetPr codeName="Sheet27"/>
  <dimension ref="A1:AK13"/>
  <sheetViews>
    <sheetView workbookViewId="0">
      <selection activeCell="U27" sqref="U27:U28"/>
    </sheetView>
  </sheetViews>
  <sheetFormatPr baseColWidth="10" defaultRowHeight="13" x14ac:dyDescent="0.15"/>
  <cols>
    <col min="4" max="4" width="19" bestFit="1" customWidth="1"/>
    <col min="6" max="6" width="14.1640625" bestFit="1" customWidth="1"/>
    <col min="7" max="7" width="13.1640625" bestFit="1" customWidth="1"/>
  </cols>
  <sheetData>
    <row r="1" spans="1:37" ht="42" x14ac:dyDescent="0.15">
      <c r="A1" s="93" t="s">
        <v>109</v>
      </c>
      <c r="B1" s="93" t="s">
        <v>110</v>
      </c>
      <c r="C1" s="94" t="s">
        <v>111</v>
      </c>
      <c r="D1" s="95" t="s">
        <v>112</v>
      </c>
      <c r="E1" s="93" t="s">
        <v>103</v>
      </c>
      <c r="F1" s="94" t="s">
        <v>114</v>
      </c>
      <c r="G1" s="95" t="s">
        <v>115</v>
      </c>
      <c r="H1" s="96" t="s">
        <v>126</v>
      </c>
      <c r="I1" s="97" t="s">
        <v>127</v>
      </c>
      <c r="J1" s="97" t="s">
        <v>128</v>
      </c>
      <c r="K1" s="97" t="s">
        <v>129</v>
      </c>
      <c r="L1" s="97" t="s">
        <v>130</v>
      </c>
      <c r="M1" s="97" t="s">
        <v>131</v>
      </c>
      <c r="N1" s="98" t="s">
        <v>132</v>
      </c>
      <c r="O1" s="99" t="s">
        <v>133</v>
      </c>
      <c r="P1" s="99" t="s">
        <v>134</v>
      </c>
      <c r="Q1" s="99" t="s">
        <v>135</v>
      </c>
      <c r="R1" s="99" t="s">
        <v>136</v>
      </c>
      <c r="S1" s="99" t="s">
        <v>137</v>
      </c>
      <c r="T1" s="100" t="s">
        <v>138</v>
      </c>
      <c r="U1" s="101" t="s">
        <v>139</v>
      </c>
      <c r="V1" s="101" t="s">
        <v>140</v>
      </c>
      <c r="W1" s="101" t="s">
        <v>141</v>
      </c>
      <c r="X1" s="101" t="s">
        <v>142</v>
      </c>
      <c r="Y1" s="101" t="s">
        <v>105</v>
      </c>
      <c r="Z1" s="102" t="s">
        <v>106</v>
      </c>
      <c r="AA1" s="103" t="s">
        <v>107</v>
      </c>
      <c r="AB1" s="103" t="s">
        <v>157</v>
      </c>
      <c r="AC1" s="103" t="s">
        <v>158</v>
      </c>
      <c r="AD1" s="103" t="s">
        <v>159</v>
      </c>
      <c r="AE1" s="103" t="s">
        <v>160</v>
      </c>
      <c r="AF1" s="104" t="s">
        <v>161</v>
      </c>
      <c r="AG1" s="105" t="s">
        <v>162</v>
      </c>
      <c r="AH1" s="105" t="s">
        <v>163</v>
      </c>
      <c r="AI1" s="105" t="s">
        <v>85</v>
      </c>
      <c r="AJ1" s="106" t="s">
        <v>86</v>
      </c>
    </row>
    <row r="2" spans="1:37" x14ac:dyDescent="0.15">
      <c r="A2" s="107">
        <v>416</v>
      </c>
      <c r="B2" s="110">
        <v>42934</v>
      </c>
      <c r="C2" s="108" t="s">
        <v>195</v>
      </c>
      <c r="D2" s="109" t="s">
        <v>196</v>
      </c>
      <c r="E2" s="189">
        <v>42928</v>
      </c>
      <c r="F2" s="108" t="s">
        <v>77</v>
      </c>
      <c r="G2" s="109" t="s">
        <v>197</v>
      </c>
      <c r="H2" s="160">
        <v>74.836363636363629</v>
      </c>
      <c r="I2" s="151" t="s">
        <v>179</v>
      </c>
      <c r="J2" s="112">
        <v>10000</v>
      </c>
      <c r="K2" s="112">
        <v>10000</v>
      </c>
      <c r="L2" s="109"/>
      <c r="M2" s="109"/>
      <c r="N2" s="109"/>
      <c r="O2" s="160">
        <v>4.0090909090909088</v>
      </c>
      <c r="P2" s="160">
        <v>3.4454545454545453</v>
      </c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13" t="s">
        <v>198</v>
      </c>
      <c r="AH2" s="113"/>
      <c r="AI2" s="113"/>
      <c r="AJ2" s="113"/>
    </row>
    <row r="3" spans="1:37" x14ac:dyDescent="0.15">
      <c r="A3" s="107">
        <v>426</v>
      </c>
      <c r="B3" s="110">
        <v>42934</v>
      </c>
      <c r="C3" s="108" t="s">
        <v>195</v>
      </c>
      <c r="D3" s="109" t="s">
        <v>199</v>
      </c>
      <c r="E3" s="110">
        <v>42916</v>
      </c>
      <c r="F3" s="108" t="s">
        <v>172</v>
      </c>
      <c r="G3" s="109" t="s">
        <v>197</v>
      </c>
      <c r="H3" s="160">
        <v>70.072727272727263</v>
      </c>
      <c r="I3" s="111" t="s">
        <v>179</v>
      </c>
      <c r="J3" s="112">
        <v>4500</v>
      </c>
      <c r="K3" s="112">
        <v>4500</v>
      </c>
      <c r="L3" s="109"/>
      <c r="M3" s="109"/>
      <c r="N3" s="109"/>
      <c r="O3" s="160">
        <v>4.3</v>
      </c>
      <c r="P3" s="160">
        <v>2.9272727272727272</v>
      </c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13" t="s">
        <v>198</v>
      </c>
      <c r="AH3" s="113"/>
      <c r="AI3" s="113"/>
      <c r="AJ3" s="113"/>
    </row>
    <row r="4" spans="1:37" x14ac:dyDescent="0.15">
      <c r="A4" s="107"/>
      <c r="B4" s="110">
        <v>42944</v>
      </c>
      <c r="C4" s="108" t="s">
        <v>195</v>
      </c>
      <c r="D4" s="109" t="s">
        <v>199</v>
      </c>
      <c r="E4" s="110">
        <v>42947</v>
      </c>
      <c r="F4" s="108" t="s">
        <v>173</v>
      </c>
      <c r="G4" s="109" t="s">
        <v>197</v>
      </c>
      <c r="H4" s="160">
        <v>82.899999999999991</v>
      </c>
      <c r="I4" s="111" t="s">
        <v>179</v>
      </c>
      <c r="J4" s="112">
        <v>2500</v>
      </c>
      <c r="K4" s="112">
        <v>4500</v>
      </c>
      <c r="L4" s="109"/>
      <c r="M4" s="109"/>
      <c r="N4" s="109"/>
      <c r="O4" s="160">
        <v>4.627272727272727</v>
      </c>
      <c r="P4" s="160">
        <v>4</v>
      </c>
      <c r="Q4" s="160">
        <v>2.3727272727272726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13" t="s">
        <v>198</v>
      </c>
      <c r="AH4" s="113"/>
      <c r="AI4" s="113"/>
      <c r="AJ4" s="113"/>
    </row>
    <row r="5" spans="1:37" x14ac:dyDescent="0.15">
      <c r="A5" s="107">
        <v>397</v>
      </c>
      <c r="B5" s="110">
        <v>42944</v>
      </c>
      <c r="C5" s="108" t="s">
        <v>195</v>
      </c>
      <c r="D5" s="109" t="s">
        <v>199</v>
      </c>
      <c r="E5" s="110">
        <v>42916</v>
      </c>
      <c r="F5" s="108" t="s">
        <v>174</v>
      </c>
      <c r="G5" s="109" t="s">
        <v>197</v>
      </c>
      <c r="H5" s="160">
        <v>74.401818181818172</v>
      </c>
      <c r="I5" s="111" t="s">
        <v>179</v>
      </c>
      <c r="J5" s="112">
        <v>4500</v>
      </c>
      <c r="K5" s="112">
        <v>4500</v>
      </c>
      <c r="L5" s="109"/>
      <c r="M5" s="109"/>
      <c r="N5" s="109"/>
      <c r="O5" s="160">
        <v>4.2772727272727273</v>
      </c>
      <c r="P5" s="160">
        <v>2.1836363636363636</v>
      </c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13" t="s">
        <v>198</v>
      </c>
      <c r="AH5" s="113"/>
      <c r="AI5" s="113"/>
      <c r="AJ5" s="113"/>
    </row>
    <row r="6" spans="1:37" x14ac:dyDescent="0.15">
      <c r="A6" s="107">
        <v>867</v>
      </c>
      <c r="B6" s="110">
        <v>42944</v>
      </c>
      <c r="C6" s="108" t="s">
        <v>195</v>
      </c>
      <c r="D6" s="109" t="s">
        <v>199</v>
      </c>
      <c r="E6" s="110">
        <v>42916</v>
      </c>
      <c r="F6" s="108" t="s">
        <v>175</v>
      </c>
      <c r="G6" s="109" t="s">
        <v>197</v>
      </c>
      <c r="H6" s="160">
        <v>57.672727272727265</v>
      </c>
      <c r="I6" s="111" t="s">
        <v>179</v>
      </c>
      <c r="J6" s="112">
        <v>2500</v>
      </c>
      <c r="K6" s="112">
        <v>4500</v>
      </c>
      <c r="L6" s="109"/>
      <c r="M6" s="109"/>
      <c r="N6" s="109"/>
      <c r="O6" s="160">
        <v>4.8636363636363633</v>
      </c>
      <c r="P6" s="160">
        <v>3.0090909090909088</v>
      </c>
      <c r="Q6" s="160">
        <v>1.8818181818181816</v>
      </c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13" t="s">
        <v>198</v>
      </c>
      <c r="AH6" s="113"/>
      <c r="AI6" s="113"/>
      <c r="AJ6" s="113"/>
    </row>
    <row r="7" spans="1:37" x14ac:dyDescent="0.15">
      <c r="A7" s="107">
        <v>1089</v>
      </c>
      <c r="B7" s="110">
        <v>42944</v>
      </c>
      <c r="C7" s="108" t="s">
        <v>195</v>
      </c>
      <c r="D7" s="109" t="s">
        <v>199</v>
      </c>
      <c r="E7" s="110">
        <v>42916</v>
      </c>
      <c r="F7" s="108" t="s">
        <v>176</v>
      </c>
      <c r="G7" s="109" t="s">
        <v>197</v>
      </c>
      <c r="H7" s="160">
        <v>75</v>
      </c>
      <c r="I7" s="111" t="s">
        <v>179</v>
      </c>
      <c r="J7" s="112">
        <v>4500</v>
      </c>
      <c r="K7" s="112">
        <v>4500</v>
      </c>
      <c r="L7" s="112"/>
      <c r="M7" s="112"/>
      <c r="N7" s="112"/>
      <c r="O7" s="160">
        <v>4.3090909090909086</v>
      </c>
      <c r="P7" s="160">
        <v>2.4</v>
      </c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13" t="s">
        <v>198</v>
      </c>
      <c r="AH7" s="113"/>
      <c r="AI7" s="113"/>
      <c r="AJ7" s="113"/>
    </row>
    <row r="8" spans="1:37" x14ac:dyDescent="0.15">
      <c r="A8" s="107"/>
      <c r="B8" s="110">
        <v>42944</v>
      </c>
      <c r="C8" s="108" t="s">
        <v>195</v>
      </c>
      <c r="D8" s="109" t="s">
        <v>199</v>
      </c>
      <c r="E8" s="110">
        <v>42916</v>
      </c>
      <c r="F8" s="161" t="s">
        <v>185</v>
      </c>
      <c r="G8" s="109" t="s">
        <v>197</v>
      </c>
      <c r="H8" s="160">
        <v>75</v>
      </c>
      <c r="I8" s="111" t="s">
        <v>179</v>
      </c>
      <c r="J8" s="112">
        <v>4500</v>
      </c>
      <c r="K8" s="112">
        <v>4500</v>
      </c>
      <c r="L8" s="112"/>
      <c r="M8" s="112"/>
      <c r="N8" s="112"/>
      <c r="O8" s="160">
        <v>4.3090909090909086</v>
      </c>
      <c r="P8" s="160">
        <v>2.4</v>
      </c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13" t="s">
        <v>198</v>
      </c>
      <c r="AH8" s="113"/>
      <c r="AI8" s="113"/>
      <c r="AJ8" s="113"/>
    </row>
    <row r="9" spans="1:37" x14ac:dyDescent="0.15">
      <c r="A9" s="107"/>
      <c r="B9" s="110">
        <v>42944</v>
      </c>
      <c r="C9" s="108" t="s">
        <v>195</v>
      </c>
      <c r="D9" s="109" t="s">
        <v>199</v>
      </c>
      <c r="E9" s="110">
        <v>42916</v>
      </c>
      <c r="F9" s="161" t="s">
        <v>200</v>
      </c>
      <c r="G9" s="109" t="s">
        <v>197</v>
      </c>
      <c r="H9" s="160">
        <v>112</v>
      </c>
      <c r="I9" s="111" t="s">
        <v>179</v>
      </c>
      <c r="J9" s="112">
        <v>4500</v>
      </c>
      <c r="K9" s="112">
        <v>4500</v>
      </c>
      <c r="L9" s="112"/>
      <c r="M9" s="112"/>
      <c r="N9" s="112"/>
      <c r="O9" s="160">
        <v>3.7999999999999994</v>
      </c>
      <c r="P9" s="160">
        <v>2.1</v>
      </c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13" t="s">
        <v>198</v>
      </c>
      <c r="AH9" s="113"/>
      <c r="AI9" s="113"/>
      <c r="AJ9" s="113"/>
      <c r="AK9" t="s">
        <v>201</v>
      </c>
    </row>
    <row r="10" spans="1:37" x14ac:dyDescent="0.15">
      <c r="A10" s="107">
        <v>401</v>
      </c>
      <c r="B10" s="110">
        <v>42944</v>
      </c>
      <c r="C10" s="108" t="s">
        <v>195</v>
      </c>
      <c r="D10" s="109" t="s">
        <v>202</v>
      </c>
      <c r="E10" s="110">
        <v>42916</v>
      </c>
      <c r="F10" s="108" t="s">
        <v>174</v>
      </c>
      <c r="G10" s="109" t="s">
        <v>197</v>
      </c>
      <c r="H10" s="160">
        <v>74.401818181818172</v>
      </c>
      <c r="I10" s="111" t="s">
        <v>179</v>
      </c>
      <c r="J10" s="112">
        <v>4500</v>
      </c>
      <c r="K10" s="112">
        <v>4500</v>
      </c>
      <c r="L10" s="109"/>
      <c r="M10" s="109"/>
      <c r="N10" s="109"/>
      <c r="O10" s="160">
        <v>4.2772727272727273</v>
      </c>
      <c r="P10" s="160">
        <v>2.1836363636363636</v>
      </c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13" t="s">
        <v>198</v>
      </c>
      <c r="AH10" s="113"/>
      <c r="AI10" s="113"/>
      <c r="AJ10" s="113"/>
    </row>
    <row r="11" spans="1:37" x14ac:dyDescent="0.15">
      <c r="A11" s="107">
        <v>405</v>
      </c>
      <c r="B11" s="110">
        <v>42944</v>
      </c>
      <c r="C11" s="108" t="s">
        <v>195</v>
      </c>
      <c r="D11" s="109" t="s">
        <v>203</v>
      </c>
      <c r="E11" s="110">
        <v>42916</v>
      </c>
      <c r="F11" s="108" t="s">
        <v>174</v>
      </c>
      <c r="G11" s="109" t="s">
        <v>197</v>
      </c>
      <c r="H11" s="160">
        <v>74.401818181818172</v>
      </c>
      <c r="I11" s="111" t="s">
        <v>179</v>
      </c>
      <c r="J11" s="112">
        <v>4500</v>
      </c>
      <c r="K11" s="112">
        <v>4500</v>
      </c>
      <c r="L11" s="109"/>
      <c r="M11" s="109"/>
      <c r="N11" s="109"/>
      <c r="O11" s="160">
        <v>4.2772727272727273</v>
      </c>
      <c r="P11" s="160">
        <v>2.1836363636363636</v>
      </c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13" t="s">
        <v>198</v>
      </c>
      <c r="AH11" s="113"/>
      <c r="AI11" s="113"/>
      <c r="AJ11" s="113"/>
    </row>
    <row r="12" spans="1:37" x14ac:dyDescent="0.15">
      <c r="A12" s="107">
        <v>409</v>
      </c>
      <c r="B12" s="110">
        <v>42944</v>
      </c>
      <c r="C12" s="108" t="s">
        <v>195</v>
      </c>
      <c r="D12" s="109" t="s">
        <v>204</v>
      </c>
      <c r="E12" s="110">
        <v>42916</v>
      </c>
      <c r="F12" s="108" t="s">
        <v>174</v>
      </c>
      <c r="G12" s="109" t="s">
        <v>197</v>
      </c>
      <c r="H12" s="160">
        <v>74.401818181818172</v>
      </c>
      <c r="I12" s="111" t="s">
        <v>179</v>
      </c>
      <c r="J12" s="112">
        <v>4500</v>
      </c>
      <c r="K12" s="112">
        <v>4500</v>
      </c>
      <c r="L12" s="109"/>
      <c r="M12" s="109"/>
      <c r="N12" s="109"/>
      <c r="O12" s="160">
        <v>4.2772727272727273</v>
      </c>
      <c r="P12" s="160">
        <v>2.1836363636363636</v>
      </c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13" t="s">
        <v>198</v>
      </c>
      <c r="AH12" s="113"/>
      <c r="AI12" s="113"/>
      <c r="AJ12" s="113"/>
    </row>
    <row r="13" spans="1:37" x14ac:dyDescent="0.15">
      <c r="A13" s="107">
        <v>413</v>
      </c>
      <c r="B13" s="110">
        <v>42944</v>
      </c>
      <c r="C13" s="108" t="s">
        <v>195</v>
      </c>
      <c r="D13" s="109" t="s">
        <v>205</v>
      </c>
      <c r="E13" s="110">
        <v>42916</v>
      </c>
      <c r="F13" s="108" t="s">
        <v>174</v>
      </c>
      <c r="G13" s="109" t="s">
        <v>197</v>
      </c>
      <c r="H13" s="160">
        <v>74.401818181818172</v>
      </c>
      <c r="I13" s="111" t="s">
        <v>179</v>
      </c>
      <c r="J13" s="112">
        <v>4500</v>
      </c>
      <c r="K13" s="112">
        <v>4500</v>
      </c>
      <c r="L13" s="109"/>
      <c r="M13" s="109"/>
      <c r="N13" s="109"/>
      <c r="O13" s="160">
        <v>4.2772727272727273</v>
      </c>
      <c r="P13" s="160">
        <v>2.1836363636363636</v>
      </c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13" t="s">
        <v>198</v>
      </c>
      <c r="AH13" s="113"/>
      <c r="AI13" s="113"/>
      <c r="AJ13" s="113"/>
    </row>
  </sheetData>
  <sheetProtection algorithmName="SHA-512" hashValue="wesybDxCwT7P9/p6SR9KpL5nReBPtPmOWFYABXmPApGdTPCd+sgGpAh+wKasPwtVFoT7yOcx/3kWF6cHBcjl4w==" saltValue="gMciyixBFpvHGAQGTz2fmQ==" spinCount="100000" sheet="1" objects="1" scenarios="1"/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34AD-F764-0441-8F38-4926FFACCFA5}">
  <sheetPr codeName="Sheet30"/>
  <dimension ref="A1:LB7855"/>
  <sheetViews>
    <sheetView tabSelected="1" zoomScale="120" zoomScaleNormal="120" workbookViewId="0">
      <selection activeCell="J11" sqref="J11"/>
    </sheetView>
  </sheetViews>
  <sheetFormatPr baseColWidth="10" defaultRowHeight="13" x14ac:dyDescent="0.15"/>
  <cols>
    <col min="1" max="1" width="15.5" style="164" customWidth="1"/>
    <col min="2" max="2" width="20.33203125" style="164" customWidth="1"/>
    <col min="3" max="3" width="11.83203125" style="164" customWidth="1"/>
    <col min="4" max="10" width="12.1640625" style="164" customWidth="1"/>
    <col min="315" max="16384" width="10.83203125" style="164"/>
  </cols>
  <sheetData>
    <row r="1" spans="1:25" customFormat="1" ht="14" x14ac:dyDescent="0.15">
      <c r="A1" s="205" t="s">
        <v>8</v>
      </c>
      <c r="B1" s="205"/>
      <c r="C1" s="205"/>
      <c r="D1" s="205"/>
      <c r="E1" s="205"/>
      <c r="F1" s="205"/>
      <c r="G1" s="205"/>
      <c r="H1" s="206"/>
      <c r="I1" s="205"/>
      <c r="J1" s="205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</row>
    <row r="2" spans="1:25" customFormat="1" x14ac:dyDescent="0.15">
      <c r="A2" s="205" t="s">
        <v>95</v>
      </c>
      <c r="B2" s="205"/>
      <c r="C2" s="205"/>
      <c r="D2" s="205"/>
      <c r="E2" s="205"/>
      <c r="F2" s="205"/>
      <c r="G2" s="205"/>
      <c r="H2" s="205"/>
      <c r="I2" s="205"/>
      <c r="J2" s="205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</row>
    <row r="3" spans="1:25" customFormat="1" ht="14" thickBot="1" x14ac:dyDescent="0.2">
      <c r="A3" s="205"/>
      <c r="B3" s="205"/>
      <c r="C3" s="205"/>
      <c r="D3" s="205"/>
      <c r="E3" s="205"/>
      <c r="F3" s="205"/>
      <c r="G3" s="205"/>
      <c r="H3" s="205"/>
      <c r="I3" s="205"/>
      <c r="J3" s="205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</row>
    <row r="4" spans="1:25" ht="14" x14ac:dyDescent="0.15">
      <c r="A4" s="120" t="s">
        <v>96</v>
      </c>
      <c r="B4" s="121"/>
      <c r="C4" s="122"/>
      <c r="D4" s="122"/>
      <c r="E4" s="122"/>
      <c r="F4" s="122"/>
      <c r="G4" s="122"/>
      <c r="H4" s="122"/>
      <c r="I4" s="122"/>
      <c r="J4" s="123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</row>
    <row r="5" spans="1:25" ht="14" x14ac:dyDescent="0.15">
      <c r="A5" s="124" t="s">
        <v>181</v>
      </c>
      <c r="B5" s="73"/>
      <c r="C5" s="187">
        <v>5250</v>
      </c>
      <c r="D5" s="22"/>
      <c r="E5" s="73"/>
      <c r="F5" s="73"/>
      <c r="G5" s="73"/>
      <c r="H5" s="73"/>
      <c r="I5" s="73"/>
      <c r="J5" s="125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</row>
    <row r="6" spans="1:25" ht="14" x14ac:dyDescent="0.15">
      <c r="A6" s="124"/>
      <c r="B6" s="73"/>
      <c r="C6" s="73"/>
      <c r="D6" s="73"/>
      <c r="E6" s="73"/>
      <c r="F6" s="73"/>
      <c r="G6" s="73"/>
      <c r="H6" s="73"/>
      <c r="I6" s="73"/>
      <c r="J6" s="125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</row>
    <row r="7" spans="1:25" ht="30" x14ac:dyDescent="0.15">
      <c r="A7" s="173" t="s">
        <v>114</v>
      </c>
      <c r="B7" s="174" t="s">
        <v>97</v>
      </c>
      <c r="C7" s="175" t="s">
        <v>103</v>
      </c>
      <c r="D7" s="175" t="s">
        <v>93</v>
      </c>
      <c r="E7" s="175" t="s">
        <v>98</v>
      </c>
      <c r="F7" s="176" t="s">
        <v>99</v>
      </c>
      <c r="G7" s="176" t="s">
        <v>100</v>
      </c>
      <c r="H7" s="176" t="s">
        <v>207</v>
      </c>
      <c r="I7" s="177" t="s">
        <v>94</v>
      </c>
      <c r="J7" s="178" t="s">
        <v>101</v>
      </c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</row>
    <row r="8" spans="1:25" ht="20" customHeight="1" x14ac:dyDescent="0.15">
      <c r="A8" s="126" t="str">
        <f>'Tariffs 2023'!F2</f>
        <v>AGL</v>
      </c>
      <c r="B8" s="22" t="str">
        <f>'Tariffs 2023'!D2</f>
        <v>Envestra Adelaide</v>
      </c>
      <c r="C8" s="127">
        <f>'Tariffs 2023'!E2</f>
        <v>43648</v>
      </c>
      <c r="D8" s="92">
        <f>91*'Tariffs 2023'!H2/100</f>
        <v>74.727545454545449</v>
      </c>
      <c r="E8" s="92">
        <f>IF($C$5&gt;='Tariffs 2023'!J2,('Tariffs 2023'!J2*'Tariffs 2023'!O2/100),($C$5*'Tariffs 2023'!O2/100))</f>
        <v>249.6136363636364</v>
      </c>
      <c r="F8" s="92">
        <v>0</v>
      </c>
      <c r="G8" s="92">
        <f>IF(($C$5&lt;'Tariffs 2023'!K2),(0),($C$5-'Tariffs 2023'!K2)*'Tariffs 2023'!P2/100)</f>
        <v>0</v>
      </c>
      <c r="H8" s="92">
        <f>SUM(D8:G8)</f>
        <v>324.34118181818184</v>
      </c>
      <c r="I8" s="128">
        <f>H8*4</f>
        <v>1297.3647272727274</v>
      </c>
      <c r="J8" s="129">
        <f>I8*1.1</f>
        <v>1427.1012000000003</v>
      </c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</row>
    <row r="9" spans="1:25" ht="20" customHeight="1" x14ac:dyDescent="0.15">
      <c r="A9" s="126" t="str">
        <f>'Tariffs 2023'!F3</f>
        <v xml:space="preserve">Alinta Energy </v>
      </c>
      <c r="B9" s="22" t="str">
        <f>'Tariffs 2023'!D3</f>
        <v>Envestra Adelaide</v>
      </c>
      <c r="C9" s="127">
        <f>'Tariffs 2023'!E3</f>
        <v>43646</v>
      </c>
      <c r="D9" s="92">
        <f>91*'Tariffs 2023'!H3/100</f>
        <v>64.717545454545444</v>
      </c>
      <c r="E9" s="92">
        <f>IF($C$5&gt;='Tariffs 2023'!J3,('Tariffs 2023'!J3*'Tariffs 2023'!O3/100),($C$5*'Tariffs 2023'!O3/100))</f>
        <v>263.45454545454544</v>
      </c>
      <c r="F9" s="92">
        <v>0</v>
      </c>
      <c r="G9" s="92">
        <f>IF(($C$5&lt;'Tariffs 2023'!K3),(0),($C$5-'Tariffs 2023'!K3)*'Tariffs 2023'!P3/100)</f>
        <v>29.931818181818176</v>
      </c>
      <c r="H9" s="92">
        <f t="shared" ref="H9:H23" si="0">SUM(D9:G9)</f>
        <v>358.1039090909091</v>
      </c>
      <c r="I9" s="128">
        <f t="shared" ref="I9:I23" si="1">H9*4</f>
        <v>1432.4156363636364</v>
      </c>
      <c r="J9" s="129">
        <f t="shared" ref="J9:J23" si="2">I9*1.1</f>
        <v>1575.6572000000001</v>
      </c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</row>
    <row r="10" spans="1:25" ht="20" customHeight="1" x14ac:dyDescent="0.15">
      <c r="A10" s="126" t="str">
        <f>'Tariffs 2023'!F4</f>
        <v>EnergyAustralia</v>
      </c>
      <c r="B10" s="22" t="str">
        <f>'Tariffs 2023'!D4</f>
        <v>Envestra Adelaide</v>
      </c>
      <c r="C10" s="127">
        <f>'Tariffs 2023'!E4</f>
        <v>43646</v>
      </c>
      <c r="D10" s="92">
        <f>91*'Tariffs 2023'!H4/100</f>
        <v>82.172999999999988</v>
      </c>
      <c r="E10" s="92">
        <f>IF($C$5&gt;='Tariffs 2023'!J4,('Tariffs 2023'!J4*'Tariffs 2023'!O4/100),($C$5*'Tariffs 2023'!O4/100))</f>
        <v>155.68181818181816</v>
      </c>
      <c r="F10" s="92">
        <f>IF($C$5&lt;'Tariffs 2023'!J4,0,IF(($C$5-'Tariffs 2023'!J4)&lt;='Tariffs 2023'!K4,(($C$5-'Tariffs 2023'!J4)*'Tariffs 2023'!P4/100),(('Tariffs 2023'!K4-'Tariffs 2023'!J4)*'Tariffs 2023'!P4/100)))</f>
        <v>126.75</v>
      </c>
      <c r="G10" s="92">
        <f>IF(($C$5&lt;'Tariffs 2023'!K4),(0),($C$5-'Tariffs 2023'!K4)*'Tariffs 2023'!Q4/100)</f>
        <v>22.159090909090907</v>
      </c>
      <c r="H10" s="92">
        <f t="shared" si="0"/>
        <v>386.76390909090901</v>
      </c>
      <c r="I10" s="128">
        <f t="shared" si="1"/>
        <v>1547.055636363636</v>
      </c>
      <c r="J10" s="129">
        <f>I10*1.1</f>
        <v>1701.7611999999997</v>
      </c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</row>
    <row r="11" spans="1:25" ht="20" customHeight="1" x14ac:dyDescent="0.15">
      <c r="A11" s="126" t="str">
        <f>'Tariffs 2023'!F5</f>
        <v>Origin Energy</v>
      </c>
      <c r="B11" s="22" t="str">
        <f>'Tariffs 2023'!D5</f>
        <v>Envestra Adelaide</v>
      </c>
      <c r="C11" s="127">
        <f>'Tariffs 2023'!E5</f>
        <v>43646</v>
      </c>
      <c r="D11" s="92">
        <f>91*'Tariffs 2023'!H5/100</f>
        <v>76.216636363636368</v>
      </c>
      <c r="E11" s="92">
        <f>IF($C$5&gt;='Tariffs 2023'!J5,('Tariffs 2023'!J5*'Tariffs 2023'!O5/100),($C$5*'Tariffs 2023'!O5/100))</f>
        <v>230.72727272727272</v>
      </c>
      <c r="F11" s="92">
        <v>0</v>
      </c>
      <c r="G11" s="92">
        <f>IF(($C$5&lt;'Tariffs 2023'!K5),(0),($C$5-'Tariffs 2023'!K5)*'Tariffs 2023'!P5/100)</f>
        <v>19.840909090909093</v>
      </c>
      <c r="H11" s="92">
        <f t="shared" si="0"/>
        <v>326.7848181818182</v>
      </c>
      <c r="I11" s="128">
        <f t="shared" si="1"/>
        <v>1307.1392727272728</v>
      </c>
      <c r="J11" s="129">
        <f t="shared" si="2"/>
        <v>1437.8532000000002</v>
      </c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</row>
    <row r="12" spans="1:25" ht="20" customHeight="1" x14ac:dyDescent="0.15">
      <c r="A12" s="126" t="str">
        <f>'Tariffs 2023'!F6</f>
        <v>Simply Energy</v>
      </c>
      <c r="B12" s="22" t="str">
        <f>'Tariffs 2023'!D6</f>
        <v>Envestra Adelaide</v>
      </c>
      <c r="C12" s="127">
        <f>'Tariffs 2023'!E6</f>
        <v>43646</v>
      </c>
      <c r="D12" s="92">
        <f>91*'Tariffs 2023'!H6/100</f>
        <v>56.982545454545445</v>
      </c>
      <c r="E12" s="92">
        <f>IF($C$5&gt;='Tariffs 2023'!J6,('Tariffs 2023'!J6*'Tariffs 2023'!O6/100),($C$5*'Tariffs 2023'!O6/100))</f>
        <v>184.09090909090904</v>
      </c>
      <c r="F12" s="92">
        <f>IF($C$5&lt;'Tariffs 2023'!J6,0,IF(($C$5-'Tariffs 2023'!J6)&lt;='Tariffs 2023'!K6,(($C$5-'Tariffs 2023'!J6)*'Tariffs 2023'!P6/100),(('Tariffs 2023'!K6-'Tariffs 2023'!J6)*'Tariffs 2023'!P6/100)))</f>
        <v>125.49999999999996</v>
      </c>
      <c r="G12" s="92">
        <f>IF(($C$5&lt;'Tariffs 2023'!K6),(0),($C$5-'Tariffs 2023'!K6)*'Tariffs 2023'!Q6/100)</f>
        <v>21.40909090909091</v>
      </c>
      <c r="H12" s="92">
        <f t="shared" si="0"/>
        <v>387.98254545454535</v>
      </c>
      <c r="I12" s="128">
        <f t="shared" si="1"/>
        <v>1551.9301818181814</v>
      </c>
      <c r="J12" s="129">
        <f t="shared" si="2"/>
        <v>1707.1231999999998</v>
      </c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</row>
    <row r="13" spans="1:25" ht="20" customHeight="1" x14ac:dyDescent="0.15">
      <c r="A13" s="126" t="str">
        <f>'Tariffs 2023'!F7</f>
        <v>Red Energy</v>
      </c>
      <c r="B13" s="22" t="str">
        <f>'Tariffs 2023'!D7</f>
        <v>Envestra Adelaide</v>
      </c>
      <c r="C13" s="127">
        <f>'Tariffs 2023'!E7</f>
        <v>43646</v>
      </c>
      <c r="D13" s="92">
        <f>91*'Tariffs 2023'!H7/100</f>
        <v>100.09999999999998</v>
      </c>
      <c r="E13" s="92">
        <f>IF($C$5&gt;='Tariffs 2023'!J7,('Tariffs 2023'!J7*'Tariffs 2023'!O7/100),($C$5*'Tariffs 2023'!O7/100))</f>
        <v>203.72727272727272</v>
      </c>
      <c r="F13" s="92">
        <v>0</v>
      </c>
      <c r="G13" s="92">
        <f>IF(($C$5&lt;'Tariffs 2023'!K7),(0),($C$5-'Tariffs 2023'!K7)*'Tariffs 2023'!P7/100)</f>
        <v>19.363636363636363</v>
      </c>
      <c r="H13" s="92">
        <f t="shared" si="0"/>
        <v>323.19090909090909</v>
      </c>
      <c r="I13" s="128">
        <f t="shared" si="1"/>
        <v>1292.7636363636364</v>
      </c>
      <c r="J13" s="129">
        <f t="shared" si="2"/>
        <v>1422.0400000000002</v>
      </c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</row>
    <row r="14" spans="1:25" ht="20" customHeight="1" x14ac:dyDescent="0.15">
      <c r="A14" s="126" t="str">
        <f>'Tariffs 2023'!F8</f>
        <v>Lumo Energy</v>
      </c>
      <c r="B14" s="22" t="str">
        <f>'Tariffs 2023'!D8</f>
        <v>Envestra Adelaide</v>
      </c>
      <c r="C14" s="127">
        <f>'Tariffs 2023'!E8</f>
        <v>43646</v>
      </c>
      <c r="D14" s="92">
        <f>91*'Tariffs 2023'!H8/100</f>
        <v>100.09999999999998</v>
      </c>
      <c r="E14" s="92">
        <f>IF($C$5&gt;='Tariffs 2023'!J8,('Tariffs 2023'!J8*'Tariffs 2023'!O8/100),($C$5*'Tariffs 2023'!O8/100))</f>
        <v>203.72727272727272</v>
      </c>
      <c r="F14" s="92">
        <v>0</v>
      </c>
      <c r="G14" s="92">
        <f>IF(($C$5&lt;'Tariffs 2023'!K8),(0),($C$5-'Tariffs 2023'!K8)*'Tariffs 2023'!P8/100)</f>
        <v>19.363636363636363</v>
      </c>
      <c r="H14" s="92">
        <f t="shared" si="0"/>
        <v>323.19090909090909</v>
      </c>
      <c r="I14" s="128">
        <f t="shared" si="1"/>
        <v>1292.7636363636364</v>
      </c>
      <c r="J14" s="129">
        <f t="shared" si="2"/>
        <v>1422.0400000000002</v>
      </c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</row>
    <row r="15" spans="1:25" ht="20" customHeight="1" x14ac:dyDescent="0.15">
      <c r="A15" s="126" t="str">
        <f>'Tariffs 2023'!F9</f>
        <v>GloBird Energy</v>
      </c>
      <c r="B15" s="22" t="str">
        <f>'Tariffs 2023'!D9</f>
        <v>Envestra Adelaide</v>
      </c>
      <c r="C15" s="127">
        <f>'Tariffs 2023'!E9</f>
        <v>43646</v>
      </c>
      <c r="D15" s="92">
        <f>91*'Tariffs 2023'!H9/100</f>
        <v>72.8</v>
      </c>
      <c r="E15" s="92">
        <f>IF($C$5&gt;='Tariffs 2023'!J9,('Tariffs 2023'!J9*'Tariffs 2023'!O9/100),($C$5*'Tariffs 2023'!O9/100))</f>
        <v>382.49999999999994</v>
      </c>
      <c r="F15" s="92">
        <v>0</v>
      </c>
      <c r="G15" s="92">
        <f>IF(($C$5&lt;'Tariffs 2023'!K9),(0),($C$5-'Tariffs 2023'!K9)*'Tariffs 2023'!P9/100)</f>
        <v>48.75</v>
      </c>
      <c r="H15" s="92">
        <f t="shared" si="0"/>
        <v>504.04999999999995</v>
      </c>
      <c r="I15" s="128">
        <f t="shared" si="1"/>
        <v>2016.1999999999998</v>
      </c>
      <c r="J15" s="129">
        <f t="shared" si="2"/>
        <v>2217.8200000000002</v>
      </c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</row>
    <row r="16" spans="1:25" ht="10" customHeight="1" x14ac:dyDescent="0.15">
      <c r="A16" s="168"/>
      <c r="B16" s="169"/>
      <c r="C16" s="169"/>
      <c r="D16" s="169"/>
      <c r="E16" s="169"/>
      <c r="F16" s="169"/>
      <c r="G16" s="169"/>
      <c r="H16" s="169"/>
      <c r="I16" s="170"/>
      <c r="J16" s="171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</row>
    <row r="17" spans="1:25" ht="20" customHeight="1" x14ac:dyDescent="0.15">
      <c r="A17" s="126" t="str">
        <f>'Tariffs 2023'!F10</f>
        <v>Origin Energy</v>
      </c>
      <c r="B17" s="22" t="str">
        <f>'Tariffs 2023'!D10</f>
        <v>Envestra SA</v>
      </c>
      <c r="C17" s="127">
        <f>'Tariffs 2023'!E10</f>
        <v>43646</v>
      </c>
      <c r="D17" s="92">
        <f>91*'Tariffs 2023'!H10/100</f>
        <v>76.216636363636368</v>
      </c>
      <c r="E17" s="92">
        <f>IF($C$5&gt;='Tariffs 2023'!J10,('Tariffs 2023'!J10*'Tariffs 2023'!O10/100),($C$5*'Tariffs 2023'!O10/100))</f>
        <v>230.72727272727272</v>
      </c>
      <c r="F17" s="92">
        <v>0</v>
      </c>
      <c r="G17" s="92">
        <f>IF(($C$5&lt;'Tariffs 2023'!K10),(0),($C$5-'Tariffs 2023'!K10)*'Tariffs 2023'!P10/100)</f>
        <v>19.840909090909093</v>
      </c>
      <c r="H17" s="92">
        <f t="shared" si="0"/>
        <v>326.7848181818182</v>
      </c>
      <c r="I17" s="128">
        <f t="shared" si="1"/>
        <v>1307.1392727272728</v>
      </c>
      <c r="J17" s="129">
        <f t="shared" si="2"/>
        <v>1437.8532000000002</v>
      </c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</row>
    <row r="18" spans="1:25" ht="10" customHeight="1" x14ac:dyDescent="0.15">
      <c r="A18" s="168"/>
      <c r="B18" s="169"/>
      <c r="C18" s="169"/>
      <c r="D18" s="169"/>
      <c r="E18" s="169"/>
      <c r="F18" s="169"/>
      <c r="G18" s="169"/>
      <c r="H18" s="169"/>
      <c r="I18" s="170"/>
      <c r="J18" s="171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</row>
    <row r="19" spans="1:25" ht="20" customHeight="1" x14ac:dyDescent="0.15">
      <c r="A19" s="126" t="str">
        <f>'Tariffs 2023'!F11</f>
        <v>Origin Energy</v>
      </c>
      <c r="B19" s="22" t="str">
        <f>'Tariffs 2023'!D11</f>
        <v>Envestra SA</v>
      </c>
      <c r="C19" s="127">
        <f>'Tariffs 2023'!E11</f>
        <v>43646</v>
      </c>
      <c r="D19" s="92">
        <f>91*'Tariffs 2023'!H11/100</f>
        <v>76.216636363636368</v>
      </c>
      <c r="E19" s="92">
        <f>IF($C$5&gt;='Tariffs 2023'!J11,('Tariffs 2023'!J11*'Tariffs 2023'!O11/100),($C$5*'Tariffs 2023'!O11/100))</f>
        <v>230.72727272727272</v>
      </c>
      <c r="F19" s="92">
        <v>0</v>
      </c>
      <c r="G19" s="92">
        <f>IF(($C$5&lt;'Tariffs 2023'!K11),(0),($C$5-'Tariffs 2023'!K11)*'Tariffs 2023'!P11/100)</f>
        <v>19.840909090909093</v>
      </c>
      <c r="H19" s="92">
        <f t="shared" si="0"/>
        <v>326.7848181818182</v>
      </c>
      <c r="I19" s="128">
        <f t="shared" si="1"/>
        <v>1307.1392727272728</v>
      </c>
      <c r="J19" s="129">
        <f t="shared" si="2"/>
        <v>1437.8532000000002</v>
      </c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</row>
    <row r="20" spans="1:25" ht="10" customHeight="1" x14ac:dyDescent="0.15">
      <c r="A20" s="168"/>
      <c r="B20" s="169"/>
      <c r="C20" s="169"/>
      <c r="D20" s="169"/>
      <c r="E20" s="169"/>
      <c r="F20" s="169"/>
      <c r="G20" s="169"/>
      <c r="H20" s="169"/>
      <c r="I20" s="170"/>
      <c r="J20" s="171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</row>
    <row r="21" spans="1:25" ht="20" customHeight="1" x14ac:dyDescent="0.15">
      <c r="A21" s="126" t="str">
        <f>'Tariffs 2023'!F12</f>
        <v>Origin Energy</v>
      </c>
      <c r="B21" s="22" t="str">
        <f>'Tariffs 2023'!D12</f>
        <v>Envestra SA</v>
      </c>
      <c r="C21" s="127">
        <f>'Tariffs 2023'!E12</f>
        <v>43646</v>
      </c>
      <c r="D21" s="92">
        <f>91*'Tariffs 2023'!H12/100</f>
        <v>76.216636363636368</v>
      </c>
      <c r="E21" s="92">
        <f>IF($C$5&gt;='Tariffs 2023'!J12,('Tariffs 2023'!J12*'Tariffs 2023'!O12/100),($C$5*'Tariffs 2023'!O12/100))</f>
        <v>230.72727272727272</v>
      </c>
      <c r="F21" s="92">
        <v>0</v>
      </c>
      <c r="G21" s="92">
        <f>IF(($C$5&lt;'Tariffs 2023'!K12),(0),($C$5-'Tariffs 2023'!K12)*'Tariffs 2023'!P12/100)</f>
        <v>19.840909090909093</v>
      </c>
      <c r="H21" s="92">
        <f t="shared" si="0"/>
        <v>326.7848181818182</v>
      </c>
      <c r="I21" s="128">
        <f t="shared" si="1"/>
        <v>1307.1392727272728</v>
      </c>
      <c r="J21" s="129">
        <f t="shared" si="2"/>
        <v>1437.8532000000002</v>
      </c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</row>
    <row r="22" spans="1:25" ht="10" customHeight="1" x14ac:dyDescent="0.15">
      <c r="A22" s="168"/>
      <c r="B22" s="169"/>
      <c r="C22" s="169"/>
      <c r="D22" s="169"/>
      <c r="E22" s="169"/>
      <c r="F22" s="169"/>
      <c r="G22" s="169"/>
      <c r="H22" s="169"/>
      <c r="I22" s="170"/>
      <c r="J22" s="171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</row>
    <row r="23" spans="1:25" ht="20" customHeight="1" thickBot="1" x14ac:dyDescent="0.2">
      <c r="A23" s="130" t="str">
        <f>'Tariffs 2023'!F13</f>
        <v>Origin Energy</v>
      </c>
      <c r="B23" s="131" t="str">
        <f>'Tariffs 2023'!D13</f>
        <v>Envestra SA</v>
      </c>
      <c r="C23" s="132">
        <f>'Tariffs 2023'!E13</f>
        <v>43646</v>
      </c>
      <c r="D23" s="133">
        <f>91*'Tariffs 2023'!H13/100</f>
        <v>76.216636363636368</v>
      </c>
      <c r="E23" s="133">
        <f>IF($C$5&gt;='Tariffs 2023'!J13,('Tariffs 2023'!J13*'Tariffs 2023'!O13/100),($C$5*'Tariffs 2023'!O13/100))</f>
        <v>230.72727272727272</v>
      </c>
      <c r="F23" s="133">
        <v>0</v>
      </c>
      <c r="G23" s="133">
        <f>IF(($C$5&lt;'Tariffs 2023'!K13),(0),($C$5-'Tariffs 2023'!K13)*'Tariffs 2023'!P13/100)</f>
        <v>19.840909090909093</v>
      </c>
      <c r="H23" s="133">
        <f t="shared" si="0"/>
        <v>326.7848181818182</v>
      </c>
      <c r="I23" s="134">
        <f t="shared" si="1"/>
        <v>1307.1392727272728</v>
      </c>
      <c r="J23" s="135">
        <f t="shared" si="2"/>
        <v>1437.8532000000002</v>
      </c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</row>
    <row r="24" spans="1:25" customFormat="1" x14ac:dyDescent="0.15">
      <c r="A24" s="207"/>
      <c r="B24" s="207"/>
      <c r="C24" s="207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</row>
    <row r="25" spans="1:25" customFormat="1" x14ac:dyDescent="0.15">
      <c r="A25" s="207"/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</row>
    <row r="26" spans="1:25" customFormat="1" x14ac:dyDescent="0.15">
      <c r="A26" s="207"/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</row>
    <row r="27" spans="1:25" customFormat="1" x14ac:dyDescent="0.15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</row>
    <row r="28" spans="1:25" customFormat="1" x14ac:dyDescent="0.15">
      <c r="A28" s="207"/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</row>
    <row r="29" spans="1:25" customFormat="1" x14ac:dyDescent="0.15">
      <c r="A29" s="207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</row>
    <row r="30" spans="1:25" customFormat="1" x14ac:dyDescent="0.15">
      <c r="A30" s="207"/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</row>
    <row r="31" spans="1:25" customFormat="1" x14ac:dyDescent="0.15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</row>
    <row r="32" spans="1:25" customFormat="1" x14ac:dyDescent="0.15">
      <c r="A32" s="207"/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</row>
    <row r="33" spans="1:25" customFormat="1" x14ac:dyDescent="0.15">
      <c r="A33" s="207"/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</row>
    <row r="34" spans="1:25" customFormat="1" x14ac:dyDescent="0.15">
      <c r="A34" s="207"/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</row>
    <row r="35" spans="1:25" customFormat="1" x14ac:dyDescent="0.15">
      <c r="A35" s="207"/>
      <c r="B35" s="207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</row>
    <row r="36" spans="1:25" customFormat="1" x14ac:dyDescent="0.15">
      <c r="A36" s="207"/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</row>
    <row r="37" spans="1:25" customFormat="1" x14ac:dyDescent="0.15">
      <c r="A37" s="207"/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</row>
    <row r="38" spans="1:25" customFormat="1" x14ac:dyDescent="0.15">
      <c r="A38" s="207"/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</row>
    <row r="39" spans="1:25" customFormat="1" x14ac:dyDescent="0.15">
      <c r="A39" s="207"/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</row>
    <row r="40" spans="1:25" customFormat="1" x14ac:dyDescent="0.15">
      <c r="A40" s="207"/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</row>
    <row r="41" spans="1:25" customFormat="1" x14ac:dyDescent="0.15">
      <c r="A41" s="207"/>
      <c r="B41" s="207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</row>
    <row r="42" spans="1:25" customFormat="1" x14ac:dyDescent="0.15">
      <c r="A42" s="207"/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</row>
    <row r="43" spans="1:25" customFormat="1" x14ac:dyDescent="0.15">
      <c r="A43" s="207"/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</row>
    <row r="44" spans="1:25" customFormat="1" x14ac:dyDescent="0.15">
      <c r="A44" s="207"/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</row>
    <row r="45" spans="1:25" customFormat="1" x14ac:dyDescent="0.15">
      <c r="A45" s="207"/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</row>
    <row r="46" spans="1:25" customFormat="1" x14ac:dyDescent="0.15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</row>
    <row r="47" spans="1:25" customFormat="1" x14ac:dyDescent="0.15">
      <c r="A47" s="207"/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</row>
    <row r="48" spans="1:25" customFormat="1" x14ac:dyDescent="0.15">
      <c r="A48" s="207"/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</row>
    <row r="49" spans="1:25" customFormat="1" x14ac:dyDescent="0.15">
      <c r="A49" s="207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</row>
    <row r="50" spans="1:25" customFormat="1" x14ac:dyDescent="0.15">
      <c r="A50" s="207"/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</row>
    <row r="51" spans="1:25" customFormat="1" x14ac:dyDescent="0.15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</row>
    <row r="52" spans="1:25" customFormat="1" x14ac:dyDescent="0.15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</row>
    <row r="53" spans="1:25" customFormat="1" x14ac:dyDescent="0.15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</row>
    <row r="54" spans="1:25" customFormat="1" x14ac:dyDescent="0.15">
      <c r="A54" s="207"/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</row>
    <row r="55" spans="1:25" customFormat="1" x14ac:dyDescent="0.15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</row>
    <row r="56" spans="1:25" customFormat="1" x14ac:dyDescent="0.15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</row>
    <row r="57" spans="1:25" customFormat="1" x14ac:dyDescent="0.15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</row>
    <row r="58" spans="1:25" customFormat="1" x14ac:dyDescent="0.15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</row>
    <row r="59" spans="1:25" customFormat="1" x14ac:dyDescent="0.15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</row>
    <row r="60" spans="1:25" customFormat="1" x14ac:dyDescent="0.15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</row>
    <row r="61" spans="1:25" customFormat="1" x14ac:dyDescent="0.15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</row>
    <row r="62" spans="1:25" customFormat="1" x14ac:dyDescent="0.15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</row>
    <row r="63" spans="1:25" customFormat="1" x14ac:dyDescent="0.15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</row>
    <row r="64" spans="1:25" customFormat="1" x14ac:dyDescent="0.15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</row>
    <row r="65" spans="1:25" customFormat="1" x14ac:dyDescent="0.15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</row>
    <row r="66" spans="1:25" customFormat="1" x14ac:dyDescent="0.15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</row>
    <row r="67" spans="1:25" customFormat="1" x14ac:dyDescent="0.15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</row>
    <row r="68" spans="1:25" customFormat="1" x14ac:dyDescent="0.15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</row>
    <row r="69" spans="1:25" customFormat="1" x14ac:dyDescent="0.15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</row>
    <row r="70" spans="1:25" customFormat="1" x14ac:dyDescent="0.15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</row>
    <row r="71" spans="1:25" customFormat="1" x14ac:dyDescent="0.15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</row>
    <row r="72" spans="1:25" customFormat="1" x14ac:dyDescent="0.15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</row>
    <row r="73" spans="1:25" customFormat="1" x14ac:dyDescent="0.15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</row>
    <row r="74" spans="1:25" customFormat="1" x14ac:dyDescent="0.15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</row>
    <row r="75" spans="1:25" customFormat="1" x14ac:dyDescent="0.15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</row>
    <row r="76" spans="1:25" customFormat="1" x14ac:dyDescent="0.15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</row>
    <row r="77" spans="1:25" customFormat="1" x14ac:dyDescent="0.15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</row>
    <row r="78" spans="1:25" customFormat="1" x14ac:dyDescent="0.15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</row>
    <row r="79" spans="1:25" customFormat="1" x14ac:dyDescent="0.15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</row>
    <row r="80" spans="1:25" customFormat="1" x14ac:dyDescent="0.15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</row>
    <row r="81" spans="1:25" customFormat="1" x14ac:dyDescent="0.15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</row>
    <row r="82" spans="1:25" customFormat="1" x14ac:dyDescent="0.15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</row>
    <row r="83" spans="1:25" customFormat="1" x14ac:dyDescent="0.15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</row>
    <row r="84" spans="1:25" customFormat="1" x14ac:dyDescent="0.15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</row>
    <row r="85" spans="1:25" customFormat="1" x14ac:dyDescent="0.15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</row>
    <row r="86" spans="1:25" customFormat="1" x14ac:dyDescent="0.15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</row>
    <row r="87" spans="1:25" customFormat="1" x14ac:dyDescent="0.15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</row>
    <row r="88" spans="1:25" customFormat="1" x14ac:dyDescent="0.15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</row>
    <row r="89" spans="1:25" customFormat="1" x14ac:dyDescent="0.15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</row>
    <row r="90" spans="1:25" customFormat="1" x14ac:dyDescent="0.15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</row>
    <row r="91" spans="1:25" customFormat="1" x14ac:dyDescent="0.15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</row>
    <row r="92" spans="1:25" customFormat="1" x14ac:dyDescent="0.15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</row>
    <row r="93" spans="1:25" customFormat="1" x14ac:dyDescent="0.15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</row>
    <row r="94" spans="1:25" customFormat="1" x14ac:dyDescent="0.15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</row>
    <row r="95" spans="1:25" customFormat="1" x14ac:dyDescent="0.15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</row>
    <row r="96" spans="1:25" customFormat="1" x14ac:dyDescent="0.15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</row>
    <row r="97" spans="1:25" customFormat="1" x14ac:dyDescent="0.15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</row>
    <row r="98" spans="1:25" customFormat="1" x14ac:dyDescent="0.15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</row>
    <row r="99" spans="1:25" customFormat="1" x14ac:dyDescent="0.15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</row>
    <row r="100" spans="1:25" customFormat="1" x14ac:dyDescent="0.15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</row>
    <row r="101" spans="1:25" customFormat="1" x14ac:dyDescent="0.15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</row>
    <row r="102" spans="1:25" customFormat="1" x14ac:dyDescent="0.15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</row>
    <row r="103" spans="1:25" customFormat="1" x14ac:dyDescent="0.15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</row>
    <row r="104" spans="1:25" customFormat="1" x14ac:dyDescent="0.15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</row>
    <row r="105" spans="1:25" customFormat="1" x14ac:dyDescent="0.15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</row>
    <row r="106" spans="1:25" customFormat="1" x14ac:dyDescent="0.15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</row>
    <row r="107" spans="1:25" customFormat="1" x14ac:dyDescent="0.15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</row>
    <row r="108" spans="1:25" customFormat="1" x14ac:dyDescent="0.15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</row>
    <row r="109" spans="1:25" customFormat="1" x14ac:dyDescent="0.15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</row>
    <row r="110" spans="1:25" customFormat="1" x14ac:dyDescent="0.15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</row>
    <row r="111" spans="1:25" customFormat="1" x14ac:dyDescent="0.15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</row>
    <row r="112" spans="1:25" customFormat="1" x14ac:dyDescent="0.15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</row>
    <row r="113" spans="1:25" customFormat="1" x14ac:dyDescent="0.15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</row>
    <row r="114" spans="1:25" customFormat="1" x14ac:dyDescent="0.15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</row>
    <row r="115" spans="1:25" customFormat="1" x14ac:dyDescent="0.15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</row>
    <row r="116" spans="1:25" customFormat="1" x14ac:dyDescent="0.15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</row>
    <row r="117" spans="1:25" customFormat="1" x14ac:dyDescent="0.15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</row>
    <row r="118" spans="1:25" customFormat="1" x14ac:dyDescent="0.15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</row>
    <row r="119" spans="1:25" customFormat="1" x14ac:dyDescent="0.15"/>
    <row r="120" spans="1:25" customFormat="1" x14ac:dyDescent="0.15"/>
    <row r="121" spans="1:25" customFormat="1" x14ac:dyDescent="0.15"/>
    <row r="122" spans="1:25" customFormat="1" x14ac:dyDescent="0.15"/>
    <row r="123" spans="1:25" customFormat="1" x14ac:dyDescent="0.15"/>
    <row r="124" spans="1:25" customFormat="1" x14ac:dyDescent="0.15"/>
    <row r="125" spans="1:25" customFormat="1" x14ac:dyDescent="0.15"/>
    <row r="126" spans="1:25" customFormat="1" x14ac:dyDescent="0.15"/>
    <row r="127" spans="1:25" customFormat="1" x14ac:dyDescent="0.15"/>
    <row r="128" spans="1:25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</sheetData>
  <sheetProtection algorithmName="SHA-512" hashValue="PcyNVpg+ZxhNcvTeHfJcHPfg7m9pw3fJLxO0xH0h3KSLvDvOZZHtoI8SOfD3inFL02I0GnhBCUUkjRpxGm8EHw==" saltValue="KBZuT9rhopF1GBLUcWxsEQ==" spinCount="100000" sheet="1" objects="1" scenarios="1"/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9C00B-0988-E841-B00B-F5E355E3A2EE}">
  <sheetPr codeName="Sheet14"/>
  <dimension ref="A1:AK13"/>
  <sheetViews>
    <sheetView workbookViewId="0">
      <selection activeCell="T40" sqref="T40"/>
    </sheetView>
  </sheetViews>
  <sheetFormatPr baseColWidth="10" defaultRowHeight="13" x14ac:dyDescent="0.15"/>
  <cols>
    <col min="4" max="4" width="19" bestFit="1" customWidth="1"/>
    <col min="6" max="6" width="14.1640625" bestFit="1" customWidth="1"/>
    <col min="7" max="7" width="13.1640625" bestFit="1" customWidth="1"/>
  </cols>
  <sheetData>
    <row r="1" spans="1:37" ht="42" x14ac:dyDescent="0.15">
      <c r="A1" s="93" t="s">
        <v>109</v>
      </c>
      <c r="B1" s="93" t="s">
        <v>110</v>
      </c>
      <c r="C1" s="94" t="s">
        <v>111</v>
      </c>
      <c r="D1" s="95" t="s">
        <v>112</v>
      </c>
      <c r="E1" s="93" t="s">
        <v>103</v>
      </c>
      <c r="F1" s="94" t="s">
        <v>114</v>
      </c>
      <c r="G1" s="95" t="s">
        <v>115</v>
      </c>
      <c r="H1" s="96" t="s">
        <v>126</v>
      </c>
      <c r="I1" s="97" t="s">
        <v>127</v>
      </c>
      <c r="J1" s="97" t="s">
        <v>128</v>
      </c>
      <c r="K1" s="97" t="s">
        <v>129</v>
      </c>
      <c r="L1" s="97" t="s">
        <v>130</v>
      </c>
      <c r="M1" s="97" t="s">
        <v>131</v>
      </c>
      <c r="N1" s="98" t="s">
        <v>132</v>
      </c>
      <c r="O1" s="99" t="s">
        <v>133</v>
      </c>
      <c r="P1" s="99" t="s">
        <v>134</v>
      </c>
      <c r="Q1" s="99" t="s">
        <v>135</v>
      </c>
      <c r="R1" s="99" t="s">
        <v>136</v>
      </c>
      <c r="S1" s="99" t="s">
        <v>137</v>
      </c>
      <c r="T1" s="100" t="s">
        <v>138</v>
      </c>
      <c r="U1" s="101" t="s">
        <v>139</v>
      </c>
      <c r="V1" s="101" t="s">
        <v>140</v>
      </c>
      <c r="W1" s="101" t="s">
        <v>141</v>
      </c>
      <c r="X1" s="101" t="s">
        <v>142</v>
      </c>
      <c r="Y1" s="101" t="s">
        <v>105</v>
      </c>
      <c r="Z1" s="102" t="s">
        <v>106</v>
      </c>
      <c r="AA1" s="103" t="s">
        <v>107</v>
      </c>
      <c r="AB1" s="103" t="s">
        <v>157</v>
      </c>
      <c r="AC1" s="103" t="s">
        <v>158</v>
      </c>
      <c r="AD1" s="103" t="s">
        <v>159</v>
      </c>
      <c r="AE1" s="103" t="s">
        <v>160</v>
      </c>
      <c r="AF1" s="104" t="s">
        <v>161</v>
      </c>
      <c r="AG1" s="105" t="s">
        <v>162</v>
      </c>
      <c r="AH1" s="105" t="s">
        <v>163</v>
      </c>
      <c r="AI1" s="105" t="s">
        <v>85</v>
      </c>
      <c r="AJ1" s="106" t="s">
        <v>86</v>
      </c>
    </row>
    <row r="2" spans="1:37" x14ac:dyDescent="0.15">
      <c r="A2" s="107">
        <v>416</v>
      </c>
      <c r="B2" s="110">
        <v>42565</v>
      </c>
      <c r="C2" s="108" t="s">
        <v>195</v>
      </c>
      <c r="D2" s="109" t="s">
        <v>196</v>
      </c>
      <c r="E2" s="110">
        <v>42551</v>
      </c>
      <c r="F2" s="108" t="s">
        <v>77</v>
      </c>
      <c r="G2" s="109" t="s">
        <v>197</v>
      </c>
      <c r="H2" s="160">
        <v>72.099999999999994</v>
      </c>
      <c r="I2" s="151" t="s">
        <v>179</v>
      </c>
      <c r="J2" s="112">
        <v>10000</v>
      </c>
      <c r="K2" s="112">
        <v>10000</v>
      </c>
      <c r="L2" s="109"/>
      <c r="M2" s="109"/>
      <c r="N2" s="109"/>
      <c r="O2" s="160">
        <v>3.8181818181818179</v>
      </c>
      <c r="P2" s="160">
        <v>3.4454545454545453</v>
      </c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13" t="s">
        <v>198</v>
      </c>
      <c r="AH2" s="113"/>
      <c r="AI2" s="113"/>
      <c r="AJ2" s="113"/>
      <c r="AK2" t="s">
        <v>189</v>
      </c>
    </row>
    <row r="3" spans="1:37" x14ac:dyDescent="0.15">
      <c r="A3" s="107">
        <v>426</v>
      </c>
      <c r="B3" s="110">
        <v>42565</v>
      </c>
      <c r="C3" s="108" t="s">
        <v>195</v>
      </c>
      <c r="D3" s="109" t="s">
        <v>199</v>
      </c>
      <c r="E3" s="110">
        <v>42551</v>
      </c>
      <c r="F3" s="108" t="s">
        <v>172</v>
      </c>
      <c r="G3" s="109" t="s">
        <v>197</v>
      </c>
      <c r="H3" s="160">
        <v>70.072727272727263</v>
      </c>
      <c r="I3" s="111" t="s">
        <v>179</v>
      </c>
      <c r="J3" s="112">
        <v>4500</v>
      </c>
      <c r="K3" s="112">
        <v>4500</v>
      </c>
      <c r="L3" s="109"/>
      <c r="M3" s="109"/>
      <c r="N3" s="109"/>
      <c r="O3" s="160">
        <v>4.3</v>
      </c>
      <c r="P3" s="160">
        <v>2.9272727272727272</v>
      </c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13" t="s">
        <v>198</v>
      </c>
      <c r="AH3" s="113"/>
      <c r="AI3" s="113"/>
      <c r="AJ3" s="113"/>
      <c r="AK3" t="s">
        <v>190</v>
      </c>
    </row>
    <row r="4" spans="1:37" x14ac:dyDescent="0.15">
      <c r="A4" s="107"/>
      <c r="B4" s="110">
        <v>42605</v>
      </c>
      <c r="C4" s="108" t="s">
        <v>195</v>
      </c>
      <c r="D4" s="109" t="s">
        <v>199</v>
      </c>
      <c r="E4" s="110">
        <v>42577</v>
      </c>
      <c r="F4" s="108" t="s">
        <v>173</v>
      </c>
      <c r="G4" s="109" t="s">
        <v>197</v>
      </c>
      <c r="H4" s="160">
        <v>82.899999999999991</v>
      </c>
      <c r="I4" s="111" t="s">
        <v>179</v>
      </c>
      <c r="J4" s="112">
        <v>2500</v>
      </c>
      <c r="K4" s="112">
        <v>4500</v>
      </c>
      <c r="L4" s="109"/>
      <c r="M4" s="109"/>
      <c r="N4" s="109"/>
      <c r="O4" s="160">
        <v>4.627272727272727</v>
      </c>
      <c r="P4" s="160">
        <v>4</v>
      </c>
      <c r="Q4" s="160">
        <v>2.3727272727272726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13" t="s">
        <v>198</v>
      </c>
      <c r="AH4" s="113"/>
      <c r="AI4" s="113"/>
      <c r="AJ4" s="113"/>
      <c r="AK4" s="167" t="s">
        <v>206</v>
      </c>
    </row>
    <row r="5" spans="1:37" x14ac:dyDescent="0.15">
      <c r="A5" s="107">
        <v>397</v>
      </c>
      <c r="B5" s="110">
        <v>42565</v>
      </c>
      <c r="C5" s="108" t="s">
        <v>195</v>
      </c>
      <c r="D5" s="109" t="s">
        <v>199</v>
      </c>
      <c r="E5" s="110">
        <v>42551</v>
      </c>
      <c r="F5" s="108" t="s">
        <v>174</v>
      </c>
      <c r="G5" s="109" t="s">
        <v>197</v>
      </c>
      <c r="H5" s="160">
        <v>71.536363636363632</v>
      </c>
      <c r="I5" s="111" t="s">
        <v>179</v>
      </c>
      <c r="J5" s="112">
        <v>4500</v>
      </c>
      <c r="K5" s="112">
        <v>4500</v>
      </c>
      <c r="L5" s="109"/>
      <c r="M5" s="109"/>
      <c r="N5" s="109"/>
      <c r="O5" s="160">
        <v>4.1545454545454543</v>
      </c>
      <c r="P5" s="160">
        <v>1.9818181818181817</v>
      </c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13" t="s">
        <v>198</v>
      </c>
      <c r="AH5" s="113"/>
      <c r="AI5" s="113"/>
      <c r="AJ5" s="113"/>
      <c r="AK5" t="s">
        <v>191</v>
      </c>
    </row>
    <row r="6" spans="1:37" x14ac:dyDescent="0.15">
      <c r="A6" s="107">
        <v>867</v>
      </c>
      <c r="B6" s="110">
        <v>42565</v>
      </c>
      <c r="C6" s="108" t="s">
        <v>195</v>
      </c>
      <c r="D6" s="109" t="s">
        <v>199</v>
      </c>
      <c r="E6" s="110">
        <v>42551</v>
      </c>
      <c r="F6" s="108" t="s">
        <v>175</v>
      </c>
      <c r="G6" s="109" t="s">
        <v>197</v>
      </c>
      <c r="H6" s="160">
        <v>57.672727272727265</v>
      </c>
      <c r="I6" s="111" t="s">
        <v>179</v>
      </c>
      <c r="J6" s="112">
        <v>2500</v>
      </c>
      <c r="K6" s="112">
        <v>4500</v>
      </c>
      <c r="L6" s="109"/>
      <c r="M6" s="109"/>
      <c r="N6" s="109"/>
      <c r="O6" s="160">
        <v>4.8636363636363633</v>
      </c>
      <c r="P6" s="160">
        <v>3.0090909090909088</v>
      </c>
      <c r="Q6" s="160">
        <v>1.8818181818181816</v>
      </c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13" t="s">
        <v>198</v>
      </c>
      <c r="AH6" s="113"/>
      <c r="AI6" s="113"/>
      <c r="AJ6" s="113"/>
      <c r="AK6" t="s">
        <v>192</v>
      </c>
    </row>
    <row r="7" spans="1:37" x14ac:dyDescent="0.15">
      <c r="A7" s="107">
        <v>1089</v>
      </c>
      <c r="B7" s="110">
        <v>42565</v>
      </c>
      <c r="C7" s="108" t="s">
        <v>195</v>
      </c>
      <c r="D7" s="109" t="s">
        <v>199</v>
      </c>
      <c r="E7" s="110">
        <v>42551</v>
      </c>
      <c r="F7" s="108" t="s">
        <v>176</v>
      </c>
      <c r="G7" s="109" t="s">
        <v>197</v>
      </c>
      <c r="H7" s="160">
        <v>75</v>
      </c>
      <c r="I7" s="111" t="s">
        <v>179</v>
      </c>
      <c r="J7" s="112">
        <v>4500</v>
      </c>
      <c r="K7" s="112">
        <v>4500</v>
      </c>
      <c r="L7" s="112"/>
      <c r="M7" s="112"/>
      <c r="N7" s="112"/>
      <c r="O7" s="160">
        <v>4.3090909090909086</v>
      </c>
      <c r="P7" s="160">
        <v>2.4</v>
      </c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13" t="s">
        <v>198</v>
      </c>
      <c r="AH7" s="113"/>
      <c r="AI7" s="113"/>
      <c r="AJ7" s="113"/>
      <c r="AK7" t="s">
        <v>193</v>
      </c>
    </row>
    <row r="8" spans="1:37" x14ac:dyDescent="0.15">
      <c r="A8" s="107"/>
      <c r="B8" s="110">
        <v>42565</v>
      </c>
      <c r="C8" s="108" t="s">
        <v>195</v>
      </c>
      <c r="D8" s="109" t="s">
        <v>199</v>
      </c>
      <c r="E8" s="110">
        <v>42551</v>
      </c>
      <c r="F8" s="161" t="s">
        <v>185</v>
      </c>
      <c r="G8" s="109" t="s">
        <v>197</v>
      </c>
      <c r="H8" s="160">
        <v>75</v>
      </c>
      <c r="I8" s="111" t="s">
        <v>179</v>
      </c>
      <c r="J8" s="112">
        <v>4500</v>
      </c>
      <c r="K8" s="112">
        <v>4500</v>
      </c>
      <c r="L8" s="112"/>
      <c r="M8" s="112"/>
      <c r="N8" s="112"/>
      <c r="O8" s="160">
        <v>4.3090909090909086</v>
      </c>
      <c r="P8" s="160">
        <v>2.4</v>
      </c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13" t="s">
        <v>198</v>
      </c>
      <c r="AH8" s="113"/>
      <c r="AI8" s="113"/>
      <c r="AJ8" s="113"/>
      <c r="AK8" t="s">
        <v>194</v>
      </c>
    </row>
    <row r="9" spans="1:37" x14ac:dyDescent="0.15">
      <c r="A9" s="107"/>
      <c r="B9" s="110">
        <v>42565</v>
      </c>
      <c r="C9" s="108" t="s">
        <v>195</v>
      </c>
      <c r="D9" s="109" t="s">
        <v>199</v>
      </c>
      <c r="E9" s="110">
        <v>42551</v>
      </c>
      <c r="F9" s="161" t="s">
        <v>200</v>
      </c>
      <c r="G9" s="109" t="s">
        <v>197</v>
      </c>
      <c r="H9" s="160">
        <v>114.99999999999999</v>
      </c>
      <c r="I9" s="111" t="s">
        <v>179</v>
      </c>
      <c r="J9" s="112">
        <v>136872</v>
      </c>
      <c r="K9" s="112">
        <v>136872</v>
      </c>
      <c r="L9" s="112"/>
      <c r="M9" s="112"/>
      <c r="N9" s="112"/>
      <c r="O9" s="160">
        <v>3.7999999999999994</v>
      </c>
      <c r="P9" s="160">
        <v>2.1999999999999997</v>
      </c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13" t="s">
        <v>198</v>
      </c>
      <c r="AH9" s="113"/>
      <c r="AI9" s="113"/>
      <c r="AJ9" s="113"/>
      <c r="AK9" t="s">
        <v>201</v>
      </c>
    </row>
    <row r="10" spans="1:37" x14ac:dyDescent="0.15">
      <c r="A10" s="107">
        <v>401</v>
      </c>
      <c r="B10" s="110">
        <v>42565</v>
      </c>
      <c r="C10" s="108" t="s">
        <v>195</v>
      </c>
      <c r="D10" s="109" t="s">
        <v>202</v>
      </c>
      <c r="E10" s="110">
        <v>42551</v>
      </c>
      <c r="F10" s="108" t="s">
        <v>174</v>
      </c>
      <c r="G10" s="109" t="s">
        <v>197</v>
      </c>
      <c r="H10" s="160">
        <v>71.536363636363632</v>
      </c>
      <c r="I10" s="111" t="s">
        <v>179</v>
      </c>
      <c r="J10" s="112">
        <v>4500</v>
      </c>
      <c r="K10" s="112">
        <v>4500</v>
      </c>
      <c r="L10" s="109"/>
      <c r="M10" s="109"/>
      <c r="N10" s="109"/>
      <c r="O10" s="160">
        <v>4.1545454545454543</v>
      </c>
      <c r="P10" s="160">
        <v>1.9818181818181817</v>
      </c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13" t="s">
        <v>198</v>
      </c>
      <c r="AH10" s="113"/>
      <c r="AI10" s="113"/>
      <c r="AJ10" s="113"/>
    </row>
    <row r="11" spans="1:37" x14ac:dyDescent="0.15">
      <c r="A11" s="107">
        <v>405</v>
      </c>
      <c r="B11" s="110">
        <v>42565</v>
      </c>
      <c r="C11" s="108" t="s">
        <v>195</v>
      </c>
      <c r="D11" s="109" t="s">
        <v>203</v>
      </c>
      <c r="E11" s="110">
        <v>42551</v>
      </c>
      <c r="F11" s="108" t="s">
        <v>174</v>
      </c>
      <c r="G11" s="109" t="s">
        <v>197</v>
      </c>
      <c r="H11" s="160">
        <v>71.536363636363632</v>
      </c>
      <c r="I11" s="111" t="s">
        <v>179</v>
      </c>
      <c r="J11" s="112">
        <v>4500</v>
      </c>
      <c r="K11" s="112">
        <v>4500</v>
      </c>
      <c r="L11" s="109"/>
      <c r="M11" s="109"/>
      <c r="N11" s="109"/>
      <c r="O11" s="160">
        <v>4.1545454545454543</v>
      </c>
      <c r="P11" s="160">
        <v>1.9818181818181817</v>
      </c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13" t="s">
        <v>198</v>
      </c>
      <c r="AH11" s="113"/>
      <c r="AI11" s="113"/>
      <c r="AJ11" s="113"/>
    </row>
    <row r="12" spans="1:37" x14ac:dyDescent="0.15">
      <c r="A12" s="107">
        <v>409</v>
      </c>
      <c r="B12" s="110">
        <v>42565</v>
      </c>
      <c r="C12" s="108" t="s">
        <v>195</v>
      </c>
      <c r="D12" s="109" t="s">
        <v>204</v>
      </c>
      <c r="E12" s="110">
        <v>42551</v>
      </c>
      <c r="F12" s="108" t="s">
        <v>174</v>
      </c>
      <c r="G12" s="109" t="s">
        <v>197</v>
      </c>
      <c r="H12" s="160">
        <v>71.536363636363632</v>
      </c>
      <c r="I12" s="111" t="s">
        <v>179</v>
      </c>
      <c r="J12" s="112">
        <v>4500</v>
      </c>
      <c r="K12" s="112">
        <v>4500</v>
      </c>
      <c r="L12" s="109"/>
      <c r="M12" s="109"/>
      <c r="N12" s="109"/>
      <c r="O12" s="160">
        <v>4.1545454545454543</v>
      </c>
      <c r="P12" s="160">
        <v>1.9818181818181817</v>
      </c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13" t="s">
        <v>198</v>
      </c>
      <c r="AH12" s="113"/>
      <c r="AI12" s="113"/>
      <c r="AJ12" s="113"/>
    </row>
    <row r="13" spans="1:37" x14ac:dyDescent="0.15">
      <c r="A13" s="107">
        <v>413</v>
      </c>
      <c r="B13" s="110">
        <v>42565</v>
      </c>
      <c r="C13" s="108" t="s">
        <v>195</v>
      </c>
      <c r="D13" s="109" t="s">
        <v>205</v>
      </c>
      <c r="E13" s="110">
        <v>42551</v>
      </c>
      <c r="F13" s="108" t="s">
        <v>174</v>
      </c>
      <c r="G13" s="109" t="s">
        <v>197</v>
      </c>
      <c r="H13" s="160">
        <v>71.536363636363632</v>
      </c>
      <c r="I13" s="111" t="s">
        <v>179</v>
      </c>
      <c r="J13" s="112">
        <v>4500</v>
      </c>
      <c r="K13" s="112">
        <v>4500</v>
      </c>
      <c r="L13" s="109"/>
      <c r="M13" s="109"/>
      <c r="N13" s="109"/>
      <c r="O13" s="160">
        <v>4.1545454545454543</v>
      </c>
      <c r="P13" s="160">
        <v>1.9818181818181817</v>
      </c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13" t="s">
        <v>198</v>
      </c>
      <c r="AH13" s="113"/>
      <c r="AI13" s="113"/>
      <c r="AJ13" s="113"/>
    </row>
  </sheetData>
  <sheetProtection algorithmName="SHA-512" hashValue="Y/Gap7cgiYFt3gq1PYmlpahb/LhjzH+EUjEinclPgnAsACvsqPjxM/eJ8mRxH0MBCSTcz4gLH1JW87XPGcHQCg==" saltValue="qJ46oeXMvxOyDON8HG23XA==" spinCount="100000" sheet="1" objects="1" scenarios="1"/>
  <hyperlinks>
    <hyperlink ref="AK4" r:id="rId1" xr:uid="{CD878008-3C37-7D43-96DD-1DAF7A952CA0}"/>
  </hyperlinks>
  <pageMargins left="0.75" right="0.75" top="1" bottom="1" header="0.5" footer="0.5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9ADD0-2033-4043-B746-73BF40C75688}">
  <sheetPr codeName="Sheet15"/>
  <dimension ref="A1:AJ12"/>
  <sheetViews>
    <sheetView workbookViewId="0">
      <selection activeCell="A8" sqref="A8:XFD8"/>
    </sheetView>
  </sheetViews>
  <sheetFormatPr baseColWidth="10" defaultRowHeight="13" x14ac:dyDescent="0.15"/>
  <cols>
    <col min="4" max="4" width="19" bestFit="1" customWidth="1"/>
    <col min="6" max="6" width="14.1640625" bestFit="1" customWidth="1"/>
    <col min="7" max="7" width="13.1640625" bestFit="1" customWidth="1"/>
  </cols>
  <sheetData>
    <row r="1" spans="1:36" ht="42" x14ac:dyDescent="0.15">
      <c r="A1" s="93" t="s">
        <v>109</v>
      </c>
      <c r="B1" s="93" t="s">
        <v>110</v>
      </c>
      <c r="C1" s="94" t="s">
        <v>111</v>
      </c>
      <c r="D1" s="95" t="s">
        <v>112</v>
      </c>
      <c r="E1" s="93" t="s">
        <v>103</v>
      </c>
      <c r="F1" s="94" t="s">
        <v>114</v>
      </c>
      <c r="G1" s="95" t="s">
        <v>115</v>
      </c>
      <c r="H1" s="96" t="s">
        <v>126</v>
      </c>
      <c r="I1" s="97" t="s">
        <v>127</v>
      </c>
      <c r="J1" s="97" t="s">
        <v>128</v>
      </c>
      <c r="K1" s="97" t="s">
        <v>129</v>
      </c>
      <c r="L1" s="97" t="s">
        <v>130</v>
      </c>
      <c r="M1" s="97" t="s">
        <v>131</v>
      </c>
      <c r="N1" s="98" t="s">
        <v>132</v>
      </c>
      <c r="O1" s="99" t="s">
        <v>133</v>
      </c>
      <c r="P1" s="99" t="s">
        <v>134</v>
      </c>
      <c r="Q1" s="99" t="s">
        <v>135</v>
      </c>
      <c r="R1" s="99" t="s">
        <v>136</v>
      </c>
      <c r="S1" s="99" t="s">
        <v>137</v>
      </c>
      <c r="T1" s="100" t="s">
        <v>138</v>
      </c>
      <c r="U1" s="101" t="s">
        <v>139</v>
      </c>
      <c r="V1" s="101" t="s">
        <v>140</v>
      </c>
      <c r="W1" s="101" t="s">
        <v>141</v>
      </c>
      <c r="X1" s="101" t="s">
        <v>142</v>
      </c>
      <c r="Y1" s="101" t="s">
        <v>105</v>
      </c>
      <c r="Z1" s="102" t="s">
        <v>106</v>
      </c>
      <c r="AA1" s="103" t="s">
        <v>107</v>
      </c>
      <c r="AB1" s="103" t="s">
        <v>157</v>
      </c>
      <c r="AC1" s="103" t="s">
        <v>158</v>
      </c>
      <c r="AD1" s="103" t="s">
        <v>159</v>
      </c>
      <c r="AE1" s="103" t="s">
        <v>160</v>
      </c>
      <c r="AF1" s="104" t="s">
        <v>161</v>
      </c>
      <c r="AG1" s="105" t="s">
        <v>162</v>
      </c>
      <c r="AH1" s="105" t="s">
        <v>163</v>
      </c>
      <c r="AI1" s="105" t="s">
        <v>85</v>
      </c>
      <c r="AJ1" s="106" t="s">
        <v>86</v>
      </c>
    </row>
    <row r="2" spans="1:36" x14ac:dyDescent="0.15">
      <c r="A2" s="107">
        <v>416</v>
      </c>
      <c r="B2" s="110">
        <v>42192</v>
      </c>
      <c r="C2" s="108" t="s">
        <v>18</v>
      </c>
      <c r="D2" s="109" t="s">
        <v>144</v>
      </c>
      <c r="E2" s="153">
        <v>42185</v>
      </c>
      <c r="F2" s="108" t="s">
        <v>42</v>
      </c>
      <c r="G2" s="109" t="s">
        <v>6</v>
      </c>
      <c r="H2" s="160">
        <v>72.099999999999994</v>
      </c>
      <c r="I2" s="151" t="s">
        <v>179</v>
      </c>
      <c r="J2" s="112">
        <v>10000</v>
      </c>
      <c r="K2" s="114">
        <v>10000</v>
      </c>
      <c r="L2" s="109"/>
      <c r="M2" s="109"/>
      <c r="N2" s="109"/>
      <c r="O2" s="160">
        <v>3.8181818181818179</v>
      </c>
      <c r="P2" s="160">
        <v>3.45</v>
      </c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13" t="s">
        <v>90</v>
      </c>
      <c r="AH2" s="113"/>
      <c r="AI2" s="113"/>
      <c r="AJ2" s="113"/>
    </row>
    <row r="3" spans="1:36" x14ac:dyDescent="0.15">
      <c r="A3" s="107">
        <v>426</v>
      </c>
      <c r="B3" s="110">
        <v>42192</v>
      </c>
      <c r="C3" s="108" t="s">
        <v>18</v>
      </c>
      <c r="D3" s="109" t="s">
        <v>16</v>
      </c>
      <c r="E3" s="153">
        <v>42185</v>
      </c>
      <c r="F3" s="108" t="s">
        <v>180</v>
      </c>
      <c r="G3" s="109" t="s">
        <v>6</v>
      </c>
      <c r="H3" s="109">
        <v>69.599999999999994</v>
      </c>
      <c r="I3" s="111" t="s">
        <v>143</v>
      </c>
      <c r="J3" s="112">
        <v>4500</v>
      </c>
      <c r="K3" s="114">
        <v>4500</v>
      </c>
      <c r="L3" s="109"/>
      <c r="M3" s="109"/>
      <c r="N3" s="109"/>
      <c r="O3" s="109">
        <v>3.81</v>
      </c>
      <c r="P3" s="109">
        <v>2.93</v>
      </c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13" t="s">
        <v>90</v>
      </c>
      <c r="AH3" s="113"/>
      <c r="AI3" s="113"/>
      <c r="AJ3" s="113"/>
    </row>
    <row r="4" spans="1:36" x14ac:dyDescent="0.15">
      <c r="A4" s="107">
        <v>422</v>
      </c>
      <c r="B4" s="110">
        <v>42192</v>
      </c>
      <c r="C4" s="108" t="s">
        <v>18</v>
      </c>
      <c r="D4" s="109" t="s">
        <v>16</v>
      </c>
      <c r="E4" s="153">
        <v>42185</v>
      </c>
      <c r="F4" s="108" t="s">
        <v>20</v>
      </c>
      <c r="G4" s="109" t="s">
        <v>6</v>
      </c>
      <c r="H4" s="109">
        <v>81.599999999999994</v>
      </c>
      <c r="I4" s="111" t="s">
        <v>143</v>
      </c>
      <c r="J4" s="112">
        <v>2500</v>
      </c>
      <c r="K4" s="112">
        <v>4500</v>
      </c>
      <c r="L4" s="109"/>
      <c r="M4" s="109"/>
      <c r="N4" s="109"/>
      <c r="O4" s="109">
        <v>4.55</v>
      </c>
      <c r="P4" s="109">
        <v>3.93</v>
      </c>
      <c r="Q4" s="109">
        <v>2.34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13" t="s">
        <v>90</v>
      </c>
      <c r="AH4" s="113"/>
      <c r="AI4" s="113"/>
      <c r="AJ4" s="113"/>
    </row>
    <row r="5" spans="1:36" x14ac:dyDescent="0.15">
      <c r="A5" s="107">
        <v>397</v>
      </c>
      <c r="B5" s="110">
        <v>42192</v>
      </c>
      <c r="C5" s="108" t="s">
        <v>18</v>
      </c>
      <c r="D5" s="109" t="s">
        <v>16</v>
      </c>
      <c r="E5" s="153">
        <v>42185</v>
      </c>
      <c r="F5" s="108" t="s">
        <v>21</v>
      </c>
      <c r="G5" s="109" t="s">
        <v>6</v>
      </c>
      <c r="H5" s="160">
        <v>71.536363636363632</v>
      </c>
      <c r="I5" s="111" t="s">
        <v>179</v>
      </c>
      <c r="J5" s="112">
        <v>4500</v>
      </c>
      <c r="K5" s="114">
        <v>4500</v>
      </c>
      <c r="L5" s="109"/>
      <c r="M5" s="109"/>
      <c r="N5" s="109"/>
      <c r="O5" s="160">
        <v>4.1545454545454543</v>
      </c>
      <c r="P5" s="160">
        <v>1.9818181818181817</v>
      </c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13" t="s">
        <v>90</v>
      </c>
      <c r="AH5" s="113"/>
      <c r="AI5" s="113"/>
      <c r="AJ5" s="113"/>
    </row>
    <row r="6" spans="1:36" x14ac:dyDescent="0.15">
      <c r="A6" s="107">
        <v>867</v>
      </c>
      <c r="B6" s="110">
        <v>42192</v>
      </c>
      <c r="C6" s="108" t="s">
        <v>18</v>
      </c>
      <c r="D6" s="109" t="s">
        <v>16</v>
      </c>
      <c r="E6" s="153">
        <v>42185</v>
      </c>
      <c r="F6" s="108" t="s">
        <v>22</v>
      </c>
      <c r="G6" s="109" t="s">
        <v>6</v>
      </c>
      <c r="H6" s="160">
        <v>62.009090909090901</v>
      </c>
      <c r="I6" s="111" t="s">
        <v>179</v>
      </c>
      <c r="J6" s="112">
        <v>2500</v>
      </c>
      <c r="K6" s="112">
        <v>4500</v>
      </c>
      <c r="L6" s="109"/>
      <c r="M6" s="109"/>
      <c r="N6" s="109"/>
      <c r="O6" s="160">
        <v>5.2272727272727266</v>
      </c>
      <c r="P6" s="160">
        <v>3.2363636363636363</v>
      </c>
      <c r="Q6" s="160">
        <v>2.0181818181818181</v>
      </c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13" t="s">
        <v>90</v>
      </c>
      <c r="AH6" s="113"/>
      <c r="AI6" s="113"/>
      <c r="AJ6" s="113"/>
    </row>
    <row r="7" spans="1:36" x14ac:dyDescent="0.15">
      <c r="A7" s="107">
        <v>1089</v>
      </c>
      <c r="B7" s="110">
        <v>42192</v>
      </c>
      <c r="C7" s="108" t="s">
        <v>18</v>
      </c>
      <c r="D7" s="109" t="s">
        <v>16</v>
      </c>
      <c r="E7" s="153">
        <v>42185</v>
      </c>
      <c r="F7" s="108" t="s">
        <v>145</v>
      </c>
      <c r="G7" s="109" t="s">
        <v>6</v>
      </c>
      <c r="H7" s="160">
        <v>75</v>
      </c>
      <c r="I7" s="111" t="s">
        <v>179</v>
      </c>
      <c r="J7" s="112">
        <v>4500</v>
      </c>
      <c r="K7" s="114">
        <v>4500</v>
      </c>
      <c r="L7" s="112"/>
      <c r="M7" s="112"/>
      <c r="N7" s="112"/>
      <c r="O7" s="160">
        <v>4.0636363636363635</v>
      </c>
      <c r="P7" s="160">
        <v>2.4</v>
      </c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13" t="s">
        <v>90</v>
      </c>
      <c r="AH7" s="113"/>
      <c r="AI7" s="113"/>
      <c r="AJ7" s="113"/>
    </row>
    <row r="8" spans="1:36" x14ac:dyDescent="0.15">
      <c r="A8" s="107"/>
      <c r="B8" s="110">
        <v>42192</v>
      </c>
      <c r="C8" s="108" t="s">
        <v>18</v>
      </c>
      <c r="D8" s="109" t="s">
        <v>16</v>
      </c>
      <c r="E8" s="153">
        <v>42185</v>
      </c>
      <c r="F8" s="161" t="s">
        <v>185</v>
      </c>
      <c r="G8" s="109" t="s">
        <v>6</v>
      </c>
      <c r="H8" s="160">
        <v>75</v>
      </c>
      <c r="I8" s="111" t="s">
        <v>179</v>
      </c>
      <c r="J8" s="112">
        <v>4500</v>
      </c>
      <c r="K8" s="114">
        <v>4500</v>
      </c>
      <c r="L8" s="112"/>
      <c r="M8" s="112"/>
      <c r="N8" s="112"/>
      <c r="O8" s="160">
        <v>4.3090909090909086</v>
      </c>
      <c r="P8" s="160">
        <v>2.4</v>
      </c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13"/>
      <c r="AH8" s="113"/>
      <c r="AI8" s="113"/>
      <c r="AJ8" s="113"/>
    </row>
    <row r="9" spans="1:36" x14ac:dyDescent="0.15">
      <c r="A9" s="107">
        <v>401</v>
      </c>
      <c r="B9" s="110">
        <v>42192</v>
      </c>
      <c r="C9" s="108" t="s">
        <v>18</v>
      </c>
      <c r="D9" s="109" t="s">
        <v>23</v>
      </c>
      <c r="E9" s="153">
        <v>42185</v>
      </c>
      <c r="F9" s="108" t="s">
        <v>21</v>
      </c>
      <c r="G9" s="109" t="s">
        <v>6</v>
      </c>
      <c r="H9" s="160">
        <v>71.536363636363632</v>
      </c>
      <c r="I9" s="111" t="s">
        <v>179</v>
      </c>
      <c r="J9" s="112">
        <v>4500</v>
      </c>
      <c r="K9" s="114">
        <v>4500</v>
      </c>
      <c r="L9" s="109"/>
      <c r="M9" s="109"/>
      <c r="N9" s="109"/>
      <c r="O9" s="160">
        <v>4.1545454545454543</v>
      </c>
      <c r="P9" s="160">
        <v>1.9818181818181817</v>
      </c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13" t="s">
        <v>90</v>
      </c>
      <c r="AH9" s="113"/>
      <c r="AI9" s="113"/>
      <c r="AJ9" s="113"/>
    </row>
    <row r="10" spans="1:36" x14ac:dyDescent="0.15">
      <c r="A10" s="107">
        <v>405</v>
      </c>
      <c r="B10" s="110">
        <v>42192</v>
      </c>
      <c r="C10" s="108" t="s">
        <v>18</v>
      </c>
      <c r="D10" s="109" t="s">
        <v>24</v>
      </c>
      <c r="E10" s="153">
        <v>42185</v>
      </c>
      <c r="F10" s="108" t="s">
        <v>21</v>
      </c>
      <c r="G10" s="109" t="s">
        <v>6</v>
      </c>
      <c r="H10" s="160">
        <v>71.536363636363632</v>
      </c>
      <c r="I10" s="111" t="s">
        <v>179</v>
      </c>
      <c r="J10" s="112">
        <v>4500</v>
      </c>
      <c r="K10" s="114">
        <v>4500</v>
      </c>
      <c r="L10" s="109"/>
      <c r="M10" s="109"/>
      <c r="N10" s="109"/>
      <c r="O10" s="160">
        <v>4.1545454545454543</v>
      </c>
      <c r="P10" s="160">
        <v>1.9818181818181817</v>
      </c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13" t="s">
        <v>90</v>
      </c>
      <c r="AH10" s="113"/>
      <c r="AI10" s="113"/>
      <c r="AJ10" s="113"/>
    </row>
    <row r="11" spans="1:36" x14ac:dyDescent="0.15">
      <c r="A11" s="107">
        <v>409</v>
      </c>
      <c r="B11" s="110">
        <v>42192</v>
      </c>
      <c r="C11" s="108" t="s">
        <v>18</v>
      </c>
      <c r="D11" s="109" t="s">
        <v>164</v>
      </c>
      <c r="E11" s="153">
        <v>42185</v>
      </c>
      <c r="F11" s="108" t="s">
        <v>21</v>
      </c>
      <c r="G11" s="109" t="s">
        <v>6</v>
      </c>
      <c r="H11" s="160">
        <v>71.536363636363632</v>
      </c>
      <c r="I11" s="111" t="s">
        <v>179</v>
      </c>
      <c r="J11" s="112">
        <v>4500</v>
      </c>
      <c r="K11" s="114">
        <v>4500</v>
      </c>
      <c r="L11" s="109"/>
      <c r="M11" s="109"/>
      <c r="N11" s="109"/>
      <c r="O11" s="160">
        <v>4.1545454545454543</v>
      </c>
      <c r="P11" s="160">
        <v>1.9818181818181817</v>
      </c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13" t="s">
        <v>90</v>
      </c>
      <c r="AH11" s="113"/>
      <c r="AI11" s="113"/>
      <c r="AJ11" s="113"/>
    </row>
    <row r="12" spans="1:36" x14ac:dyDescent="0.15">
      <c r="A12" s="107">
        <v>413</v>
      </c>
      <c r="B12" s="110">
        <v>42192</v>
      </c>
      <c r="C12" s="108" t="s">
        <v>18</v>
      </c>
      <c r="D12" s="109" t="s">
        <v>91</v>
      </c>
      <c r="E12" s="153">
        <v>42185</v>
      </c>
      <c r="F12" s="108" t="s">
        <v>21</v>
      </c>
      <c r="G12" s="109" t="s">
        <v>6</v>
      </c>
      <c r="H12" s="160">
        <v>71.536363636363632</v>
      </c>
      <c r="I12" s="111" t="s">
        <v>179</v>
      </c>
      <c r="J12" s="112">
        <v>4500</v>
      </c>
      <c r="K12" s="114">
        <v>4500</v>
      </c>
      <c r="L12" s="109"/>
      <c r="M12" s="109"/>
      <c r="N12" s="109"/>
      <c r="O12" s="160">
        <v>4.1545454545454543</v>
      </c>
      <c r="P12" s="160">
        <v>1.9818181818181817</v>
      </c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13" t="s">
        <v>90</v>
      </c>
      <c r="AH12" s="113"/>
      <c r="AI12" s="113"/>
      <c r="AJ12" s="113"/>
    </row>
  </sheetData>
  <sheetProtection algorithmName="SHA-512" hashValue="ngBEnVR4PJ2UjcGGZg22BXMEVzj7JNS4XSykz9qgJnuThCwM7aSU3zWpY9e+nAhKZlSIlBBU6UyY03xSQ0soQA==" saltValue="dswA1JAT358e1DB2s3c6bw==" spinCount="100000" sheet="1" objects="1" scenarios="1"/>
  <pageMargins left="0.75" right="0.75" top="1" bottom="1" header="0.5" footer="0.5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A51EE-3B86-244D-9EB1-AE87216FBC41}">
  <sheetPr codeName="Sheet16"/>
  <dimension ref="A1:AJ11"/>
  <sheetViews>
    <sheetView workbookViewId="0">
      <selection activeCell="F26" sqref="F26"/>
    </sheetView>
  </sheetViews>
  <sheetFormatPr baseColWidth="10" defaultRowHeight="13" x14ac:dyDescent="0.15"/>
  <cols>
    <col min="4" max="4" width="19" bestFit="1" customWidth="1"/>
    <col min="6" max="6" width="14.1640625" bestFit="1" customWidth="1"/>
    <col min="7" max="7" width="13.1640625" bestFit="1" customWidth="1"/>
  </cols>
  <sheetData>
    <row r="1" spans="1:36" ht="42" x14ac:dyDescent="0.15">
      <c r="A1" s="93" t="s">
        <v>109</v>
      </c>
      <c r="B1" s="93" t="s">
        <v>110</v>
      </c>
      <c r="C1" s="94" t="s">
        <v>111</v>
      </c>
      <c r="D1" s="95" t="s">
        <v>112</v>
      </c>
      <c r="E1" s="93" t="s">
        <v>103</v>
      </c>
      <c r="F1" s="94" t="s">
        <v>114</v>
      </c>
      <c r="G1" s="95" t="s">
        <v>115</v>
      </c>
      <c r="H1" s="96" t="s">
        <v>126</v>
      </c>
      <c r="I1" s="97" t="s">
        <v>127</v>
      </c>
      <c r="J1" s="97" t="s">
        <v>128</v>
      </c>
      <c r="K1" s="97" t="s">
        <v>129</v>
      </c>
      <c r="L1" s="97" t="s">
        <v>130</v>
      </c>
      <c r="M1" s="97" t="s">
        <v>131</v>
      </c>
      <c r="N1" s="98" t="s">
        <v>132</v>
      </c>
      <c r="O1" s="99" t="s">
        <v>133</v>
      </c>
      <c r="P1" s="99" t="s">
        <v>134</v>
      </c>
      <c r="Q1" s="99" t="s">
        <v>135</v>
      </c>
      <c r="R1" s="99" t="s">
        <v>136</v>
      </c>
      <c r="S1" s="99" t="s">
        <v>137</v>
      </c>
      <c r="T1" s="100" t="s">
        <v>138</v>
      </c>
      <c r="U1" s="101" t="s">
        <v>139</v>
      </c>
      <c r="V1" s="101" t="s">
        <v>140</v>
      </c>
      <c r="W1" s="101" t="s">
        <v>141</v>
      </c>
      <c r="X1" s="101" t="s">
        <v>142</v>
      </c>
      <c r="Y1" s="101" t="s">
        <v>105</v>
      </c>
      <c r="Z1" s="102" t="s">
        <v>106</v>
      </c>
      <c r="AA1" s="103" t="s">
        <v>107</v>
      </c>
      <c r="AB1" s="103" t="s">
        <v>157</v>
      </c>
      <c r="AC1" s="103" t="s">
        <v>158</v>
      </c>
      <c r="AD1" s="103" t="s">
        <v>159</v>
      </c>
      <c r="AE1" s="103" t="s">
        <v>160</v>
      </c>
      <c r="AF1" s="104" t="s">
        <v>161</v>
      </c>
      <c r="AG1" s="105" t="s">
        <v>162</v>
      </c>
      <c r="AH1" s="105" t="s">
        <v>163</v>
      </c>
      <c r="AI1" s="105" t="s">
        <v>85</v>
      </c>
      <c r="AJ1" s="106" t="s">
        <v>86</v>
      </c>
    </row>
    <row r="2" spans="1:36" x14ac:dyDescent="0.15">
      <c r="A2" s="107">
        <v>416</v>
      </c>
      <c r="B2" s="110">
        <v>41846</v>
      </c>
      <c r="C2" s="108" t="s">
        <v>18</v>
      </c>
      <c r="D2" s="109" t="s">
        <v>144</v>
      </c>
      <c r="E2" s="110">
        <v>41822</v>
      </c>
      <c r="F2" s="108" t="s">
        <v>42</v>
      </c>
      <c r="G2" s="109" t="s">
        <v>6</v>
      </c>
      <c r="H2" s="109">
        <v>69</v>
      </c>
      <c r="I2" s="151" t="s">
        <v>179</v>
      </c>
      <c r="J2" s="112">
        <v>10000</v>
      </c>
      <c r="K2" s="114">
        <v>10000</v>
      </c>
      <c r="L2" s="109"/>
      <c r="M2" s="109"/>
      <c r="N2" s="109"/>
      <c r="O2" s="109">
        <v>3.65</v>
      </c>
      <c r="P2" s="109">
        <v>3.3</v>
      </c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13" t="s">
        <v>90</v>
      </c>
      <c r="AH2" s="113"/>
      <c r="AI2" s="113"/>
      <c r="AJ2" s="113"/>
    </row>
    <row r="3" spans="1:36" x14ac:dyDescent="0.15">
      <c r="A3" s="107">
        <v>426</v>
      </c>
      <c r="B3" s="110">
        <v>41846</v>
      </c>
      <c r="C3" s="108" t="s">
        <v>18</v>
      </c>
      <c r="D3" s="109" t="s">
        <v>16</v>
      </c>
      <c r="E3" s="153">
        <v>41865</v>
      </c>
      <c r="F3" s="108" t="s">
        <v>180</v>
      </c>
      <c r="G3" s="109" t="s">
        <v>6</v>
      </c>
      <c r="H3" s="109">
        <v>69.599999999999994</v>
      </c>
      <c r="I3" s="111" t="s">
        <v>143</v>
      </c>
      <c r="J3" s="112">
        <v>4500</v>
      </c>
      <c r="K3" s="114">
        <v>4500</v>
      </c>
      <c r="L3" s="109"/>
      <c r="M3" s="109"/>
      <c r="N3" s="109"/>
      <c r="O3" s="109">
        <v>3.81</v>
      </c>
      <c r="P3" s="109">
        <v>2.93</v>
      </c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13" t="s">
        <v>90</v>
      </c>
      <c r="AH3" s="113"/>
      <c r="AI3" s="113"/>
      <c r="AJ3" s="113"/>
    </row>
    <row r="4" spans="1:36" x14ac:dyDescent="0.15">
      <c r="A4" s="107">
        <v>422</v>
      </c>
      <c r="B4" s="110">
        <v>41865</v>
      </c>
      <c r="C4" s="108" t="s">
        <v>18</v>
      </c>
      <c r="D4" s="109" t="s">
        <v>16</v>
      </c>
      <c r="E4" s="153">
        <v>41849</v>
      </c>
      <c r="F4" s="108" t="s">
        <v>20</v>
      </c>
      <c r="G4" s="109" t="s">
        <v>6</v>
      </c>
      <c r="H4" s="109">
        <v>81.599999999999994</v>
      </c>
      <c r="I4" s="111" t="s">
        <v>143</v>
      </c>
      <c r="J4" s="112">
        <v>2500</v>
      </c>
      <c r="K4" s="112">
        <v>4500</v>
      </c>
      <c r="L4" s="109"/>
      <c r="M4" s="109"/>
      <c r="N4" s="109"/>
      <c r="O4" s="109">
        <v>4.55</v>
      </c>
      <c r="P4" s="109">
        <v>3.93</v>
      </c>
      <c r="Q4" s="109">
        <v>2.34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13" t="s">
        <v>90</v>
      </c>
      <c r="AH4" s="113"/>
      <c r="AI4" s="113"/>
      <c r="AJ4" s="113"/>
    </row>
    <row r="5" spans="1:36" x14ac:dyDescent="0.15">
      <c r="A5" s="107">
        <v>397</v>
      </c>
      <c r="B5" s="110">
        <v>41846</v>
      </c>
      <c r="C5" s="108" t="s">
        <v>18</v>
      </c>
      <c r="D5" s="109" t="s">
        <v>16</v>
      </c>
      <c r="E5" s="110">
        <v>41820</v>
      </c>
      <c r="F5" s="108" t="s">
        <v>21</v>
      </c>
      <c r="G5" s="109" t="s">
        <v>6</v>
      </c>
      <c r="H5" s="109">
        <v>71</v>
      </c>
      <c r="I5" s="111" t="s">
        <v>143</v>
      </c>
      <c r="J5" s="112">
        <v>4500</v>
      </c>
      <c r="K5" s="114">
        <v>4500</v>
      </c>
      <c r="L5" s="109"/>
      <c r="M5" s="109"/>
      <c r="N5" s="109"/>
      <c r="O5" s="109">
        <v>3.9</v>
      </c>
      <c r="P5" s="109">
        <v>1.9</v>
      </c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13" t="s">
        <v>90</v>
      </c>
      <c r="AH5" s="113"/>
      <c r="AI5" s="113"/>
      <c r="AJ5" s="113"/>
    </row>
    <row r="6" spans="1:36" x14ac:dyDescent="0.15">
      <c r="A6" s="107">
        <v>867</v>
      </c>
      <c r="B6" s="110">
        <v>41846</v>
      </c>
      <c r="C6" s="108" t="s">
        <v>18</v>
      </c>
      <c r="D6" s="109" t="s">
        <v>16</v>
      </c>
      <c r="E6" s="110">
        <v>41820</v>
      </c>
      <c r="F6" s="108" t="s">
        <v>22</v>
      </c>
      <c r="G6" s="109" t="s">
        <v>6</v>
      </c>
      <c r="H6" s="109">
        <v>64</v>
      </c>
      <c r="I6" s="111" t="s">
        <v>143</v>
      </c>
      <c r="J6" s="112">
        <v>2500</v>
      </c>
      <c r="K6" s="112">
        <v>4500</v>
      </c>
      <c r="L6" s="109"/>
      <c r="M6" s="109"/>
      <c r="N6" s="109"/>
      <c r="O6" s="109">
        <v>6</v>
      </c>
      <c r="P6" s="109">
        <v>4</v>
      </c>
      <c r="Q6" s="109">
        <v>2</v>
      </c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13" t="s">
        <v>90</v>
      </c>
      <c r="AH6" s="113"/>
      <c r="AI6" s="113"/>
      <c r="AJ6" s="113"/>
    </row>
    <row r="7" spans="1:36" x14ac:dyDescent="0.15">
      <c r="A7" s="107">
        <v>1089</v>
      </c>
      <c r="B7" s="110">
        <v>41865</v>
      </c>
      <c r="C7" s="108" t="s">
        <v>18</v>
      </c>
      <c r="D7" s="109" t="s">
        <v>16</v>
      </c>
      <c r="E7" s="153">
        <v>41844</v>
      </c>
      <c r="F7" s="108" t="s">
        <v>145</v>
      </c>
      <c r="G7" s="109" t="s">
        <v>6</v>
      </c>
      <c r="H7" s="109">
        <v>73.8</v>
      </c>
      <c r="I7" s="111" t="s">
        <v>143</v>
      </c>
      <c r="J7" s="112">
        <v>4500</v>
      </c>
      <c r="K7" s="114">
        <v>4500</v>
      </c>
      <c r="L7" s="112"/>
      <c r="M7" s="112"/>
      <c r="N7" s="112"/>
      <c r="O7" s="109">
        <v>4.03</v>
      </c>
      <c r="P7" s="109">
        <v>1.94</v>
      </c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13" t="s">
        <v>90</v>
      </c>
      <c r="AH7" s="113"/>
      <c r="AI7" s="113"/>
      <c r="AJ7" s="113"/>
    </row>
    <row r="8" spans="1:36" x14ac:dyDescent="0.15">
      <c r="A8" s="107">
        <v>401</v>
      </c>
      <c r="B8" s="110">
        <v>41846</v>
      </c>
      <c r="C8" s="108" t="s">
        <v>18</v>
      </c>
      <c r="D8" s="109" t="s">
        <v>23</v>
      </c>
      <c r="E8" s="110">
        <v>41820</v>
      </c>
      <c r="F8" s="108" t="s">
        <v>21</v>
      </c>
      <c r="G8" s="109" t="s">
        <v>6</v>
      </c>
      <c r="H8" s="109">
        <v>71</v>
      </c>
      <c r="I8" s="111" t="s">
        <v>143</v>
      </c>
      <c r="J8" s="112">
        <v>4500</v>
      </c>
      <c r="K8" s="114">
        <v>4500</v>
      </c>
      <c r="L8" s="109"/>
      <c r="M8" s="109"/>
      <c r="N8" s="109"/>
      <c r="O8" s="109">
        <v>3.9</v>
      </c>
      <c r="P8" s="109">
        <v>1.9</v>
      </c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13" t="s">
        <v>90</v>
      </c>
      <c r="AH8" s="113"/>
      <c r="AI8" s="113"/>
      <c r="AJ8" s="113"/>
    </row>
    <row r="9" spans="1:36" x14ac:dyDescent="0.15">
      <c r="A9" s="107">
        <v>405</v>
      </c>
      <c r="B9" s="110">
        <v>41846</v>
      </c>
      <c r="C9" s="108" t="s">
        <v>18</v>
      </c>
      <c r="D9" s="109" t="s">
        <v>24</v>
      </c>
      <c r="E9" s="110">
        <v>41820</v>
      </c>
      <c r="F9" s="108" t="s">
        <v>21</v>
      </c>
      <c r="G9" s="109" t="s">
        <v>6</v>
      </c>
      <c r="H9" s="109">
        <v>71</v>
      </c>
      <c r="I9" s="111" t="s">
        <v>143</v>
      </c>
      <c r="J9" s="112">
        <v>4500</v>
      </c>
      <c r="K9" s="114">
        <v>4500</v>
      </c>
      <c r="L9" s="109"/>
      <c r="M9" s="109"/>
      <c r="N9" s="109"/>
      <c r="O9" s="109">
        <v>3.9</v>
      </c>
      <c r="P9" s="109">
        <v>1.9</v>
      </c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13" t="s">
        <v>90</v>
      </c>
      <c r="AH9" s="113"/>
      <c r="AI9" s="113"/>
      <c r="AJ9" s="113"/>
    </row>
    <row r="10" spans="1:36" x14ac:dyDescent="0.15">
      <c r="A10" s="107">
        <v>409</v>
      </c>
      <c r="B10" s="110">
        <v>41846</v>
      </c>
      <c r="C10" s="108" t="s">
        <v>18</v>
      </c>
      <c r="D10" s="109" t="s">
        <v>164</v>
      </c>
      <c r="E10" s="110">
        <v>41820</v>
      </c>
      <c r="F10" s="108" t="s">
        <v>21</v>
      </c>
      <c r="G10" s="109" t="s">
        <v>6</v>
      </c>
      <c r="H10" s="109">
        <v>71</v>
      </c>
      <c r="I10" s="111" t="s">
        <v>143</v>
      </c>
      <c r="J10" s="112">
        <v>4500</v>
      </c>
      <c r="K10" s="114">
        <v>4500</v>
      </c>
      <c r="L10" s="109"/>
      <c r="M10" s="109"/>
      <c r="N10" s="109"/>
      <c r="O10" s="109">
        <v>3.9</v>
      </c>
      <c r="P10" s="109">
        <v>1.9</v>
      </c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13" t="s">
        <v>90</v>
      </c>
      <c r="AH10" s="113"/>
      <c r="AI10" s="113"/>
      <c r="AJ10" s="113"/>
    </row>
    <row r="11" spans="1:36" x14ac:dyDescent="0.15">
      <c r="A11" s="107">
        <v>413</v>
      </c>
      <c r="B11" s="110">
        <v>41846</v>
      </c>
      <c r="C11" s="108" t="s">
        <v>18</v>
      </c>
      <c r="D11" s="109" t="s">
        <v>91</v>
      </c>
      <c r="E11" s="110">
        <v>41820</v>
      </c>
      <c r="F11" s="108" t="s">
        <v>21</v>
      </c>
      <c r="G11" s="109" t="s">
        <v>6</v>
      </c>
      <c r="H11" s="109">
        <v>71</v>
      </c>
      <c r="I11" s="111" t="s">
        <v>143</v>
      </c>
      <c r="J11" s="112">
        <v>4500</v>
      </c>
      <c r="K11" s="114">
        <v>4500</v>
      </c>
      <c r="L11" s="109"/>
      <c r="M11" s="109"/>
      <c r="N11" s="109"/>
      <c r="O11" s="109">
        <v>3.9</v>
      </c>
      <c r="P11" s="109">
        <v>1.9</v>
      </c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13" t="s">
        <v>90</v>
      </c>
      <c r="AH11" s="113"/>
      <c r="AI11" s="113"/>
      <c r="AJ11" s="113"/>
    </row>
  </sheetData>
  <sheetProtection algorithmName="SHA-512" hashValue="5Jw2k+uLrLZya5qEvzq+OFQbj/xHC5hxucWvjv4kHjUz/7p7Fw7SW4vckz0gvneqdL5hayYJ22lhnudnO/7brg==" saltValue="iwvzuYWSX1Skrb6a7KKj3g==" spinCount="100000" sheet="1" objects="1" scenarios="1"/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AJ11"/>
  <sheetViews>
    <sheetView workbookViewId="0">
      <selection activeCell="A5" sqref="A5:XFD5"/>
    </sheetView>
  </sheetViews>
  <sheetFormatPr baseColWidth="10" defaultRowHeight="13" x14ac:dyDescent="0.15"/>
  <sheetData>
    <row r="1" spans="1:36" ht="42" x14ac:dyDescent="0.15">
      <c r="A1" s="93" t="s">
        <v>109</v>
      </c>
      <c r="B1" s="93" t="s">
        <v>110</v>
      </c>
      <c r="C1" s="94" t="s">
        <v>111</v>
      </c>
      <c r="D1" s="95" t="s">
        <v>112</v>
      </c>
      <c r="E1" s="93" t="s">
        <v>113</v>
      </c>
      <c r="F1" s="94" t="s">
        <v>114</v>
      </c>
      <c r="G1" s="95" t="s">
        <v>115</v>
      </c>
      <c r="H1" s="96" t="s">
        <v>126</v>
      </c>
      <c r="I1" s="97" t="s">
        <v>127</v>
      </c>
      <c r="J1" s="97" t="s">
        <v>128</v>
      </c>
      <c r="K1" s="97" t="s">
        <v>129</v>
      </c>
      <c r="L1" s="97" t="s">
        <v>130</v>
      </c>
      <c r="M1" s="97" t="s">
        <v>131</v>
      </c>
      <c r="N1" s="98" t="s">
        <v>132</v>
      </c>
      <c r="O1" s="99" t="s">
        <v>133</v>
      </c>
      <c r="P1" s="99" t="s">
        <v>134</v>
      </c>
      <c r="Q1" s="99" t="s">
        <v>135</v>
      </c>
      <c r="R1" s="99" t="s">
        <v>136</v>
      </c>
      <c r="S1" s="99" t="s">
        <v>137</v>
      </c>
      <c r="T1" s="100" t="s">
        <v>138</v>
      </c>
      <c r="U1" s="101" t="s">
        <v>139</v>
      </c>
      <c r="V1" s="101" t="s">
        <v>140</v>
      </c>
      <c r="W1" s="101" t="s">
        <v>141</v>
      </c>
      <c r="X1" s="101" t="s">
        <v>142</v>
      </c>
      <c r="Y1" s="101" t="s">
        <v>105</v>
      </c>
      <c r="Z1" s="102" t="s">
        <v>106</v>
      </c>
      <c r="AA1" s="103" t="s">
        <v>107</v>
      </c>
      <c r="AB1" s="103" t="s">
        <v>157</v>
      </c>
      <c r="AC1" s="103" t="s">
        <v>158</v>
      </c>
      <c r="AD1" s="103" t="s">
        <v>159</v>
      </c>
      <c r="AE1" s="103" t="s">
        <v>160</v>
      </c>
      <c r="AF1" s="104" t="s">
        <v>161</v>
      </c>
      <c r="AG1" s="105" t="s">
        <v>162</v>
      </c>
      <c r="AH1" s="105" t="s">
        <v>163</v>
      </c>
      <c r="AI1" s="105" t="s">
        <v>85</v>
      </c>
      <c r="AJ1" s="106" t="s">
        <v>86</v>
      </c>
    </row>
    <row r="2" spans="1:36" x14ac:dyDescent="0.15">
      <c r="A2" s="107">
        <v>416</v>
      </c>
      <c r="B2" s="137">
        <v>41466</v>
      </c>
      <c r="C2" s="108" t="s">
        <v>87</v>
      </c>
      <c r="D2" s="109" t="s">
        <v>144</v>
      </c>
      <c r="E2" s="110">
        <v>41457</v>
      </c>
      <c r="F2" s="108" t="s">
        <v>42</v>
      </c>
      <c r="G2" s="109" t="s">
        <v>92</v>
      </c>
      <c r="H2" s="109">
        <v>69</v>
      </c>
      <c r="I2" s="111"/>
      <c r="J2" s="112"/>
      <c r="K2" s="112"/>
      <c r="L2" s="109"/>
      <c r="M2" s="109"/>
      <c r="N2" s="109"/>
      <c r="O2" s="109">
        <v>3.5</v>
      </c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13" t="s">
        <v>90</v>
      </c>
      <c r="AH2" s="113"/>
      <c r="AI2" s="113"/>
      <c r="AJ2" s="113"/>
    </row>
    <row r="3" spans="1:36" x14ac:dyDescent="0.15">
      <c r="A3" s="107">
        <v>426</v>
      </c>
      <c r="B3" s="137">
        <v>41467</v>
      </c>
      <c r="C3" s="108" t="s">
        <v>87</v>
      </c>
      <c r="D3" s="109" t="s">
        <v>88</v>
      </c>
      <c r="E3" s="110">
        <v>41455</v>
      </c>
      <c r="F3" s="108" t="s">
        <v>17</v>
      </c>
      <c r="G3" s="109" t="s">
        <v>92</v>
      </c>
      <c r="H3" s="109">
        <v>69.599999999999994</v>
      </c>
      <c r="I3" s="111" t="s">
        <v>143</v>
      </c>
      <c r="J3" s="112">
        <v>4500</v>
      </c>
      <c r="K3" s="114">
        <v>4500</v>
      </c>
      <c r="L3" s="109"/>
      <c r="M3" s="109"/>
      <c r="N3" s="109"/>
      <c r="O3" s="109">
        <v>3.93</v>
      </c>
      <c r="P3" s="109">
        <v>2.04</v>
      </c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13" t="s">
        <v>90</v>
      </c>
      <c r="AH3" s="113"/>
      <c r="AI3" s="113"/>
      <c r="AJ3" s="113"/>
    </row>
    <row r="4" spans="1:36" x14ac:dyDescent="0.15">
      <c r="A4" s="107">
        <v>422</v>
      </c>
      <c r="B4" s="137">
        <v>41467</v>
      </c>
      <c r="C4" s="108" t="s">
        <v>87</v>
      </c>
      <c r="D4" s="109" t="s">
        <v>88</v>
      </c>
      <c r="E4" s="110">
        <v>41467</v>
      </c>
      <c r="F4" s="108" t="s">
        <v>20</v>
      </c>
      <c r="G4" s="109" t="s">
        <v>92</v>
      </c>
      <c r="H4" s="109">
        <v>81.599999999999994</v>
      </c>
      <c r="I4" s="111" t="s">
        <v>149</v>
      </c>
      <c r="J4" s="112">
        <v>2500</v>
      </c>
      <c r="K4" s="112">
        <v>4500</v>
      </c>
      <c r="L4" s="109"/>
      <c r="M4" s="109"/>
      <c r="N4" s="109"/>
      <c r="O4" s="109">
        <v>4.55</v>
      </c>
      <c r="P4" s="109">
        <v>3.93</v>
      </c>
      <c r="Q4" s="109">
        <v>2.34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13" t="s">
        <v>90</v>
      </c>
      <c r="AH4" s="113"/>
      <c r="AI4" s="113"/>
      <c r="AJ4" s="113"/>
    </row>
    <row r="5" spans="1:36" x14ac:dyDescent="0.15">
      <c r="A5" s="107">
        <v>397</v>
      </c>
      <c r="B5" s="137">
        <v>41466</v>
      </c>
      <c r="C5" s="108" t="s">
        <v>87</v>
      </c>
      <c r="D5" s="109" t="s">
        <v>88</v>
      </c>
      <c r="E5" s="110">
        <v>41455</v>
      </c>
      <c r="F5" s="108" t="s">
        <v>48</v>
      </c>
      <c r="G5" s="109" t="s">
        <v>92</v>
      </c>
      <c r="H5" s="109">
        <v>71</v>
      </c>
      <c r="I5" s="111" t="s">
        <v>149</v>
      </c>
      <c r="J5" s="112">
        <v>4500</v>
      </c>
      <c r="K5" s="114">
        <v>4500</v>
      </c>
      <c r="L5" s="109"/>
      <c r="M5" s="109"/>
      <c r="N5" s="109"/>
      <c r="O5" s="109">
        <v>3.9</v>
      </c>
      <c r="P5" s="109">
        <v>1.9</v>
      </c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13" t="s">
        <v>90</v>
      </c>
      <c r="AH5" s="113"/>
      <c r="AI5" s="113"/>
      <c r="AJ5" s="113"/>
    </row>
    <row r="6" spans="1:36" x14ac:dyDescent="0.15">
      <c r="A6" s="107">
        <v>867</v>
      </c>
      <c r="B6" s="137">
        <v>41467</v>
      </c>
      <c r="C6" s="108" t="s">
        <v>87</v>
      </c>
      <c r="D6" s="109" t="s">
        <v>88</v>
      </c>
      <c r="E6" s="110">
        <v>41459</v>
      </c>
      <c r="F6" s="108" t="s">
        <v>22</v>
      </c>
      <c r="G6" s="109" t="s">
        <v>92</v>
      </c>
      <c r="H6" s="109">
        <v>69.8</v>
      </c>
      <c r="I6" s="111" t="s">
        <v>149</v>
      </c>
      <c r="J6" s="112">
        <v>2500</v>
      </c>
      <c r="K6" s="112">
        <v>4500</v>
      </c>
      <c r="L6" s="109"/>
      <c r="M6" s="109"/>
      <c r="N6" s="109"/>
      <c r="O6" s="109">
        <v>4.1100000000000003</v>
      </c>
      <c r="P6" s="109">
        <v>2.48</v>
      </c>
      <c r="Q6" s="109">
        <v>1.46</v>
      </c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13" t="s">
        <v>90</v>
      </c>
      <c r="AH6" s="113"/>
      <c r="AI6" s="113"/>
      <c r="AJ6" s="113"/>
    </row>
    <row r="7" spans="1:36" x14ac:dyDescent="0.15">
      <c r="A7" s="107">
        <v>1089</v>
      </c>
      <c r="B7" s="137">
        <v>41467</v>
      </c>
      <c r="C7" s="108" t="s">
        <v>87</v>
      </c>
      <c r="D7" s="109" t="s">
        <v>88</v>
      </c>
      <c r="E7" s="110">
        <v>41461</v>
      </c>
      <c r="F7" s="108" t="s">
        <v>145</v>
      </c>
      <c r="G7" s="109" t="s">
        <v>6</v>
      </c>
      <c r="H7" s="109">
        <v>72</v>
      </c>
      <c r="I7" s="111" t="s">
        <v>149</v>
      </c>
      <c r="J7" s="112">
        <v>4500</v>
      </c>
      <c r="K7" s="114">
        <v>4500</v>
      </c>
      <c r="L7" s="112"/>
      <c r="M7" s="112"/>
      <c r="N7" s="112"/>
      <c r="O7" s="109">
        <v>3.92</v>
      </c>
      <c r="P7" s="109">
        <v>1.89</v>
      </c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13" t="s">
        <v>90</v>
      </c>
      <c r="AH7" s="113"/>
      <c r="AI7" s="113"/>
      <c r="AJ7" s="113"/>
    </row>
    <row r="8" spans="1:36" x14ac:dyDescent="0.15">
      <c r="A8" s="107">
        <v>401</v>
      </c>
      <c r="B8" s="137">
        <v>41466</v>
      </c>
      <c r="C8" s="108" t="s">
        <v>87</v>
      </c>
      <c r="D8" s="109" t="s">
        <v>23</v>
      </c>
      <c r="E8" s="110">
        <v>41455</v>
      </c>
      <c r="F8" s="108" t="s">
        <v>48</v>
      </c>
      <c r="G8" s="109" t="s">
        <v>92</v>
      </c>
      <c r="H8" s="109">
        <v>71</v>
      </c>
      <c r="I8" s="111" t="s">
        <v>150</v>
      </c>
      <c r="J8" s="112">
        <v>4500</v>
      </c>
      <c r="K8" s="114">
        <v>4500</v>
      </c>
      <c r="L8" s="109"/>
      <c r="M8" s="109"/>
      <c r="N8" s="109"/>
      <c r="O8" s="109">
        <v>3.9</v>
      </c>
      <c r="P8" s="109">
        <v>1.9</v>
      </c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13" t="s">
        <v>90</v>
      </c>
      <c r="AH8" s="113"/>
      <c r="AI8" s="113"/>
      <c r="AJ8" s="113"/>
    </row>
    <row r="9" spans="1:36" x14ac:dyDescent="0.15">
      <c r="A9" s="107">
        <v>405</v>
      </c>
      <c r="B9" s="137">
        <v>41466</v>
      </c>
      <c r="C9" s="108" t="s">
        <v>146</v>
      </c>
      <c r="D9" s="109" t="s">
        <v>24</v>
      </c>
      <c r="E9" s="110">
        <v>41455</v>
      </c>
      <c r="F9" s="108" t="s">
        <v>48</v>
      </c>
      <c r="G9" s="109" t="s">
        <v>92</v>
      </c>
      <c r="H9" s="109">
        <v>71</v>
      </c>
      <c r="I9" s="111" t="s">
        <v>149</v>
      </c>
      <c r="J9" s="112">
        <v>4500</v>
      </c>
      <c r="K9" s="114">
        <v>4500</v>
      </c>
      <c r="L9" s="109"/>
      <c r="M9" s="109"/>
      <c r="N9" s="109"/>
      <c r="O9" s="109">
        <v>3.9</v>
      </c>
      <c r="P9" s="109">
        <v>1.9</v>
      </c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13" t="s">
        <v>90</v>
      </c>
      <c r="AH9" s="113"/>
      <c r="AI9" s="113"/>
      <c r="AJ9" s="113"/>
    </row>
    <row r="10" spans="1:36" x14ac:dyDescent="0.15">
      <c r="A10" s="107">
        <v>409</v>
      </c>
      <c r="B10" s="137">
        <v>41466</v>
      </c>
      <c r="C10" s="108" t="s">
        <v>87</v>
      </c>
      <c r="D10" s="109" t="s">
        <v>164</v>
      </c>
      <c r="E10" s="110">
        <v>41455</v>
      </c>
      <c r="F10" s="108" t="s">
        <v>48</v>
      </c>
      <c r="G10" s="109" t="s">
        <v>92</v>
      </c>
      <c r="H10" s="109">
        <v>71</v>
      </c>
      <c r="I10" s="111" t="s">
        <v>149</v>
      </c>
      <c r="J10" s="112">
        <v>4500</v>
      </c>
      <c r="K10" s="114">
        <v>4500</v>
      </c>
      <c r="L10" s="109"/>
      <c r="M10" s="109"/>
      <c r="N10" s="109"/>
      <c r="O10" s="109">
        <v>3.9</v>
      </c>
      <c r="P10" s="109">
        <v>1.9</v>
      </c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13" t="s">
        <v>90</v>
      </c>
      <c r="AH10" s="113"/>
      <c r="AI10" s="113"/>
      <c r="AJ10" s="113"/>
    </row>
    <row r="11" spans="1:36" x14ac:dyDescent="0.15">
      <c r="A11" s="107">
        <v>413</v>
      </c>
      <c r="B11" s="137">
        <v>41466</v>
      </c>
      <c r="C11" s="108" t="s">
        <v>147</v>
      </c>
      <c r="D11" s="109" t="s">
        <v>148</v>
      </c>
      <c r="E11" s="110">
        <v>41455</v>
      </c>
      <c r="F11" s="108" t="s">
        <v>48</v>
      </c>
      <c r="G11" s="109" t="s">
        <v>92</v>
      </c>
      <c r="H11" s="109">
        <v>71</v>
      </c>
      <c r="I11" s="111" t="s">
        <v>149</v>
      </c>
      <c r="J11" s="112">
        <v>4500</v>
      </c>
      <c r="K11" s="114">
        <v>4500</v>
      </c>
      <c r="L11" s="109"/>
      <c r="M11" s="109"/>
      <c r="N11" s="109"/>
      <c r="O11" s="109">
        <v>3.9</v>
      </c>
      <c r="P11" s="109">
        <v>1.9</v>
      </c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13" t="s">
        <v>90</v>
      </c>
      <c r="AH11" s="113"/>
      <c r="AI11" s="113"/>
      <c r="AJ11" s="113"/>
    </row>
  </sheetData>
  <sheetProtection algorithmName="SHA-512" hashValue="Tao6S+Ytn1yhcjIfJ+aRSFZxog5uh7/J0uRCfQf+6kKvqA1Y1I5zeQ6cC+Z99GWDoP+e6uPT8P4asEQPbiAWng==" saltValue="k+dCmDg7OZWJRqrCkXyiNw==" spinCount="100000" sheet="1" objects="1" scenarios="1"/>
  <phoneticPr fontId="9" type="noConversion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AJ10"/>
  <sheetViews>
    <sheetView workbookViewId="0">
      <selection activeCell="A5" sqref="A5:XFD5"/>
    </sheetView>
  </sheetViews>
  <sheetFormatPr baseColWidth="10" defaultRowHeight="13" x14ac:dyDescent="0.15"/>
  <sheetData>
    <row r="1" spans="1:36" ht="42" x14ac:dyDescent="0.15">
      <c r="A1" s="93" t="s">
        <v>109</v>
      </c>
      <c r="B1" s="93" t="s">
        <v>110</v>
      </c>
      <c r="C1" s="94" t="s">
        <v>111</v>
      </c>
      <c r="D1" s="95" t="s">
        <v>112</v>
      </c>
      <c r="E1" s="93" t="s">
        <v>113</v>
      </c>
      <c r="F1" s="94" t="s">
        <v>114</v>
      </c>
      <c r="G1" s="95" t="s">
        <v>115</v>
      </c>
      <c r="H1" s="96" t="s">
        <v>126</v>
      </c>
      <c r="I1" s="97" t="s">
        <v>127</v>
      </c>
      <c r="J1" s="97" t="s">
        <v>128</v>
      </c>
      <c r="K1" s="97" t="s">
        <v>129</v>
      </c>
      <c r="L1" s="97" t="s">
        <v>130</v>
      </c>
      <c r="M1" s="97" t="s">
        <v>131</v>
      </c>
      <c r="N1" s="98" t="s">
        <v>132</v>
      </c>
      <c r="O1" s="99" t="s">
        <v>133</v>
      </c>
      <c r="P1" s="99" t="s">
        <v>134</v>
      </c>
      <c r="Q1" s="99" t="s">
        <v>135</v>
      </c>
      <c r="R1" s="99" t="s">
        <v>136</v>
      </c>
      <c r="S1" s="99" t="s">
        <v>137</v>
      </c>
      <c r="T1" s="100" t="s">
        <v>138</v>
      </c>
      <c r="U1" s="101" t="s">
        <v>139</v>
      </c>
      <c r="V1" s="101" t="s">
        <v>140</v>
      </c>
      <c r="W1" s="101" t="s">
        <v>141</v>
      </c>
      <c r="X1" s="101" t="s">
        <v>142</v>
      </c>
      <c r="Y1" s="101" t="s">
        <v>105</v>
      </c>
      <c r="Z1" s="102" t="s">
        <v>106</v>
      </c>
      <c r="AA1" s="103" t="s">
        <v>107</v>
      </c>
      <c r="AB1" s="103" t="s">
        <v>157</v>
      </c>
      <c r="AC1" s="103" t="s">
        <v>158</v>
      </c>
      <c r="AD1" s="103" t="s">
        <v>159</v>
      </c>
      <c r="AE1" s="103" t="s">
        <v>160</v>
      </c>
      <c r="AF1" s="104" t="s">
        <v>161</v>
      </c>
      <c r="AG1" s="105" t="s">
        <v>162</v>
      </c>
      <c r="AH1" s="105" t="s">
        <v>163</v>
      </c>
      <c r="AI1" s="105" t="s">
        <v>85</v>
      </c>
      <c r="AJ1" s="106" t="s">
        <v>86</v>
      </c>
    </row>
    <row r="2" spans="1:36" x14ac:dyDescent="0.15">
      <c r="A2" s="107">
        <v>416</v>
      </c>
      <c r="B2" s="115">
        <v>41101</v>
      </c>
      <c r="C2" s="108" t="s">
        <v>87</v>
      </c>
      <c r="D2" s="109" t="s">
        <v>88</v>
      </c>
      <c r="E2" s="110">
        <v>41090</v>
      </c>
      <c r="F2" s="108" t="s">
        <v>89</v>
      </c>
      <c r="G2" s="109" t="s">
        <v>92</v>
      </c>
      <c r="H2" s="109">
        <v>65.72</v>
      </c>
      <c r="I2" s="111" t="s">
        <v>143</v>
      </c>
      <c r="J2" s="112">
        <v>2500</v>
      </c>
      <c r="K2" s="112">
        <v>4500</v>
      </c>
      <c r="L2" s="109"/>
      <c r="M2" s="109"/>
      <c r="N2" s="109"/>
      <c r="O2" s="109">
        <v>3.851</v>
      </c>
      <c r="P2" s="109">
        <v>2.9950000000000001</v>
      </c>
      <c r="Q2" s="109">
        <v>1.5580000000000001</v>
      </c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13" t="s">
        <v>90</v>
      </c>
      <c r="AH2" s="113"/>
      <c r="AI2" s="113"/>
      <c r="AJ2" s="113"/>
    </row>
    <row r="3" spans="1:36" x14ac:dyDescent="0.15">
      <c r="A3" s="107">
        <v>426</v>
      </c>
      <c r="B3" s="115">
        <v>41101</v>
      </c>
      <c r="C3" s="108" t="s">
        <v>87</v>
      </c>
      <c r="D3" s="109" t="s">
        <v>16</v>
      </c>
      <c r="E3" s="110">
        <v>41111</v>
      </c>
      <c r="F3" s="108" t="s">
        <v>17</v>
      </c>
      <c r="G3" s="109" t="s">
        <v>92</v>
      </c>
      <c r="H3" s="109">
        <v>63.85</v>
      </c>
      <c r="I3" s="111" t="s">
        <v>143</v>
      </c>
      <c r="J3" s="112">
        <v>2967.032967032967</v>
      </c>
      <c r="K3" s="114">
        <v>2967.032967032967</v>
      </c>
      <c r="L3" s="109"/>
      <c r="M3" s="109"/>
      <c r="N3" s="109"/>
      <c r="O3" s="109">
        <v>3.61</v>
      </c>
      <c r="P3" s="109">
        <v>1.87</v>
      </c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13" t="s">
        <v>90</v>
      </c>
      <c r="AH3" s="113"/>
      <c r="AI3" s="113"/>
      <c r="AJ3" s="113"/>
    </row>
    <row r="4" spans="1:36" x14ac:dyDescent="0.15">
      <c r="A4" s="107">
        <v>422</v>
      </c>
      <c r="B4" s="115">
        <v>41101</v>
      </c>
      <c r="C4" s="108" t="s">
        <v>18</v>
      </c>
      <c r="D4" s="109" t="s">
        <v>19</v>
      </c>
      <c r="E4" s="110">
        <v>41090</v>
      </c>
      <c r="F4" s="108" t="s">
        <v>20</v>
      </c>
      <c r="G4" s="109" t="s">
        <v>92</v>
      </c>
      <c r="H4" s="109">
        <v>80.36</v>
      </c>
      <c r="I4" s="111" t="s">
        <v>143</v>
      </c>
      <c r="J4" s="112">
        <v>2500</v>
      </c>
      <c r="K4" s="112">
        <v>4500</v>
      </c>
      <c r="L4" s="109"/>
      <c r="M4" s="109"/>
      <c r="N4" s="109"/>
      <c r="O4" s="109">
        <v>3.7204000000000002</v>
      </c>
      <c r="P4" s="109">
        <v>3.7018</v>
      </c>
      <c r="Q4" s="109">
        <v>2.3252000000000002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13" t="s">
        <v>90</v>
      </c>
      <c r="AH4" s="113"/>
      <c r="AI4" s="113"/>
      <c r="AJ4" s="113"/>
    </row>
    <row r="5" spans="1:36" x14ac:dyDescent="0.15">
      <c r="A5" s="107">
        <v>397</v>
      </c>
      <c r="B5" s="115">
        <v>41101</v>
      </c>
      <c r="C5" s="108" t="s">
        <v>18</v>
      </c>
      <c r="D5" s="109" t="s">
        <v>19</v>
      </c>
      <c r="E5" s="110">
        <v>41090</v>
      </c>
      <c r="F5" s="108" t="s">
        <v>21</v>
      </c>
      <c r="G5" s="109" t="s">
        <v>92</v>
      </c>
      <c r="H5" s="109">
        <v>65</v>
      </c>
      <c r="I5" s="111" t="s">
        <v>143</v>
      </c>
      <c r="J5" s="112">
        <v>4500</v>
      </c>
      <c r="K5" s="114">
        <v>4500</v>
      </c>
      <c r="L5" s="109"/>
      <c r="M5" s="109"/>
      <c r="N5" s="109"/>
      <c r="O5" s="109">
        <v>3.645</v>
      </c>
      <c r="P5" s="109">
        <v>1.633</v>
      </c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13" t="s">
        <v>90</v>
      </c>
      <c r="AH5" s="113"/>
      <c r="AI5" s="113"/>
      <c r="AJ5" s="113"/>
    </row>
    <row r="6" spans="1:36" x14ac:dyDescent="0.15">
      <c r="A6" s="107">
        <v>424</v>
      </c>
      <c r="B6" s="115">
        <v>41101</v>
      </c>
      <c r="C6" s="108" t="s">
        <v>18</v>
      </c>
      <c r="D6" s="109" t="s">
        <v>19</v>
      </c>
      <c r="E6" s="110">
        <v>41094</v>
      </c>
      <c r="F6" s="108" t="s">
        <v>22</v>
      </c>
      <c r="G6" s="109" t="s">
        <v>92</v>
      </c>
      <c r="H6" s="109">
        <v>77.48</v>
      </c>
      <c r="I6" s="111" t="s">
        <v>143</v>
      </c>
      <c r="J6" s="112">
        <v>2500</v>
      </c>
      <c r="K6" s="112">
        <v>4500</v>
      </c>
      <c r="L6" s="109"/>
      <c r="M6" s="109"/>
      <c r="N6" s="109"/>
      <c r="O6" s="109">
        <v>4.6900000000000004</v>
      </c>
      <c r="P6" s="109">
        <v>2.83</v>
      </c>
      <c r="Q6" s="109">
        <v>1.67</v>
      </c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13" t="s">
        <v>90</v>
      </c>
      <c r="AH6" s="113"/>
      <c r="AI6" s="113"/>
      <c r="AJ6" s="113"/>
    </row>
    <row r="7" spans="1:36" x14ac:dyDescent="0.15">
      <c r="A7" s="107">
        <v>401</v>
      </c>
      <c r="B7" s="115">
        <v>41101</v>
      </c>
      <c r="C7" s="108" t="s">
        <v>18</v>
      </c>
      <c r="D7" s="109" t="s">
        <v>23</v>
      </c>
      <c r="E7" s="110">
        <v>41090</v>
      </c>
      <c r="F7" s="108" t="s">
        <v>21</v>
      </c>
      <c r="G7" s="109" t="s">
        <v>92</v>
      </c>
      <c r="H7" s="109">
        <v>65</v>
      </c>
      <c r="I7" s="111" t="s">
        <v>143</v>
      </c>
      <c r="J7" s="112">
        <v>4500</v>
      </c>
      <c r="K7" s="114">
        <v>4500</v>
      </c>
      <c r="L7" s="109"/>
      <c r="M7" s="109"/>
      <c r="N7" s="109"/>
      <c r="O7" s="109">
        <v>3.645</v>
      </c>
      <c r="P7" s="109">
        <v>1.633</v>
      </c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13" t="s">
        <v>90</v>
      </c>
      <c r="AH7" s="113"/>
      <c r="AI7" s="113"/>
      <c r="AJ7" s="113"/>
    </row>
    <row r="8" spans="1:36" x14ac:dyDescent="0.15">
      <c r="A8" s="107">
        <v>405</v>
      </c>
      <c r="B8" s="115">
        <v>41101</v>
      </c>
      <c r="C8" s="108" t="s">
        <v>18</v>
      </c>
      <c r="D8" s="109" t="s">
        <v>24</v>
      </c>
      <c r="E8" s="110">
        <v>41090</v>
      </c>
      <c r="F8" s="108" t="s">
        <v>21</v>
      </c>
      <c r="G8" s="109" t="s">
        <v>92</v>
      </c>
      <c r="H8" s="109">
        <v>65</v>
      </c>
      <c r="I8" s="111" t="s">
        <v>143</v>
      </c>
      <c r="J8" s="112">
        <v>4500</v>
      </c>
      <c r="K8" s="114">
        <v>4500</v>
      </c>
      <c r="L8" s="109"/>
      <c r="M8" s="109"/>
      <c r="N8" s="109"/>
      <c r="O8" s="109">
        <v>3.645</v>
      </c>
      <c r="P8" s="109">
        <v>1.633</v>
      </c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13" t="s">
        <v>90</v>
      </c>
      <c r="AH8" s="113"/>
      <c r="AI8" s="113"/>
      <c r="AJ8" s="113"/>
    </row>
    <row r="9" spans="1:36" x14ac:dyDescent="0.15">
      <c r="A9" s="107">
        <v>409</v>
      </c>
      <c r="B9" s="115">
        <v>41101</v>
      </c>
      <c r="C9" s="108" t="s">
        <v>18</v>
      </c>
      <c r="D9" s="109" t="s">
        <v>164</v>
      </c>
      <c r="E9" s="110">
        <v>41090</v>
      </c>
      <c r="F9" s="108" t="s">
        <v>21</v>
      </c>
      <c r="G9" s="109" t="s">
        <v>92</v>
      </c>
      <c r="H9" s="109">
        <v>65</v>
      </c>
      <c r="I9" s="111" t="s">
        <v>143</v>
      </c>
      <c r="J9" s="112">
        <v>4500</v>
      </c>
      <c r="K9" s="114">
        <v>4500</v>
      </c>
      <c r="L9" s="109"/>
      <c r="M9" s="109"/>
      <c r="N9" s="109"/>
      <c r="O9" s="109">
        <v>3.645</v>
      </c>
      <c r="P9" s="109">
        <v>1.633</v>
      </c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13" t="s">
        <v>90</v>
      </c>
      <c r="AH9" s="113"/>
      <c r="AI9" s="113"/>
      <c r="AJ9" s="113"/>
    </row>
    <row r="10" spans="1:36" x14ac:dyDescent="0.15">
      <c r="A10" s="107">
        <v>413</v>
      </c>
      <c r="B10" s="115">
        <v>41101</v>
      </c>
      <c r="C10" s="108" t="s">
        <v>18</v>
      </c>
      <c r="D10" s="109" t="s">
        <v>91</v>
      </c>
      <c r="E10" s="110">
        <v>41090</v>
      </c>
      <c r="F10" s="108" t="s">
        <v>21</v>
      </c>
      <c r="G10" s="109" t="s">
        <v>92</v>
      </c>
      <c r="H10" s="109">
        <v>65</v>
      </c>
      <c r="I10" s="111" t="s">
        <v>143</v>
      </c>
      <c r="J10" s="112">
        <v>4500</v>
      </c>
      <c r="K10" s="114">
        <v>4500</v>
      </c>
      <c r="L10" s="109"/>
      <c r="M10" s="109"/>
      <c r="N10" s="109"/>
      <c r="O10" s="109">
        <v>3.645</v>
      </c>
      <c r="P10" s="109">
        <v>1.633</v>
      </c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13" t="s">
        <v>90</v>
      </c>
      <c r="AH10" s="113"/>
      <c r="AI10" s="113"/>
      <c r="AJ10" s="113"/>
    </row>
  </sheetData>
  <sheetProtection algorithmName="SHA-512" hashValue="uC8rAKBo3sHmWte0mJdqyt9aLa5DC0aUgpH2iuaRtdp6EpMrbkBF0egq5iqwzjEltVEk/m2DntLzPhsthH7eOQ==" saltValue="1YAAMYsCsNYtzi5G5Qou7A==" spinCount="100000" sheet="1" objects="1" scenarios="1"/>
  <phoneticPr fontId="9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K38"/>
  <sheetViews>
    <sheetView zoomScale="150" workbookViewId="0">
      <selection activeCell="G17" sqref="G17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t="s">
        <v>8</v>
      </c>
    </row>
    <row r="2" spans="1:11" x14ac:dyDescent="0.15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</row>
    <row r="3" spans="1:11" x14ac:dyDescent="0.15">
      <c r="A3" s="7" t="s">
        <v>9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3"/>
      <c r="E4" s="1" t="s">
        <v>83</v>
      </c>
    </row>
    <row r="5" spans="1:11" x14ac:dyDescent="0.15">
      <c r="D5" s="3"/>
    </row>
    <row r="6" spans="1:11" x14ac:dyDescent="0.15">
      <c r="A6" s="2" t="s">
        <v>152</v>
      </c>
      <c r="D6" s="3"/>
      <c r="E6" s="85" t="s">
        <v>82</v>
      </c>
      <c r="F6" s="85" t="s">
        <v>77</v>
      </c>
      <c r="G6" s="86" t="s">
        <v>78</v>
      </c>
      <c r="H6" s="86" t="s">
        <v>81</v>
      </c>
      <c r="I6" s="86" t="s">
        <v>79</v>
      </c>
    </row>
    <row r="7" spans="1:11" x14ac:dyDescent="0.15">
      <c r="A7" t="s">
        <v>50</v>
      </c>
      <c r="D7" s="3"/>
      <c r="E7" s="90">
        <v>4500</v>
      </c>
      <c r="F7" s="90">
        <v>2500</v>
      </c>
      <c r="G7" s="90">
        <v>2500</v>
      </c>
      <c r="H7">
        <v>2500</v>
      </c>
      <c r="I7" s="90">
        <v>4500</v>
      </c>
    </row>
    <row r="8" spans="1:11" x14ac:dyDescent="0.15">
      <c r="A8" s="12" t="s">
        <v>51</v>
      </c>
      <c r="B8" s="12"/>
      <c r="C8" s="12"/>
      <c r="D8" s="13"/>
      <c r="E8" s="91">
        <v>4500</v>
      </c>
      <c r="F8" s="91">
        <v>4500</v>
      </c>
      <c r="G8" s="91">
        <v>4500</v>
      </c>
      <c r="H8" s="12">
        <v>4500</v>
      </c>
      <c r="I8" s="91">
        <v>4500</v>
      </c>
    </row>
    <row r="9" spans="1:11" x14ac:dyDescent="0.15">
      <c r="A9" t="s">
        <v>10</v>
      </c>
      <c r="D9" s="3"/>
      <c r="E9" s="90">
        <v>4.117</v>
      </c>
      <c r="F9" s="90">
        <v>4.2610000000000001</v>
      </c>
      <c r="G9">
        <v>4.12</v>
      </c>
      <c r="H9">
        <v>4.6900000000000004</v>
      </c>
      <c r="I9">
        <v>4.08</v>
      </c>
    </row>
    <row r="10" spans="1:11" x14ac:dyDescent="0.15">
      <c r="A10" t="s">
        <v>52</v>
      </c>
      <c r="D10" s="3"/>
      <c r="E10" s="90">
        <v>0</v>
      </c>
      <c r="F10" s="90">
        <v>3.5369999999999999</v>
      </c>
      <c r="G10">
        <v>4.0994000000000002</v>
      </c>
      <c r="H10">
        <v>2.83</v>
      </c>
      <c r="I10">
        <v>0</v>
      </c>
    </row>
    <row r="11" spans="1:11" x14ac:dyDescent="0.15">
      <c r="A11" t="s">
        <v>11</v>
      </c>
      <c r="D11" s="3"/>
      <c r="E11" s="90">
        <v>1.8819999999999999</v>
      </c>
      <c r="F11" s="90">
        <v>1.7450000000000001</v>
      </c>
      <c r="G11">
        <v>2.5750000000000002</v>
      </c>
      <c r="H11">
        <v>1.67</v>
      </c>
      <c r="I11">
        <v>2.12</v>
      </c>
    </row>
    <row r="12" spans="1:11" x14ac:dyDescent="0.15">
      <c r="A12" t="s">
        <v>25</v>
      </c>
      <c r="D12" s="3"/>
      <c r="E12" s="90">
        <v>68.59</v>
      </c>
      <c r="F12" s="90">
        <v>72.459999999999994</v>
      </c>
      <c r="G12">
        <v>88.992000000000004</v>
      </c>
      <c r="H12">
        <v>77.48</v>
      </c>
      <c r="I12">
        <v>72.209999999999994</v>
      </c>
    </row>
    <row r="13" spans="1:11" x14ac:dyDescent="0.15">
      <c r="D13" s="3"/>
    </row>
    <row r="14" spans="1:11" x14ac:dyDescent="0.15">
      <c r="A14" s="2" t="s">
        <v>31</v>
      </c>
      <c r="D14" s="3"/>
      <c r="E14" s="85" t="s">
        <v>82</v>
      </c>
    </row>
    <row r="15" spans="1:11" x14ac:dyDescent="0.15">
      <c r="A15" s="12" t="s">
        <v>50</v>
      </c>
      <c r="B15" s="12"/>
      <c r="C15" s="12"/>
      <c r="D15" s="3"/>
      <c r="E15" s="12">
        <v>4500</v>
      </c>
    </row>
    <row r="16" spans="1:11" x14ac:dyDescent="0.15">
      <c r="A16" t="s">
        <v>10</v>
      </c>
      <c r="D16" s="3"/>
      <c r="E16" s="90">
        <v>4.117</v>
      </c>
    </row>
    <row r="17" spans="1:5" x14ac:dyDescent="0.15">
      <c r="A17" t="s">
        <v>11</v>
      </c>
      <c r="D17" s="3"/>
      <c r="E17" s="90">
        <v>1.8819999999999999</v>
      </c>
    </row>
    <row r="18" spans="1:5" x14ac:dyDescent="0.15">
      <c r="A18" t="s">
        <v>25</v>
      </c>
      <c r="D18" s="3"/>
      <c r="E18" s="90">
        <v>68.59</v>
      </c>
    </row>
    <row r="19" spans="1:5" x14ac:dyDescent="0.15">
      <c r="D19" s="3"/>
    </row>
    <row r="20" spans="1:5" x14ac:dyDescent="0.15">
      <c r="A20" s="2" t="s">
        <v>58</v>
      </c>
      <c r="D20" s="3"/>
      <c r="E20" s="85" t="s">
        <v>82</v>
      </c>
    </row>
    <row r="21" spans="1:5" x14ac:dyDescent="0.15">
      <c r="A21" s="12" t="s">
        <v>50</v>
      </c>
      <c r="B21" s="12"/>
      <c r="C21" s="12"/>
      <c r="D21" s="3"/>
      <c r="E21" s="12">
        <v>4500</v>
      </c>
    </row>
    <row r="22" spans="1:5" x14ac:dyDescent="0.15">
      <c r="A22" t="s">
        <v>10</v>
      </c>
      <c r="D22" s="3"/>
      <c r="E22" s="90">
        <v>4.117</v>
      </c>
    </row>
    <row r="23" spans="1:5" x14ac:dyDescent="0.15">
      <c r="A23" t="s">
        <v>11</v>
      </c>
      <c r="D23" s="3"/>
      <c r="E23" s="90">
        <v>1.8819999999999999</v>
      </c>
    </row>
    <row r="24" spans="1:5" x14ac:dyDescent="0.15">
      <c r="A24" t="s">
        <v>25</v>
      </c>
      <c r="D24" s="3"/>
      <c r="E24" s="90">
        <v>68.59</v>
      </c>
    </row>
    <row r="25" spans="1:5" x14ac:dyDescent="0.15">
      <c r="D25" s="3"/>
    </row>
    <row r="26" spans="1:5" x14ac:dyDescent="0.15">
      <c r="A26" s="2" t="s">
        <v>35</v>
      </c>
      <c r="D26" s="3"/>
      <c r="E26" s="85" t="s">
        <v>82</v>
      </c>
    </row>
    <row r="27" spans="1:5" x14ac:dyDescent="0.15">
      <c r="A27" s="12" t="s">
        <v>50</v>
      </c>
      <c r="B27" s="12"/>
      <c r="C27" s="12"/>
      <c r="D27" s="3"/>
      <c r="E27" s="12">
        <v>4500</v>
      </c>
    </row>
    <row r="28" spans="1:5" x14ac:dyDescent="0.15">
      <c r="A28" t="s">
        <v>10</v>
      </c>
      <c r="D28" s="3"/>
      <c r="E28" s="90">
        <v>4.117</v>
      </c>
    </row>
    <row r="29" spans="1:5" x14ac:dyDescent="0.15">
      <c r="A29" t="s">
        <v>11</v>
      </c>
      <c r="D29" s="3"/>
      <c r="E29" s="90">
        <v>1.8819999999999999</v>
      </c>
    </row>
    <row r="30" spans="1:5" x14ac:dyDescent="0.15">
      <c r="A30" t="s">
        <v>25</v>
      </c>
      <c r="D30" s="3"/>
      <c r="E30" s="90">
        <v>68.59</v>
      </c>
    </row>
    <row r="31" spans="1:5" x14ac:dyDescent="0.15">
      <c r="D31" s="3"/>
    </row>
    <row r="32" spans="1:5" x14ac:dyDescent="0.15">
      <c r="A32" s="2" t="s">
        <v>36</v>
      </c>
      <c r="D32" s="3"/>
      <c r="E32" s="85" t="s">
        <v>82</v>
      </c>
    </row>
    <row r="33" spans="1:11" x14ac:dyDescent="0.15">
      <c r="A33" s="12" t="s">
        <v>50</v>
      </c>
      <c r="B33" s="12"/>
      <c r="C33" s="12"/>
      <c r="D33" s="3"/>
      <c r="E33" s="12">
        <v>4500</v>
      </c>
    </row>
    <row r="34" spans="1:11" x14ac:dyDescent="0.15">
      <c r="A34" t="s">
        <v>10</v>
      </c>
      <c r="D34" s="3"/>
      <c r="E34" s="90">
        <v>4.117</v>
      </c>
    </row>
    <row r="35" spans="1:11" x14ac:dyDescent="0.15">
      <c r="A35" t="s">
        <v>11</v>
      </c>
      <c r="D35" s="3"/>
      <c r="E35" s="90">
        <v>1.8819999999999999</v>
      </c>
    </row>
    <row r="36" spans="1:11" x14ac:dyDescent="0.15">
      <c r="A36" t="s">
        <v>25</v>
      </c>
      <c r="D36" s="3"/>
      <c r="E36" s="90">
        <v>68.59</v>
      </c>
    </row>
    <row r="37" spans="1:11" x14ac:dyDescent="0.15">
      <c r="D37" s="3"/>
    </row>
    <row r="38" spans="1:11" x14ac:dyDescent="0.15">
      <c r="A38" s="83"/>
      <c r="B38" s="84"/>
      <c r="C38" s="84"/>
      <c r="D38" s="84"/>
      <c r="E38" s="84"/>
      <c r="F38" s="84"/>
      <c r="G38" s="84"/>
      <c r="H38" s="84"/>
      <c r="I38" s="84"/>
      <c r="J38" s="84"/>
      <c r="K38" s="84"/>
    </row>
  </sheetData>
  <sheetProtection algorithmName="SHA-512" hashValue="UPGKuc5hTZbtABoOVuIdCKZIJzeRmCGt9ZxUAFlL/ymgPmjm6+KmVJKMVBVYSxUgyH5QFKTX536HaBPDi3/D9g==" saltValue="AByCvJriX9wC4xEoq1nQ7g==" spinCount="100000" sheet="1" objects="1" scenarios="1"/>
  <phoneticPr fontId="9" type="noConversion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K12"/>
  <sheetViews>
    <sheetView zoomScale="150" workbookViewId="0">
      <selection activeCell="H26" sqref="H2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t="s">
        <v>8</v>
      </c>
    </row>
    <row r="2" spans="1:11" x14ac:dyDescent="0.15">
      <c r="A2" s="77"/>
      <c r="B2" s="78"/>
      <c r="C2" s="78"/>
      <c r="D2" s="78"/>
      <c r="E2" s="78"/>
      <c r="F2" s="78"/>
      <c r="G2" s="78"/>
      <c r="H2" s="78"/>
      <c r="I2" s="78"/>
      <c r="J2" s="78"/>
      <c r="K2" s="78"/>
    </row>
    <row r="3" spans="1:11" x14ac:dyDescent="0.15">
      <c r="A3" s="7" t="s">
        <v>9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3"/>
      <c r="E4" s="1" t="s">
        <v>54</v>
      </c>
    </row>
    <row r="5" spans="1:11" x14ac:dyDescent="0.15">
      <c r="D5" s="3"/>
    </row>
    <row r="6" spans="1:11" x14ac:dyDescent="0.15">
      <c r="D6" s="3"/>
      <c r="E6" s="2" t="s">
        <v>152</v>
      </c>
      <c r="F6" s="2" t="s">
        <v>31</v>
      </c>
      <c r="G6" s="2" t="s">
        <v>58</v>
      </c>
      <c r="H6" s="2" t="s">
        <v>35</v>
      </c>
      <c r="I6" s="2" t="s">
        <v>36</v>
      </c>
    </row>
    <row r="7" spans="1:11" x14ac:dyDescent="0.15">
      <c r="A7" s="12" t="s">
        <v>68</v>
      </c>
      <c r="B7" s="12"/>
      <c r="C7" s="12"/>
      <c r="D7" s="13"/>
      <c r="E7" s="79">
        <v>4500</v>
      </c>
      <c r="F7" s="79">
        <v>4500</v>
      </c>
      <c r="G7" s="79">
        <v>4500</v>
      </c>
      <c r="H7" s="79">
        <v>4500</v>
      </c>
      <c r="I7" s="79">
        <v>4500</v>
      </c>
    </row>
    <row r="8" spans="1:11" x14ac:dyDescent="0.15">
      <c r="A8" t="s">
        <v>10</v>
      </c>
      <c r="D8" s="3"/>
      <c r="E8" s="80">
        <v>4.5540000000000003</v>
      </c>
      <c r="F8" s="80">
        <v>4.5540000000000003</v>
      </c>
      <c r="G8" s="80">
        <v>4.5540000000000003</v>
      </c>
      <c r="H8" s="80">
        <v>4.5540000000000003</v>
      </c>
      <c r="I8" s="80">
        <v>4.5540000000000003</v>
      </c>
    </row>
    <row r="9" spans="1:11" x14ac:dyDescent="0.15">
      <c r="A9" t="s">
        <v>11</v>
      </c>
      <c r="D9" s="3"/>
      <c r="E9" s="80">
        <v>2.2121</v>
      </c>
      <c r="F9" s="80">
        <v>2.2121</v>
      </c>
      <c r="G9" s="80">
        <v>2.2121</v>
      </c>
      <c r="H9" s="80">
        <v>2.2121</v>
      </c>
      <c r="I9" s="80">
        <v>2.2121</v>
      </c>
    </row>
    <row r="10" spans="1:11" x14ac:dyDescent="0.15">
      <c r="A10" t="s">
        <v>25</v>
      </c>
      <c r="D10" s="3"/>
      <c r="E10" s="80">
        <v>74.942999999999998</v>
      </c>
      <c r="F10" s="80">
        <v>74.942999999999998</v>
      </c>
      <c r="G10" s="80">
        <v>74.942999999999998</v>
      </c>
      <c r="H10" s="80">
        <v>74.942999999999998</v>
      </c>
      <c r="I10" s="80">
        <v>74.942999999999998</v>
      </c>
    </row>
    <row r="11" spans="1:11" x14ac:dyDescent="0.15">
      <c r="D11" s="3"/>
    </row>
    <row r="12" spans="1:11" x14ac:dyDescent="0.15">
      <c r="A12" s="77"/>
      <c r="B12" s="78"/>
      <c r="C12" s="78"/>
      <c r="D12" s="78"/>
      <c r="E12" s="78"/>
      <c r="F12" s="78"/>
      <c r="G12" s="78"/>
      <c r="H12" s="78"/>
      <c r="I12" s="78"/>
      <c r="J12" s="78"/>
      <c r="K12" s="78"/>
    </row>
  </sheetData>
  <sheetProtection algorithmName="SHA-512" hashValue="G0spgShB2gqQedMxwA1UCiDZzq1/F1zB8xnxRppyplmfoMfClomKfvSDrSEstpwWbAqAwu1RDNeR9YDd72DWeg==" saltValue="rj038+mQGwmGE6ENPZr7Cg==" spinCount="100000" sheet="1" objects="1" scenarios="1"/>
  <phoneticPr fontId="9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K12"/>
  <sheetViews>
    <sheetView zoomScale="150" workbookViewId="0">
      <selection activeCell="B26" sqref="B2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t="s">
        <v>8</v>
      </c>
    </row>
    <row r="2" spans="1:11" x14ac:dyDescent="0.15">
      <c r="A2" s="20"/>
      <c r="B2" s="19"/>
      <c r="C2" s="19"/>
      <c r="D2" s="19"/>
      <c r="E2" s="19"/>
      <c r="F2" s="19"/>
      <c r="G2" s="19"/>
      <c r="H2" s="19"/>
      <c r="I2" s="19"/>
      <c r="J2" s="19"/>
      <c r="K2" s="19"/>
    </row>
    <row r="3" spans="1:11" x14ac:dyDescent="0.15">
      <c r="A3" s="7" t="s">
        <v>9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3"/>
      <c r="E4" s="1" t="s">
        <v>3</v>
      </c>
    </row>
    <row r="5" spans="1:11" x14ac:dyDescent="0.15">
      <c r="D5" s="3"/>
    </row>
    <row r="6" spans="1:11" x14ac:dyDescent="0.15">
      <c r="D6" s="3"/>
      <c r="E6" s="2" t="s">
        <v>152</v>
      </c>
      <c r="F6" s="2" t="s">
        <v>31</v>
      </c>
      <c r="G6" s="2" t="s">
        <v>58</v>
      </c>
      <c r="H6" s="2" t="s">
        <v>35</v>
      </c>
      <c r="I6" s="2" t="s">
        <v>36</v>
      </c>
    </row>
    <row r="7" spans="1:11" x14ac:dyDescent="0.15">
      <c r="A7" s="12" t="s">
        <v>68</v>
      </c>
      <c r="B7" s="12"/>
      <c r="C7" s="12"/>
      <c r="D7" s="13"/>
      <c r="E7" s="17">
        <v>4500</v>
      </c>
      <c r="F7" s="17">
        <v>4500</v>
      </c>
      <c r="G7" s="17">
        <v>4500</v>
      </c>
      <c r="H7" s="17">
        <v>4500</v>
      </c>
      <c r="I7" s="17">
        <v>4500</v>
      </c>
    </row>
    <row r="8" spans="1:11" x14ac:dyDescent="0.15">
      <c r="A8" t="s">
        <v>10</v>
      </c>
      <c r="D8" s="3"/>
      <c r="E8" s="18">
        <v>3.9291999999999998</v>
      </c>
      <c r="F8" s="18">
        <v>3.9908000000000001</v>
      </c>
      <c r="G8" s="18">
        <v>3.9908000000000001</v>
      </c>
      <c r="H8" s="18">
        <v>3.9918999999999998</v>
      </c>
      <c r="I8" s="18">
        <v>4.0171999999999999</v>
      </c>
    </row>
    <row r="9" spans="1:11" x14ac:dyDescent="0.15">
      <c r="A9" t="s">
        <v>11</v>
      </c>
      <c r="D9" s="3"/>
      <c r="E9" s="18">
        <v>1.7336</v>
      </c>
      <c r="F9" s="18">
        <v>1.7248000000000001</v>
      </c>
      <c r="G9" s="18">
        <v>1.7457</v>
      </c>
      <c r="H9" s="18">
        <v>1.7501</v>
      </c>
      <c r="I9" s="18">
        <v>1.7864</v>
      </c>
    </row>
    <row r="10" spans="1:11" x14ac:dyDescent="0.15">
      <c r="A10" t="s">
        <v>25</v>
      </c>
      <c r="D10" s="3"/>
      <c r="E10" s="18">
        <v>71.5</v>
      </c>
      <c r="F10" s="18">
        <v>71.5</v>
      </c>
      <c r="G10" s="18">
        <v>71.5</v>
      </c>
      <c r="H10" s="18">
        <v>71.5</v>
      </c>
      <c r="I10" s="18">
        <v>71.5</v>
      </c>
    </row>
    <row r="11" spans="1:11" x14ac:dyDescent="0.15">
      <c r="D11" s="3"/>
    </row>
    <row r="12" spans="1:11" x14ac:dyDescent="0.15">
      <c r="A12" s="20"/>
      <c r="B12" s="19"/>
      <c r="C12" s="19"/>
      <c r="D12" s="19"/>
      <c r="E12" s="19"/>
      <c r="F12" s="19"/>
      <c r="G12" s="19"/>
      <c r="H12" s="19"/>
      <c r="I12" s="19"/>
      <c r="J12" s="19"/>
      <c r="K12" s="19"/>
    </row>
  </sheetData>
  <sheetProtection algorithmName="SHA-512" hashValue="BlUBQOrFLQkkEPEYHmSEeYq5hYmvkmPfWPWN2hkl2Ldebre0dgpaknpdvtQOHW6uMwYz9BvwL4BySpTiky4udA==" saltValue="KhXplHviY7DuXHaQPBSFiQ==" spinCount="100000" sheet="1" objects="1" scenarios="1"/>
  <phoneticPr fontId="9" type="noConversion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K12"/>
  <sheetViews>
    <sheetView zoomScale="150" workbookViewId="0">
      <selection activeCell="G24" sqref="G24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t="s">
        <v>8</v>
      </c>
    </row>
    <row r="2" spans="1:11" x14ac:dyDescent="0.15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15">
      <c r="A3" s="7" t="s">
        <v>9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3"/>
      <c r="E4" s="1" t="s">
        <v>49</v>
      </c>
    </row>
    <row r="5" spans="1:11" x14ac:dyDescent="0.15">
      <c r="D5" s="3"/>
    </row>
    <row r="6" spans="1:11" x14ac:dyDescent="0.15">
      <c r="D6" s="3"/>
      <c r="E6" s="2" t="s">
        <v>152</v>
      </c>
      <c r="F6" s="2" t="s">
        <v>31</v>
      </c>
      <c r="G6" s="2" t="s">
        <v>58</v>
      </c>
      <c r="H6" s="2" t="s">
        <v>35</v>
      </c>
      <c r="I6" s="2" t="s">
        <v>36</v>
      </c>
    </row>
    <row r="7" spans="1:11" x14ac:dyDescent="0.15">
      <c r="A7" s="12" t="s">
        <v>68</v>
      </c>
      <c r="B7" s="12"/>
      <c r="C7" s="12"/>
      <c r="D7" s="13"/>
      <c r="E7" s="17">
        <v>4500</v>
      </c>
      <c r="F7" s="17">
        <v>4500</v>
      </c>
      <c r="G7" s="17">
        <v>4500</v>
      </c>
      <c r="H7" s="17">
        <v>4500</v>
      </c>
      <c r="I7" s="17">
        <v>4500</v>
      </c>
    </row>
    <row r="8" spans="1:11" x14ac:dyDescent="0.15">
      <c r="A8" t="s">
        <v>10</v>
      </c>
      <c r="D8" s="3"/>
      <c r="E8" s="18">
        <v>3.3197999999999999</v>
      </c>
      <c r="F8" s="18">
        <v>3.3814000000000002</v>
      </c>
      <c r="G8" s="18">
        <v>3.3814000000000002</v>
      </c>
      <c r="H8" s="18">
        <v>3.3835999999999999</v>
      </c>
      <c r="I8" s="18">
        <v>3.4077999999999999</v>
      </c>
    </row>
    <row r="9" spans="1:11" x14ac:dyDescent="0.15">
      <c r="A9" t="s">
        <v>11</v>
      </c>
      <c r="D9" s="3"/>
      <c r="E9" s="18">
        <v>1.7358</v>
      </c>
      <c r="F9" s="18">
        <v>1.7270000000000001</v>
      </c>
      <c r="G9" s="18">
        <v>1.7479</v>
      </c>
      <c r="H9" s="18">
        <v>1.7523</v>
      </c>
      <c r="I9" s="18">
        <v>1.7886</v>
      </c>
    </row>
    <row r="10" spans="1:11" x14ac:dyDescent="0.15">
      <c r="A10" t="s">
        <v>25</v>
      </c>
      <c r="D10" s="3"/>
      <c r="E10" s="18">
        <v>71.070999999999998</v>
      </c>
      <c r="F10" s="18">
        <v>71.070999999999998</v>
      </c>
      <c r="G10" s="18">
        <v>71.070999999999998</v>
      </c>
      <c r="H10" s="18">
        <v>71.070999999999998</v>
      </c>
      <c r="I10" s="18">
        <v>71.070999999999998</v>
      </c>
    </row>
    <row r="11" spans="1:11" x14ac:dyDescent="0.15">
      <c r="D11" s="3"/>
    </row>
    <row r="12" spans="1:11" x14ac:dyDescent="0.15">
      <c r="A12" s="10"/>
      <c r="B12" s="11"/>
      <c r="C12" s="11"/>
      <c r="D12" s="11"/>
      <c r="E12" s="11"/>
      <c r="F12" s="11"/>
      <c r="G12" s="11"/>
      <c r="H12" s="11"/>
      <c r="I12" s="11"/>
      <c r="J12" s="11"/>
      <c r="K12" s="11"/>
    </row>
  </sheetData>
  <sheetProtection algorithmName="SHA-512" hashValue="zqPr8S9hd2IFpCqtqqoCWB+E1twSht9syeHCye9VZLWULCgk9FgkUcS/0xV3wJVWNjqKDXo3rNhWl+VWmId8CA==" saltValue="79lSrwY1+Y+JDIcYGF5A/w==" spinCount="100000" sheet="1" objects="1" scenarios="1"/>
  <phoneticPr fontId="9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K12"/>
  <sheetViews>
    <sheetView zoomScale="150" workbookViewId="0">
      <selection activeCell="F17" sqref="F17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t="s">
        <v>8</v>
      </c>
    </row>
    <row r="2" spans="1:11" x14ac:dyDescent="0.15">
      <c r="A2" s="14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15">
      <c r="A3" s="7" t="s">
        <v>9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3"/>
      <c r="E4" s="1" t="s">
        <v>69</v>
      </c>
    </row>
    <row r="5" spans="1:11" x14ac:dyDescent="0.15">
      <c r="D5" s="3"/>
    </row>
    <row r="6" spans="1:11" x14ac:dyDescent="0.15">
      <c r="D6" s="3"/>
      <c r="E6" s="2" t="s">
        <v>152</v>
      </c>
      <c r="F6" s="2" t="s">
        <v>31</v>
      </c>
      <c r="G6" s="2" t="s">
        <v>58</v>
      </c>
      <c r="H6" s="2" t="s">
        <v>35</v>
      </c>
      <c r="I6" s="2" t="s">
        <v>36</v>
      </c>
    </row>
    <row r="7" spans="1:11" x14ac:dyDescent="0.15">
      <c r="A7" s="12" t="s">
        <v>68</v>
      </c>
      <c r="B7" s="12"/>
      <c r="C7" s="12"/>
      <c r="D7" s="13"/>
      <c r="E7" s="12">
        <v>4500</v>
      </c>
      <c r="F7" s="12">
        <v>4500</v>
      </c>
      <c r="G7" s="12">
        <v>4500</v>
      </c>
      <c r="H7" s="12">
        <v>4500</v>
      </c>
      <c r="I7" s="12">
        <v>4500</v>
      </c>
    </row>
    <row r="8" spans="1:11" x14ac:dyDescent="0.15">
      <c r="A8" t="s">
        <v>10</v>
      </c>
      <c r="D8" s="3"/>
      <c r="E8">
        <v>2.6619999999999999</v>
      </c>
      <c r="F8">
        <v>2.7280000000000002</v>
      </c>
      <c r="G8">
        <v>2.7280000000000002</v>
      </c>
      <c r="H8">
        <v>2.7280000000000002</v>
      </c>
      <c r="I8">
        <v>2.75</v>
      </c>
    </row>
    <row r="9" spans="1:11" x14ac:dyDescent="0.15">
      <c r="A9" t="s">
        <v>11</v>
      </c>
      <c r="D9" s="3"/>
      <c r="E9">
        <v>1.518</v>
      </c>
      <c r="F9">
        <v>1.5069999999999999</v>
      </c>
      <c r="G9">
        <v>1.5289999999999999</v>
      </c>
      <c r="H9">
        <v>1.54</v>
      </c>
      <c r="I9">
        <v>1.573</v>
      </c>
    </row>
    <row r="10" spans="1:11" x14ac:dyDescent="0.15">
      <c r="A10" t="s">
        <v>25</v>
      </c>
      <c r="D10" s="3"/>
      <c r="E10">
        <v>66.496870000000001</v>
      </c>
      <c r="F10">
        <v>66.496870000000001</v>
      </c>
      <c r="G10">
        <v>66.496870000000001</v>
      </c>
      <c r="H10">
        <v>66.496870000000001</v>
      </c>
      <c r="I10">
        <v>66.496870000000001</v>
      </c>
    </row>
    <row r="11" spans="1:11" x14ac:dyDescent="0.15">
      <c r="D11" s="3"/>
    </row>
    <row r="12" spans="1:11" x14ac:dyDescent="0.15">
      <c r="A12" s="14"/>
      <c r="B12" s="4"/>
      <c r="C12" s="4"/>
      <c r="D12" s="4"/>
      <c r="E12" s="4"/>
      <c r="F12" s="4"/>
      <c r="G12" s="4"/>
      <c r="H12" s="4"/>
      <c r="I12" s="4"/>
      <c r="J12" s="4"/>
      <c r="K12" s="4"/>
    </row>
  </sheetData>
  <sheetProtection algorithmName="SHA-512" hashValue="n65SkpOo1BBje8wiqk2EGwC0xGEi1oRltGVoEaqrvhHKqDVzCExCJxgZad0obyySppYO/ZRwWkCvEsFifZesfA==" saltValue="Rpbe3vohISfCqF1lcFiiuQ==" spinCount="100000" sheet="1" objects="1" scenarios="1"/>
  <phoneticPr fontId="9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B6FD2-E011-2A40-9866-37A1FA1B0223}">
  <sheetPr codeName="Sheet29"/>
  <dimension ref="A1:LB7855"/>
  <sheetViews>
    <sheetView zoomScale="120" zoomScaleNormal="120" workbookViewId="0">
      <selection activeCell="C34" sqref="C34"/>
    </sheetView>
  </sheetViews>
  <sheetFormatPr baseColWidth="10" defaultRowHeight="13" x14ac:dyDescent="0.15"/>
  <cols>
    <col min="1" max="1" width="15.5" style="164" customWidth="1"/>
    <col min="2" max="2" width="20.33203125" style="164" customWidth="1"/>
    <col min="3" max="3" width="11.83203125" style="164" customWidth="1"/>
    <col min="4" max="10" width="12.1640625" style="164" customWidth="1"/>
    <col min="315" max="16384" width="10.83203125" style="164"/>
  </cols>
  <sheetData>
    <row r="1" spans="1:25" customFormat="1" ht="14" x14ac:dyDescent="0.15">
      <c r="A1" s="195" t="s">
        <v>8</v>
      </c>
      <c r="B1" s="195"/>
      <c r="C1" s="195"/>
      <c r="D1" s="195"/>
      <c r="E1" s="195"/>
      <c r="F1" s="195"/>
      <c r="G1" s="195"/>
      <c r="H1" s="196"/>
      <c r="I1" s="195"/>
      <c r="J1" s="195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</row>
    <row r="2" spans="1:25" customFormat="1" x14ac:dyDescent="0.15">
      <c r="A2" s="195" t="s">
        <v>95</v>
      </c>
      <c r="B2" s="195"/>
      <c r="C2" s="195"/>
      <c r="D2" s="195"/>
      <c r="E2" s="195"/>
      <c r="F2" s="195"/>
      <c r="G2" s="195"/>
      <c r="H2" s="195"/>
      <c r="I2" s="195"/>
      <c r="J2" s="195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25" customFormat="1" ht="14" thickBot="1" x14ac:dyDescent="0.2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</row>
    <row r="4" spans="1:25" ht="14" x14ac:dyDescent="0.15">
      <c r="A4" s="120" t="s">
        <v>96</v>
      </c>
      <c r="B4" s="121"/>
      <c r="C4" s="122"/>
      <c r="D4" s="122"/>
      <c r="E4" s="122"/>
      <c r="F4" s="122"/>
      <c r="G4" s="122"/>
      <c r="H4" s="122"/>
      <c r="I4" s="122"/>
      <c r="J4" s="123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</row>
    <row r="5" spans="1:25" ht="14" x14ac:dyDescent="0.15">
      <c r="A5" s="124" t="s">
        <v>181</v>
      </c>
      <c r="B5" s="73"/>
      <c r="C5" s="187">
        <v>5250</v>
      </c>
      <c r="D5" s="22"/>
      <c r="E5" s="73"/>
      <c r="F5" s="73"/>
      <c r="G5" s="73"/>
      <c r="H5" s="73"/>
      <c r="I5" s="73"/>
      <c r="J5" s="125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</row>
    <row r="6" spans="1:25" ht="14" x14ac:dyDescent="0.15">
      <c r="A6" s="124"/>
      <c r="B6" s="73"/>
      <c r="C6" s="73"/>
      <c r="D6" s="73"/>
      <c r="E6" s="73"/>
      <c r="F6" s="73"/>
      <c r="G6" s="73"/>
      <c r="H6" s="73"/>
      <c r="I6" s="73"/>
      <c r="J6" s="125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</row>
    <row r="7" spans="1:25" ht="30" x14ac:dyDescent="0.15">
      <c r="A7" s="173" t="s">
        <v>114</v>
      </c>
      <c r="B7" s="174" t="s">
        <v>97</v>
      </c>
      <c r="C7" s="175" t="s">
        <v>103</v>
      </c>
      <c r="D7" s="175" t="s">
        <v>93</v>
      </c>
      <c r="E7" s="175" t="s">
        <v>98</v>
      </c>
      <c r="F7" s="176" t="s">
        <v>99</v>
      </c>
      <c r="G7" s="176" t="s">
        <v>100</v>
      </c>
      <c r="H7" s="176" t="s">
        <v>207</v>
      </c>
      <c r="I7" s="177" t="s">
        <v>94</v>
      </c>
      <c r="J7" s="178" t="s">
        <v>101</v>
      </c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</row>
    <row r="8" spans="1:25" ht="20" customHeight="1" x14ac:dyDescent="0.15">
      <c r="A8" s="126" t="str">
        <f>'Tariffs 2022'!F2</f>
        <v>AGL</v>
      </c>
      <c r="B8" s="22" t="str">
        <f>'Tariffs 2022'!D2</f>
        <v>Envestra SA</v>
      </c>
      <c r="C8" s="127">
        <f>'Tariffs 2022'!E2</f>
        <v>43284</v>
      </c>
      <c r="D8" s="92">
        <f>91*'Tariffs 2022'!H2/100</f>
        <v>67.934132231404959</v>
      </c>
      <c r="E8" s="92">
        <f>IF($C$5&gt;='Tariffs 2022'!J2,('Tariffs 2022'!J2*'Tariffs 2022'!O2/100),($C$5*'Tariffs 2022'!O2/100))</f>
        <v>208.26446280991732</v>
      </c>
      <c r="F8" s="92">
        <v>0</v>
      </c>
      <c r="G8" s="92">
        <f>IF(($C$5&lt;'Tariffs 2022'!K2),(0),($C$5-'Tariffs 2022'!K2)*'Tariffs 2022'!P2/100)</f>
        <v>0</v>
      </c>
      <c r="H8" s="92">
        <f>SUM(D8:G8)</f>
        <v>276.19859504132228</v>
      </c>
      <c r="I8" s="128">
        <f>H8*4</f>
        <v>1104.7943801652891</v>
      </c>
      <c r="J8" s="129">
        <f>I8*1.1</f>
        <v>1215.2738181818181</v>
      </c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</row>
    <row r="9" spans="1:25" ht="20" customHeight="1" x14ac:dyDescent="0.15">
      <c r="A9" s="126" t="str">
        <f>'Tariffs 2022'!F3</f>
        <v xml:space="preserve">Alinta Energy </v>
      </c>
      <c r="B9" s="22" t="str">
        <f>'Tariffs 2022'!D3</f>
        <v>Envestra Adelaide</v>
      </c>
      <c r="C9" s="127">
        <f>'Tariffs 2022'!E3</f>
        <v>43281</v>
      </c>
      <c r="D9" s="92">
        <f>91*'Tariffs 2022'!H3/100</f>
        <v>57.969256198347097</v>
      </c>
      <c r="E9" s="92">
        <f>IF($C$5&gt;='Tariffs 2022'!J3,('Tariffs 2022'!J3*'Tariffs 2022'!O3/100),($C$5*'Tariffs 2022'!O3/100))</f>
        <v>199.33884297520663</v>
      </c>
      <c r="F9" s="92">
        <v>0</v>
      </c>
      <c r="G9" s="92">
        <f>IF(($C$5&lt;'Tariffs 2022'!K3),(0),($C$5-'Tariffs 2022'!K3)*'Tariffs 2022'!P3/100)</f>
        <v>22.623966942148758</v>
      </c>
      <c r="H9" s="92">
        <f t="shared" ref="H9:H23" si="0">SUM(D9:G9)</f>
        <v>279.93206611570247</v>
      </c>
      <c r="I9" s="128">
        <f t="shared" ref="I9:I23" si="1">H9*4</f>
        <v>1119.7282644628099</v>
      </c>
      <c r="J9" s="129">
        <f t="shared" ref="J9:J23" si="2">I9*1.1</f>
        <v>1231.7010909090909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</row>
    <row r="10" spans="1:25" ht="20" customHeight="1" x14ac:dyDescent="0.15">
      <c r="A10" s="126" t="str">
        <f>'Tariffs 2022'!F4</f>
        <v>EnergyAustralia</v>
      </c>
      <c r="B10" s="22" t="str">
        <f>'Tariffs 2022'!D4</f>
        <v>Envestra Adelaide</v>
      </c>
      <c r="C10" s="127">
        <f>'Tariffs 2022'!E4</f>
        <v>43281</v>
      </c>
      <c r="D10" s="92">
        <f>91*'Tariffs 2022'!H4/100</f>
        <v>72.311157024793374</v>
      </c>
      <c r="E10" s="92">
        <f>IF($C$5&gt;='Tariffs 2022'!J4,('Tariffs 2022'!J4*'Tariffs 2022'!O4/100),($C$5*'Tariffs 2022'!O4/100))</f>
        <v>112.39669421487601</v>
      </c>
      <c r="F10" s="92">
        <f>IF($C$5&lt;'Tariffs 2022'!J4,0,IF(($C$5-'Tariffs 2022'!J4)&lt;='Tariffs 2022'!K4,(($C$5-'Tariffs 2022'!J4)*'Tariffs 2022'!P4/100),(('Tariffs 2022'!K4-'Tariffs 2022'!J4)*'Tariffs 2022'!P4/100)))</f>
        <v>102.95454545454544</v>
      </c>
      <c r="G10" s="92">
        <f>IF(($C$5&lt;'Tariffs 2022'!K4),(0),($C$5-'Tariffs 2022'!K4)*'Tariffs 2022'!Q4/100)</f>
        <v>16.859504132231404</v>
      </c>
      <c r="H10" s="92">
        <f t="shared" si="0"/>
        <v>304.5219008264462</v>
      </c>
      <c r="I10" s="128">
        <f t="shared" si="1"/>
        <v>1218.0876033057848</v>
      </c>
      <c r="J10" s="129">
        <f t="shared" si="2"/>
        <v>1339.8963636363633</v>
      </c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</row>
    <row r="11" spans="1:25" ht="20" customHeight="1" x14ac:dyDescent="0.15">
      <c r="A11" s="126" t="str">
        <f>'Tariffs 2022'!F5</f>
        <v>Origin Energy</v>
      </c>
      <c r="B11" s="22" t="str">
        <f>'Tariffs 2022'!D5</f>
        <v>Envestra Adelaide</v>
      </c>
      <c r="C11" s="127">
        <f>'Tariffs 2022'!E5</f>
        <v>43281</v>
      </c>
      <c r="D11" s="92">
        <f>91*'Tariffs 2022'!H5/100</f>
        <v>67.926611570247914</v>
      </c>
      <c r="E11" s="92">
        <f>IF($C$5&gt;='Tariffs 2022'!J5,('Tariffs 2022'!J5*'Tariffs 2022'!O5/100),($C$5*'Tariffs 2022'!O5/100))</f>
        <v>193.01652892561978</v>
      </c>
      <c r="F11" s="92">
        <v>0</v>
      </c>
      <c r="G11" s="92">
        <f>IF(($C$5&lt;'Tariffs 2022'!K5),(0),($C$5-'Tariffs 2022'!K5)*'Tariffs 2022'!P5/100)</f>
        <v>16.425619834710741</v>
      </c>
      <c r="H11" s="92">
        <f t="shared" si="0"/>
        <v>277.36876033057843</v>
      </c>
      <c r="I11" s="128">
        <f t="shared" si="1"/>
        <v>1109.4750413223137</v>
      </c>
      <c r="J11" s="129">
        <f t="shared" si="2"/>
        <v>1220.4225454545451</v>
      </c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</row>
    <row r="12" spans="1:25" ht="20" customHeight="1" x14ac:dyDescent="0.15">
      <c r="A12" s="126" t="str">
        <f>'Tariffs 2022'!F6</f>
        <v>Simply Energy</v>
      </c>
      <c r="B12" s="22" t="str">
        <f>'Tariffs 2022'!D6</f>
        <v>Envestra Adelaide</v>
      </c>
      <c r="C12" s="127">
        <f>'Tariffs 2022'!E6</f>
        <v>43281</v>
      </c>
      <c r="D12" s="92">
        <f>91*'Tariffs 2022'!H6/100</f>
        <v>53.444299999999991</v>
      </c>
      <c r="E12" s="92">
        <f>IF($C$5&gt;='Tariffs 2022'!J6,('Tariffs 2022'!J6*'Tariffs 2022'!O6/100),($C$5*'Tariffs 2022'!O6/100))</f>
        <v>164.25</v>
      </c>
      <c r="F12" s="92">
        <f>IF($C$5&lt;'Tariffs 2022'!J6,0,IF(($C$5-'Tariffs 2022'!J6)&lt;='Tariffs 2022'!K6,(($C$5-'Tariffs 2022'!J6)*'Tariffs 2022'!P6/100),(('Tariffs 2022'!K6-'Tariffs 2022'!J6)*'Tariffs 2022'!P6/100)))</f>
        <v>111.925</v>
      </c>
      <c r="G12" s="92">
        <f>IF(($C$5&lt;'Tariffs 2022'!K6),(0),($C$5-'Tariffs 2022'!K6)*'Tariffs 2022'!Q6/100)</f>
        <v>19.05</v>
      </c>
      <c r="H12" s="92">
        <f t="shared" si="0"/>
        <v>348.66930000000002</v>
      </c>
      <c r="I12" s="128">
        <f t="shared" si="1"/>
        <v>1394.6772000000001</v>
      </c>
      <c r="J12" s="129">
        <f t="shared" si="2"/>
        <v>1534.1449200000002</v>
      </c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20" customHeight="1" x14ac:dyDescent="0.15">
      <c r="A13" s="126" t="str">
        <f>'Tariffs 2022'!F7</f>
        <v>Red Energy</v>
      </c>
      <c r="B13" s="22" t="str">
        <f>'Tariffs 2022'!D7</f>
        <v>Envestra Adelaide</v>
      </c>
      <c r="C13" s="127">
        <f>'Tariffs 2022'!E7</f>
        <v>43281</v>
      </c>
      <c r="D13" s="92">
        <f>91*'Tariffs 2022'!H7/100</f>
        <v>81.734545454545454</v>
      </c>
      <c r="E13" s="92">
        <f>IF($C$5&gt;='Tariffs 2022'!J7,('Tariffs 2022'!J7*'Tariffs 2022'!O7/100),($C$5*'Tariffs 2022'!O7/100))</f>
        <v>176.28099173553719</v>
      </c>
      <c r="F13" s="92">
        <v>0</v>
      </c>
      <c r="G13" s="92">
        <f>IF(($C$5&lt;'Tariffs 2022'!K7),(0),($C$5-'Tariffs 2022'!K7)*'Tariffs 2022'!P7/100)</f>
        <v>16.363636363636363</v>
      </c>
      <c r="H13" s="92">
        <f t="shared" si="0"/>
        <v>274.379173553719</v>
      </c>
      <c r="I13" s="128">
        <f t="shared" si="1"/>
        <v>1097.516694214876</v>
      </c>
      <c r="J13" s="129">
        <f t="shared" si="2"/>
        <v>1207.2683636363638</v>
      </c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</row>
    <row r="14" spans="1:25" ht="20" customHeight="1" x14ac:dyDescent="0.15">
      <c r="A14" s="126" t="str">
        <f>'Tariffs 2022'!F8</f>
        <v>Lumo Energy</v>
      </c>
      <c r="B14" s="22" t="str">
        <f>'Tariffs 2022'!D8</f>
        <v>Envestra Adelaide</v>
      </c>
      <c r="C14" s="127">
        <f>'Tariffs 2022'!E8</f>
        <v>43281</v>
      </c>
      <c r="D14" s="92">
        <f>91*'Tariffs 2022'!H8/100</f>
        <v>81.734545454545454</v>
      </c>
      <c r="E14" s="92">
        <f>IF($C$5&gt;='Tariffs 2022'!J8,('Tariffs 2022'!J8*'Tariffs 2022'!O8/100),($C$5*'Tariffs 2022'!O8/100))</f>
        <v>176.28099173553719</v>
      </c>
      <c r="F14" s="92">
        <v>0</v>
      </c>
      <c r="G14" s="92">
        <f>IF(($C$5&lt;'Tariffs 2022'!K8),(0),($C$5-'Tariffs 2022'!K8)*'Tariffs 2022'!P8/100)</f>
        <v>16.363636363636363</v>
      </c>
      <c r="H14" s="92">
        <f t="shared" si="0"/>
        <v>274.379173553719</v>
      </c>
      <c r="I14" s="128">
        <f t="shared" si="1"/>
        <v>1097.516694214876</v>
      </c>
      <c r="J14" s="129">
        <f t="shared" si="2"/>
        <v>1207.2683636363638</v>
      </c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</row>
    <row r="15" spans="1:25" ht="20" customHeight="1" x14ac:dyDescent="0.15">
      <c r="A15" s="126" t="str">
        <f>'Tariffs 2022'!F9</f>
        <v>GloBird Energy</v>
      </c>
      <c r="B15" s="22" t="str">
        <f>'Tariffs 2022'!D9</f>
        <v>Envestra Adelaide</v>
      </c>
      <c r="C15" s="127">
        <f>'Tariffs 2022'!E9</f>
        <v>43280</v>
      </c>
      <c r="D15" s="92">
        <f>91*'Tariffs 2022'!H9/100</f>
        <v>66.181818181818173</v>
      </c>
      <c r="E15" s="92">
        <f>IF($C$5&gt;='Tariffs 2022'!J9,('Tariffs 2022'!J9*'Tariffs 2022'!O9/100),($C$5*'Tariffs 2022'!O9/100))</f>
        <v>347.72727272727263</v>
      </c>
      <c r="F15" s="92">
        <v>0</v>
      </c>
      <c r="G15" s="92">
        <f>IF(($C$5&lt;'Tariffs 2022'!K9),(0),($C$5-'Tariffs 2022'!K9)*'Tariffs 2022'!P9/100)</f>
        <v>44.318181818181813</v>
      </c>
      <c r="H15" s="92">
        <f t="shared" si="0"/>
        <v>458.22727272727263</v>
      </c>
      <c r="I15" s="128">
        <f t="shared" si="1"/>
        <v>1832.9090909090905</v>
      </c>
      <c r="J15" s="129">
        <f t="shared" si="2"/>
        <v>2016.1999999999998</v>
      </c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</row>
    <row r="16" spans="1:25" ht="10" customHeight="1" x14ac:dyDescent="0.15">
      <c r="A16" s="168"/>
      <c r="B16" s="169"/>
      <c r="C16" s="169"/>
      <c r="D16" s="169"/>
      <c r="E16" s="169"/>
      <c r="F16" s="169"/>
      <c r="G16" s="169"/>
      <c r="H16" s="169"/>
      <c r="I16" s="170"/>
      <c r="J16" s="171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</row>
    <row r="17" spans="1:25" ht="20" customHeight="1" x14ac:dyDescent="0.15">
      <c r="A17" s="126" t="str">
        <f>'Tariffs 2022'!F10</f>
        <v>Origin Energy</v>
      </c>
      <c r="B17" s="22" t="str">
        <f>'Tariffs 2022'!D10</f>
        <v>Envestra Port Pirie</v>
      </c>
      <c r="C17" s="127">
        <f>'Tariffs 2022'!E10</f>
        <v>43281</v>
      </c>
      <c r="D17" s="92">
        <f>91*'Tariffs 2022'!H10/100</f>
        <v>67.926611570247914</v>
      </c>
      <c r="E17" s="92">
        <f>IF($C$5&gt;='Tariffs 2022'!J10,('Tariffs 2022'!J10*'Tariffs 2022'!O10/100),($C$5*'Tariffs 2022'!O10/100))</f>
        <v>193.01652892561978</v>
      </c>
      <c r="F17" s="92">
        <v>0</v>
      </c>
      <c r="G17" s="92">
        <f>IF(($C$5&lt;'Tariffs 2022'!K10),(0),($C$5-'Tariffs 2022'!K10)*'Tariffs 2022'!P10/100)</f>
        <v>16.425619834710741</v>
      </c>
      <c r="H17" s="92">
        <f t="shared" si="0"/>
        <v>277.36876033057843</v>
      </c>
      <c r="I17" s="128">
        <f t="shared" si="1"/>
        <v>1109.4750413223137</v>
      </c>
      <c r="J17" s="129">
        <f t="shared" si="2"/>
        <v>1220.4225454545451</v>
      </c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</row>
    <row r="18" spans="1:25" ht="10" customHeight="1" x14ac:dyDescent="0.15">
      <c r="A18" s="168"/>
      <c r="B18" s="169"/>
      <c r="C18" s="169"/>
      <c r="D18" s="169"/>
      <c r="E18" s="169"/>
      <c r="F18" s="169"/>
      <c r="G18" s="169"/>
      <c r="H18" s="169"/>
      <c r="I18" s="170"/>
      <c r="J18" s="171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</row>
    <row r="19" spans="1:25" ht="20" customHeight="1" x14ac:dyDescent="0.15">
      <c r="A19" s="126" t="str">
        <f>'Tariffs 2022'!F11</f>
        <v>Origin Energy</v>
      </c>
      <c r="B19" s="22" t="str">
        <f>'Tariffs 2022'!D11</f>
        <v>Envestra Whyalla</v>
      </c>
      <c r="C19" s="127">
        <f>'Tariffs 2022'!E11</f>
        <v>43281</v>
      </c>
      <c r="D19" s="92">
        <f>91*'Tariffs 2022'!H11/100</f>
        <v>67.926611570247914</v>
      </c>
      <c r="E19" s="92">
        <f>IF($C$5&gt;='Tariffs 2022'!J11,('Tariffs 2022'!J11*'Tariffs 2022'!O11/100),($C$5*'Tariffs 2022'!O11/100))</f>
        <v>193.01652892561978</v>
      </c>
      <c r="F19" s="92">
        <v>0</v>
      </c>
      <c r="G19" s="92">
        <f>IF(($C$5&lt;'Tariffs 2022'!K11),(0),($C$5-'Tariffs 2022'!K11)*'Tariffs 2022'!P11/100)</f>
        <v>16.425619834710741</v>
      </c>
      <c r="H19" s="92">
        <f t="shared" si="0"/>
        <v>277.36876033057843</v>
      </c>
      <c r="I19" s="128">
        <f t="shared" si="1"/>
        <v>1109.4750413223137</v>
      </c>
      <c r="J19" s="129">
        <f t="shared" si="2"/>
        <v>1220.4225454545451</v>
      </c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</row>
    <row r="20" spans="1:25" ht="10" customHeight="1" x14ac:dyDescent="0.15">
      <c r="A20" s="168"/>
      <c r="B20" s="169"/>
      <c r="C20" s="169"/>
      <c r="D20" s="169"/>
      <c r="E20" s="169"/>
      <c r="F20" s="169"/>
      <c r="G20" s="169"/>
      <c r="H20" s="169"/>
      <c r="I20" s="170"/>
      <c r="J20" s="171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</row>
    <row r="21" spans="1:25" ht="20" customHeight="1" x14ac:dyDescent="0.15">
      <c r="A21" s="126" t="str">
        <f>'Tariffs 2022'!F12</f>
        <v>Origin Energy</v>
      </c>
      <c r="B21" s="22" t="str">
        <f>'Tariffs 2022'!D12</f>
        <v>Envestra Mt Gambier</v>
      </c>
      <c r="C21" s="127">
        <f>'Tariffs 2022'!E12</f>
        <v>43281</v>
      </c>
      <c r="D21" s="92">
        <f>91*'Tariffs 2022'!H12/100</f>
        <v>67.926611570247914</v>
      </c>
      <c r="E21" s="92">
        <f>IF($C$5&gt;='Tariffs 2022'!J12,('Tariffs 2022'!J12*'Tariffs 2022'!O12/100),($C$5*'Tariffs 2022'!O12/100))</f>
        <v>193.01652892561978</v>
      </c>
      <c r="F21" s="92">
        <v>0</v>
      </c>
      <c r="G21" s="92">
        <f>IF(($C$5&lt;'Tariffs 2022'!K12),(0),($C$5-'Tariffs 2022'!K12)*'Tariffs 2022'!P12/100)</f>
        <v>16.425619834710741</v>
      </c>
      <c r="H21" s="92">
        <f t="shared" si="0"/>
        <v>277.36876033057843</v>
      </c>
      <c r="I21" s="128">
        <f t="shared" si="1"/>
        <v>1109.4750413223137</v>
      </c>
      <c r="J21" s="129">
        <f t="shared" si="2"/>
        <v>1220.4225454545451</v>
      </c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</row>
    <row r="22" spans="1:25" ht="10" customHeight="1" x14ac:dyDescent="0.15">
      <c r="A22" s="168"/>
      <c r="B22" s="169"/>
      <c r="C22" s="169"/>
      <c r="D22" s="169"/>
      <c r="E22" s="169"/>
      <c r="F22" s="169"/>
      <c r="G22" s="169"/>
      <c r="H22" s="169"/>
      <c r="I22" s="170"/>
      <c r="J22" s="171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</row>
    <row r="23" spans="1:25" ht="20" customHeight="1" thickBot="1" x14ac:dyDescent="0.2">
      <c r="A23" s="130" t="str">
        <f>'Tariffs 2022'!F13</f>
        <v>Origin Energy</v>
      </c>
      <c r="B23" s="131" t="str">
        <f>'Tariffs 2022'!D13</f>
        <v>Envestra Riverland</v>
      </c>
      <c r="C23" s="132">
        <f>'Tariffs 2022'!E13</f>
        <v>43281</v>
      </c>
      <c r="D23" s="133">
        <f>91*'Tariffs 2022'!H13/100</f>
        <v>67.926611570247914</v>
      </c>
      <c r="E23" s="133">
        <f>IF($C$5&gt;='Tariffs 2022'!J13,('Tariffs 2022'!J13*'Tariffs 2022'!O13/100),($C$5*'Tariffs 2022'!O13/100))</f>
        <v>193.01652892561978</v>
      </c>
      <c r="F23" s="133">
        <v>0</v>
      </c>
      <c r="G23" s="133">
        <f>IF(($C$5&lt;'Tariffs 2022'!K13),(0),($C$5-'Tariffs 2022'!K13)*'Tariffs 2022'!P13/100)</f>
        <v>16.425619834710741</v>
      </c>
      <c r="H23" s="133">
        <f t="shared" si="0"/>
        <v>277.36876033057843</v>
      </c>
      <c r="I23" s="134">
        <f t="shared" si="1"/>
        <v>1109.4750413223137</v>
      </c>
      <c r="J23" s="135">
        <f t="shared" si="2"/>
        <v>1220.4225454545451</v>
      </c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</row>
    <row r="24" spans="1:25" customFormat="1" x14ac:dyDescent="0.15">
      <c r="A24" s="194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</row>
    <row r="25" spans="1:25" customFormat="1" x14ac:dyDescent="0.15">
      <c r="A25" s="194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</row>
    <row r="26" spans="1:25" customFormat="1" x14ac:dyDescent="0.15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</row>
    <row r="27" spans="1:25" customFormat="1" x14ac:dyDescent="0.15">
      <c r="A27" s="194"/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</row>
    <row r="28" spans="1:25" customFormat="1" x14ac:dyDescent="0.15">
      <c r="A28" s="194"/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</row>
    <row r="29" spans="1:25" customFormat="1" x14ac:dyDescent="0.15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</row>
    <row r="30" spans="1:25" customFormat="1" x14ac:dyDescent="0.15">
      <c r="A30" s="194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</row>
    <row r="31" spans="1:25" customFormat="1" x14ac:dyDescent="0.15">
      <c r="A31" s="194"/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</row>
    <row r="32" spans="1:25" customFormat="1" x14ac:dyDescent="0.15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</row>
    <row r="33" spans="1:25" customFormat="1" x14ac:dyDescent="0.15">
      <c r="A33" s="194"/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</row>
    <row r="34" spans="1:25" customFormat="1" x14ac:dyDescent="0.15">
      <c r="A34" s="194"/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</row>
    <row r="35" spans="1:25" customFormat="1" x14ac:dyDescent="0.1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</row>
    <row r="36" spans="1:25" customFormat="1" x14ac:dyDescent="0.15">
      <c r="A36" s="194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</row>
    <row r="37" spans="1:25" customFormat="1" x14ac:dyDescent="0.15">
      <c r="A37" s="194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</row>
    <row r="38" spans="1:25" customFormat="1" x14ac:dyDescent="0.15">
      <c r="A38" s="194"/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</row>
    <row r="39" spans="1:25" customFormat="1" x14ac:dyDescent="0.15">
      <c r="A39" s="194"/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</row>
    <row r="40" spans="1:25" customFormat="1" x14ac:dyDescent="0.15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</row>
    <row r="41" spans="1:25" customFormat="1" x14ac:dyDescent="0.15">
      <c r="A41" s="194"/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</row>
    <row r="42" spans="1:25" customFormat="1" x14ac:dyDescent="0.15">
      <c r="A42" s="194"/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</row>
    <row r="43" spans="1:25" customFormat="1" x14ac:dyDescent="0.15">
      <c r="A43" s="194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</row>
    <row r="44" spans="1:25" customFormat="1" x14ac:dyDescent="0.15">
      <c r="A44" s="194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</row>
    <row r="45" spans="1:25" customFormat="1" x14ac:dyDescent="0.15">
      <c r="A45" s="194"/>
      <c r="B45" s="194"/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</row>
    <row r="46" spans="1:25" customFormat="1" x14ac:dyDescent="0.15">
      <c r="A46" s="194"/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</row>
    <row r="47" spans="1:25" customFormat="1" x14ac:dyDescent="0.15">
      <c r="A47" s="194"/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</row>
    <row r="48" spans="1:25" customFormat="1" x14ac:dyDescent="0.15">
      <c r="A48" s="194"/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</row>
    <row r="49" spans="1:25" customFormat="1" x14ac:dyDescent="0.15">
      <c r="A49" s="194"/>
      <c r="B49" s="194"/>
      <c r="C49" s="194"/>
      <c r="D49" s="194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</row>
    <row r="50" spans="1:25" customFormat="1" x14ac:dyDescent="0.15">
      <c r="A50" s="194"/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</row>
    <row r="51" spans="1:25" customFormat="1" x14ac:dyDescent="0.15">
      <c r="A51" s="194"/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</row>
    <row r="52" spans="1:25" customFormat="1" x14ac:dyDescent="0.15">
      <c r="A52" s="194"/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</row>
    <row r="53" spans="1:25" customFormat="1" x14ac:dyDescent="0.15">
      <c r="A53" s="194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</row>
    <row r="54" spans="1:25" customFormat="1" x14ac:dyDescent="0.15">
      <c r="A54" s="194"/>
      <c r="B54" s="194"/>
      <c r="C54" s="194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</row>
    <row r="55" spans="1:25" customFormat="1" x14ac:dyDescent="0.15">
      <c r="A55" s="194"/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</row>
    <row r="56" spans="1:25" customFormat="1" x14ac:dyDescent="0.15">
      <c r="A56" s="194"/>
      <c r="B56" s="194"/>
      <c r="C56" s="194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</row>
    <row r="57" spans="1:25" customFormat="1" x14ac:dyDescent="0.15">
      <c r="A57" s="194"/>
      <c r="B57" s="194"/>
      <c r="C57" s="194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</row>
    <row r="58" spans="1:25" customFormat="1" x14ac:dyDescent="0.15">
      <c r="A58" s="194"/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</row>
    <row r="59" spans="1:25" customFormat="1" x14ac:dyDescent="0.15">
      <c r="A59" s="194"/>
      <c r="B59" s="194"/>
      <c r="C59" s="194"/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</row>
    <row r="60" spans="1:25" customFormat="1" x14ac:dyDescent="0.15">
      <c r="A60" s="194"/>
      <c r="B60" s="194"/>
      <c r="C60" s="194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</row>
    <row r="61" spans="1:25" customFormat="1" x14ac:dyDescent="0.15">
      <c r="A61" s="194"/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</row>
    <row r="62" spans="1:25" customFormat="1" x14ac:dyDescent="0.15">
      <c r="A62" s="194"/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</row>
    <row r="63" spans="1:25" customFormat="1" x14ac:dyDescent="0.15">
      <c r="A63" s="194"/>
      <c r="B63" s="194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</row>
    <row r="64" spans="1:25" customFormat="1" x14ac:dyDescent="0.15">
      <c r="A64" s="194"/>
      <c r="B64" s="194"/>
      <c r="C64" s="194"/>
      <c r="D64" s="194"/>
      <c r="E64" s="19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</row>
    <row r="65" spans="1:25" customFormat="1" x14ac:dyDescent="0.15">
      <c r="A65" s="194"/>
      <c r="B65" s="194"/>
      <c r="C65" s="194"/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</row>
    <row r="66" spans="1:25" customFormat="1" x14ac:dyDescent="0.1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</row>
    <row r="67" spans="1:25" customFormat="1" x14ac:dyDescent="0.15">
      <c r="A67" s="194"/>
      <c r="B67" s="194"/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</row>
    <row r="68" spans="1:25" customFormat="1" x14ac:dyDescent="0.15">
      <c r="A68" s="194"/>
      <c r="B68" s="194"/>
      <c r="C68" s="194"/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</row>
    <row r="69" spans="1:25" customFormat="1" x14ac:dyDescent="0.15">
      <c r="A69" s="194"/>
      <c r="B69" s="194"/>
      <c r="C69" s="194"/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</row>
    <row r="70" spans="1:25" customFormat="1" x14ac:dyDescent="0.15">
      <c r="A70" s="194"/>
      <c r="B70" s="194"/>
      <c r="C70" s="194"/>
      <c r="D70" s="194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</row>
    <row r="71" spans="1:25" customFormat="1" x14ac:dyDescent="0.15">
      <c r="A71" s="194"/>
      <c r="B71" s="194"/>
      <c r="C71" s="194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</row>
    <row r="72" spans="1:25" customFormat="1" x14ac:dyDescent="0.15">
      <c r="A72" s="194"/>
      <c r="B72" s="194"/>
      <c r="C72" s="194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</row>
    <row r="73" spans="1:25" customFormat="1" x14ac:dyDescent="0.15">
      <c r="A73" s="194"/>
      <c r="B73" s="194"/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</row>
    <row r="74" spans="1:25" customFormat="1" x14ac:dyDescent="0.15">
      <c r="A74" s="194"/>
      <c r="B74" s="194"/>
      <c r="C74" s="194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</row>
    <row r="75" spans="1:25" customFormat="1" x14ac:dyDescent="0.15">
      <c r="A75" s="194"/>
      <c r="B75" s="194"/>
      <c r="C75" s="194"/>
      <c r="D75" s="194"/>
      <c r="E75" s="194"/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</row>
    <row r="76" spans="1:25" customFormat="1" x14ac:dyDescent="0.15">
      <c r="A76" s="194"/>
      <c r="B76" s="194"/>
      <c r="C76" s="194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</row>
    <row r="77" spans="1:25" customFormat="1" x14ac:dyDescent="0.15">
      <c r="A77" s="194"/>
      <c r="B77" s="194"/>
      <c r="C77" s="194"/>
      <c r="D77" s="194"/>
      <c r="E77" s="194"/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</row>
    <row r="78" spans="1:25" customFormat="1" x14ac:dyDescent="0.15">
      <c r="A78" s="194"/>
      <c r="B78" s="194"/>
      <c r="C78" s="194"/>
      <c r="D78" s="194"/>
      <c r="E78" s="194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</row>
    <row r="79" spans="1:25" customFormat="1" x14ac:dyDescent="0.15">
      <c r="A79" s="194"/>
      <c r="B79" s="194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</row>
    <row r="80" spans="1:25" customFormat="1" x14ac:dyDescent="0.15">
      <c r="A80" s="194"/>
      <c r="B80" s="194"/>
      <c r="C80" s="194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</row>
    <row r="81" spans="1:25" customFormat="1" x14ac:dyDescent="0.1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</row>
    <row r="82" spans="1:25" customFormat="1" x14ac:dyDescent="0.15">
      <c r="A82" s="194"/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</row>
    <row r="83" spans="1:25" customFormat="1" x14ac:dyDescent="0.15">
      <c r="A83" s="194"/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</row>
    <row r="84" spans="1:25" customFormat="1" x14ac:dyDescent="0.15">
      <c r="A84" s="194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</row>
    <row r="85" spans="1:25" customFormat="1" x14ac:dyDescent="0.15">
      <c r="A85" s="194"/>
      <c r="B85" s="194"/>
      <c r="C85" s="194"/>
      <c r="D85" s="194"/>
      <c r="E85" s="194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</row>
    <row r="86" spans="1:25" customFormat="1" x14ac:dyDescent="0.15">
      <c r="A86" s="194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</row>
    <row r="87" spans="1:25" customFormat="1" x14ac:dyDescent="0.15">
      <c r="A87" s="194"/>
      <c r="B87" s="194"/>
      <c r="C87" s="194"/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</row>
    <row r="88" spans="1:25" customFormat="1" x14ac:dyDescent="0.15">
      <c r="A88" s="194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</row>
    <row r="89" spans="1:25" customFormat="1" x14ac:dyDescent="0.15">
      <c r="A89" s="194"/>
      <c r="B89" s="194"/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</row>
    <row r="90" spans="1:25" customFormat="1" x14ac:dyDescent="0.15">
      <c r="A90" s="194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</row>
    <row r="91" spans="1:25" customFormat="1" x14ac:dyDescent="0.15">
      <c r="A91" s="194"/>
      <c r="B91" s="194"/>
      <c r="C91" s="194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</row>
    <row r="92" spans="1:25" customFormat="1" x14ac:dyDescent="0.15">
      <c r="A92" s="194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</row>
    <row r="93" spans="1:25" customFormat="1" x14ac:dyDescent="0.15">
      <c r="A93" s="194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</row>
    <row r="94" spans="1:25" customFormat="1" x14ac:dyDescent="0.15">
      <c r="A94" s="194"/>
      <c r="B94" s="194"/>
      <c r="C94" s="194"/>
      <c r="D94" s="194"/>
      <c r="E94" s="194"/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</row>
    <row r="95" spans="1:25" customFormat="1" x14ac:dyDescent="0.15">
      <c r="A95" s="194"/>
      <c r="B95" s="194"/>
      <c r="C95" s="194"/>
      <c r="D95" s="194"/>
      <c r="E95" s="194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</row>
    <row r="96" spans="1:25" customFormat="1" x14ac:dyDescent="0.15">
      <c r="A96" s="194"/>
      <c r="B96" s="194"/>
      <c r="C96" s="194"/>
      <c r="D96" s="194"/>
      <c r="E96" s="194"/>
      <c r="F96" s="194"/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</row>
    <row r="97" spans="1:25" customFormat="1" x14ac:dyDescent="0.15">
      <c r="A97" s="194"/>
      <c r="B97" s="194"/>
      <c r="C97" s="194"/>
      <c r="D97" s="194"/>
      <c r="E97" s="194"/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</row>
    <row r="98" spans="1:25" customFormat="1" x14ac:dyDescent="0.15">
      <c r="A98" s="194"/>
      <c r="B98" s="194"/>
      <c r="C98" s="194"/>
      <c r="D98" s="194"/>
      <c r="E98" s="194"/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</row>
    <row r="99" spans="1:25" customFormat="1" x14ac:dyDescent="0.15">
      <c r="A99" s="194"/>
      <c r="B99" s="194"/>
      <c r="C99" s="194"/>
      <c r="D99" s="194"/>
      <c r="E99" s="194"/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</row>
    <row r="100" spans="1:25" customFormat="1" x14ac:dyDescent="0.15">
      <c r="A100" s="194"/>
      <c r="B100" s="194"/>
      <c r="C100" s="194"/>
      <c r="D100" s="194"/>
      <c r="E100" s="194"/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</row>
    <row r="101" spans="1:25" customFormat="1" x14ac:dyDescent="0.15">
      <c r="A101" s="194"/>
      <c r="B101" s="194"/>
      <c r="C101" s="194"/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</row>
    <row r="102" spans="1:25" customFormat="1" x14ac:dyDescent="0.15">
      <c r="A102" s="194"/>
      <c r="B102" s="194"/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</row>
    <row r="103" spans="1:25" customFormat="1" x14ac:dyDescent="0.15">
      <c r="A103" s="194"/>
      <c r="B103" s="194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</row>
    <row r="104" spans="1:25" customFormat="1" x14ac:dyDescent="0.15">
      <c r="A104" s="194"/>
      <c r="B104" s="194"/>
      <c r="C104" s="194"/>
      <c r="D104" s="194"/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</row>
    <row r="105" spans="1:25" customFormat="1" x14ac:dyDescent="0.15">
      <c r="A105" s="194"/>
      <c r="B105" s="194"/>
      <c r="C105" s="194"/>
      <c r="D105" s="194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</row>
    <row r="106" spans="1:25" customFormat="1" x14ac:dyDescent="0.15">
      <c r="A106" s="194"/>
      <c r="B106" s="194"/>
      <c r="C106" s="194"/>
      <c r="D106" s="194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</row>
    <row r="107" spans="1:25" customFormat="1" x14ac:dyDescent="0.15">
      <c r="A107" s="194"/>
      <c r="B107" s="194"/>
      <c r="C107" s="194"/>
      <c r="D107" s="194"/>
      <c r="E107" s="194"/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</row>
    <row r="108" spans="1:25" customFormat="1" x14ac:dyDescent="0.15">
      <c r="A108" s="194"/>
      <c r="B108" s="194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</row>
    <row r="109" spans="1:25" customFormat="1" x14ac:dyDescent="0.15">
      <c r="A109" s="194"/>
      <c r="B109" s="194"/>
      <c r="C109" s="194"/>
      <c r="D109" s="194"/>
      <c r="E109" s="194"/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</row>
    <row r="110" spans="1:25" customFormat="1" x14ac:dyDescent="0.15">
      <c r="A110" s="194"/>
      <c r="B110" s="194"/>
      <c r="C110" s="194"/>
      <c r="D110" s="194"/>
      <c r="E110" s="194"/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</row>
    <row r="111" spans="1:25" customFormat="1" x14ac:dyDescent="0.15">
      <c r="A111" s="194"/>
      <c r="B111" s="194"/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</row>
    <row r="112" spans="1:25" customFormat="1" x14ac:dyDescent="0.15">
      <c r="A112" s="194"/>
      <c r="B112" s="194"/>
      <c r="C112" s="194"/>
      <c r="D112" s="194"/>
      <c r="E112" s="194"/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</row>
    <row r="113" spans="1:25" customFormat="1" x14ac:dyDescent="0.15">
      <c r="A113" s="194"/>
      <c r="B113" s="194"/>
      <c r="C113" s="194"/>
      <c r="D113" s="194"/>
      <c r="E113" s="194"/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</row>
    <row r="114" spans="1:25" customFormat="1" x14ac:dyDescent="0.15">
      <c r="A114" s="194"/>
      <c r="B114" s="194"/>
      <c r="C114" s="194"/>
      <c r="D114" s="194"/>
      <c r="E114" s="194"/>
      <c r="F114" s="194"/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</row>
    <row r="115" spans="1:25" customFormat="1" x14ac:dyDescent="0.15">
      <c r="A115" s="194"/>
      <c r="B115" s="194"/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</row>
    <row r="116" spans="1:25" customFormat="1" x14ac:dyDescent="0.15">
      <c r="A116" s="194"/>
      <c r="B116" s="194"/>
      <c r="C116" s="194"/>
      <c r="D116" s="194"/>
      <c r="E116" s="194"/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</row>
    <row r="117" spans="1:25" customFormat="1" x14ac:dyDescent="0.15">
      <c r="A117" s="194"/>
      <c r="B117" s="194"/>
      <c r="C117" s="194"/>
      <c r="D117" s="194"/>
      <c r="E117" s="194"/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</row>
    <row r="118" spans="1:25" customFormat="1" x14ac:dyDescent="0.15">
      <c r="A118" s="194"/>
      <c r="B118" s="194"/>
      <c r="C118" s="194"/>
      <c r="D118" s="194"/>
      <c r="E118" s="194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</row>
    <row r="119" spans="1:25" customFormat="1" x14ac:dyDescent="0.15"/>
    <row r="120" spans="1:25" customFormat="1" x14ac:dyDescent="0.15"/>
    <row r="121" spans="1:25" customFormat="1" x14ac:dyDescent="0.15"/>
    <row r="122" spans="1:25" customFormat="1" x14ac:dyDescent="0.15"/>
    <row r="123" spans="1:25" customFormat="1" x14ac:dyDescent="0.15"/>
    <row r="124" spans="1:25" customFormat="1" x14ac:dyDescent="0.15"/>
    <row r="125" spans="1:25" customFormat="1" x14ac:dyDescent="0.15"/>
    <row r="126" spans="1:25" customFormat="1" x14ac:dyDescent="0.15"/>
    <row r="127" spans="1:25" customFormat="1" x14ac:dyDescent="0.15"/>
    <row r="128" spans="1:25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</sheetData>
  <sheetProtection algorithmName="SHA-512" hashValue="uWIqNRib/mkeIOYFwcaF/iNjGyso+2oCyf+i/OGt8BnUFSd3YxYnVC2+N6pRJeB10BW7IkKBw8jsweNllHtDoQ==" saltValue="IaKKZkJ+OJoJYoMbsmRkLA==" spinCount="100000" sheet="1" objects="1" scenarios="1"/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K12"/>
  <sheetViews>
    <sheetView zoomScale="150" workbookViewId="0">
      <selection activeCell="F13" sqref="F13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t="s">
        <v>8</v>
      </c>
    </row>
    <row r="2" spans="1:11" x14ac:dyDescent="0.15">
      <c r="A2" s="15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x14ac:dyDescent="0.15">
      <c r="A3" s="7" t="s">
        <v>9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3"/>
      <c r="E4" s="1" t="s">
        <v>70</v>
      </c>
    </row>
    <row r="5" spans="1:11" x14ac:dyDescent="0.15">
      <c r="D5" s="3"/>
    </row>
    <row r="6" spans="1:11" x14ac:dyDescent="0.15">
      <c r="D6" s="3"/>
      <c r="E6" s="2" t="s">
        <v>152</v>
      </c>
      <c r="F6" s="2" t="s">
        <v>31</v>
      </c>
      <c r="G6" s="2" t="s">
        <v>58</v>
      </c>
      <c r="H6" s="2" t="s">
        <v>35</v>
      </c>
      <c r="I6" s="2" t="s">
        <v>36</v>
      </c>
    </row>
    <row r="7" spans="1:11" x14ac:dyDescent="0.15">
      <c r="A7" s="12" t="s">
        <v>68</v>
      </c>
      <c r="B7" s="12"/>
      <c r="C7" s="12"/>
      <c r="D7" s="13"/>
      <c r="E7" s="12">
        <v>4500</v>
      </c>
      <c r="F7" s="12">
        <v>4500</v>
      </c>
      <c r="G7" s="12">
        <v>4500</v>
      </c>
      <c r="H7" s="12">
        <v>4500</v>
      </c>
      <c r="I7" s="12">
        <v>4500</v>
      </c>
    </row>
    <row r="8" spans="1:11" x14ac:dyDescent="0.15">
      <c r="A8" t="s">
        <v>10</v>
      </c>
      <c r="D8" s="3"/>
      <c r="E8">
        <v>2.2517</v>
      </c>
      <c r="F8">
        <v>2.3089</v>
      </c>
      <c r="G8">
        <v>2.3089</v>
      </c>
      <c r="H8">
        <v>2.31</v>
      </c>
      <c r="I8">
        <v>2.3331</v>
      </c>
    </row>
    <row r="9" spans="1:11" x14ac:dyDescent="0.15">
      <c r="A9" t="s">
        <v>11</v>
      </c>
      <c r="D9" s="3"/>
      <c r="E9">
        <v>1.5367</v>
      </c>
      <c r="F9">
        <v>1.5279</v>
      </c>
      <c r="G9">
        <v>1.5466</v>
      </c>
      <c r="H9">
        <v>1.5509999999999999</v>
      </c>
      <c r="I9">
        <v>1.5851</v>
      </c>
    </row>
    <row r="10" spans="1:11" x14ac:dyDescent="0.15">
      <c r="A10" t="s">
        <v>25</v>
      </c>
      <c r="D10" s="3"/>
      <c r="E10">
        <v>59.98</v>
      </c>
      <c r="F10">
        <v>59.98</v>
      </c>
      <c r="G10">
        <v>59.98</v>
      </c>
      <c r="H10">
        <v>59.98</v>
      </c>
      <c r="I10">
        <v>59.98</v>
      </c>
    </row>
    <row r="11" spans="1:11" x14ac:dyDescent="0.15">
      <c r="D11" s="3"/>
    </row>
    <row r="12" spans="1:11" x14ac:dyDescent="0.15">
      <c r="A12" s="15"/>
      <c r="B12" s="5"/>
      <c r="C12" s="5"/>
      <c r="D12" s="5"/>
      <c r="E12" s="5"/>
      <c r="F12" s="5"/>
      <c r="G12" s="5"/>
      <c r="H12" s="5"/>
      <c r="I12" s="5"/>
      <c r="J12" s="5"/>
      <c r="K12" s="5"/>
    </row>
  </sheetData>
  <sheetProtection algorithmName="SHA-512" hashValue="R9fb1/QEObjOE+7h8ysE3U8S5Deh63W/Xw8Ely5dNUsltGWgd9/6idATNHET1A/70zgv4JU9GyI4JGZxSPDACA==" saltValue="+CIB+2l6w6aS8wIgWtqXNA==" spinCount="100000" sheet="1" objects="1" scenarios="1"/>
  <phoneticPr fontId="9" type="noConversion"/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K12"/>
  <sheetViews>
    <sheetView zoomScale="150" workbookViewId="0">
      <selection activeCell="F20" sqref="F2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t="s">
        <v>8</v>
      </c>
    </row>
    <row r="2" spans="1:11" x14ac:dyDescent="0.15">
      <c r="A2" s="1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11" x14ac:dyDescent="0.15">
      <c r="A3" s="7" t="s">
        <v>9</v>
      </c>
      <c r="B3" s="8"/>
      <c r="C3" s="8"/>
      <c r="D3" s="9"/>
      <c r="E3" s="8"/>
      <c r="F3" s="8"/>
      <c r="G3" s="8"/>
      <c r="H3" s="8"/>
      <c r="I3" s="8"/>
      <c r="J3" s="8"/>
      <c r="K3" s="8"/>
    </row>
    <row r="4" spans="1:11" x14ac:dyDescent="0.15">
      <c r="D4" s="3"/>
      <c r="E4" s="1" t="s">
        <v>71</v>
      </c>
    </row>
    <row r="5" spans="1:11" x14ac:dyDescent="0.15">
      <c r="D5" s="3"/>
    </row>
    <row r="6" spans="1:11" x14ac:dyDescent="0.15">
      <c r="D6" s="3"/>
      <c r="E6" s="2" t="s">
        <v>152</v>
      </c>
      <c r="F6" s="2" t="s">
        <v>31</v>
      </c>
      <c r="G6" s="2" t="s">
        <v>58</v>
      </c>
      <c r="H6" s="2" t="s">
        <v>35</v>
      </c>
      <c r="I6" s="2" t="s">
        <v>36</v>
      </c>
    </row>
    <row r="7" spans="1:11" x14ac:dyDescent="0.15">
      <c r="A7" s="12" t="s">
        <v>68</v>
      </c>
      <c r="B7" s="12"/>
      <c r="C7" s="12"/>
      <c r="D7" s="13"/>
      <c r="E7" s="12">
        <v>4500</v>
      </c>
      <c r="F7" s="12">
        <v>4500</v>
      </c>
      <c r="G7" s="12">
        <v>4500</v>
      </c>
      <c r="H7" s="12">
        <v>4500</v>
      </c>
      <c r="I7" s="12">
        <v>4500</v>
      </c>
    </row>
    <row r="8" spans="1:11" x14ac:dyDescent="0.15">
      <c r="A8" t="s">
        <v>10</v>
      </c>
      <c r="D8" s="3"/>
      <c r="E8">
        <v>2.2044000000000001</v>
      </c>
      <c r="F8">
        <v>2.2429000000000001</v>
      </c>
      <c r="G8">
        <v>2.2429000000000001</v>
      </c>
      <c r="H8">
        <v>2.2440000000000002</v>
      </c>
      <c r="I8">
        <v>2.2549999999999999</v>
      </c>
    </row>
    <row r="9" spans="1:11" x14ac:dyDescent="0.15">
      <c r="A9" t="s">
        <v>11</v>
      </c>
      <c r="D9" s="3"/>
      <c r="E9">
        <v>1.4795</v>
      </c>
      <c r="F9">
        <v>1.4684999999999999</v>
      </c>
      <c r="G9">
        <v>1.4861</v>
      </c>
      <c r="H9">
        <v>1.4904999999999999</v>
      </c>
      <c r="I9">
        <v>1.5224</v>
      </c>
    </row>
    <row r="10" spans="1:11" x14ac:dyDescent="0.15">
      <c r="A10" t="s">
        <v>25</v>
      </c>
      <c r="D10" s="3"/>
      <c r="E10">
        <v>57.35</v>
      </c>
      <c r="F10">
        <v>57.35</v>
      </c>
      <c r="G10">
        <v>57.35</v>
      </c>
      <c r="H10">
        <v>57.35</v>
      </c>
      <c r="I10">
        <v>57.35</v>
      </c>
    </row>
    <row r="11" spans="1:11" x14ac:dyDescent="0.15">
      <c r="D11" s="3"/>
    </row>
    <row r="12" spans="1:11" x14ac:dyDescent="0.15">
      <c r="A12" s="16"/>
      <c r="B12" s="6"/>
      <c r="C12" s="6"/>
      <c r="D12" s="6"/>
      <c r="E12" s="6"/>
      <c r="F12" s="6"/>
      <c r="G12" s="6"/>
      <c r="H12" s="6"/>
      <c r="I12" s="6"/>
      <c r="J12" s="6"/>
      <c r="K12" s="6"/>
    </row>
  </sheetData>
  <sheetProtection algorithmName="SHA-512" hashValue="JSDCtP0Rn1SqYeUSU/eyyjUgga9V7F1LHKSZHDC27ezqMaraP/GSsyuhyFPNGrfcs/yXb8wLltfaL8xkLFiqcQ==" saltValue="9KeNCUUnGU9O6apLNoFTsA==" spinCount="100000" sheet="1" objects="1" scenarios="1"/>
  <phoneticPr fontId="9" type="noConversion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9466E-1D9A-7840-9430-34C71B8161CC}">
  <sheetPr codeName="Sheet26"/>
  <dimension ref="A1:LB7855"/>
  <sheetViews>
    <sheetView zoomScale="120" zoomScaleNormal="120" workbookViewId="0">
      <selection activeCell="F31" sqref="F31"/>
    </sheetView>
  </sheetViews>
  <sheetFormatPr baseColWidth="10" defaultRowHeight="13" x14ac:dyDescent="0.15"/>
  <cols>
    <col min="1" max="1" width="15.5" style="164" customWidth="1"/>
    <col min="2" max="2" width="20.33203125" style="164" customWidth="1"/>
    <col min="3" max="3" width="11.83203125" style="164" customWidth="1"/>
    <col min="4" max="10" width="12.1640625" style="164" customWidth="1"/>
    <col min="315" max="16384" width="10.83203125" style="164"/>
  </cols>
  <sheetData>
    <row r="1" spans="1:25" customFormat="1" ht="14" x14ac:dyDescent="0.15">
      <c r="A1" s="191" t="s">
        <v>8</v>
      </c>
      <c r="B1" s="191"/>
      <c r="C1" s="191"/>
      <c r="D1" s="191"/>
      <c r="E1" s="191"/>
      <c r="F1" s="191"/>
      <c r="G1" s="191"/>
      <c r="H1" s="190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</row>
    <row r="2" spans="1:25" customFormat="1" x14ac:dyDescent="0.15">
      <c r="A2" s="191" t="s">
        <v>95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customFormat="1" ht="14" thickBo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ht="14" x14ac:dyDescent="0.15">
      <c r="A4" s="120" t="s">
        <v>96</v>
      </c>
      <c r="B4" s="121"/>
      <c r="C4" s="122"/>
      <c r="D4" s="122"/>
      <c r="E4" s="122"/>
      <c r="F4" s="122"/>
      <c r="G4" s="122"/>
      <c r="H4" s="122"/>
      <c r="I4" s="122"/>
      <c r="J4" s="123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5" spans="1:25" ht="14" x14ac:dyDescent="0.15">
      <c r="A5" s="124" t="s">
        <v>181</v>
      </c>
      <c r="B5" s="73"/>
      <c r="C5" s="187">
        <v>5250</v>
      </c>
      <c r="D5" s="22"/>
      <c r="E5" s="73"/>
      <c r="F5" s="73"/>
      <c r="G5" s="73"/>
      <c r="H5" s="73"/>
      <c r="I5" s="73"/>
      <c r="J5" s="125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</row>
    <row r="6" spans="1:25" ht="14" x14ac:dyDescent="0.15">
      <c r="A6" s="124"/>
      <c r="B6" s="73"/>
      <c r="C6" s="73"/>
      <c r="D6" s="73"/>
      <c r="E6" s="73"/>
      <c r="F6" s="73"/>
      <c r="G6" s="73"/>
      <c r="H6" s="73"/>
      <c r="I6" s="73"/>
      <c r="J6" s="125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</row>
    <row r="7" spans="1:25" ht="30" x14ac:dyDescent="0.15">
      <c r="A7" s="173" t="s">
        <v>114</v>
      </c>
      <c r="B7" s="174" t="s">
        <v>97</v>
      </c>
      <c r="C7" s="175" t="s">
        <v>103</v>
      </c>
      <c r="D7" s="175" t="s">
        <v>93</v>
      </c>
      <c r="E7" s="175" t="s">
        <v>98</v>
      </c>
      <c r="F7" s="176" t="s">
        <v>99</v>
      </c>
      <c r="G7" s="176" t="s">
        <v>100</v>
      </c>
      <c r="H7" s="176" t="s">
        <v>207</v>
      </c>
      <c r="I7" s="177" t="s">
        <v>94</v>
      </c>
      <c r="J7" s="178" t="s">
        <v>101</v>
      </c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</row>
    <row r="8" spans="1:25" ht="20" customHeight="1" x14ac:dyDescent="0.15">
      <c r="A8" s="126" t="str">
        <f>'Tariffs 2021'!F2</f>
        <v>AGL</v>
      </c>
      <c r="B8" s="22" t="str">
        <f>'Tariffs 2021'!D2</f>
        <v>Envestra SA</v>
      </c>
      <c r="C8" s="127">
        <f>'Tariffs 2021'!E2</f>
        <v>42928</v>
      </c>
      <c r="D8" s="92">
        <f>91*'Tariffs 2021'!H2/100</f>
        <v>68.1010909090909</v>
      </c>
      <c r="E8" s="92">
        <f>IF($C$5&gt;='Tariffs 2021'!J2,('Tariffs 2021'!J2*'Tariffs 2021'!O2/100),($C$5*'Tariffs 2021'!O2/100))</f>
        <v>210.47727272727272</v>
      </c>
      <c r="F8" s="92">
        <v>0</v>
      </c>
      <c r="G8" s="92">
        <f>IF(($C$5&lt;'Tariffs 2021'!K2),(0),($C$5-'Tariffs 2021'!K2)*'Tariffs 2021'!P2/100)</f>
        <v>0</v>
      </c>
      <c r="H8" s="92">
        <f>SUM(D8:G8)</f>
        <v>278.57836363636363</v>
      </c>
      <c r="I8" s="128">
        <f>H8*4</f>
        <v>1114.3134545454545</v>
      </c>
      <c r="J8" s="129">
        <f>I8*1.1</f>
        <v>1225.7448000000002</v>
      </c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</row>
    <row r="9" spans="1:25" ht="20" customHeight="1" x14ac:dyDescent="0.15">
      <c r="A9" s="126" t="str">
        <f>'Tariffs 2021'!F3</f>
        <v xml:space="preserve">Alinta Energy </v>
      </c>
      <c r="B9" s="22" t="str">
        <f>'Tariffs 2021'!D3</f>
        <v>Envestra Adelaide</v>
      </c>
      <c r="C9" s="127">
        <f>'Tariffs 2021'!E3</f>
        <v>42916</v>
      </c>
      <c r="D9" s="92">
        <f>91*'Tariffs 2021'!H3/100</f>
        <v>63.766181818181813</v>
      </c>
      <c r="E9" s="92">
        <f>IF($C$5&gt;='Tariffs 2021'!J3,('Tariffs 2021'!J3*'Tariffs 2021'!O3/100),($C$5*'Tariffs 2021'!O3/100))</f>
        <v>193.5</v>
      </c>
      <c r="F9" s="92">
        <v>0</v>
      </c>
      <c r="G9" s="92">
        <f>IF(($C$5&lt;'Tariffs 2021'!K3),(0),($C$5-'Tariffs 2021'!K3)*'Tariffs 2021'!P3/100)</f>
        <v>21.954545454545453</v>
      </c>
      <c r="H9" s="92">
        <f t="shared" ref="H9:H23" si="0">SUM(D9:G9)</f>
        <v>279.22072727272723</v>
      </c>
      <c r="I9" s="128">
        <f t="shared" ref="I9:I23" si="1">H9*4</f>
        <v>1116.8829090909089</v>
      </c>
      <c r="J9" s="129">
        <f t="shared" ref="J9:J23" si="2">I9*1.1</f>
        <v>1228.5711999999999</v>
      </c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</row>
    <row r="10" spans="1:25" ht="20" customHeight="1" x14ac:dyDescent="0.15">
      <c r="A10" s="126" t="str">
        <f>'Tariffs 2021'!F4</f>
        <v>EnergyAustralia</v>
      </c>
      <c r="B10" s="22" t="str">
        <f>'Tariffs 2021'!D4</f>
        <v>Envestra Adelaide</v>
      </c>
      <c r="C10" s="127">
        <f>'Tariffs 2021'!E4</f>
        <v>42947</v>
      </c>
      <c r="D10" s="92">
        <f>91*'Tariffs 2021'!H4/100</f>
        <v>75.438999999999993</v>
      </c>
      <c r="E10" s="92">
        <f>IF($C$5&gt;='Tariffs 2021'!J4,('Tariffs 2021'!J4*'Tariffs 2021'!O4/100),($C$5*'Tariffs 2021'!O4/100))</f>
        <v>115.68181818181819</v>
      </c>
      <c r="F10" s="92">
        <f>IF($C$5&lt;'Tariffs 2021'!J4,0,IF(($C$5-'Tariffs 2021'!J4)&lt;='Tariffs 2021'!K4,(($C$5-'Tariffs 2021'!J4)*'Tariffs 2021'!P4/100),(('Tariffs 2021'!K4-'Tariffs 2021'!J4)*'Tariffs 2021'!P4/100)))</f>
        <v>110</v>
      </c>
      <c r="G10" s="92">
        <f>IF(($C$5&lt;'Tariffs 2021'!K4),(0),($C$5-'Tariffs 2021'!K4)*'Tariffs 2021'!Q4/100)</f>
        <v>17.795454545454547</v>
      </c>
      <c r="H10" s="92">
        <f t="shared" si="0"/>
        <v>318.91627272727277</v>
      </c>
      <c r="I10" s="128">
        <f t="shared" si="1"/>
        <v>1275.6650909090911</v>
      </c>
      <c r="J10" s="129">
        <f t="shared" si="2"/>
        <v>1403.2316000000003</v>
      </c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</row>
    <row r="11" spans="1:25" ht="20" customHeight="1" x14ac:dyDescent="0.15">
      <c r="A11" s="126" t="str">
        <f>'Tariffs 2021'!F5</f>
        <v>Origin Energy</v>
      </c>
      <c r="B11" s="22" t="str">
        <f>'Tariffs 2021'!D5</f>
        <v>Envestra Adelaide</v>
      </c>
      <c r="C11" s="127">
        <f>'Tariffs 2021'!E5</f>
        <v>42916</v>
      </c>
      <c r="D11" s="92">
        <f>91*'Tariffs 2021'!H5/100</f>
        <v>67.705654545454536</v>
      </c>
      <c r="E11" s="92">
        <f>IF($C$5&gt;='Tariffs 2021'!J5,('Tariffs 2021'!J5*'Tariffs 2021'!O5/100),($C$5*'Tariffs 2021'!O5/100))</f>
        <v>192.47727272727272</v>
      </c>
      <c r="F11" s="92">
        <v>0</v>
      </c>
      <c r="G11" s="92">
        <f>IF(($C$5&lt;'Tariffs 2021'!K5),(0),($C$5-'Tariffs 2021'!K5)*'Tariffs 2021'!P5/100)</f>
        <v>16.377272727272729</v>
      </c>
      <c r="H11" s="92">
        <f t="shared" si="0"/>
        <v>276.56020000000001</v>
      </c>
      <c r="I11" s="128">
        <f t="shared" si="1"/>
        <v>1106.2408</v>
      </c>
      <c r="J11" s="129">
        <f t="shared" si="2"/>
        <v>1216.8648800000001</v>
      </c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25" ht="20" customHeight="1" x14ac:dyDescent="0.15">
      <c r="A12" s="126" t="str">
        <f>'Tariffs 2021'!F6</f>
        <v>Simply Energy</v>
      </c>
      <c r="B12" s="22" t="str">
        <f>'Tariffs 2021'!D6</f>
        <v>Envestra Adelaide</v>
      </c>
      <c r="C12" s="127">
        <f>'Tariffs 2021'!E6</f>
        <v>42916</v>
      </c>
      <c r="D12" s="92">
        <f>91*'Tariffs 2021'!H6/100</f>
        <v>52.482181818181807</v>
      </c>
      <c r="E12" s="92">
        <f>IF($C$5&gt;='Tariffs 2021'!J6,('Tariffs 2021'!J6*'Tariffs 2021'!O6/100),($C$5*'Tariffs 2021'!O6/100))</f>
        <v>121.59090909090908</v>
      </c>
      <c r="F12" s="92">
        <f>IF($C$5&lt;'Tariffs 2021'!J6,0,IF(($C$5-'Tariffs 2021'!J6)&lt;='Tariffs 2021'!K6,(($C$5-'Tariffs 2021'!J6)*'Tariffs 2021'!P6/100),(('Tariffs 2021'!K6-'Tariffs 2021'!J6)*'Tariffs 2021'!P6/100)))</f>
        <v>82.75</v>
      </c>
      <c r="G12" s="92">
        <f>IF(($C$5&lt;'Tariffs 2021'!K6),(0),($C$5-'Tariffs 2021'!K6)*'Tariffs 2021'!Q6/100)</f>
        <v>14.113636363636363</v>
      </c>
      <c r="H12" s="92">
        <f t="shared" si="0"/>
        <v>270.93672727272724</v>
      </c>
      <c r="I12" s="128">
        <f t="shared" si="1"/>
        <v>1083.746909090909</v>
      </c>
      <c r="J12" s="129">
        <f t="shared" si="2"/>
        <v>1192.1215999999999</v>
      </c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</row>
    <row r="13" spans="1:25" ht="20" customHeight="1" x14ac:dyDescent="0.15">
      <c r="A13" s="126" t="str">
        <f>'Tariffs 2021'!F7</f>
        <v>Red Energy</v>
      </c>
      <c r="B13" s="22" t="str">
        <f>'Tariffs 2021'!D7</f>
        <v>Envestra Adelaide</v>
      </c>
      <c r="C13" s="127">
        <f>'Tariffs 2021'!E7</f>
        <v>42916</v>
      </c>
      <c r="D13" s="92">
        <f>91*'Tariffs 2021'!H7/100</f>
        <v>68.25</v>
      </c>
      <c r="E13" s="92">
        <f>IF($C$5&gt;='Tariffs 2021'!J7,('Tariffs 2021'!J7*'Tariffs 2021'!O7/100),($C$5*'Tariffs 2021'!O7/100))</f>
        <v>193.90909090909088</v>
      </c>
      <c r="F13" s="92">
        <v>0</v>
      </c>
      <c r="G13" s="92">
        <f>IF(($C$5&lt;'Tariffs 2021'!K7),(0),($C$5-'Tariffs 2021'!K7)*'Tariffs 2021'!P7/100)</f>
        <v>18</v>
      </c>
      <c r="H13" s="92">
        <f t="shared" si="0"/>
        <v>280.15909090909088</v>
      </c>
      <c r="I13" s="128">
        <f t="shared" si="1"/>
        <v>1120.6363636363635</v>
      </c>
      <c r="J13" s="129">
        <f t="shared" si="2"/>
        <v>1232.7</v>
      </c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</row>
    <row r="14" spans="1:25" ht="20" customHeight="1" x14ac:dyDescent="0.15">
      <c r="A14" s="126" t="str">
        <f>'Tariffs 2021'!F8</f>
        <v>Lumo Energy</v>
      </c>
      <c r="B14" s="22" t="str">
        <f>'Tariffs 2021'!D8</f>
        <v>Envestra Adelaide</v>
      </c>
      <c r="C14" s="127">
        <f>'Tariffs 2021'!E8</f>
        <v>42916</v>
      </c>
      <c r="D14" s="92">
        <f>91*'Tariffs 2021'!H8/100</f>
        <v>68.25</v>
      </c>
      <c r="E14" s="92">
        <f>IF($C$5&gt;='Tariffs 2021'!J8,('Tariffs 2021'!J8*'Tariffs 2021'!O8/100),($C$5*'Tariffs 2021'!O8/100))</f>
        <v>193.90909090909088</v>
      </c>
      <c r="F14" s="92">
        <v>0</v>
      </c>
      <c r="G14" s="92">
        <f>IF(($C$5&lt;'Tariffs 2021'!K8),(0),($C$5-'Tariffs 2021'!K8)*'Tariffs 2021'!P8/100)</f>
        <v>18</v>
      </c>
      <c r="H14" s="92">
        <f t="shared" si="0"/>
        <v>280.15909090909088</v>
      </c>
      <c r="I14" s="128">
        <f t="shared" si="1"/>
        <v>1120.6363636363635</v>
      </c>
      <c r="J14" s="129">
        <f t="shared" si="2"/>
        <v>1232.7</v>
      </c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</row>
    <row r="15" spans="1:25" ht="20" customHeight="1" x14ac:dyDescent="0.15">
      <c r="A15" s="126" t="str">
        <f>'Tariffs 2021'!F9</f>
        <v>GloBird Energy</v>
      </c>
      <c r="B15" s="22" t="str">
        <f>'Tariffs 2021'!D9</f>
        <v>Envestra Adelaide</v>
      </c>
      <c r="C15" s="127">
        <f>'Tariffs 2021'!E9</f>
        <v>42916</v>
      </c>
      <c r="D15" s="92">
        <f>91*'Tariffs 2021'!H9/100</f>
        <v>101.92</v>
      </c>
      <c r="E15" s="92">
        <f>IF($C$5&gt;='Tariffs 2021'!J9,('Tariffs 2021'!J9*'Tariffs 2021'!O9/100),($C$5*'Tariffs 2021'!O9/100))</f>
        <v>170.99999999999997</v>
      </c>
      <c r="F15" s="92">
        <v>0</v>
      </c>
      <c r="G15" s="92">
        <f>IF(($C$5&lt;'Tariffs 2021'!K9),(0),($C$5-'Tariffs 2021'!K9)*'Tariffs 2021'!P9/100)</f>
        <v>15.75</v>
      </c>
      <c r="H15" s="92">
        <f t="shared" ref="H15" si="3">SUM(D15:G15)</f>
        <v>288.66999999999996</v>
      </c>
      <c r="I15" s="128">
        <f t="shared" ref="I15" si="4">H15*4</f>
        <v>1154.6799999999998</v>
      </c>
      <c r="J15" s="129">
        <f t="shared" si="2"/>
        <v>1270.1479999999999</v>
      </c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</row>
    <row r="16" spans="1:25" ht="10" customHeight="1" x14ac:dyDescent="0.15">
      <c r="A16" s="168"/>
      <c r="B16" s="169"/>
      <c r="C16" s="169"/>
      <c r="D16" s="169"/>
      <c r="E16" s="169"/>
      <c r="F16" s="169"/>
      <c r="G16" s="169"/>
      <c r="H16" s="169"/>
      <c r="I16" s="170"/>
      <c r="J16" s="17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</row>
    <row r="17" spans="1:25" ht="20" customHeight="1" x14ac:dyDescent="0.15">
      <c r="A17" s="126" t="str">
        <f>'Tariffs 2021'!F10</f>
        <v>Origin Energy</v>
      </c>
      <c r="B17" s="22" t="str">
        <f>'Tariffs 2021'!D10</f>
        <v>Envestra Port Pirie</v>
      </c>
      <c r="C17" s="127">
        <f>'Tariffs 2021'!E10</f>
        <v>42916</v>
      </c>
      <c r="D17" s="92">
        <f>91*'Tariffs 2021'!H10/100</f>
        <v>67.705654545454536</v>
      </c>
      <c r="E17" s="92">
        <f>IF($C$5&gt;='Tariffs 2021'!J10,('Tariffs 2021'!J10*'Tariffs 2021'!O10/100),($C$5*'Tariffs 2021'!O10/100))</f>
        <v>192.47727272727272</v>
      </c>
      <c r="F17" s="92">
        <v>0</v>
      </c>
      <c r="G17" s="92">
        <f>IF(($C$5&lt;'Tariffs 2021'!K10),(0),($C$5-'Tariffs 2021'!K10)*'Tariffs 2021'!P10/100)</f>
        <v>16.377272727272729</v>
      </c>
      <c r="H17" s="92">
        <f t="shared" si="0"/>
        <v>276.56020000000001</v>
      </c>
      <c r="I17" s="128">
        <f t="shared" si="1"/>
        <v>1106.2408</v>
      </c>
      <c r="J17" s="129">
        <f t="shared" si="2"/>
        <v>1216.8648800000001</v>
      </c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</row>
    <row r="18" spans="1:25" ht="10" customHeight="1" x14ac:dyDescent="0.15">
      <c r="A18" s="168"/>
      <c r="B18" s="169"/>
      <c r="C18" s="169"/>
      <c r="D18" s="169"/>
      <c r="E18" s="169"/>
      <c r="F18" s="169"/>
      <c r="G18" s="169"/>
      <c r="H18" s="169"/>
      <c r="I18" s="170"/>
      <c r="J18" s="17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</row>
    <row r="19" spans="1:25" ht="20" customHeight="1" x14ac:dyDescent="0.15">
      <c r="A19" s="126" t="str">
        <f>'Tariffs 2021'!F11</f>
        <v>Origin Energy</v>
      </c>
      <c r="B19" s="22" t="str">
        <f>'Tariffs 2021'!D11</f>
        <v>Envestra Whyalla</v>
      </c>
      <c r="C19" s="127">
        <f>'Tariffs 2021'!E11</f>
        <v>42916</v>
      </c>
      <c r="D19" s="92">
        <f>91*'Tariffs 2021'!H11/100</f>
        <v>67.705654545454536</v>
      </c>
      <c r="E19" s="92">
        <f>IF($C$5&gt;='Tariffs 2021'!J11,('Tariffs 2021'!J11*'Tariffs 2021'!O11/100),($C$5*'Tariffs 2021'!O11/100))</f>
        <v>192.47727272727272</v>
      </c>
      <c r="F19" s="92">
        <v>0</v>
      </c>
      <c r="G19" s="92">
        <f>IF(($C$5&lt;'Tariffs 2021'!K11),(0),($C$5-'Tariffs 2021'!K11)*'Tariffs 2021'!P11/100)</f>
        <v>16.377272727272729</v>
      </c>
      <c r="H19" s="92">
        <f t="shared" si="0"/>
        <v>276.56020000000001</v>
      </c>
      <c r="I19" s="128">
        <f t="shared" si="1"/>
        <v>1106.2408</v>
      </c>
      <c r="J19" s="129">
        <f t="shared" si="2"/>
        <v>1216.8648800000001</v>
      </c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</row>
    <row r="20" spans="1:25" ht="10" customHeight="1" x14ac:dyDescent="0.15">
      <c r="A20" s="168"/>
      <c r="B20" s="169"/>
      <c r="C20" s="169"/>
      <c r="D20" s="169"/>
      <c r="E20" s="169"/>
      <c r="F20" s="169"/>
      <c r="G20" s="169"/>
      <c r="H20" s="169"/>
      <c r="I20" s="170"/>
      <c r="J20" s="17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</row>
    <row r="21" spans="1:25" ht="20" customHeight="1" x14ac:dyDescent="0.15">
      <c r="A21" s="126" t="str">
        <f>'Tariffs 2021'!F12</f>
        <v>Origin Energy</v>
      </c>
      <c r="B21" s="22" t="str">
        <f>'Tariffs 2021'!D12</f>
        <v>Envestra Mt Gambier</v>
      </c>
      <c r="C21" s="127">
        <f>'Tariffs 2021'!E12</f>
        <v>42916</v>
      </c>
      <c r="D21" s="92">
        <f>91*'Tariffs 2021'!H12/100</f>
        <v>67.705654545454536</v>
      </c>
      <c r="E21" s="92">
        <f>IF($C$5&gt;='Tariffs 2021'!J12,('Tariffs 2021'!J12*'Tariffs 2021'!O12/100),($C$5*'Tariffs 2021'!O12/100))</f>
        <v>192.47727272727272</v>
      </c>
      <c r="F21" s="92">
        <v>0</v>
      </c>
      <c r="G21" s="92">
        <f>IF(($C$5&lt;'Tariffs 2021'!K12),(0),($C$5-'Tariffs 2021'!K12)*'Tariffs 2021'!P12/100)</f>
        <v>16.377272727272729</v>
      </c>
      <c r="H21" s="92">
        <f t="shared" si="0"/>
        <v>276.56020000000001</v>
      </c>
      <c r="I21" s="128">
        <f t="shared" si="1"/>
        <v>1106.2408</v>
      </c>
      <c r="J21" s="129">
        <f t="shared" si="2"/>
        <v>1216.8648800000001</v>
      </c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</row>
    <row r="22" spans="1:25" ht="10" customHeight="1" x14ac:dyDescent="0.15">
      <c r="A22" s="168"/>
      <c r="B22" s="169"/>
      <c r="C22" s="169"/>
      <c r="D22" s="169"/>
      <c r="E22" s="169"/>
      <c r="F22" s="169"/>
      <c r="G22" s="169"/>
      <c r="H22" s="169"/>
      <c r="I22" s="170"/>
      <c r="J22" s="17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</row>
    <row r="23" spans="1:25" ht="20" customHeight="1" thickBot="1" x14ac:dyDescent="0.2">
      <c r="A23" s="130" t="str">
        <f>'Tariffs 2021'!F13</f>
        <v>Origin Energy</v>
      </c>
      <c r="B23" s="131" t="str">
        <f>'Tariffs 2021'!D13</f>
        <v>Envestra Riverland</v>
      </c>
      <c r="C23" s="132">
        <f>'Tariffs 2021'!E13</f>
        <v>42916</v>
      </c>
      <c r="D23" s="133">
        <f>91*'Tariffs 2021'!H13/100</f>
        <v>67.705654545454536</v>
      </c>
      <c r="E23" s="133">
        <f>IF($C$5&gt;='Tariffs 2021'!J13,('Tariffs 2021'!J13*'Tariffs 2021'!O13/100),($C$5*'Tariffs 2021'!O13/100))</f>
        <v>192.47727272727272</v>
      </c>
      <c r="F23" s="133">
        <v>0</v>
      </c>
      <c r="G23" s="133">
        <f>IF(($C$5&lt;'Tariffs 2021'!K13),(0),($C$5-'Tariffs 2021'!K13)*'Tariffs 2021'!P13/100)</f>
        <v>16.377272727272729</v>
      </c>
      <c r="H23" s="133">
        <f t="shared" si="0"/>
        <v>276.56020000000001</v>
      </c>
      <c r="I23" s="134">
        <f t="shared" si="1"/>
        <v>1106.2408</v>
      </c>
      <c r="J23" s="135">
        <f t="shared" si="2"/>
        <v>1216.8648800000001</v>
      </c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</row>
    <row r="24" spans="1:25" customFormat="1" x14ac:dyDescent="0.15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</row>
    <row r="25" spans="1:25" customFormat="1" x14ac:dyDescent="0.15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</row>
    <row r="26" spans="1:25" customFormat="1" x14ac:dyDescent="0.15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customFormat="1" x14ac:dyDescent="0.15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customFormat="1" x14ac:dyDescent="0.15">
      <c r="A28" s="191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</row>
    <row r="29" spans="1:25" customFormat="1" x14ac:dyDescent="0.15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</row>
    <row r="30" spans="1:25" customFormat="1" x14ac:dyDescent="0.15">
      <c r="A30" s="191"/>
      <c r="B30" s="191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</row>
    <row r="31" spans="1:25" customFormat="1" x14ac:dyDescent="0.15">
      <c r="A31" s="191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</row>
    <row r="32" spans="1:25" customFormat="1" x14ac:dyDescent="0.15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</row>
    <row r="33" spans="1:25" customFormat="1" x14ac:dyDescent="0.15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</row>
    <row r="34" spans="1:25" customFormat="1" x14ac:dyDescent="0.15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</row>
    <row r="35" spans="1:25" customFormat="1" x14ac:dyDescent="0.15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</row>
    <row r="36" spans="1:25" customFormat="1" x14ac:dyDescent="0.15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</row>
    <row r="37" spans="1:25" customFormat="1" x14ac:dyDescent="0.15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</row>
    <row r="38" spans="1:25" customFormat="1" x14ac:dyDescent="0.15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</row>
    <row r="39" spans="1:25" customFormat="1" x14ac:dyDescent="0.15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</row>
    <row r="40" spans="1:25" customFormat="1" x14ac:dyDescent="0.15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</row>
    <row r="41" spans="1:25" customFormat="1" x14ac:dyDescent="0.15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</row>
    <row r="42" spans="1:25" customFormat="1" x14ac:dyDescent="0.15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</row>
    <row r="43" spans="1:25" customFormat="1" x14ac:dyDescent="0.15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</row>
    <row r="44" spans="1:25" customFormat="1" x14ac:dyDescent="0.15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</row>
    <row r="45" spans="1:25" customFormat="1" x14ac:dyDescent="0.15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</row>
    <row r="46" spans="1:25" customFormat="1" x14ac:dyDescent="0.15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</row>
    <row r="47" spans="1:25" customFormat="1" x14ac:dyDescent="0.15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</row>
    <row r="48" spans="1:25" customFormat="1" x14ac:dyDescent="0.15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</row>
    <row r="49" spans="1:25" customFormat="1" x14ac:dyDescent="0.15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</row>
    <row r="50" spans="1:25" customFormat="1" x14ac:dyDescent="0.15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</row>
    <row r="51" spans="1:25" customFormat="1" x14ac:dyDescent="0.15">
      <c r="A51" s="191"/>
      <c r="B51" s="191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</row>
    <row r="52" spans="1:25" customFormat="1" x14ac:dyDescent="0.15">
      <c r="A52" s="191"/>
      <c r="B52" s="191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</row>
    <row r="53" spans="1:25" customFormat="1" x14ac:dyDescent="0.15">
      <c r="A53" s="191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</row>
    <row r="54" spans="1:25" customFormat="1" x14ac:dyDescent="0.15">
      <c r="A54" s="191"/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</row>
    <row r="55" spans="1:25" customFormat="1" x14ac:dyDescent="0.15">
      <c r="A55" s="191"/>
      <c r="B55" s="191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</row>
    <row r="56" spans="1:25" customFormat="1" x14ac:dyDescent="0.15">
      <c r="A56" s="191"/>
      <c r="B56" s="191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</row>
    <row r="57" spans="1:25" customFormat="1" x14ac:dyDescent="0.15">
      <c r="A57" s="191"/>
      <c r="B57" s="191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</row>
    <row r="58" spans="1:25" customFormat="1" x14ac:dyDescent="0.15">
      <c r="A58" s="191"/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</row>
    <row r="59" spans="1:25" customFormat="1" x14ac:dyDescent="0.15">
      <c r="A59" s="191"/>
      <c r="B59" s="191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</row>
    <row r="60" spans="1:25" customFormat="1" x14ac:dyDescent="0.15">
      <c r="A60" s="191"/>
      <c r="B60" s="191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</row>
    <row r="61" spans="1:25" customFormat="1" x14ac:dyDescent="0.15">
      <c r="A61" s="191"/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</row>
    <row r="62" spans="1:25" customFormat="1" x14ac:dyDescent="0.15">
      <c r="A62" s="191"/>
      <c r="B62" s="191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</row>
    <row r="63" spans="1:25" customFormat="1" x14ac:dyDescent="0.15">
      <c r="A63" s="191"/>
      <c r="B63" s="191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</row>
    <row r="64" spans="1:25" customFormat="1" x14ac:dyDescent="0.15">
      <c r="A64" s="191"/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</row>
    <row r="65" spans="1:25" customFormat="1" x14ac:dyDescent="0.15">
      <c r="A65" s="191"/>
      <c r="B65" s="191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</row>
    <row r="66" spans="1:25" customFormat="1" x14ac:dyDescent="0.15">
      <c r="A66" s="191"/>
      <c r="B66" s="191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</row>
    <row r="67" spans="1:25" customFormat="1" x14ac:dyDescent="0.15">
      <c r="A67" s="191"/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</row>
    <row r="68" spans="1:25" customFormat="1" x14ac:dyDescent="0.15">
      <c r="A68" s="191"/>
      <c r="B68" s="191"/>
      <c r="C68" s="191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</row>
    <row r="69" spans="1:25" customFormat="1" x14ac:dyDescent="0.15">
      <c r="A69" s="191"/>
      <c r="B69" s="191"/>
      <c r="C69" s="191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</row>
    <row r="70" spans="1:25" customFormat="1" x14ac:dyDescent="0.15">
      <c r="A70" s="191"/>
      <c r="B70" s="191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</row>
    <row r="71" spans="1:25" customFormat="1" x14ac:dyDescent="0.15">
      <c r="A71" s="191"/>
      <c r="B71" s="191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</row>
    <row r="72" spans="1:25" customFormat="1" x14ac:dyDescent="0.15">
      <c r="A72" s="191"/>
      <c r="B72" s="191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</row>
    <row r="73" spans="1:25" customFormat="1" x14ac:dyDescent="0.15">
      <c r="A73" s="191"/>
      <c r="B73" s="191"/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</row>
    <row r="74" spans="1:25" customFormat="1" x14ac:dyDescent="0.15">
      <c r="A74" s="191"/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</row>
    <row r="75" spans="1:25" customFormat="1" x14ac:dyDescent="0.15">
      <c r="A75" s="191"/>
      <c r="B75" s="191"/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</row>
    <row r="76" spans="1:25" customFormat="1" x14ac:dyDescent="0.15">
      <c r="A76" s="191"/>
      <c r="B76" s="191"/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</row>
    <row r="77" spans="1:25" customFormat="1" x14ac:dyDescent="0.15">
      <c r="A77" s="191"/>
      <c r="B77" s="191"/>
      <c r="C77" s="191"/>
      <c r="D77" s="191"/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</row>
    <row r="78" spans="1:25" customFormat="1" x14ac:dyDescent="0.15">
      <c r="A78" s="191"/>
      <c r="B78" s="191"/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</row>
    <row r="79" spans="1:25" customFormat="1" x14ac:dyDescent="0.15">
      <c r="A79" s="191"/>
      <c r="B79" s="191"/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91"/>
      <c r="Y79" s="191"/>
    </row>
    <row r="80" spans="1:25" customFormat="1" x14ac:dyDescent="0.15">
      <c r="A80" s="191"/>
      <c r="B80" s="191"/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</row>
    <row r="81" spans="1:25" customFormat="1" x14ac:dyDescent="0.15">
      <c r="A81" s="191"/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</row>
    <row r="82" spans="1:25" customFormat="1" x14ac:dyDescent="0.15">
      <c r="A82" s="191"/>
      <c r="B82" s="191"/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</row>
    <row r="83" spans="1:25" customFormat="1" x14ac:dyDescent="0.15">
      <c r="A83" s="191"/>
      <c r="B83" s="191"/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</row>
    <row r="84" spans="1:25" customFormat="1" x14ac:dyDescent="0.15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</row>
    <row r="85" spans="1:25" customFormat="1" x14ac:dyDescent="0.15">
      <c r="A85" s="191"/>
      <c r="B85" s="191"/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</row>
    <row r="86" spans="1:25" customFormat="1" x14ac:dyDescent="0.15">
      <c r="A86" s="191"/>
      <c r="B86" s="191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</row>
    <row r="87" spans="1:25" customFormat="1" x14ac:dyDescent="0.15">
      <c r="A87" s="191"/>
      <c r="B87" s="191"/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</row>
    <row r="88" spans="1:25" customFormat="1" x14ac:dyDescent="0.15">
      <c r="A88" s="191"/>
      <c r="B88" s="191"/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</row>
    <row r="89" spans="1:25" customFormat="1" x14ac:dyDescent="0.15">
      <c r="A89" s="191"/>
      <c r="B89" s="191"/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</row>
    <row r="90" spans="1:25" customFormat="1" x14ac:dyDescent="0.15">
      <c r="A90" s="191"/>
      <c r="B90" s="191"/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</row>
    <row r="91" spans="1:25" customFormat="1" x14ac:dyDescent="0.15">
      <c r="A91" s="191"/>
      <c r="B91" s="191"/>
      <c r="C91" s="191"/>
      <c r="D91" s="191"/>
      <c r="E91" s="191"/>
      <c r="F91" s="191"/>
      <c r="G91" s="191"/>
      <c r="H91" s="191"/>
      <c r="I91" s="191"/>
      <c r="J91" s="191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</row>
    <row r="92" spans="1:25" customFormat="1" x14ac:dyDescent="0.15">
      <c r="A92" s="191"/>
      <c r="B92" s="191"/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</row>
    <row r="93" spans="1:25" customFormat="1" x14ac:dyDescent="0.15">
      <c r="A93" s="191"/>
      <c r="B93" s="191"/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</row>
    <row r="94" spans="1:25" customFormat="1" x14ac:dyDescent="0.15">
      <c r="A94" s="191"/>
      <c r="B94" s="191"/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</row>
    <row r="95" spans="1:25" customFormat="1" x14ac:dyDescent="0.15">
      <c r="A95" s="191"/>
      <c r="B95" s="191"/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</row>
    <row r="96" spans="1:25" customFormat="1" x14ac:dyDescent="0.15">
      <c r="A96" s="191"/>
      <c r="B96" s="191"/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</row>
    <row r="97" spans="1:25" customFormat="1" x14ac:dyDescent="0.15">
      <c r="A97" s="191"/>
      <c r="B97" s="191"/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</row>
    <row r="98" spans="1:25" customFormat="1" x14ac:dyDescent="0.15">
      <c r="A98" s="191"/>
      <c r="B98" s="191"/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</row>
    <row r="99" spans="1:25" customFormat="1" x14ac:dyDescent="0.15">
      <c r="A99" s="191"/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</row>
    <row r="100" spans="1:25" customFormat="1" x14ac:dyDescent="0.15">
      <c r="A100" s="191"/>
      <c r="B100" s="191"/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</row>
    <row r="101" spans="1:25" customFormat="1" x14ac:dyDescent="0.15">
      <c r="A101" s="191"/>
      <c r="B101" s="191"/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</row>
    <row r="102" spans="1:25" customFormat="1" x14ac:dyDescent="0.15">
      <c r="A102" s="191"/>
      <c r="B102" s="191"/>
      <c r="C102" s="191"/>
      <c r="D102" s="191"/>
      <c r="E102" s="191"/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</row>
    <row r="103" spans="1:25" customFormat="1" x14ac:dyDescent="0.15">
      <c r="A103" s="191"/>
      <c r="B103" s="191"/>
      <c r="C103" s="191"/>
      <c r="D103" s="191"/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</row>
    <row r="104" spans="1:25" customFormat="1" x14ac:dyDescent="0.15">
      <c r="A104" s="191"/>
      <c r="B104" s="191"/>
      <c r="C104" s="191"/>
      <c r="D104" s="191"/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</row>
    <row r="105" spans="1:25" customFormat="1" x14ac:dyDescent="0.15">
      <c r="A105" s="191"/>
      <c r="B105" s="191"/>
      <c r="C105" s="191"/>
      <c r="D105" s="191"/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</row>
    <row r="106" spans="1:25" customFormat="1" x14ac:dyDescent="0.15">
      <c r="A106" s="191"/>
      <c r="B106" s="191"/>
      <c r="C106" s="191"/>
      <c r="D106" s="191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</row>
    <row r="107" spans="1:25" customFormat="1" x14ac:dyDescent="0.15">
      <c r="A107" s="191"/>
      <c r="B107" s="191"/>
      <c r="C107" s="191"/>
      <c r="D107" s="191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</row>
    <row r="108" spans="1:25" customFormat="1" x14ac:dyDescent="0.15">
      <c r="A108" s="191"/>
      <c r="B108" s="191"/>
      <c r="C108" s="191"/>
      <c r="D108" s="191"/>
      <c r="E108" s="191"/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</row>
    <row r="109" spans="1:25" customFormat="1" x14ac:dyDescent="0.15">
      <c r="A109" s="191"/>
      <c r="B109" s="191"/>
      <c r="C109" s="191"/>
      <c r="D109" s="191"/>
      <c r="E109" s="191"/>
      <c r="F109" s="191"/>
      <c r="G109" s="191"/>
      <c r="H109" s="191"/>
      <c r="I109" s="191"/>
      <c r="J109" s="191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</row>
    <row r="110" spans="1:25" customFormat="1" x14ac:dyDescent="0.15">
      <c r="A110" s="191"/>
      <c r="B110" s="191"/>
      <c r="C110" s="191"/>
      <c r="D110" s="191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</row>
    <row r="111" spans="1:25" customFormat="1" x14ac:dyDescent="0.15">
      <c r="A111" s="191"/>
      <c r="B111" s="191"/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</row>
    <row r="112" spans="1:25" customFormat="1" x14ac:dyDescent="0.15">
      <c r="A112" s="191"/>
      <c r="B112" s="191"/>
      <c r="C112" s="191"/>
      <c r="D112" s="191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</row>
    <row r="113" spans="1:25" customFormat="1" x14ac:dyDescent="0.15">
      <c r="A113" s="191"/>
      <c r="B113" s="191"/>
      <c r="C113" s="191"/>
      <c r="D113" s="191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</row>
    <row r="114" spans="1:25" customFormat="1" x14ac:dyDescent="0.15">
      <c r="A114" s="191"/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</row>
    <row r="115" spans="1:25" customFormat="1" x14ac:dyDescent="0.15">
      <c r="A115" s="191"/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</row>
    <row r="116" spans="1:25" customFormat="1" x14ac:dyDescent="0.15">
      <c r="A116" s="191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</row>
    <row r="117" spans="1:25" customFormat="1" x14ac:dyDescent="0.15">
      <c r="A117" s="191"/>
      <c r="B117" s="191"/>
      <c r="C117" s="191"/>
      <c r="D117" s="191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</row>
    <row r="118" spans="1:25" customFormat="1" x14ac:dyDescent="0.15">
      <c r="A118" s="191"/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</row>
    <row r="119" spans="1:25" customFormat="1" x14ac:dyDescent="0.15"/>
    <row r="120" spans="1:25" customFormat="1" x14ac:dyDescent="0.15"/>
    <row r="121" spans="1:25" customFormat="1" x14ac:dyDescent="0.15"/>
    <row r="122" spans="1:25" customFormat="1" x14ac:dyDescent="0.15"/>
    <row r="123" spans="1:25" customFormat="1" x14ac:dyDescent="0.15"/>
    <row r="124" spans="1:25" customFormat="1" x14ac:dyDescent="0.15"/>
    <row r="125" spans="1:25" customFormat="1" x14ac:dyDescent="0.15"/>
    <row r="126" spans="1:25" customFormat="1" x14ac:dyDescent="0.15"/>
    <row r="127" spans="1:25" customFormat="1" x14ac:dyDescent="0.15"/>
    <row r="128" spans="1:25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</sheetData>
  <sheetProtection algorithmName="SHA-512" hashValue="t1FBT/cjEr9AcqKOjOI0RvXB9fLg/+mJmDrn/SfCHzIYyHZgQaTkIE9/2xHGwdnZ70qks9jSmfuHya+CPmkyQg==" saltValue="iXa28jIWpDPBY0t9ydKBvA==" spinCount="100000" sheet="1" objects="1" scenarios="1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B90D9-AB5B-8E43-A388-E58A33ADC0D3}">
  <sheetPr codeName="Sheet2"/>
  <dimension ref="A1:J24"/>
  <sheetViews>
    <sheetView zoomScale="120" zoomScaleNormal="120" workbookViewId="0">
      <selection activeCell="J8" sqref="J8:J15"/>
    </sheetView>
  </sheetViews>
  <sheetFormatPr baseColWidth="10" defaultRowHeight="13" x14ac:dyDescent="0.15"/>
  <cols>
    <col min="1" max="1" width="15.5" style="164" customWidth="1"/>
    <col min="2" max="2" width="20.33203125" style="164" customWidth="1"/>
    <col min="3" max="3" width="11.83203125" style="164" customWidth="1"/>
    <col min="4" max="10" width="12.1640625" style="164" customWidth="1"/>
    <col min="11" max="16384" width="10.83203125" style="164"/>
  </cols>
  <sheetData>
    <row r="1" spans="1:10" ht="14" x14ac:dyDescent="0.15">
      <c r="A1" s="163" t="s">
        <v>8</v>
      </c>
      <c r="B1" s="163"/>
      <c r="C1" s="163"/>
      <c r="D1" s="163"/>
      <c r="E1" s="163"/>
      <c r="F1" s="163"/>
      <c r="G1" s="163"/>
      <c r="H1" s="163"/>
      <c r="I1" s="163"/>
      <c r="J1" s="163"/>
    </row>
    <row r="2" spans="1:10" ht="14" x14ac:dyDescent="0.15">
      <c r="A2" s="165" t="s">
        <v>95</v>
      </c>
      <c r="B2" s="165"/>
      <c r="C2" s="163"/>
      <c r="D2" s="163"/>
      <c r="E2" s="163"/>
      <c r="F2" s="163"/>
      <c r="G2" s="163"/>
      <c r="H2" s="163"/>
      <c r="I2" s="163"/>
      <c r="J2" s="163"/>
    </row>
    <row r="3" spans="1:10" ht="15" thickBot="1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</row>
    <row r="4" spans="1:10" ht="14" x14ac:dyDescent="0.15">
      <c r="A4" s="120" t="s">
        <v>96</v>
      </c>
      <c r="B4" s="121"/>
      <c r="C4" s="122"/>
      <c r="D4" s="122"/>
      <c r="E4" s="122"/>
      <c r="F4" s="122"/>
      <c r="G4" s="122"/>
      <c r="H4" s="122"/>
      <c r="I4" s="122"/>
      <c r="J4" s="123"/>
    </row>
    <row r="5" spans="1:10" ht="14" x14ac:dyDescent="0.15">
      <c r="A5" s="124" t="s">
        <v>181</v>
      </c>
      <c r="B5" s="73"/>
      <c r="C5" s="187">
        <v>5250</v>
      </c>
      <c r="D5" s="22"/>
      <c r="E5" s="73"/>
      <c r="F5" s="73"/>
      <c r="G5" s="73"/>
      <c r="H5" s="73"/>
      <c r="I5" s="73"/>
      <c r="J5" s="125"/>
    </row>
    <row r="6" spans="1:10" ht="14" x14ac:dyDescent="0.15">
      <c r="A6" s="124"/>
      <c r="B6" s="73"/>
      <c r="C6" s="73"/>
      <c r="D6" s="73"/>
      <c r="E6" s="73"/>
      <c r="F6" s="73"/>
      <c r="G6" s="73"/>
      <c r="H6" s="73"/>
      <c r="I6" s="73"/>
      <c r="J6" s="125"/>
    </row>
    <row r="7" spans="1:10" ht="30" x14ac:dyDescent="0.15">
      <c r="A7" s="173" t="s">
        <v>114</v>
      </c>
      <c r="B7" s="174" t="s">
        <v>97</v>
      </c>
      <c r="C7" s="175" t="s">
        <v>103</v>
      </c>
      <c r="D7" s="175" t="s">
        <v>93</v>
      </c>
      <c r="E7" s="175" t="s">
        <v>98</v>
      </c>
      <c r="F7" s="176" t="s">
        <v>99</v>
      </c>
      <c r="G7" s="176" t="s">
        <v>100</v>
      </c>
      <c r="H7" s="176" t="s">
        <v>207</v>
      </c>
      <c r="I7" s="177" t="s">
        <v>94</v>
      </c>
      <c r="J7" s="178" t="s">
        <v>101</v>
      </c>
    </row>
    <row r="8" spans="1:10" ht="20" customHeight="1" x14ac:dyDescent="0.15">
      <c r="A8" s="126" t="str">
        <f>'Tariffs 2020'!F2</f>
        <v>AGL</v>
      </c>
      <c r="B8" s="22" t="str">
        <f>'Tariffs 2020'!D2</f>
        <v>Envestra SA</v>
      </c>
      <c r="C8" s="127">
        <f>'Tariffs 2020'!E2</f>
        <v>42551</v>
      </c>
      <c r="D8" s="92">
        <f>91*'Tariffs 2020'!H2/100</f>
        <v>65.61099999999999</v>
      </c>
      <c r="E8" s="92">
        <f>IF($C$5&gt;='Tariffs 2020'!J2,('Tariffs 2020'!J2*'Tariffs 2020'!O2/100),($C$5*'Tariffs 2020'!O2/100))</f>
        <v>200.45454545454544</v>
      </c>
      <c r="F8" s="92">
        <v>0</v>
      </c>
      <c r="G8" s="92">
        <f>IF(($C$5&lt;'Tariffs 2020'!K2),(0),($C$5-'Tariffs 2020'!K2)*'Tariffs 2020'!P2/100)</f>
        <v>0</v>
      </c>
      <c r="H8" s="92">
        <f>SUM(D8:G8)</f>
        <v>266.06554545454543</v>
      </c>
      <c r="I8" s="128">
        <f>H8*4</f>
        <v>1064.2621818181817</v>
      </c>
      <c r="J8" s="129">
        <f>I8*1.1</f>
        <v>1170.6884</v>
      </c>
    </row>
    <row r="9" spans="1:10" ht="20" customHeight="1" x14ac:dyDescent="0.15">
      <c r="A9" s="126" t="str">
        <f>'Tariffs 2020'!F3</f>
        <v xml:space="preserve">Alinta Energy </v>
      </c>
      <c r="B9" s="22" t="str">
        <f>'Tariffs 2020'!D3</f>
        <v>Envestra Adelaide</v>
      </c>
      <c r="C9" s="127">
        <f>'Tariffs 2020'!E3</f>
        <v>42551</v>
      </c>
      <c r="D9" s="92">
        <f>91*'Tariffs 2020'!H3/100</f>
        <v>63.766181818181813</v>
      </c>
      <c r="E9" s="92">
        <f>IF($C$5&gt;='Tariffs 2020'!J3,('Tariffs 2020'!J3*'Tariffs 2020'!O3/100),($C$5*'Tariffs 2020'!O3/100))</f>
        <v>193.5</v>
      </c>
      <c r="F9" s="92">
        <v>0</v>
      </c>
      <c r="G9" s="92">
        <f>IF(($C$5&lt;'Tariffs 2020'!K3),(0),($C$5-'Tariffs 2020'!K3)*'Tariffs 2020'!P3/100)</f>
        <v>21.954545454545453</v>
      </c>
      <c r="H9" s="92">
        <f t="shared" ref="H9:H23" si="0">SUM(D9:G9)</f>
        <v>279.22072727272723</v>
      </c>
      <c r="I9" s="128">
        <f t="shared" ref="I9:I23" si="1">H9*4</f>
        <v>1116.8829090909089</v>
      </c>
      <c r="J9" s="129">
        <f t="shared" ref="J9:J23" si="2">I9*1.1</f>
        <v>1228.5711999999999</v>
      </c>
    </row>
    <row r="10" spans="1:10" ht="20" customHeight="1" x14ac:dyDescent="0.15">
      <c r="A10" s="126" t="str">
        <f>'Tariffs 2020'!F4</f>
        <v>EnergyAustralia</v>
      </c>
      <c r="B10" s="22" t="str">
        <f>'Tariffs 2020'!D4</f>
        <v>Envestra Adelaide</v>
      </c>
      <c r="C10" s="127">
        <f>'Tariffs 2020'!E4</f>
        <v>42577</v>
      </c>
      <c r="D10" s="92">
        <f>91*'Tariffs 2020'!H4/100</f>
        <v>75.438999999999993</v>
      </c>
      <c r="E10" s="92">
        <f>IF($C$5&gt;='Tariffs 2020'!J4,('Tariffs 2020'!J4*'Tariffs 2020'!O4/100),($C$5*'Tariffs 2020'!O4/100))</f>
        <v>115.68181818181819</v>
      </c>
      <c r="F10" s="92">
        <f>IF($C$5&lt;'Tariffs 2020'!J4,0,IF(($C$5-'Tariffs 2020'!J4)&lt;='Tariffs 2020'!K4,(($C$5-'Tariffs 2020'!J4)*'Tariffs 2020'!P4/100),(('Tariffs 2020'!K4-'Tariffs 2020'!J4)*'Tariffs 2020'!P4/100)))</f>
        <v>110</v>
      </c>
      <c r="G10" s="92">
        <f>IF(($C$5&lt;'Tariffs 2020'!K4),(0),($C$5-'Tariffs 2020'!K4)*'Tariffs 2020'!Q4/100)</f>
        <v>17.795454545454547</v>
      </c>
      <c r="H10" s="92">
        <f t="shared" si="0"/>
        <v>318.91627272727277</v>
      </c>
      <c r="I10" s="128">
        <f t="shared" si="1"/>
        <v>1275.6650909090911</v>
      </c>
      <c r="J10" s="129">
        <f t="shared" si="2"/>
        <v>1403.2316000000003</v>
      </c>
    </row>
    <row r="11" spans="1:10" ht="20" customHeight="1" x14ac:dyDescent="0.15">
      <c r="A11" s="126" t="str">
        <f>'Tariffs 2020'!F5</f>
        <v>Origin Energy</v>
      </c>
      <c r="B11" s="22" t="str">
        <f>'Tariffs 2020'!D5</f>
        <v>Envestra Adelaide</v>
      </c>
      <c r="C11" s="127">
        <f>'Tariffs 2020'!E5</f>
        <v>42551</v>
      </c>
      <c r="D11" s="92">
        <f>91*'Tariffs 2020'!H5/100</f>
        <v>65.098090909090899</v>
      </c>
      <c r="E11" s="92">
        <f>IF($C$5&gt;='Tariffs 2020'!J5,('Tariffs 2020'!J5*'Tariffs 2020'!O5/100),($C$5*'Tariffs 2020'!O5/100))</f>
        <v>186.95454545454544</v>
      </c>
      <c r="F11" s="92">
        <v>0</v>
      </c>
      <c r="G11" s="92">
        <f>IF(($C$5&lt;'Tariffs 2020'!K5),(0),($C$5-'Tariffs 2020'!K5)*'Tariffs 2020'!P5/100)</f>
        <v>14.863636363636363</v>
      </c>
      <c r="H11" s="92">
        <f t="shared" si="0"/>
        <v>266.91627272727271</v>
      </c>
      <c r="I11" s="128">
        <f t="shared" si="1"/>
        <v>1067.6650909090908</v>
      </c>
      <c r="J11" s="129">
        <f t="shared" si="2"/>
        <v>1174.4316000000001</v>
      </c>
    </row>
    <row r="12" spans="1:10" ht="20" customHeight="1" x14ac:dyDescent="0.15">
      <c r="A12" s="126" t="str">
        <f>'Tariffs 2020'!F6</f>
        <v>Simply Energy</v>
      </c>
      <c r="B12" s="22" t="str">
        <f>'Tariffs 2020'!D6</f>
        <v>Envestra Adelaide</v>
      </c>
      <c r="C12" s="127">
        <f>'Tariffs 2020'!E6</f>
        <v>42551</v>
      </c>
      <c r="D12" s="92">
        <f>91*'Tariffs 2020'!H6/100</f>
        <v>52.482181818181807</v>
      </c>
      <c r="E12" s="92">
        <f>IF($C$5&gt;='Tariffs 2020'!J6,('Tariffs 2020'!J6*'Tariffs 2020'!O6/100),($C$5*'Tariffs 2020'!O6/100))</f>
        <v>121.59090909090908</v>
      </c>
      <c r="F12" s="92">
        <f>IF($C$5&lt;'Tariffs 2020'!J6,0,IF(($C$5-'Tariffs 2020'!J6)&lt;='Tariffs 2020'!K6,(($C$5-'Tariffs 2020'!J6)*'Tariffs 2020'!P6/100),(('Tariffs 2020'!K6-'Tariffs 2020'!J6)*'Tariffs 2020'!P6/100)))</f>
        <v>82.75</v>
      </c>
      <c r="G12" s="92">
        <f>IF(($C$5&lt;'Tariffs 2020'!K6),(0),($C$5-'Tariffs 2020'!K6)*'Tariffs 2020'!Q6/100)</f>
        <v>14.113636363636363</v>
      </c>
      <c r="H12" s="92">
        <f t="shared" si="0"/>
        <v>270.93672727272724</v>
      </c>
      <c r="I12" s="128">
        <f t="shared" si="1"/>
        <v>1083.746909090909</v>
      </c>
      <c r="J12" s="129">
        <f t="shared" si="2"/>
        <v>1192.1215999999999</v>
      </c>
    </row>
    <row r="13" spans="1:10" ht="20" customHeight="1" x14ac:dyDescent="0.15">
      <c r="A13" s="126" t="str">
        <f>'Tariffs 2020'!F7</f>
        <v>Red Energy</v>
      </c>
      <c r="B13" s="22" t="str">
        <f>'Tariffs 2020'!D7</f>
        <v>Envestra Adelaide</v>
      </c>
      <c r="C13" s="127">
        <f>'Tariffs 2020'!E7</f>
        <v>42551</v>
      </c>
      <c r="D13" s="92">
        <f>91*'Tariffs 2020'!H7/100</f>
        <v>68.25</v>
      </c>
      <c r="E13" s="92">
        <f>IF($C$5&gt;='Tariffs 2020'!J7,('Tariffs 2020'!J7*'Tariffs 2020'!O7/100),($C$5*'Tariffs 2020'!O7/100))</f>
        <v>193.90909090909088</v>
      </c>
      <c r="F13" s="92">
        <v>0</v>
      </c>
      <c r="G13" s="92">
        <f>IF(($C$5&lt;'Tariffs 2020'!K7),(0),($C$5-'Tariffs 2020'!K7)*'Tariffs 2020'!P7/100)</f>
        <v>18</v>
      </c>
      <c r="H13" s="92">
        <f t="shared" si="0"/>
        <v>280.15909090909088</v>
      </c>
      <c r="I13" s="128">
        <f t="shared" si="1"/>
        <v>1120.6363636363635</v>
      </c>
      <c r="J13" s="129">
        <f t="shared" si="2"/>
        <v>1232.7</v>
      </c>
    </row>
    <row r="14" spans="1:10" ht="20" customHeight="1" x14ac:dyDescent="0.15">
      <c r="A14" s="126" t="str">
        <f>'Tariffs 2020'!F8</f>
        <v>Lumo Energy</v>
      </c>
      <c r="B14" s="22" t="str">
        <f>'Tariffs 2020'!D8</f>
        <v>Envestra Adelaide</v>
      </c>
      <c r="C14" s="127">
        <f>'Tariffs 2020'!E8</f>
        <v>42551</v>
      </c>
      <c r="D14" s="92">
        <f>91*'Tariffs 2020'!H8/100</f>
        <v>68.25</v>
      </c>
      <c r="E14" s="92">
        <f>IF($C$5&gt;='Tariffs 2020'!J8,('Tariffs 2020'!J8*'Tariffs 2020'!O8/100),($C$5*'Tariffs 2020'!O8/100))</f>
        <v>193.90909090909088</v>
      </c>
      <c r="F14" s="92">
        <v>0</v>
      </c>
      <c r="G14" s="92">
        <f>IF(($C$5&lt;'Tariffs 2020'!K8),(0),($C$5-'Tariffs 2020'!K8)*'Tariffs 2020'!P8/100)</f>
        <v>18</v>
      </c>
      <c r="H14" s="92">
        <f t="shared" si="0"/>
        <v>280.15909090909088</v>
      </c>
      <c r="I14" s="128">
        <f t="shared" si="1"/>
        <v>1120.6363636363635</v>
      </c>
      <c r="J14" s="129">
        <f t="shared" si="2"/>
        <v>1232.7</v>
      </c>
    </row>
    <row r="15" spans="1:10" ht="20" customHeight="1" x14ac:dyDescent="0.15">
      <c r="A15" s="126" t="str">
        <f>'Tariffs 2020'!F9</f>
        <v>GloBird Energy</v>
      </c>
      <c r="B15" s="22" t="str">
        <f>'Tariffs 2020'!D9</f>
        <v>Envestra Adelaide</v>
      </c>
      <c r="C15" s="127">
        <f>'Tariffs 2020'!E9</f>
        <v>42551</v>
      </c>
      <c r="D15" s="92">
        <f>91*'Tariffs 2020'!H9/100</f>
        <v>104.64999999999998</v>
      </c>
      <c r="E15" s="92">
        <f>IF($C$5&gt;='Tariffs 2020'!J9,('Tariffs 2020'!J9*'Tariffs 2020'!O9/100),($C$5*'Tariffs 2020'!O9/100))</f>
        <v>199.49999999999997</v>
      </c>
      <c r="F15" s="92">
        <v>0</v>
      </c>
      <c r="G15" s="92">
        <f>IF(($C$5&lt;'Tariffs 2020'!K9),(0),($C$5-'Tariffs 2020'!K9)*'Tariffs 2020'!P9/100)</f>
        <v>0</v>
      </c>
      <c r="H15" s="92">
        <f>SUM(D15:G15)</f>
        <v>304.14999999999998</v>
      </c>
      <c r="I15" s="128">
        <f t="shared" ref="I15" si="3">H15*4</f>
        <v>1216.5999999999999</v>
      </c>
      <c r="J15" s="129">
        <f t="shared" ref="J15" si="4">I15*1.1</f>
        <v>1338.26</v>
      </c>
    </row>
    <row r="16" spans="1:10" ht="10" customHeight="1" x14ac:dyDescent="0.15">
      <c r="A16" s="168"/>
      <c r="B16" s="169"/>
      <c r="C16" s="169"/>
      <c r="D16" s="169"/>
      <c r="E16" s="169"/>
      <c r="F16" s="169"/>
      <c r="G16" s="169"/>
      <c r="H16" s="169"/>
      <c r="I16" s="170"/>
      <c r="J16" s="171"/>
    </row>
    <row r="17" spans="1:10" ht="20" customHeight="1" x14ac:dyDescent="0.15">
      <c r="A17" s="126" t="str">
        <f>'Tariffs 2020'!F10</f>
        <v>Origin Energy</v>
      </c>
      <c r="B17" s="22" t="str">
        <f>'Tariffs 2020'!D10</f>
        <v>Envestra Port Pirie</v>
      </c>
      <c r="C17" s="127">
        <f>'Tariffs 2020'!E10</f>
        <v>42551</v>
      </c>
      <c r="D17" s="92">
        <f>91*'Tariffs 2020'!H10/100</f>
        <v>65.098090909090899</v>
      </c>
      <c r="E17" s="92">
        <f>IF($C$5&gt;='Tariffs 2020'!J10,('Tariffs 2020'!J10*'Tariffs 2020'!O10/100),($C$5*'Tariffs 2020'!O10/100))</f>
        <v>186.95454545454544</v>
      </c>
      <c r="F17" s="92">
        <v>0</v>
      </c>
      <c r="G17" s="92">
        <f>IF(($C$5&lt;'Tariffs 2020'!K10),(0),($C$5-'Tariffs 2020'!K10)*'Tariffs 2020'!P10/100)</f>
        <v>14.863636363636363</v>
      </c>
      <c r="H17" s="92">
        <f t="shared" si="0"/>
        <v>266.91627272727271</v>
      </c>
      <c r="I17" s="128">
        <f t="shared" si="1"/>
        <v>1067.6650909090908</v>
      </c>
      <c r="J17" s="129">
        <f t="shared" si="2"/>
        <v>1174.4316000000001</v>
      </c>
    </row>
    <row r="18" spans="1:10" ht="10" customHeight="1" x14ac:dyDescent="0.15">
      <c r="A18" s="168"/>
      <c r="B18" s="169"/>
      <c r="C18" s="169"/>
      <c r="D18" s="169"/>
      <c r="E18" s="169"/>
      <c r="F18" s="169"/>
      <c r="G18" s="169"/>
      <c r="H18" s="169"/>
      <c r="I18" s="170"/>
      <c r="J18" s="171"/>
    </row>
    <row r="19" spans="1:10" ht="20" customHeight="1" x14ac:dyDescent="0.15">
      <c r="A19" s="126" t="str">
        <f>'Tariffs 2020'!F11</f>
        <v>Origin Energy</v>
      </c>
      <c r="B19" s="22" t="str">
        <f>'Tariffs 2020'!D11</f>
        <v>Envestra Whyalla</v>
      </c>
      <c r="C19" s="127">
        <f>'Tariffs 2020'!E11</f>
        <v>42551</v>
      </c>
      <c r="D19" s="92">
        <f>91*'Tariffs 2020'!H11/100</f>
        <v>65.098090909090899</v>
      </c>
      <c r="E19" s="92">
        <f>IF($C$5&gt;='Tariffs 2020'!J11,('Tariffs 2020'!J11*'Tariffs 2020'!O11/100),($C$5*'Tariffs 2020'!O11/100))</f>
        <v>186.95454545454544</v>
      </c>
      <c r="F19" s="92">
        <v>0</v>
      </c>
      <c r="G19" s="92">
        <f>IF(($C$5&lt;'Tariffs 2020'!K11),(0),($C$5-'Tariffs 2020'!K11)*'Tariffs 2020'!P11/100)</f>
        <v>14.863636363636363</v>
      </c>
      <c r="H19" s="92">
        <f t="shared" si="0"/>
        <v>266.91627272727271</v>
      </c>
      <c r="I19" s="128">
        <f t="shared" si="1"/>
        <v>1067.6650909090908</v>
      </c>
      <c r="J19" s="129">
        <f t="shared" si="2"/>
        <v>1174.4316000000001</v>
      </c>
    </row>
    <row r="20" spans="1:10" ht="10" customHeight="1" x14ac:dyDescent="0.15">
      <c r="A20" s="168"/>
      <c r="B20" s="169"/>
      <c r="C20" s="169"/>
      <c r="D20" s="169"/>
      <c r="E20" s="169"/>
      <c r="F20" s="169"/>
      <c r="G20" s="169"/>
      <c r="H20" s="169"/>
      <c r="I20" s="170"/>
      <c r="J20" s="171"/>
    </row>
    <row r="21" spans="1:10" ht="20" customHeight="1" x14ac:dyDescent="0.15">
      <c r="A21" s="126" t="str">
        <f>'Tariffs 2020'!F12</f>
        <v>Origin Energy</v>
      </c>
      <c r="B21" s="22" t="str">
        <f>'Tariffs 2020'!D12</f>
        <v>Envestra Mt Gambier</v>
      </c>
      <c r="C21" s="127">
        <f>'Tariffs 2020'!E12</f>
        <v>42551</v>
      </c>
      <c r="D21" s="92">
        <f>91*'Tariffs 2020'!H12/100</f>
        <v>65.098090909090899</v>
      </c>
      <c r="E21" s="92">
        <f>IF($C$5&gt;='Tariffs 2020'!J12,('Tariffs 2020'!J12*'Tariffs 2020'!O12/100),($C$5*'Tariffs 2020'!O12/100))</f>
        <v>186.95454545454544</v>
      </c>
      <c r="F21" s="92">
        <v>0</v>
      </c>
      <c r="G21" s="92">
        <f>IF(($C$5&lt;'Tariffs 2020'!K12),(0),($C$5-'Tariffs 2020'!K12)*'Tariffs 2020'!P12/100)</f>
        <v>14.863636363636363</v>
      </c>
      <c r="H21" s="92">
        <f t="shared" si="0"/>
        <v>266.91627272727271</v>
      </c>
      <c r="I21" s="128">
        <f t="shared" si="1"/>
        <v>1067.6650909090908</v>
      </c>
      <c r="J21" s="129">
        <f t="shared" si="2"/>
        <v>1174.4316000000001</v>
      </c>
    </row>
    <row r="22" spans="1:10" ht="10" customHeight="1" x14ac:dyDescent="0.15">
      <c r="A22" s="168"/>
      <c r="B22" s="169"/>
      <c r="C22" s="169"/>
      <c r="D22" s="169"/>
      <c r="E22" s="169"/>
      <c r="F22" s="169"/>
      <c r="G22" s="169"/>
      <c r="H22" s="169"/>
      <c r="I22" s="170"/>
      <c r="J22" s="171"/>
    </row>
    <row r="23" spans="1:10" ht="20" customHeight="1" thickBot="1" x14ac:dyDescent="0.2">
      <c r="A23" s="130" t="str">
        <f>'Tariffs 2020'!F13</f>
        <v>Origin Energy</v>
      </c>
      <c r="B23" s="131" t="str">
        <f>'Tariffs 2020'!D13</f>
        <v>Envestra Riverland</v>
      </c>
      <c r="C23" s="132">
        <f>'Tariffs 2020'!E13</f>
        <v>42551</v>
      </c>
      <c r="D23" s="133">
        <f>91*'Tariffs 2020'!H13/100</f>
        <v>65.098090909090899</v>
      </c>
      <c r="E23" s="133">
        <f>IF($C$5&gt;='Tariffs 2020'!J13,('Tariffs 2020'!J13*'Tariffs 2020'!O13/100),($C$5*'Tariffs 2020'!O13/100))</f>
        <v>186.95454545454544</v>
      </c>
      <c r="F23" s="133">
        <v>0</v>
      </c>
      <c r="G23" s="133">
        <f>IF(($C$5&lt;'Tariffs 2020'!K13),(0),($C$5-'Tariffs 2020'!K13)*'Tariffs 2020'!P13/100)</f>
        <v>14.863636363636363</v>
      </c>
      <c r="H23" s="133">
        <f t="shared" si="0"/>
        <v>266.91627272727271</v>
      </c>
      <c r="I23" s="134">
        <f t="shared" si="1"/>
        <v>1067.6650909090908</v>
      </c>
      <c r="J23" s="135">
        <f t="shared" si="2"/>
        <v>1174.4316000000001</v>
      </c>
    </row>
    <row r="24" spans="1:10" x14ac:dyDescent="0.15">
      <c r="C24" s="166"/>
    </row>
  </sheetData>
  <sheetProtection algorithmName="SHA-512" hashValue="XVl0CAI5kXHFHUNWi4t5fxfkklkOegzmEVyto0RJ+PRwO8JOkseDfXKYzYc11fUP2VPMBnI0bvsPNOpsGd5PSQ==" saltValue="2YCwYlyhNYzKU5DR04d7DA==" spinCount="100000" sheet="1" objects="1" scenarios="1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0A92E-D315-074F-B2C6-C0526F0346A7}">
  <sheetPr codeName="Sheet3"/>
  <dimension ref="A1:J23"/>
  <sheetViews>
    <sheetView zoomScale="120" zoomScaleNormal="120" workbookViewId="0">
      <selection activeCell="C5" sqref="C5"/>
    </sheetView>
  </sheetViews>
  <sheetFormatPr baseColWidth="10" defaultRowHeight="13" x14ac:dyDescent="0.15"/>
  <cols>
    <col min="1" max="1" width="15.5" style="156" customWidth="1"/>
    <col min="2" max="2" width="20.33203125" style="156" customWidth="1"/>
    <col min="3" max="3" width="11.83203125" style="156" customWidth="1"/>
    <col min="4" max="10" width="12.1640625" style="156" customWidth="1"/>
    <col min="11" max="16384" width="10.83203125" style="156"/>
  </cols>
  <sheetData>
    <row r="1" spans="1:10" ht="14" x14ac:dyDescent="0.15">
      <c r="A1" s="155" t="s">
        <v>8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10" ht="14" x14ac:dyDescent="0.15">
      <c r="A2" s="157" t="s">
        <v>95</v>
      </c>
      <c r="B2" s="157"/>
      <c r="C2" s="155"/>
      <c r="D2" s="155"/>
      <c r="E2" s="155"/>
      <c r="F2" s="155"/>
      <c r="G2" s="155"/>
      <c r="H2" s="155"/>
      <c r="I2" s="155"/>
      <c r="J2" s="155"/>
    </row>
    <row r="3" spans="1:10" ht="15" thickBot="1" x14ac:dyDescent="0.2">
      <c r="A3" s="155"/>
      <c r="B3" s="155"/>
      <c r="C3" s="155"/>
      <c r="D3" s="155"/>
      <c r="E3" s="155"/>
      <c r="F3" s="155"/>
      <c r="G3" s="155"/>
      <c r="H3" s="155"/>
      <c r="I3" s="155"/>
      <c r="J3" s="155"/>
    </row>
    <row r="4" spans="1:10" ht="14" x14ac:dyDescent="0.15">
      <c r="A4" s="120" t="s">
        <v>96</v>
      </c>
      <c r="B4" s="121"/>
      <c r="C4" s="122"/>
      <c r="D4" s="122"/>
      <c r="E4" s="122"/>
      <c r="F4" s="122"/>
      <c r="G4" s="122"/>
      <c r="H4" s="122"/>
      <c r="I4" s="122"/>
      <c r="J4" s="123"/>
    </row>
    <row r="5" spans="1:10" ht="14" x14ac:dyDescent="0.15">
      <c r="A5" s="124" t="s">
        <v>181</v>
      </c>
      <c r="B5" s="73"/>
      <c r="C5" s="187">
        <v>7500</v>
      </c>
      <c r="D5" s="22"/>
      <c r="E5" s="73"/>
      <c r="F5" s="73"/>
      <c r="G5" s="73"/>
      <c r="H5" s="73"/>
      <c r="I5" s="73"/>
      <c r="J5" s="125"/>
    </row>
    <row r="6" spans="1:10" ht="14" x14ac:dyDescent="0.15">
      <c r="A6" s="124"/>
      <c r="B6" s="73"/>
      <c r="C6" s="73"/>
      <c r="D6" s="73"/>
      <c r="E6" s="73"/>
      <c r="F6" s="73"/>
      <c r="G6" s="73"/>
      <c r="H6" s="73"/>
      <c r="I6" s="73"/>
      <c r="J6" s="125"/>
    </row>
    <row r="7" spans="1:10" ht="30" x14ac:dyDescent="0.15">
      <c r="A7" s="173" t="s">
        <v>114</v>
      </c>
      <c r="B7" s="174" t="s">
        <v>97</v>
      </c>
      <c r="C7" s="175" t="s">
        <v>103</v>
      </c>
      <c r="D7" s="175" t="s">
        <v>93</v>
      </c>
      <c r="E7" s="175" t="s">
        <v>98</v>
      </c>
      <c r="F7" s="176" t="s">
        <v>99</v>
      </c>
      <c r="G7" s="176" t="s">
        <v>100</v>
      </c>
      <c r="H7" s="176" t="s">
        <v>207</v>
      </c>
      <c r="I7" s="177" t="s">
        <v>94</v>
      </c>
      <c r="J7" s="178" t="s">
        <v>101</v>
      </c>
    </row>
    <row r="8" spans="1:10" ht="20" customHeight="1" x14ac:dyDescent="0.15">
      <c r="A8" s="126" t="str">
        <f>'Tariffs 2019'!F2</f>
        <v>AGL</v>
      </c>
      <c r="B8" s="22" t="str">
        <f>'Tariffs 2019'!D2</f>
        <v>Envestra SA</v>
      </c>
      <c r="C8" s="127">
        <f>'Tariffs 2019'!E2</f>
        <v>42185</v>
      </c>
      <c r="D8" s="92">
        <f>91*'Tariffs 2019'!H2/100</f>
        <v>65.61099999999999</v>
      </c>
      <c r="E8" s="92">
        <f>IF($C$5&gt;='Tariffs 2019'!J2,('Tariffs 2019'!J2*'Tariffs 2019'!O2/100),($C$5*'Tariffs 2019'!O2/100))</f>
        <v>286.36363636363637</v>
      </c>
      <c r="F8" s="92">
        <v>0</v>
      </c>
      <c r="G8" s="92">
        <f>IF(($C$5&lt;'Tariffs 2019'!K2),(0),($C$5-'Tariffs 2019'!K2)*'Tariffs 2019'!P2/100)</f>
        <v>0</v>
      </c>
      <c r="H8" s="92">
        <f>SUM(D8:G8)</f>
        <v>351.97463636363636</v>
      </c>
      <c r="I8" s="128">
        <f>H8*4</f>
        <v>1407.8985454545455</v>
      </c>
      <c r="J8" s="129">
        <f>I8*1.1</f>
        <v>1548.6884000000002</v>
      </c>
    </row>
    <row r="9" spans="1:10" ht="20" customHeight="1" x14ac:dyDescent="0.15">
      <c r="A9" s="126" t="str">
        <f>'Tariffs 2019'!F3</f>
        <v xml:space="preserve">Alinta Energy </v>
      </c>
      <c r="B9" s="22" t="str">
        <f>'Tariffs 2019'!D3</f>
        <v>Envestra Adelaide</v>
      </c>
      <c r="C9" s="127">
        <f>'Tariffs 2019'!E3</f>
        <v>42185</v>
      </c>
      <c r="D9" s="92">
        <f>91*'Tariffs 2019'!H3/100</f>
        <v>63.335999999999991</v>
      </c>
      <c r="E9" s="92">
        <f>IF($C$5&gt;='Tariffs 2019'!J3,('Tariffs 2019'!J3*'Tariffs 2019'!O3/100),($C$5*'Tariffs 2019'!O3/100))</f>
        <v>171.45</v>
      </c>
      <c r="F9" s="92">
        <v>0</v>
      </c>
      <c r="G9" s="92">
        <f>IF(($C$5&lt;'Tariffs 2019'!K3),(0),($C$5-'Tariffs 2019'!K3)*'Tariffs 2019'!P3/100)</f>
        <v>87.9</v>
      </c>
      <c r="H9" s="92">
        <f t="shared" ref="H9:H22" si="0">SUM(D9:G9)</f>
        <v>322.68599999999998</v>
      </c>
      <c r="I9" s="128">
        <f t="shared" ref="I9:I22" si="1">H9*4</f>
        <v>1290.7439999999999</v>
      </c>
      <c r="J9" s="129">
        <f t="shared" ref="J9:J22" si="2">I9*1.1</f>
        <v>1419.8184000000001</v>
      </c>
    </row>
    <row r="10" spans="1:10" ht="20" customHeight="1" x14ac:dyDescent="0.15">
      <c r="A10" s="126" t="str">
        <f>'Tariffs 2019'!F4</f>
        <v>EnergyAustralia</v>
      </c>
      <c r="B10" s="22" t="str">
        <f>'Tariffs 2019'!D4</f>
        <v>Envestra Adelaide</v>
      </c>
      <c r="C10" s="127">
        <f>'Tariffs 2019'!E4</f>
        <v>42185</v>
      </c>
      <c r="D10" s="92">
        <f>91*'Tariffs 2019'!H4/100</f>
        <v>74.256</v>
      </c>
      <c r="E10" s="92">
        <f>IF($C$5&gt;='Tariffs 2019'!J4,('Tariffs 2019'!J4*'Tariffs 2019'!O4/100),($C$5*'Tariffs 2019'!O4/100))</f>
        <v>113.75</v>
      </c>
      <c r="F10" s="92">
        <f>IF($C$5&lt;'Tariffs 2019'!J4,0,IF(($C$5-'Tariffs 2019'!J4)&lt;='Tariffs 2019'!K4,(($C$5-'Tariffs 2019'!J4)*'Tariffs 2019'!P4/100),(('Tariffs 2019'!K4-'Tariffs 2019'!J4)*'Tariffs 2019'!P4/100)))</f>
        <v>78.599999999999994</v>
      </c>
      <c r="G10" s="92">
        <f>IF(($C$5&lt;'Tariffs 2019'!K4),(0),($C$5-'Tariffs 2019'!K4)*'Tariffs 2019'!Q4/100)</f>
        <v>70.2</v>
      </c>
      <c r="H10" s="92">
        <f t="shared" si="0"/>
        <v>336.80599999999998</v>
      </c>
      <c r="I10" s="128">
        <f t="shared" si="1"/>
        <v>1347.2239999999999</v>
      </c>
      <c r="J10" s="129">
        <f t="shared" si="2"/>
        <v>1481.9464</v>
      </c>
    </row>
    <row r="11" spans="1:10" ht="20" customHeight="1" x14ac:dyDescent="0.15">
      <c r="A11" s="126" t="str">
        <f>'Tariffs 2019'!F5</f>
        <v>Origin Energy</v>
      </c>
      <c r="B11" s="22" t="str">
        <f>'Tariffs 2019'!D5</f>
        <v>Envestra Adelaide</v>
      </c>
      <c r="C11" s="127">
        <f>'Tariffs 2019'!E5</f>
        <v>42185</v>
      </c>
      <c r="D11" s="92">
        <f>91*'Tariffs 2019'!H5/100</f>
        <v>65.098090909090899</v>
      </c>
      <c r="E11" s="92">
        <f>IF($C$5&gt;='Tariffs 2019'!J5,('Tariffs 2019'!J5*'Tariffs 2019'!O5/100),($C$5*'Tariffs 2019'!O5/100))</f>
        <v>186.95454545454544</v>
      </c>
      <c r="F11" s="92">
        <v>0</v>
      </c>
      <c r="G11" s="92">
        <f>IF(($C$5&lt;'Tariffs 2019'!K5),(0),($C$5-'Tariffs 2019'!K5)*'Tariffs 2019'!P5/100)</f>
        <v>59.454545454545453</v>
      </c>
      <c r="H11" s="92">
        <f t="shared" si="0"/>
        <v>311.50718181818178</v>
      </c>
      <c r="I11" s="128">
        <f t="shared" si="1"/>
        <v>1246.0287272727271</v>
      </c>
      <c r="J11" s="129">
        <f t="shared" si="2"/>
        <v>1370.6315999999999</v>
      </c>
    </row>
    <row r="12" spans="1:10" ht="20" customHeight="1" x14ac:dyDescent="0.15">
      <c r="A12" s="126" t="str">
        <f>'Tariffs 2019'!F6</f>
        <v>Simply Energy</v>
      </c>
      <c r="B12" s="22" t="str">
        <f>'Tariffs 2019'!D6</f>
        <v>Envestra Adelaide</v>
      </c>
      <c r="C12" s="127">
        <f>'Tariffs 2019'!E6</f>
        <v>42185</v>
      </c>
      <c r="D12" s="92">
        <f>91*'Tariffs 2019'!H6/100</f>
        <v>56.428272727272727</v>
      </c>
      <c r="E12" s="92">
        <f>IF($C$5&gt;='Tariffs 2019'!J6,('Tariffs 2019'!J6*'Tariffs 2019'!O6/100),($C$5*'Tariffs 2019'!O6/100))</f>
        <v>130.68181818181816</v>
      </c>
      <c r="F12" s="92">
        <f>IF($C$5&lt;'Tariffs 2019'!J6,0,IF(($C$5-'Tariffs 2019'!J6)&lt;='Tariffs 2019'!K6,(($C$5-'Tariffs 2019'!J6)*'Tariffs 2019'!P6/100),(('Tariffs 2019'!K6-'Tariffs 2019'!J6)*'Tariffs 2019'!P6/100)))</f>
        <v>64.727272727272734</v>
      </c>
      <c r="G12" s="92">
        <f>IF(($C$5&lt;'Tariffs 2019'!K6),(0),($C$5-'Tariffs 2019'!K6)*'Tariffs 2019'!Q6/100)</f>
        <v>60.54545454545454</v>
      </c>
      <c r="H12" s="92">
        <f t="shared" si="0"/>
        <v>312.38281818181821</v>
      </c>
      <c r="I12" s="128">
        <f t="shared" si="1"/>
        <v>1249.5312727272728</v>
      </c>
      <c r="J12" s="129">
        <f t="shared" si="2"/>
        <v>1374.4844000000003</v>
      </c>
    </row>
    <row r="13" spans="1:10" ht="20" customHeight="1" x14ac:dyDescent="0.15">
      <c r="A13" s="126" t="str">
        <f>'Tariffs 2019'!F7</f>
        <v>Red Energy</v>
      </c>
      <c r="B13" s="22" t="str">
        <f>'Tariffs 2019'!D7</f>
        <v>Envestra Adelaide</v>
      </c>
      <c r="C13" s="127">
        <f>'Tariffs 2019'!E7</f>
        <v>42185</v>
      </c>
      <c r="D13" s="92">
        <f>91*'Tariffs 2019'!H7/100</f>
        <v>68.25</v>
      </c>
      <c r="E13" s="92">
        <f>IF($C$5&gt;='Tariffs 2019'!J7,('Tariffs 2019'!J7*'Tariffs 2019'!O7/100),($C$5*'Tariffs 2019'!O7/100))</f>
        <v>182.86363636363637</v>
      </c>
      <c r="F13" s="92">
        <v>0</v>
      </c>
      <c r="G13" s="92">
        <f>IF(($C$5&lt;'Tariffs 2019'!K7),(0),($C$5-'Tariffs 2019'!K7)*'Tariffs 2019'!P7/100)</f>
        <v>72</v>
      </c>
      <c r="H13" s="92">
        <f t="shared" si="0"/>
        <v>323.11363636363637</v>
      </c>
      <c r="I13" s="128">
        <f t="shared" si="1"/>
        <v>1292.4545454545455</v>
      </c>
      <c r="J13" s="129">
        <f t="shared" si="2"/>
        <v>1421.7000000000003</v>
      </c>
    </row>
    <row r="14" spans="1:10" ht="20" customHeight="1" x14ac:dyDescent="0.15">
      <c r="A14" s="126" t="str">
        <f>'Tariffs 2019'!F8</f>
        <v>Lumo Energy</v>
      </c>
      <c r="B14" s="22" t="str">
        <f>'Tariffs 2019'!D8</f>
        <v>Envestra Adelaide</v>
      </c>
      <c r="C14" s="127">
        <f>'Tariffs 2019'!E8</f>
        <v>42185</v>
      </c>
      <c r="D14" s="92">
        <f>91*'Tariffs 2019'!H8/100</f>
        <v>68.25</v>
      </c>
      <c r="E14" s="92">
        <f>IF($C$5&gt;='Tariffs 2019'!J8,('Tariffs 2019'!J8*'Tariffs 2019'!O8/100),($C$5*'Tariffs 2019'!O8/100))</f>
        <v>193.90909090909088</v>
      </c>
      <c r="F14" s="92">
        <v>1</v>
      </c>
      <c r="G14" s="92">
        <f>IF(($C$5&lt;'Tariffs 2019'!K8),(0),($C$5-'Tariffs 2019'!K8)*'Tariffs 2019'!P8/100)</f>
        <v>72</v>
      </c>
      <c r="H14" s="92">
        <f t="shared" ref="H14" si="3">SUM(D14:G14)</f>
        <v>335.15909090909088</v>
      </c>
      <c r="I14" s="128">
        <f t="shared" ref="I14" si="4">H14*4</f>
        <v>1340.6363636363635</v>
      </c>
      <c r="J14" s="129">
        <f t="shared" ref="J14" si="5">I14*1.1</f>
        <v>1474.7</v>
      </c>
    </row>
    <row r="15" spans="1:10" ht="10" customHeight="1" x14ac:dyDescent="0.15">
      <c r="A15" s="168"/>
      <c r="B15" s="169"/>
      <c r="C15" s="169"/>
      <c r="D15" s="169"/>
      <c r="E15" s="169"/>
      <c r="F15" s="169"/>
      <c r="G15" s="169"/>
      <c r="H15" s="169"/>
      <c r="I15" s="170"/>
      <c r="J15" s="171"/>
    </row>
    <row r="16" spans="1:10" ht="20" customHeight="1" x14ac:dyDescent="0.15">
      <c r="A16" s="126" t="str">
        <f>'Tariffs 2019'!F9</f>
        <v>Origin Energy</v>
      </c>
      <c r="B16" s="22" t="str">
        <f>'Tariffs 2019'!D9</f>
        <v>Envestra Port Pirie</v>
      </c>
      <c r="C16" s="127">
        <f>'Tariffs 2019'!E9</f>
        <v>42185</v>
      </c>
      <c r="D16" s="92">
        <f>91*'Tariffs 2019'!H9/100</f>
        <v>65.098090909090899</v>
      </c>
      <c r="E16" s="92">
        <f>IF($C$5&gt;='Tariffs 2019'!J9,('Tariffs 2019'!J9*'Tariffs 2019'!O9/100),($C$5*'Tariffs 2019'!O9/100))</f>
        <v>186.95454545454544</v>
      </c>
      <c r="F16" s="92">
        <v>0</v>
      </c>
      <c r="G16" s="92">
        <f>IF(($C$5&lt;'Tariffs 2019'!K9),(0),($C$5-'Tariffs 2019'!K9)*'Tariffs 2019'!P9/100)</f>
        <v>59.454545454545453</v>
      </c>
      <c r="H16" s="92">
        <f t="shared" si="0"/>
        <v>311.50718181818178</v>
      </c>
      <c r="I16" s="128">
        <f t="shared" si="1"/>
        <v>1246.0287272727271</v>
      </c>
      <c r="J16" s="129">
        <f t="shared" si="2"/>
        <v>1370.6315999999999</v>
      </c>
    </row>
    <row r="17" spans="1:10" ht="10" customHeight="1" x14ac:dyDescent="0.15">
      <c r="A17" s="168"/>
      <c r="B17" s="169"/>
      <c r="C17" s="169"/>
      <c r="D17" s="169"/>
      <c r="E17" s="169"/>
      <c r="F17" s="169"/>
      <c r="G17" s="169"/>
      <c r="H17" s="169"/>
      <c r="I17" s="170"/>
      <c r="J17" s="171"/>
    </row>
    <row r="18" spans="1:10" ht="20" customHeight="1" x14ac:dyDescent="0.15">
      <c r="A18" s="126" t="str">
        <f>'Tariffs 2019'!F10</f>
        <v>Origin Energy</v>
      </c>
      <c r="B18" s="22" t="str">
        <f>'Tariffs 2019'!D10</f>
        <v>Envestra Whyalla</v>
      </c>
      <c r="C18" s="127">
        <f>'Tariffs 2019'!E10</f>
        <v>42185</v>
      </c>
      <c r="D18" s="92">
        <f>91*'Tariffs 2019'!H10/100</f>
        <v>65.098090909090899</v>
      </c>
      <c r="E18" s="92">
        <f>IF($C$5&gt;='Tariffs 2019'!J10,('Tariffs 2019'!J10*'Tariffs 2019'!O10/100),($C$5*'Tariffs 2019'!O10/100))</f>
        <v>186.95454545454544</v>
      </c>
      <c r="F18" s="92">
        <v>0</v>
      </c>
      <c r="G18" s="92">
        <f>IF(($C$5&lt;'Tariffs 2019'!K10),(0),($C$5-'Tariffs 2019'!K10)*'Tariffs 2019'!P10/100)</f>
        <v>59.454545454545453</v>
      </c>
      <c r="H18" s="92">
        <f t="shared" si="0"/>
        <v>311.50718181818178</v>
      </c>
      <c r="I18" s="128">
        <f t="shared" si="1"/>
        <v>1246.0287272727271</v>
      </c>
      <c r="J18" s="129">
        <f t="shared" si="2"/>
        <v>1370.6315999999999</v>
      </c>
    </row>
    <row r="19" spans="1:10" ht="10" customHeight="1" x14ac:dyDescent="0.15">
      <c r="A19" s="168"/>
      <c r="B19" s="169"/>
      <c r="C19" s="169"/>
      <c r="D19" s="169"/>
      <c r="E19" s="169"/>
      <c r="F19" s="169"/>
      <c r="G19" s="169"/>
      <c r="H19" s="169"/>
      <c r="I19" s="170"/>
      <c r="J19" s="171"/>
    </row>
    <row r="20" spans="1:10" ht="20" customHeight="1" x14ac:dyDescent="0.15">
      <c r="A20" s="126" t="str">
        <f>'Tariffs 2019'!F11</f>
        <v>Origin Energy</v>
      </c>
      <c r="B20" s="22" t="str">
        <f>'Tariffs 2019'!D11</f>
        <v>Envestra Mt Gambier</v>
      </c>
      <c r="C20" s="127">
        <f>'Tariffs 2019'!E11</f>
        <v>42185</v>
      </c>
      <c r="D20" s="92">
        <f>91*'Tariffs 2019'!H11/100</f>
        <v>65.098090909090899</v>
      </c>
      <c r="E20" s="92">
        <f>IF($C$5&gt;='Tariffs 2019'!J11,('Tariffs 2019'!J11*'Tariffs 2019'!O11/100),($C$5*'Tariffs 2019'!O11/100))</f>
        <v>186.95454545454544</v>
      </c>
      <c r="F20" s="92">
        <v>0</v>
      </c>
      <c r="G20" s="92">
        <f>IF(($C$5&lt;'Tariffs 2019'!K11),(0),($C$5-'Tariffs 2019'!K11)*'Tariffs 2019'!P11/100)</f>
        <v>59.454545454545453</v>
      </c>
      <c r="H20" s="92">
        <f t="shared" si="0"/>
        <v>311.50718181818178</v>
      </c>
      <c r="I20" s="128">
        <f t="shared" si="1"/>
        <v>1246.0287272727271</v>
      </c>
      <c r="J20" s="129">
        <f t="shared" si="2"/>
        <v>1370.6315999999999</v>
      </c>
    </row>
    <row r="21" spans="1:10" ht="10" customHeight="1" x14ac:dyDescent="0.15">
      <c r="A21" s="168"/>
      <c r="B21" s="169"/>
      <c r="C21" s="169"/>
      <c r="D21" s="169"/>
      <c r="E21" s="169"/>
      <c r="F21" s="169"/>
      <c r="G21" s="169"/>
      <c r="H21" s="169"/>
      <c r="I21" s="170"/>
      <c r="J21" s="171"/>
    </row>
    <row r="22" spans="1:10" ht="20" customHeight="1" thickBot="1" x14ac:dyDescent="0.2">
      <c r="A22" s="130" t="str">
        <f>'Tariffs 2019'!F12</f>
        <v>Origin Energy</v>
      </c>
      <c r="B22" s="131" t="str">
        <f>'Tariffs 2019'!D12</f>
        <v>Envestra Riverland</v>
      </c>
      <c r="C22" s="132">
        <f>'Tariffs 2019'!E12</f>
        <v>42185</v>
      </c>
      <c r="D22" s="133">
        <f>91*'Tariffs 2019'!H12/100</f>
        <v>65.098090909090899</v>
      </c>
      <c r="E22" s="133">
        <f>IF($C$5&gt;='Tariffs 2019'!J12,('Tariffs 2019'!J12*'Tariffs 2019'!O12/100),($C$5*'Tariffs 2019'!O12/100))</f>
        <v>186.95454545454544</v>
      </c>
      <c r="F22" s="133">
        <v>0</v>
      </c>
      <c r="G22" s="133">
        <f>IF(($C$5&lt;'Tariffs 2019'!K12),(0),($C$5-'Tariffs 2019'!K12)*'Tariffs 2019'!P12/100)</f>
        <v>59.454545454545453</v>
      </c>
      <c r="H22" s="133">
        <f t="shared" si="0"/>
        <v>311.50718181818178</v>
      </c>
      <c r="I22" s="134">
        <f t="shared" si="1"/>
        <v>1246.0287272727271</v>
      </c>
      <c r="J22" s="135">
        <f t="shared" si="2"/>
        <v>1370.6315999999999</v>
      </c>
    </row>
    <row r="23" spans="1:10" x14ac:dyDescent="0.15">
      <c r="C23" s="158"/>
    </row>
  </sheetData>
  <sheetProtection algorithmName="SHA-512" hashValue="zDNgYjAMQsLY0CpQWCuqNWhligQn3gXE8hBD2CkYGTX9nGfimdh4IaLY+Cz10nU75TLP3VdPJnlGCOVEIAccLQ==" saltValue="7ZkvNkfp0axRJcATUvMs4Q==" spinCount="100000" sheet="1" objects="1" scenarios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5A11A-1E73-964E-841E-D3F37C11E808}">
  <sheetPr codeName="Sheet4"/>
  <dimension ref="A1:DL446"/>
  <sheetViews>
    <sheetView zoomScale="120" zoomScaleNormal="120" workbookViewId="0">
      <selection activeCell="C5" sqref="C5"/>
    </sheetView>
  </sheetViews>
  <sheetFormatPr baseColWidth="10" defaultRowHeight="13" x14ac:dyDescent="0.15"/>
  <cols>
    <col min="1" max="1" width="15.5" style="22" customWidth="1"/>
    <col min="2" max="2" width="20.33203125" style="22" customWidth="1"/>
    <col min="3" max="3" width="11.83203125" style="22" customWidth="1"/>
    <col min="4" max="10" width="12.1640625" style="22" customWidth="1"/>
    <col min="11" max="116" width="10.83203125" style="148"/>
    <col min="117" max="16384" width="10.83203125" style="22"/>
  </cols>
  <sheetData>
    <row r="1" spans="1:10" s="148" customFormat="1" ht="14" x14ac:dyDescent="0.15">
      <c r="A1" s="147" t="s">
        <v>8</v>
      </c>
      <c r="B1" s="147"/>
      <c r="C1" s="147"/>
      <c r="D1" s="147"/>
      <c r="E1" s="147"/>
      <c r="F1" s="147"/>
      <c r="G1" s="147"/>
      <c r="H1" s="147"/>
      <c r="I1" s="147"/>
      <c r="J1" s="147"/>
    </row>
    <row r="2" spans="1:10" s="148" customFormat="1" ht="14" x14ac:dyDescent="0.15">
      <c r="A2" s="149" t="s">
        <v>95</v>
      </c>
      <c r="B2" s="149"/>
      <c r="C2" s="147"/>
      <c r="D2" s="147"/>
      <c r="E2" s="147"/>
      <c r="F2" s="147"/>
      <c r="G2" s="147"/>
      <c r="H2" s="147"/>
      <c r="I2" s="147"/>
      <c r="J2" s="147"/>
    </row>
    <row r="3" spans="1:10" s="148" customFormat="1" ht="15" thickBot="1" x14ac:dyDescent="0.2">
      <c r="A3" s="147"/>
      <c r="B3" s="147"/>
      <c r="C3" s="147"/>
      <c r="D3" s="147"/>
      <c r="E3" s="147"/>
      <c r="F3" s="147"/>
      <c r="G3" s="147"/>
      <c r="H3" s="147"/>
      <c r="I3" s="147"/>
      <c r="J3" s="147"/>
    </row>
    <row r="4" spans="1:10" ht="14" x14ac:dyDescent="0.15">
      <c r="A4" s="120" t="s">
        <v>96</v>
      </c>
      <c r="B4" s="121"/>
      <c r="C4" s="122"/>
      <c r="D4" s="122"/>
      <c r="E4" s="122"/>
      <c r="F4" s="122"/>
      <c r="G4" s="122"/>
      <c r="H4" s="122"/>
      <c r="I4" s="122"/>
      <c r="J4" s="123"/>
    </row>
    <row r="5" spans="1:10" ht="14" x14ac:dyDescent="0.15">
      <c r="A5" s="124" t="s">
        <v>181</v>
      </c>
      <c r="B5" s="73"/>
      <c r="C5" s="188">
        <v>5250</v>
      </c>
      <c r="E5" s="73"/>
      <c r="F5" s="73"/>
      <c r="G5" s="73"/>
      <c r="H5" s="73"/>
      <c r="I5" s="73"/>
      <c r="J5" s="125"/>
    </row>
    <row r="6" spans="1:10" ht="14" x14ac:dyDescent="0.15">
      <c r="A6" s="124"/>
      <c r="B6" s="73"/>
      <c r="C6" s="73"/>
      <c r="D6" s="73"/>
      <c r="E6" s="73"/>
      <c r="F6" s="73"/>
      <c r="G6" s="73"/>
      <c r="H6" s="73"/>
      <c r="I6" s="73"/>
      <c r="J6" s="125"/>
    </row>
    <row r="7" spans="1:10" ht="30" x14ac:dyDescent="0.15">
      <c r="A7" s="173" t="s">
        <v>114</v>
      </c>
      <c r="B7" s="174" t="s">
        <v>97</v>
      </c>
      <c r="C7" s="175" t="s">
        <v>103</v>
      </c>
      <c r="D7" s="175" t="s">
        <v>93</v>
      </c>
      <c r="E7" s="175" t="s">
        <v>98</v>
      </c>
      <c r="F7" s="176" t="s">
        <v>99</v>
      </c>
      <c r="G7" s="176" t="s">
        <v>100</v>
      </c>
      <c r="H7" s="176" t="s">
        <v>207</v>
      </c>
      <c r="I7" s="177" t="s">
        <v>94</v>
      </c>
      <c r="J7" s="178" t="s">
        <v>101</v>
      </c>
    </row>
    <row r="8" spans="1:10" ht="20" customHeight="1" x14ac:dyDescent="0.15">
      <c r="A8" s="126" t="str">
        <f>'Tariffs 2018'!F2</f>
        <v>AGL</v>
      </c>
      <c r="B8" s="22" t="str">
        <f>'Tariffs 2018'!D2</f>
        <v>Envestra SA</v>
      </c>
      <c r="C8" s="127">
        <f>'Tariffs 2018'!E2</f>
        <v>41822</v>
      </c>
      <c r="D8" s="92">
        <f>91*'Tariffs 2018'!H2/100</f>
        <v>62.79</v>
      </c>
      <c r="E8" s="92">
        <f>IF($C$5&gt;='Tariffs 2018'!J2,('Tariffs 2018'!J2*'Tariffs 2018'!O2/100),($C$5*'Tariffs 2018'!O2/100))</f>
        <v>191.625</v>
      </c>
      <c r="F8" s="92">
        <v>0</v>
      </c>
      <c r="G8" s="92">
        <f>IF(($C$5&lt;'Tariffs 2018'!K2),(0),($C$5-'Tariffs 2018'!K2)*'Tariffs 2018'!P2/100)</f>
        <v>0</v>
      </c>
      <c r="H8" s="92">
        <f>SUM(D8:G8)</f>
        <v>254.41499999999999</v>
      </c>
      <c r="I8" s="128">
        <f>H8*4</f>
        <v>1017.66</v>
      </c>
      <c r="J8" s="129">
        <f>I8*1.1</f>
        <v>1119.4260000000002</v>
      </c>
    </row>
    <row r="9" spans="1:10" ht="20" customHeight="1" x14ac:dyDescent="0.15">
      <c r="A9" s="126" t="str">
        <f>'Tariffs 2018'!F3</f>
        <v xml:space="preserve">Alinta Energy </v>
      </c>
      <c r="B9" s="22" t="str">
        <f>'Tariffs 2018'!D3</f>
        <v>Envestra Adelaide</v>
      </c>
      <c r="C9" s="127">
        <f>'Tariffs 2018'!E3</f>
        <v>41865</v>
      </c>
      <c r="D9" s="92">
        <f>91*'Tariffs 2018'!H3/100</f>
        <v>63.335999999999991</v>
      </c>
      <c r="E9" s="92">
        <f>IF($C$5&gt;='Tariffs 2018'!J3,('Tariffs 2018'!J3*'Tariffs 2018'!O3/100),($C$5*'Tariffs 2018'!O3/100))</f>
        <v>171.45</v>
      </c>
      <c r="F9" s="92">
        <v>0</v>
      </c>
      <c r="G9" s="92">
        <f>IF(($C$5&lt;'Tariffs 2018'!K3),(0),($C$5-'Tariffs 2018'!K3)*'Tariffs 2018'!P3/100)</f>
        <v>21.975000000000001</v>
      </c>
      <c r="H9" s="92">
        <f t="shared" ref="H9:H21" si="0">SUM(D9:G9)</f>
        <v>256.76099999999997</v>
      </c>
      <c r="I9" s="128">
        <f t="shared" ref="I9:I21" si="1">H9*4</f>
        <v>1027.0439999999999</v>
      </c>
      <c r="J9" s="129">
        <f t="shared" ref="J9:J21" si="2">I9*1.1</f>
        <v>1129.7483999999999</v>
      </c>
    </row>
    <row r="10" spans="1:10" ht="20" customHeight="1" x14ac:dyDescent="0.15">
      <c r="A10" s="126" t="str">
        <f>'Tariffs 2018'!F4</f>
        <v>EnergyAustralia</v>
      </c>
      <c r="B10" s="22" t="str">
        <f>'Tariffs 2018'!D4</f>
        <v>Envestra Adelaide</v>
      </c>
      <c r="C10" s="127">
        <f>'Tariffs 2018'!E4</f>
        <v>41849</v>
      </c>
      <c r="D10" s="92">
        <f>91*'Tariffs 2018'!H4/100</f>
        <v>74.256</v>
      </c>
      <c r="E10" s="92">
        <f>IF($C$5&gt;='Tariffs 2018'!J4,('Tariffs 2018'!J4*'Tariffs 2018'!O4/100),($C$5*'Tariffs 2018'!O4/100))</f>
        <v>113.75</v>
      </c>
      <c r="F10" s="92">
        <f>IF($C$5&lt;'Tariffs 2018'!J4,0,IF(($C$5-'Tariffs 2018'!J4)&lt;='Tariffs 2018'!K4,(($C$5-'Tariffs 2018'!J4)*'Tariffs 2018'!P4/100),(('Tariffs 2018'!K4-'Tariffs 2018'!J4)*'Tariffs 2018'!P4/100)))</f>
        <v>108.075</v>
      </c>
      <c r="G10" s="92">
        <f>IF(($C$5&lt;'Tariffs 2018'!K4),(0),($C$5-'Tariffs 2018'!K4)*'Tariffs 2018'!Q4/100)</f>
        <v>17.55</v>
      </c>
      <c r="H10" s="92">
        <f t="shared" si="0"/>
        <v>313.63100000000003</v>
      </c>
      <c r="I10" s="128">
        <f t="shared" si="1"/>
        <v>1254.5240000000001</v>
      </c>
      <c r="J10" s="129">
        <f t="shared" si="2"/>
        <v>1379.9764000000002</v>
      </c>
    </row>
    <row r="11" spans="1:10" ht="20" customHeight="1" x14ac:dyDescent="0.15">
      <c r="A11" s="126" t="str">
        <f>'Tariffs 2018'!F5</f>
        <v>Origin Energy</v>
      </c>
      <c r="B11" s="22" t="str">
        <f>'Tariffs 2018'!D5</f>
        <v>Envestra Adelaide</v>
      </c>
      <c r="C11" s="127">
        <f>'Tariffs 2018'!E5</f>
        <v>41820</v>
      </c>
      <c r="D11" s="92">
        <f>91*'Tariffs 2018'!H5/100</f>
        <v>64.61</v>
      </c>
      <c r="E11" s="92">
        <f>IF($C$5&gt;='Tariffs 2018'!J5,('Tariffs 2018'!J5*'Tariffs 2018'!O5/100),($C$5*'Tariffs 2018'!O5/100))</f>
        <v>175.5</v>
      </c>
      <c r="F11" s="92">
        <v>0</v>
      </c>
      <c r="G11" s="92">
        <f>IF(($C$5&lt;'Tariffs 2018'!K5),(0),($C$5-'Tariffs 2018'!K5)*'Tariffs 2018'!P5/100)</f>
        <v>14.25</v>
      </c>
      <c r="H11" s="92">
        <f t="shared" si="0"/>
        <v>254.36</v>
      </c>
      <c r="I11" s="128">
        <f t="shared" si="1"/>
        <v>1017.44</v>
      </c>
      <c r="J11" s="129">
        <f t="shared" si="2"/>
        <v>1119.1840000000002</v>
      </c>
    </row>
    <row r="12" spans="1:10" ht="20" customHeight="1" x14ac:dyDescent="0.15">
      <c r="A12" s="126" t="str">
        <f>'Tariffs 2018'!F6</f>
        <v>Simply Energy</v>
      </c>
      <c r="B12" s="22" t="str">
        <f>'Tariffs 2018'!D6</f>
        <v>Envestra Adelaide</v>
      </c>
      <c r="C12" s="127">
        <f>'Tariffs 2018'!E6</f>
        <v>41820</v>
      </c>
      <c r="D12" s="92">
        <f>91*'Tariffs 2018'!H6/100</f>
        <v>58.24</v>
      </c>
      <c r="E12" s="92">
        <f>IF($C$5&gt;='Tariffs 2018'!J6,('Tariffs 2018'!J6*'Tariffs 2018'!O6/100),($C$5*'Tariffs 2018'!O6/100))</f>
        <v>150</v>
      </c>
      <c r="F12" s="92">
        <f>IF($C$5&lt;'Tariffs 2018'!J6,0,IF(($C$5-'Tariffs 2018'!J6)&lt;='Tariffs 2018'!K6,(($C$5-'Tariffs 2018'!J6)*'Tariffs 2018'!P6/100),(('Tariffs 2018'!K6-'Tariffs 2018'!J6)*'Tariffs 2018'!P6/100)))</f>
        <v>110</v>
      </c>
      <c r="G12" s="92">
        <f>IF(($C$5&lt;'Tariffs 2018'!K6),(0),($C$5-'Tariffs 2018'!K6)*'Tariffs 2018'!Q6/100)</f>
        <v>15</v>
      </c>
      <c r="H12" s="92">
        <f t="shared" si="0"/>
        <v>333.24</v>
      </c>
      <c r="I12" s="128">
        <f t="shared" si="1"/>
        <v>1332.96</v>
      </c>
      <c r="J12" s="129">
        <f t="shared" si="2"/>
        <v>1466.2560000000001</v>
      </c>
    </row>
    <row r="13" spans="1:10" ht="20" customHeight="1" x14ac:dyDescent="0.15">
      <c r="A13" s="126" t="str">
        <f>'Tariffs 2018'!F7</f>
        <v>Red Energy</v>
      </c>
      <c r="B13" s="22" t="str">
        <f>'Tariffs 2018'!D7</f>
        <v>Envestra Adelaide</v>
      </c>
      <c r="C13" s="127">
        <f>'Tariffs 2018'!E7</f>
        <v>41844</v>
      </c>
      <c r="D13" s="92">
        <f>91*'Tariffs 2018'!H7/100</f>
        <v>67.158000000000001</v>
      </c>
      <c r="E13" s="92">
        <f>IF($C$5&gt;='Tariffs 2018'!J7,('Tariffs 2018'!J7*'Tariffs 2018'!O7/100),($C$5*'Tariffs 2018'!O7/100))</f>
        <v>181.35</v>
      </c>
      <c r="F13" s="92">
        <v>0</v>
      </c>
      <c r="G13" s="92">
        <f>IF(($C$5&lt;'Tariffs 2018'!K7),(0),($C$5-'Tariffs 2018'!K7)*'Tariffs 2018'!P7/100)</f>
        <v>14.55</v>
      </c>
      <c r="H13" s="92">
        <f t="shared" si="0"/>
        <v>263.05799999999999</v>
      </c>
      <c r="I13" s="128">
        <f t="shared" si="1"/>
        <v>1052.232</v>
      </c>
      <c r="J13" s="129">
        <f t="shared" si="2"/>
        <v>1157.4552000000001</v>
      </c>
    </row>
    <row r="14" spans="1:10" ht="10" customHeight="1" x14ac:dyDescent="0.15">
      <c r="A14" s="179"/>
      <c r="B14" s="180"/>
      <c r="C14" s="180"/>
      <c r="D14" s="180"/>
      <c r="E14" s="180"/>
      <c r="F14" s="180"/>
      <c r="G14" s="180"/>
      <c r="H14" s="180"/>
      <c r="I14" s="181"/>
      <c r="J14" s="182"/>
    </row>
    <row r="15" spans="1:10" ht="20" customHeight="1" x14ac:dyDescent="0.15">
      <c r="A15" s="126" t="str">
        <f>'Tariffs 2018'!F8</f>
        <v>Origin Energy</v>
      </c>
      <c r="B15" s="22" t="str">
        <f>'Tariffs 2018'!D8</f>
        <v>Envestra Port Pirie</v>
      </c>
      <c r="C15" s="127">
        <f>'Tariffs 2018'!E8</f>
        <v>41820</v>
      </c>
      <c r="D15" s="92">
        <f>91*'Tariffs 2018'!H8/100</f>
        <v>64.61</v>
      </c>
      <c r="E15" s="92">
        <f>IF($C$5&gt;='Tariffs 2018'!J8,('Tariffs 2018'!J8*'Tariffs 2018'!O8/100),($C$5*'Tariffs 2018'!O8/100))</f>
        <v>175.5</v>
      </c>
      <c r="F15" s="92">
        <v>0</v>
      </c>
      <c r="G15" s="92">
        <f>IF(($C$5&lt;'Tariffs 2018'!K8),(0),($C$5-'Tariffs 2018'!K8)*'Tariffs 2018'!P8/100)</f>
        <v>14.25</v>
      </c>
      <c r="H15" s="92">
        <f t="shared" si="0"/>
        <v>254.36</v>
      </c>
      <c r="I15" s="128">
        <f t="shared" si="1"/>
        <v>1017.44</v>
      </c>
      <c r="J15" s="129">
        <f t="shared" si="2"/>
        <v>1119.1840000000002</v>
      </c>
    </row>
    <row r="16" spans="1:10" ht="10" customHeight="1" x14ac:dyDescent="0.15">
      <c r="A16" s="179"/>
      <c r="B16" s="180"/>
      <c r="C16" s="180"/>
      <c r="D16" s="180"/>
      <c r="E16" s="180"/>
      <c r="F16" s="180"/>
      <c r="G16" s="180"/>
      <c r="H16" s="180"/>
      <c r="I16" s="181"/>
      <c r="J16" s="182"/>
    </row>
    <row r="17" spans="1:10" ht="20" customHeight="1" x14ac:dyDescent="0.15">
      <c r="A17" s="126" t="str">
        <f>'Tariffs 2018'!F9</f>
        <v>Origin Energy</v>
      </c>
      <c r="B17" s="22" t="str">
        <f>'Tariffs 2018'!D9</f>
        <v>Envestra Whyalla</v>
      </c>
      <c r="C17" s="127">
        <f>'Tariffs 2018'!E9</f>
        <v>41820</v>
      </c>
      <c r="D17" s="92">
        <f>91*'Tariffs 2018'!H9/100</f>
        <v>64.61</v>
      </c>
      <c r="E17" s="92">
        <f>IF($C$5&gt;='Tariffs 2018'!J9,('Tariffs 2018'!J9*'Tariffs 2018'!O9/100),($C$5*'Tariffs 2018'!O9/100))</f>
        <v>175.5</v>
      </c>
      <c r="F17" s="92">
        <v>0</v>
      </c>
      <c r="G17" s="92">
        <f>IF(($C$5&lt;'Tariffs 2018'!K9),(0),($C$5-'Tariffs 2018'!K9)*'Tariffs 2018'!P9/100)</f>
        <v>14.25</v>
      </c>
      <c r="H17" s="92">
        <f t="shared" si="0"/>
        <v>254.36</v>
      </c>
      <c r="I17" s="128">
        <f t="shared" si="1"/>
        <v>1017.44</v>
      </c>
      <c r="J17" s="129">
        <f t="shared" si="2"/>
        <v>1119.1840000000002</v>
      </c>
    </row>
    <row r="18" spans="1:10" ht="10" customHeight="1" x14ac:dyDescent="0.15">
      <c r="A18" s="179"/>
      <c r="B18" s="180"/>
      <c r="C18" s="180"/>
      <c r="D18" s="180"/>
      <c r="E18" s="180"/>
      <c r="F18" s="180"/>
      <c r="G18" s="180"/>
      <c r="H18" s="180"/>
      <c r="I18" s="181"/>
      <c r="J18" s="182"/>
    </row>
    <row r="19" spans="1:10" ht="20" customHeight="1" x14ac:dyDescent="0.15">
      <c r="A19" s="126" t="str">
        <f>'Tariffs 2018'!F10</f>
        <v>Origin Energy</v>
      </c>
      <c r="B19" s="22" t="str">
        <f>'Tariffs 2018'!D10</f>
        <v>Envestra Mt Gambier</v>
      </c>
      <c r="C19" s="127">
        <f>'Tariffs 2018'!E10</f>
        <v>41820</v>
      </c>
      <c r="D19" s="92">
        <f>91*'Tariffs 2018'!H10/100</f>
        <v>64.61</v>
      </c>
      <c r="E19" s="92">
        <f>IF($C$5&gt;='Tariffs 2018'!J10,('Tariffs 2018'!J10*'Tariffs 2018'!O10/100),($C$5*'Tariffs 2018'!O10/100))</f>
        <v>175.5</v>
      </c>
      <c r="F19" s="92">
        <v>0</v>
      </c>
      <c r="G19" s="92">
        <f>IF(($C$5&lt;'Tariffs 2018'!K10),(0),($C$5-'Tariffs 2018'!K10)*'Tariffs 2018'!P10/100)</f>
        <v>14.25</v>
      </c>
      <c r="H19" s="92">
        <f t="shared" si="0"/>
        <v>254.36</v>
      </c>
      <c r="I19" s="128">
        <f t="shared" si="1"/>
        <v>1017.44</v>
      </c>
      <c r="J19" s="129">
        <f t="shared" si="2"/>
        <v>1119.1840000000002</v>
      </c>
    </row>
    <row r="20" spans="1:10" ht="10" customHeight="1" x14ac:dyDescent="0.15">
      <c r="A20" s="179"/>
      <c r="B20" s="180"/>
      <c r="C20" s="180"/>
      <c r="D20" s="180"/>
      <c r="E20" s="180"/>
      <c r="F20" s="180"/>
      <c r="G20" s="180"/>
      <c r="H20" s="180"/>
      <c r="I20" s="181"/>
      <c r="J20" s="182"/>
    </row>
    <row r="21" spans="1:10" ht="20" customHeight="1" thickBot="1" x14ac:dyDescent="0.2">
      <c r="A21" s="130" t="str">
        <f>'Tariffs 2018'!F11</f>
        <v>Origin Energy</v>
      </c>
      <c r="B21" s="131" t="str">
        <f>'Tariffs 2018'!D11</f>
        <v>Envestra Riverland</v>
      </c>
      <c r="C21" s="132">
        <f>'Tariffs 2018'!E11</f>
        <v>41820</v>
      </c>
      <c r="D21" s="133">
        <f>91*'Tariffs 2018'!H11/100</f>
        <v>64.61</v>
      </c>
      <c r="E21" s="133">
        <f>IF($C$5&gt;='Tariffs 2018'!J11,('Tariffs 2018'!J11*'Tariffs 2018'!O11/100),($C$5*'Tariffs 2018'!O11/100))</f>
        <v>175.5</v>
      </c>
      <c r="F21" s="133">
        <v>0</v>
      </c>
      <c r="G21" s="133">
        <f>IF(($C$5&lt;'Tariffs 2018'!K11),(0),($C$5-'Tariffs 2018'!K11)*'Tariffs 2018'!P11/100)</f>
        <v>14.25</v>
      </c>
      <c r="H21" s="133">
        <f t="shared" si="0"/>
        <v>254.36</v>
      </c>
      <c r="I21" s="134">
        <f t="shared" si="1"/>
        <v>1017.44</v>
      </c>
      <c r="J21" s="135">
        <f t="shared" si="2"/>
        <v>1119.1840000000002</v>
      </c>
    </row>
    <row r="22" spans="1:10" s="148" customFormat="1" x14ac:dyDescent="0.15">
      <c r="C22" s="152"/>
    </row>
    <row r="23" spans="1:10" s="148" customFormat="1" x14ac:dyDescent="0.15"/>
    <row r="24" spans="1:10" s="148" customFormat="1" x14ac:dyDescent="0.15"/>
    <row r="25" spans="1:10" s="148" customFormat="1" x14ac:dyDescent="0.15"/>
    <row r="26" spans="1:10" s="148" customFormat="1" x14ac:dyDescent="0.15"/>
    <row r="27" spans="1:10" s="148" customFormat="1" x14ac:dyDescent="0.15"/>
    <row r="28" spans="1:10" s="148" customFormat="1" x14ac:dyDescent="0.15"/>
    <row r="29" spans="1:10" s="148" customFormat="1" x14ac:dyDescent="0.15"/>
    <row r="30" spans="1:10" s="148" customFormat="1" x14ac:dyDescent="0.15"/>
    <row r="31" spans="1:10" s="148" customFormat="1" x14ac:dyDescent="0.15"/>
    <row r="32" spans="1:10" s="148" customFormat="1" x14ac:dyDescent="0.15"/>
    <row r="33" s="148" customFormat="1" x14ac:dyDescent="0.15"/>
    <row r="34" s="148" customFormat="1" x14ac:dyDescent="0.15"/>
    <row r="35" s="148" customFormat="1" x14ac:dyDescent="0.15"/>
    <row r="36" s="148" customFormat="1" x14ac:dyDescent="0.15"/>
    <row r="37" s="148" customFormat="1" x14ac:dyDescent="0.15"/>
    <row r="38" s="148" customFormat="1" x14ac:dyDescent="0.15"/>
    <row r="39" s="148" customFormat="1" x14ac:dyDescent="0.15"/>
    <row r="40" s="148" customFormat="1" x14ac:dyDescent="0.15"/>
    <row r="41" s="148" customFormat="1" x14ac:dyDescent="0.15"/>
    <row r="42" s="148" customFormat="1" x14ac:dyDescent="0.15"/>
    <row r="43" s="148" customFormat="1" x14ac:dyDescent="0.15"/>
    <row r="44" s="148" customFormat="1" x14ac:dyDescent="0.15"/>
    <row r="45" s="148" customFormat="1" x14ac:dyDescent="0.15"/>
    <row r="46" s="148" customFormat="1" x14ac:dyDescent="0.15"/>
    <row r="47" s="148" customFormat="1" x14ac:dyDescent="0.15"/>
    <row r="48" s="148" customFormat="1" x14ac:dyDescent="0.15"/>
    <row r="49" s="148" customFormat="1" x14ac:dyDescent="0.15"/>
    <row r="50" s="148" customFormat="1" x14ac:dyDescent="0.15"/>
    <row r="51" s="148" customFormat="1" x14ac:dyDescent="0.15"/>
    <row r="52" s="148" customFormat="1" x14ac:dyDescent="0.15"/>
    <row r="53" s="148" customFormat="1" x14ac:dyDescent="0.15"/>
    <row r="54" s="148" customFormat="1" x14ac:dyDescent="0.15"/>
    <row r="55" s="148" customFormat="1" x14ac:dyDescent="0.15"/>
    <row r="56" s="148" customFormat="1" x14ac:dyDescent="0.15"/>
    <row r="57" s="148" customFormat="1" x14ac:dyDescent="0.15"/>
    <row r="58" s="148" customFormat="1" x14ac:dyDescent="0.15"/>
    <row r="59" s="148" customFormat="1" x14ac:dyDescent="0.15"/>
    <row r="60" s="148" customFormat="1" x14ac:dyDescent="0.15"/>
    <row r="61" s="148" customFormat="1" x14ac:dyDescent="0.15"/>
    <row r="62" s="148" customFormat="1" x14ac:dyDescent="0.15"/>
    <row r="63" s="148" customFormat="1" x14ac:dyDescent="0.15"/>
    <row r="64" s="148" customFormat="1" x14ac:dyDescent="0.15"/>
    <row r="65" s="148" customFormat="1" x14ac:dyDescent="0.15"/>
    <row r="66" s="148" customFormat="1" x14ac:dyDescent="0.15"/>
    <row r="67" s="148" customFormat="1" x14ac:dyDescent="0.15"/>
    <row r="68" s="148" customFormat="1" x14ac:dyDescent="0.15"/>
    <row r="69" s="148" customFormat="1" x14ac:dyDescent="0.15"/>
    <row r="70" s="148" customFormat="1" x14ac:dyDescent="0.15"/>
    <row r="71" s="148" customFormat="1" x14ac:dyDescent="0.15"/>
    <row r="72" s="148" customFormat="1" x14ac:dyDescent="0.15"/>
    <row r="73" s="148" customFormat="1" x14ac:dyDescent="0.15"/>
    <row r="74" s="148" customFormat="1" x14ac:dyDescent="0.15"/>
    <row r="75" s="148" customFormat="1" x14ac:dyDescent="0.15"/>
    <row r="76" s="148" customFormat="1" x14ac:dyDescent="0.15"/>
    <row r="77" s="148" customFormat="1" x14ac:dyDescent="0.15"/>
    <row r="78" s="148" customFormat="1" x14ac:dyDescent="0.15"/>
    <row r="79" s="148" customFormat="1" x14ac:dyDescent="0.15"/>
    <row r="80" s="148" customFormat="1" x14ac:dyDescent="0.15"/>
    <row r="81" s="148" customFormat="1" x14ac:dyDescent="0.15"/>
    <row r="82" s="148" customFormat="1" x14ac:dyDescent="0.15"/>
    <row r="83" s="148" customFormat="1" x14ac:dyDescent="0.15"/>
    <row r="84" s="148" customFormat="1" x14ac:dyDescent="0.15"/>
    <row r="85" s="148" customFormat="1" x14ac:dyDescent="0.15"/>
    <row r="86" s="148" customFormat="1" x14ac:dyDescent="0.15"/>
    <row r="87" s="148" customFormat="1" x14ac:dyDescent="0.15"/>
    <row r="88" s="148" customFormat="1" x14ac:dyDescent="0.15"/>
    <row r="89" s="148" customFormat="1" x14ac:dyDescent="0.15"/>
    <row r="90" s="148" customFormat="1" x14ac:dyDescent="0.15"/>
    <row r="91" s="148" customFormat="1" x14ac:dyDescent="0.15"/>
    <row r="92" s="148" customFormat="1" x14ac:dyDescent="0.15"/>
    <row r="93" s="148" customFormat="1" x14ac:dyDescent="0.15"/>
    <row r="94" s="148" customFormat="1" x14ac:dyDescent="0.15"/>
    <row r="95" s="148" customFormat="1" x14ac:dyDescent="0.15"/>
    <row r="96" s="148" customFormat="1" x14ac:dyDescent="0.15"/>
    <row r="97" s="148" customFormat="1" x14ac:dyDescent="0.15"/>
    <row r="98" s="148" customFormat="1" x14ac:dyDescent="0.15"/>
    <row r="99" s="148" customFormat="1" x14ac:dyDescent="0.15"/>
    <row r="100" s="148" customFormat="1" x14ac:dyDescent="0.15"/>
    <row r="101" s="148" customFormat="1" x14ac:dyDescent="0.15"/>
    <row r="102" s="148" customFormat="1" x14ac:dyDescent="0.15"/>
    <row r="103" s="148" customFormat="1" x14ac:dyDescent="0.15"/>
    <row r="104" s="148" customFormat="1" x14ac:dyDescent="0.15"/>
    <row r="105" s="148" customFormat="1" x14ac:dyDescent="0.15"/>
    <row r="106" s="148" customFormat="1" x14ac:dyDescent="0.15"/>
    <row r="107" s="148" customFormat="1" x14ac:dyDescent="0.15"/>
    <row r="108" s="148" customFormat="1" x14ac:dyDescent="0.15"/>
    <row r="109" s="148" customFormat="1" x14ac:dyDescent="0.15"/>
    <row r="110" s="148" customFormat="1" x14ac:dyDescent="0.15"/>
    <row r="111" s="148" customFormat="1" x14ac:dyDescent="0.15"/>
    <row r="112" s="148" customFormat="1" x14ac:dyDescent="0.15"/>
    <row r="113" s="148" customFormat="1" x14ac:dyDescent="0.15"/>
    <row r="114" s="148" customFormat="1" x14ac:dyDescent="0.15"/>
    <row r="115" s="148" customFormat="1" x14ac:dyDescent="0.15"/>
    <row r="116" s="148" customFormat="1" x14ac:dyDescent="0.15"/>
    <row r="117" s="148" customFormat="1" x14ac:dyDescent="0.15"/>
    <row r="118" s="148" customFormat="1" x14ac:dyDescent="0.15"/>
    <row r="119" s="148" customFormat="1" x14ac:dyDescent="0.15"/>
    <row r="120" s="148" customFormat="1" x14ac:dyDescent="0.15"/>
    <row r="121" s="148" customFormat="1" x14ac:dyDescent="0.15"/>
    <row r="122" s="148" customFormat="1" x14ac:dyDescent="0.15"/>
    <row r="123" s="148" customFormat="1" x14ac:dyDescent="0.15"/>
    <row r="124" s="148" customFormat="1" x14ac:dyDescent="0.15"/>
    <row r="125" s="148" customFormat="1" x14ac:dyDescent="0.15"/>
    <row r="126" s="148" customFormat="1" x14ac:dyDescent="0.15"/>
    <row r="127" s="148" customFormat="1" x14ac:dyDescent="0.15"/>
    <row r="128" s="148" customFormat="1" x14ac:dyDescent="0.15"/>
    <row r="129" s="148" customFormat="1" x14ac:dyDescent="0.15"/>
    <row r="130" s="148" customFormat="1" x14ac:dyDescent="0.15"/>
    <row r="131" s="148" customFormat="1" x14ac:dyDescent="0.15"/>
    <row r="132" s="148" customFormat="1" x14ac:dyDescent="0.15"/>
    <row r="133" s="148" customFormat="1" x14ac:dyDescent="0.15"/>
    <row r="134" s="148" customFormat="1" x14ac:dyDescent="0.15"/>
    <row r="135" s="148" customFormat="1" x14ac:dyDescent="0.15"/>
    <row r="136" s="148" customFormat="1" x14ac:dyDescent="0.15"/>
    <row r="137" s="148" customFormat="1" x14ac:dyDescent="0.15"/>
    <row r="138" s="148" customFormat="1" x14ac:dyDescent="0.15"/>
    <row r="139" s="148" customFormat="1" x14ac:dyDescent="0.15"/>
    <row r="140" s="148" customFormat="1" x14ac:dyDescent="0.15"/>
    <row r="141" s="148" customFormat="1" x14ac:dyDescent="0.15"/>
    <row r="142" s="148" customFormat="1" x14ac:dyDescent="0.15"/>
    <row r="143" s="148" customFormat="1" x14ac:dyDescent="0.15"/>
    <row r="144" s="148" customFormat="1" x14ac:dyDescent="0.15"/>
    <row r="145" s="148" customFormat="1" x14ac:dyDescent="0.15"/>
    <row r="146" s="148" customFormat="1" x14ac:dyDescent="0.15"/>
    <row r="147" s="148" customFormat="1" x14ac:dyDescent="0.15"/>
    <row r="148" s="148" customFormat="1" x14ac:dyDescent="0.15"/>
    <row r="149" s="148" customFormat="1" x14ac:dyDescent="0.15"/>
    <row r="150" s="148" customFormat="1" x14ac:dyDescent="0.15"/>
    <row r="151" s="148" customFormat="1" x14ac:dyDescent="0.15"/>
    <row r="152" s="148" customFormat="1" x14ac:dyDescent="0.15"/>
    <row r="153" s="148" customFormat="1" x14ac:dyDescent="0.15"/>
    <row r="154" s="148" customFormat="1" x14ac:dyDescent="0.15"/>
    <row r="155" s="148" customFormat="1" x14ac:dyDescent="0.15"/>
    <row r="156" s="148" customFormat="1" x14ac:dyDescent="0.15"/>
    <row r="157" s="148" customFormat="1" x14ac:dyDescent="0.15"/>
    <row r="158" s="148" customFormat="1" x14ac:dyDescent="0.15"/>
    <row r="159" s="148" customFormat="1" x14ac:dyDescent="0.15"/>
    <row r="160" s="148" customFormat="1" x14ac:dyDescent="0.15"/>
    <row r="161" s="148" customFormat="1" x14ac:dyDescent="0.15"/>
    <row r="162" s="148" customFormat="1" x14ac:dyDescent="0.15"/>
    <row r="163" s="148" customFormat="1" x14ac:dyDescent="0.15"/>
    <row r="164" s="148" customFormat="1" x14ac:dyDescent="0.15"/>
    <row r="165" s="148" customFormat="1" x14ac:dyDescent="0.15"/>
    <row r="166" s="148" customFormat="1" x14ac:dyDescent="0.15"/>
    <row r="167" s="148" customFormat="1" x14ac:dyDescent="0.15"/>
    <row r="168" s="148" customFormat="1" x14ac:dyDescent="0.15"/>
    <row r="169" s="148" customFormat="1" x14ac:dyDescent="0.15"/>
    <row r="170" s="148" customFormat="1" x14ac:dyDescent="0.15"/>
    <row r="171" s="148" customFormat="1" x14ac:dyDescent="0.15"/>
    <row r="172" s="148" customFormat="1" x14ac:dyDescent="0.15"/>
    <row r="173" s="148" customFormat="1" x14ac:dyDescent="0.15"/>
    <row r="174" s="148" customFormat="1" x14ac:dyDescent="0.15"/>
    <row r="175" s="148" customFormat="1" x14ac:dyDescent="0.15"/>
    <row r="176" s="148" customFormat="1" x14ac:dyDescent="0.15"/>
    <row r="177" s="148" customFormat="1" x14ac:dyDescent="0.15"/>
    <row r="178" s="148" customFormat="1" x14ac:dyDescent="0.15"/>
    <row r="179" s="148" customFormat="1" x14ac:dyDescent="0.15"/>
    <row r="180" s="148" customFormat="1" x14ac:dyDescent="0.15"/>
    <row r="181" s="148" customFormat="1" x14ac:dyDescent="0.15"/>
    <row r="182" s="148" customFormat="1" x14ac:dyDescent="0.15"/>
    <row r="183" s="148" customFormat="1" x14ac:dyDescent="0.15"/>
    <row r="184" s="148" customFormat="1" x14ac:dyDescent="0.15"/>
    <row r="185" s="148" customFormat="1" x14ac:dyDescent="0.15"/>
    <row r="186" s="148" customFormat="1" x14ac:dyDescent="0.15"/>
    <row r="187" s="148" customFormat="1" x14ac:dyDescent="0.15"/>
    <row r="188" s="148" customFormat="1" x14ac:dyDescent="0.15"/>
    <row r="189" s="148" customFormat="1" x14ac:dyDescent="0.15"/>
    <row r="190" s="148" customFormat="1" x14ac:dyDescent="0.15"/>
    <row r="191" s="148" customFormat="1" x14ac:dyDescent="0.15"/>
    <row r="192" s="148" customFormat="1" x14ac:dyDescent="0.15"/>
    <row r="193" s="148" customFormat="1" x14ac:dyDescent="0.15"/>
    <row r="194" s="148" customFormat="1" x14ac:dyDescent="0.15"/>
    <row r="195" s="148" customFormat="1" x14ac:dyDescent="0.15"/>
    <row r="196" s="148" customFormat="1" x14ac:dyDescent="0.15"/>
    <row r="197" s="148" customFormat="1" x14ac:dyDescent="0.15"/>
    <row r="198" s="148" customFormat="1" x14ac:dyDescent="0.15"/>
    <row r="199" s="148" customFormat="1" x14ac:dyDescent="0.15"/>
    <row r="200" s="148" customFormat="1" x14ac:dyDescent="0.15"/>
    <row r="201" s="148" customFormat="1" x14ac:dyDescent="0.15"/>
    <row r="202" s="148" customFormat="1" x14ac:dyDescent="0.15"/>
    <row r="203" s="148" customFormat="1" x14ac:dyDescent="0.15"/>
    <row r="204" s="148" customFormat="1" x14ac:dyDescent="0.15"/>
    <row r="205" s="148" customFormat="1" x14ac:dyDescent="0.15"/>
    <row r="206" s="148" customFormat="1" x14ac:dyDescent="0.15"/>
    <row r="207" s="148" customFormat="1" x14ac:dyDescent="0.15"/>
    <row r="208" s="148" customFormat="1" x14ac:dyDescent="0.15"/>
    <row r="209" s="148" customFormat="1" x14ac:dyDescent="0.15"/>
    <row r="210" s="148" customFormat="1" x14ac:dyDescent="0.15"/>
    <row r="211" s="148" customFormat="1" x14ac:dyDescent="0.15"/>
    <row r="212" s="148" customFormat="1" x14ac:dyDescent="0.15"/>
    <row r="213" s="148" customFormat="1" x14ac:dyDescent="0.15"/>
    <row r="214" s="148" customFormat="1" x14ac:dyDescent="0.15"/>
    <row r="215" s="148" customFormat="1" x14ac:dyDescent="0.15"/>
    <row r="216" s="148" customFormat="1" x14ac:dyDescent="0.15"/>
    <row r="217" s="148" customFormat="1" x14ac:dyDescent="0.15"/>
    <row r="218" s="148" customFormat="1" x14ac:dyDescent="0.15"/>
    <row r="219" s="148" customFormat="1" x14ac:dyDescent="0.15"/>
    <row r="220" s="148" customFormat="1" x14ac:dyDescent="0.15"/>
    <row r="221" s="148" customFormat="1" x14ac:dyDescent="0.15"/>
    <row r="222" s="148" customFormat="1" x14ac:dyDescent="0.15"/>
    <row r="223" s="148" customFormat="1" x14ac:dyDescent="0.15"/>
    <row r="224" s="148" customFormat="1" x14ac:dyDescent="0.15"/>
    <row r="225" s="148" customFormat="1" x14ac:dyDescent="0.15"/>
    <row r="226" s="148" customFormat="1" x14ac:dyDescent="0.15"/>
    <row r="227" s="148" customFormat="1" x14ac:dyDescent="0.15"/>
    <row r="228" s="148" customFormat="1" x14ac:dyDescent="0.15"/>
    <row r="229" s="148" customFormat="1" x14ac:dyDescent="0.15"/>
    <row r="230" s="148" customFormat="1" x14ac:dyDescent="0.15"/>
    <row r="231" s="148" customFormat="1" x14ac:dyDescent="0.15"/>
    <row r="232" s="148" customFormat="1" x14ac:dyDescent="0.15"/>
    <row r="233" s="148" customFormat="1" x14ac:dyDescent="0.15"/>
    <row r="234" s="148" customFormat="1" x14ac:dyDescent="0.15"/>
    <row r="235" s="148" customFormat="1" x14ac:dyDescent="0.15"/>
    <row r="236" s="148" customFormat="1" x14ac:dyDescent="0.15"/>
    <row r="237" s="148" customFormat="1" x14ac:dyDescent="0.15"/>
    <row r="238" s="148" customFormat="1" x14ac:dyDescent="0.15"/>
    <row r="239" s="148" customFormat="1" x14ac:dyDescent="0.15"/>
    <row r="240" s="148" customFormat="1" x14ac:dyDescent="0.15"/>
    <row r="241" s="148" customFormat="1" x14ac:dyDescent="0.15"/>
    <row r="242" s="148" customFormat="1" x14ac:dyDescent="0.15"/>
    <row r="243" s="148" customFormat="1" x14ac:dyDescent="0.15"/>
    <row r="244" s="148" customFormat="1" x14ac:dyDescent="0.15"/>
    <row r="245" s="148" customFormat="1" x14ac:dyDescent="0.15"/>
    <row r="246" s="148" customFormat="1" x14ac:dyDescent="0.15"/>
    <row r="247" s="148" customFormat="1" x14ac:dyDescent="0.15"/>
    <row r="248" s="148" customFormat="1" x14ac:dyDescent="0.15"/>
    <row r="249" s="148" customFormat="1" x14ac:dyDescent="0.15"/>
    <row r="250" s="148" customFormat="1" x14ac:dyDescent="0.15"/>
    <row r="251" s="148" customFormat="1" x14ac:dyDescent="0.15"/>
    <row r="252" s="148" customFormat="1" x14ac:dyDescent="0.15"/>
    <row r="253" s="148" customFormat="1" x14ac:dyDescent="0.15"/>
    <row r="254" s="148" customFormat="1" x14ac:dyDescent="0.15"/>
    <row r="255" s="148" customFormat="1" x14ac:dyDescent="0.15"/>
    <row r="256" s="148" customFormat="1" x14ac:dyDescent="0.15"/>
    <row r="257" s="148" customFormat="1" x14ac:dyDescent="0.15"/>
    <row r="258" s="148" customFormat="1" x14ac:dyDescent="0.15"/>
    <row r="259" s="148" customFormat="1" x14ac:dyDescent="0.15"/>
    <row r="260" s="148" customFormat="1" x14ac:dyDescent="0.15"/>
    <row r="261" s="148" customFormat="1" x14ac:dyDescent="0.15"/>
    <row r="262" s="148" customFormat="1" x14ac:dyDescent="0.15"/>
    <row r="263" s="148" customFormat="1" x14ac:dyDescent="0.15"/>
    <row r="264" s="148" customFormat="1" x14ac:dyDescent="0.15"/>
    <row r="265" s="148" customFormat="1" x14ac:dyDescent="0.15"/>
    <row r="266" s="148" customFormat="1" x14ac:dyDescent="0.15"/>
    <row r="267" s="148" customFormat="1" x14ac:dyDescent="0.15"/>
    <row r="268" s="148" customFormat="1" x14ac:dyDescent="0.15"/>
    <row r="269" s="148" customFormat="1" x14ac:dyDescent="0.15"/>
    <row r="270" s="148" customFormat="1" x14ac:dyDescent="0.15"/>
    <row r="271" s="148" customFormat="1" x14ac:dyDescent="0.15"/>
    <row r="272" s="148" customFormat="1" x14ac:dyDescent="0.15"/>
    <row r="273" s="148" customFormat="1" x14ac:dyDescent="0.15"/>
    <row r="274" s="148" customFormat="1" x14ac:dyDescent="0.15"/>
    <row r="275" s="148" customFormat="1" x14ac:dyDescent="0.15"/>
    <row r="276" s="148" customFormat="1" x14ac:dyDescent="0.15"/>
    <row r="277" s="148" customFormat="1" x14ac:dyDescent="0.15"/>
    <row r="278" s="148" customFormat="1" x14ac:dyDescent="0.15"/>
    <row r="279" s="148" customFormat="1" x14ac:dyDescent="0.15"/>
    <row r="280" s="148" customFormat="1" x14ac:dyDescent="0.15"/>
    <row r="281" s="148" customFormat="1" x14ac:dyDescent="0.15"/>
    <row r="282" s="148" customFormat="1" x14ac:dyDescent="0.15"/>
    <row r="283" s="148" customFormat="1" x14ac:dyDescent="0.15"/>
    <row r="284" s="148" customFormat="1" x14ac:dyDescent="0.15"/>
    <row r="285" s="148" customFormat="1" x14ac:dyDescent="0.15"/>
    <row r="286" s="148" customFormat="1" x14ac:dyDescent="0.15"/>
    <row r="287" s="148" customFormat="1" x14ac:dyDescent="0.15"/>
    <row r="288" s="148" customFormat="1" x14ac:dyDescent="0.15"/>
    <row r="289" s="148" customFormat="1" x14ac:dyDescent="0.15"/>
    <row r="290" s="148" customFormat="1" x14ac:dyDescent="0.15"/>
    <row r="291" s="148" customFormat="1" x14ac:dyDescent="0.15"/>
    <row r="292" s="148" customFormat="1" x14ac:dyDescent="0.15"/>
    <row r="293" s="148" customFormat="1" x14ac:dyDescent="0.15"/>
    <row r="294" s="148" customFormat="1" x14ac:dyDescent="0.15"/>
    <row r="295" s="148" customFormat="1" x14ac:dyDescent="0.15"/>
    <row r="296" s="148" customFormat="1" x14ac:dyDescent="0.15"/>
    <row r="297" s="148" customFormat="1" x14ac:dyDescent="0.15"/>
    <row r="298" s="148" customFormat="1" x14ac:dyDescent="0.15"/>
    <row r="299" s="148" customFormat="1" x14ac:dyDescent="0.15"/>
    <row r="300" s="148" customFormat="1" x14ac:dyDescent="0.15"/>
    <row r="301" s="148" customFormat="1" x14ac:dyDescent="0.15"/>
    <row r="302" s="148" customFormat="1" x14ac:dyDescent="0.15"/>
    <row r="303" s="148" customFormat="1" x14ac:dyDescent="0.15"/>
    <row r="304" s="148" customFormat="1" x14ac:dyDescent="0.15"/>
    <row r="305" s="148" customFormat="1" x14ac:dyDescent="0.15"/>
    <row r="306" s="148" customFormat="1" x14ac:dyDescent="0.15"/>
    <row r="307" s="148" customFormat="1" x14ac:dyDescent="0.15"/>
    <row r="308" s="148" customFormat="1" x14ac:dyDescent="0.15"/>
    <row r="309" s="148" customFormat="1" x14ac:dyDescent="0.15"/>
    <row r="310" s="148" customFormat="1" x14ac:dyDescent="0.15"/>
    <row r="311" s="148" customFormat="1" x14ac:dyDescent="0.15"/>
    <row r="312" s="148" customFormat="1" x14ac:dyDescent="0.15"/>
    <row r="313" s="148" customFormat="1" x14ac:dyDescent="0.15"/>
    <row r="314" s="148" customFormat="1" x14ac:dyDescent="0.15"/>
    <row r="315" s="148" customFormat="1" x14ac:dyDescent="0.15"/>
    <row r="316" s="148" customFormat="1" x14ac:dyDescent="0.15"/>
    <row r="317" s="148" customFormat="1" x14ac:dyDescent="0.15"/>
    <row r="318" s="148" customFormat="1" x14ac:dyDescent="0.15"/>
    <row r="319" s="148" customFormat="1" x14ac:dyDescent="0.15"/>
    <row r="320" s="148" customFormat="1" x14ac:dyDescent="0.15"/>
    <row r="321" s="148" customFormat="1" x14ac:dyDescent="0.15"/>
    <row r="322" s="148" customFormat="1" x14ac:dyDescent="0.15"/>
    <row r="323" s="148" customFormat="1" x14ac:dyDescent="0.15"/>
    <row r="324" s="148" customFormat="1" x14ac:dyDescent="0.15"/>
    <row r="325" s="148" customFormat="1" x14ac:dyDescent="0.15"/>
    <row r="326" s="148" customFormat="1" x14ac:dyDescent="0.15"/>
    <row r="327" s="148" customFormat="1" x14ac:dyDescent="0.15"/>
    <row r="328" s="148" customFormat="1" x14ac:dyDescent="0.15"/>
    <row r="329" s="148" customFormat="1" x14ac:dyDescent="0.15"/>
    <row r="330" s="148" customFormat="1" x14ac:dyDescent="0.15"/>
    <row r="331" s="148" customFormat="1" x14ac:dyDescent="0.15"/>
    <row r="332" s="148" customFormat="1" x14ac:dyDescent="0.15"/>
    <row r="333" s="148" customFormat="1" x14ac:dyDescent="0.15"/>
    <row r="334" s="148" customFormat="1" x14ac:dyDescent="0.15"/>
    <row r="335" s="148" customFormat="1" x14ac:dyDescent="0.15"/>
    <row r="336" s="148" customFormat="1" x14ac:dyDescent="0.15"/>
    <row r="337" s="148" customFormat="1" x14ac:dyDescent="0.15"/>
    <row r="338" s="148" customFormat="1" x14ac:dyDescent="0.15"/>
    <row r="339" s="148" customFormat="1" x14ac:dyDescent="0.15"/>
    <row r="340" s="148" customFormat="1" x14ac:dyDescent="0.15"/>
    <row r="341" s="148" customFormat="1" x14ac:dyDescent="0.15"/>
    <row r="342" s="148" customFormat="1" x14ac:dyDescent="0.15"/>
    <row r="343" s="148" customFormat="1" x14ac:dyDescent="0.15"/>
    <row r="344" s="148" customFormat="1" x14ac:dyDescent="0.15"/>
    <row r="345" s="148" customFormat="1" x14ac:dyDescent="0.15"/>
    <row r="346" s="148" customFormat="1" x14ac:dyDescent="0.15"/>
    <row r="347" s="148" customFormat="1" x14ac:dyDescent="0.15"/>
    <row r="348" s="148" customFormat="1" x14ac:dyDescent="0.15"/>
    <row r="349" s="148" customFormat="1" x14ac:dyDescent="0.15"/>
    <row r="350" s="148" customFormat="1" x14ac:dyDescent="0.15"/>
    <row r="351" s="148" customFormat="1" x14ac:dyDescent="0.15"/>
    <row r="352" s="148" customFormat="1" x14ac:dyDescent="0.15"/>
    <row r="353" s="148" customFormat="1" x14ac:dyDescent="0.15"/>
    <row r="354" s="148" customFormat="1" x14ac:dyDescent="0.15"/>
    <row r="355" s="148" customFormat="1" x14ac:dyDescent="0.15"/>
    <row r="356" s="148" customFormat="1" x14ac:dyDescent="0.15"/>
    <row r="357" s="148" customFormat="1" x14ac:dyDescent="0.15"/>
    <row r="358" s="148" customFormat="1" x14ac:dyDescent="0.15"/>
    <row r="359" s="148" customFormat="1" x14ac:dyDescent="0.15"/>
    <row r="360" s="148" customFormat="1" x14ac:dyDescent="0.15"/>
    <row r="361" s="148" customFormat="1" x14ac:dyDescent="0.15"/>
    <row r="362" s="148" customFormat="1" x14ac:dyDescent="0.15"/>
    <row r="363" s="148" customFormat="1" x14ac:dyDescent="0.15"/>
    <row r="364" s="148" customFormat="1" x14ac:dyDescent="0.15"/>
    <row r="365" s="148" customFormat="1" x14ac:dyDescent="0.15"/>
    <row r="366" s="148" customFormat="1" x14ac:dyDescent="0.15"/>
    <row r="367" s="148" customFormat="1" x14ac:dyDescent="0.15"/>
    <row r="368" s="148" customFormat="1" x14ac:dyDescent="0.15"/>
    <row r="369" s="148" customFormat="1" x14ac:dyDescent="0.15"/>
    <row r="370" s="148" customFormat="1" x14ac:dyDescent="0.15"/>
    <row r="371" s="148" customFormat="1" x14ac:dyDescent="0.15"/>
    <row r="372" s="148" customFormat="1" x14ac:dyDescent="0.15"/>
    <row r="373" s="148" customFormat="1" x14ac:dyDescent="0.15"/>
    <row r="374" s="148" customFormat="1" x14ac:dyDescent="0.15"/>
    <row r="375" s="148" customFormat="1" x14ac:dyDescent="0.15"/>
    <row r="376" s="148" customFormat="1" x14ac:dyDescent="0.15"/>
    <row r="377" s="148" customFormat="1" x14ac:dyDescent="0.15"/>
    <row r="378" s="148" customFormat="1" x14ac:dyDescent="0.15"/>
    <row r="379" s="148" customFormat="1" x14ac:dyDescent="0.15"/>
    <row r="380" s="148" customFormat="1" x14ac:dyDescent="0.15"/>
    <row r="381" s="148" customFormat="1" x14ac:dyDescent="0.15"/>
    <row r="382" s="148" customFormat="1" x14ac:dyDescent="0.15"/>
    <row r="383" s="148" customFormat="1" x14ac:dyDescent="0.15"/>
    <row r="384" s="148" customFormat="1" x14ac:dyDescent="0.15"/>
    <row r="385" s="148" customFormat="1" x14ac:dyDescent="0.15"/>
    <row r="386" s="148" customFormat="1" x14ac:dyDescent="0.15"/>
    <row r="387" s="148" customFormat="1" x14ac:dyDescent="0.15"/>
    <row r="388" s="148" customFormat="1" x14ac:dyDescent="0.15"/>
    <row r="389" s="148" customFormat="1" x14ac:dyDescent="0.15"/>
    <row r="390" s="148" customFormat="1" x14ac:dyDescent="0.15"/>
    <row r="391" s="148" customFormat="1" x14ac:dyDescent="0.15"/>
    <row r="392" s="148" customFormat="1" x14ac:dyDescent="0.15"/>
    <row r="393" s="148" customFormat="1" x14ac:dyDescent="0.15"/>
    <row r="394" s="148" customFormat="1" x14ac:dyDescent="0.15"/>
    <row r="395" s="148" customFormat="1" x14ac:dyDescent="0.15"/>
    <row r="396" s="148" customFormat="1" x14ac:dyDescent="0.15"/>
    <row r="397" s="148" customFormat="1" x14ac:dyDescent="0.15"/>
    <row r="398" s="148" customFormat="1" x14ac:dyDescent="0.15"/>
    <row r="399" s="148" customFormat="1" x14ac:dyDescent="0.15"/>
    <row r="400" s="148" customFormat="1" x14ac:dyDescent="0.15"/>
    <row r="401" s="148" customFormat="1" x14ac:dyDescent="0.15"/>
    <row r="402" s="148" customFormat="1" x14ac:dyDescent="0.15"/>
    <row r="403" s="148" customFormat="1" x14ac:dyDescent="0.15"/>
    <row r="404" s="148" customFormat="1" x14ac:dyDescent="0.15"/>
    <row r="405" s="148" customFormat="1" x14ac:dyDescent="0.15"/>
    <row r="406" s="148" customFormat="1" x14ac:dyDescent="0.15"/>
    <row r="407" s="148" customFormat="1" x14ac:dyDescent="0.15"/>
    <row r="408" s="148" customFormat="1" x14ac:dyDescent="0.15"/>
    <row r="409" s="148" customFormat="1" x14ac:dyDescent="0.15"/>
    <row r="410" s="148" customFormat="1" x14ac:dyDescent="0.15"/>
    <row r="411" s="148" customFormat="1" x14ac:dyDescent="0.15"/>
    <row r="412" s="148" customFormat="1" x14ac:dyDescent="0.15"/>
    <row r="413" s="148" customFormat="1" x14ac:dyDescent="0.15"/>
    <row r="414" s="148" customFormat="1" x14ac:dyDescent="0.15"/>
    <row r="415" s="148" customFormat="1" x14ac:dyDescent="0.15"/>
    <row r="416" s="148" customFormat="1" x14ac:dyDescent="0.15"/>
    <row r="417" s="148" customFormat="1" x14ac:dyDescent="0.15"/>
    <row r="418" s="148" customFormat="1" x14ac:dyDescent="0.15"/>
    <row r="419" s="148" customFormat="1" x14ac:dyDescent="0.15"/>
    <row r="420" s="148" customFormat="1" x14ac:dyDescent="0.15"/>
    <row r="421" s="148" customFormat="1" x14ac:dyDescent="0.15"/>
    <row r="422" s="148" customFormat="1" x14ac:dyDescent="0.15"/>
    <row r="423" s="148" customFormat="1" x14ac:dyDescent="0.15"/>
    <row r="424" s="148" customFormat="1" x14ac:dyDescent="0.15"/>
    <row r="425" s="148" customFormat="1" x14ac:dyDescent="0.15"/>
    <row r="426" s="148" customFormat="1" x14ac:dyDescent="0.15"/>
    <row r="427" s="148" customFormat="1" x14ac:dyDescent="0.15"/>
    <row r="428" s="148" customFormat="1" x14ac:dyDescent="0.15"/>
    <row r="429" s="148" customFormat="1" x14ac:dyDescent="0.15"/>
    <row r="430" s="148" customFormat="1" x14ac:dyDescent="0.15"/>
    <row r="431" s="148" customFormat="1" x14ac:dyDescent="0.15"/>
    <row r="432" s="148" customFormat="1" x14ac:dyDescent="0.15"/>
    <row r="433" s="148" customFormat="1" x14ac:dyDescent="0.15"/>
    <row r="434" s="148" customFormat="1" x14ac:dyDescent="0.15"/>
    <row r="435" s="148" customFormat="1" x14ac:dyDescent="0.15"/>
    <row r="436" s="148" customFormat="1" x14ac:dyDescent="0.15"/>
    <row r="437" s="148" customFormat="1" x14ac:dyDescent="0.15"/>
    <row r="438" s="148" customFormat="1" x14ac:dyDescent="0.15"/>
    <row r="439" s="148" customFormat="1" x14ac:dyDescent="0.15"/>
    <row r="440" s="148" customFormat="1" x14ac:dyDescent="0.15"/>
    <row r="441" s="148" customFormat="1" x14ac:dyDescent="0.15"/>
    <row r="442" s="148" customFormat="1" x14ac:dyDescent="0.15"/>
    <row r="443" s="148" customFormat="1" x14ac:dyDescent="0.15"/>
    <row r="444" s="148" customFormat="1" x14ac:dyDescent="0.15"/>
    <row r="445" s="148" customFormat="1" x14ac:dyDescent="0.15"/>
    <row r="446" s="148" customFormat="1" x14ac:dyDescent="0.15"/>
  </sheetData>
  <sheetProtection algorithmName="SHA-512" hashValue="XXgT0g+E2vWTGFhn1NQuYQ+/RfNaz7UvTCGZtXZxUQ7Gh7SYaahF19DjerrMNYNsr2meFQz3iyVi5wBf3quc6g==" saltValue="u4e3hFv3BvH+Z1hx+WAPng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AR446"/>
  <sheetViews>
    <sheetView zoomScale="120" zoomScaleNormal="120" workbookViewId="0">
      <selection activeCell="C5" sqref="C5"/>
    </sheetView>
  </sheetViews>
  <sheetFormatPr baseColWidth="10" defaultRowHeight="13" x14ac:dyDescent="0.15"/>
  <cols>
    <col min="1" max="1" width="15.5" style="22" customWidth="1"/>
    <col min="2" max="2" width="20.33203125" style="22" customWidth="1"/>
    <col min="3" max="3" width="11.83203125" style="22" customWidth="1"/>
    <col min="4" max="10" width="12.1640625" style="22" customWidth="1"/>
    <col min="11" max="16384" width="10.83203125" style="22"/>
  </cols>
  <sheetData>
    <row r="1" spans="1:44" s="144" customFormat="1" ht="14" x14ac:dyDescent="0.15">
      <c r="A1" s="143" t="s">
        <v>102</v>
      </c>
      <c r="B1" s="143"/>
      <c r="C1" s="143"/>
      <c r="D1" s="143"/>
      <c r="E1" s="143"/>
      <c r="F1" s="143"/>
      <c r="G1" s="143"/>
      <c r="H1" s="143"/>
      <c r="I1" s="143"/>
      <c r="J1" s="143"/>
    </row>
    <row r="2" spans="1:44" s="144" customFormat="1" ht="14" x14ac:dyDescent="0.15">
      <c r="A2" s="145" t="s">
        <v>95</v>
      </c>
      <c r="B2" s="145"/>
      <c r="C2" s="143"/>
      <c r="D2" s="143"/>
      <c r="E2" s="143"/>
      <c r="F2" s="143"/>
      <c r="G2" s="143"/>
      <c r="H2" s="143"/>
      <c r="I2" s="143"/>
      <c r="J2" s="143"/>
    </row>
    <row r="3" spans="1:44" s="144" customFormat="1" ht="15" thickBot="1" x14ac:dyDescent="0.2">
      <c r="A3" s="143"/>
      <c r="B3" s="143"/>
      <c r="C3" s="143"/>
      <c r="D3" s="143"/>
      <c r="E3" s="143"/>
      <c r="F3" s="143"/>
      <c r="G3" s="143"/>
      <c r="H3" s="143"/>
      <c r="I3" s="143"/>
      <c r="J3" s="143"/>
    </row>
    <row r="4" spans="1:44" ht="14" x14ac:dyDescent="0.15">
      <c r="A4" s="120" t="s">
        <v>96</v>
      </c>
      <c r="B4" s="121"/>
      <c r="C4" s="122"/>
      <c r="D4" s="122"/>
      <c r="E4" s="122"/>
      <c r="F4" s="122"/>
      <c r="G4" s="122"/>
      <c r="H4" s="122"/>
      <c r="I4" s="122"/>
      <c r="J4" s="123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</row>
    <row r="5" spans="1:44" ht="14" x14ac:dyDescent="0.15">
      <c r="A5" s="124" t="s">
        <v>181</v>
      </c>
      <c r="B5" s="73"/>
      <c r="C5" s="172">
        <v>5250</v>
      </c>
      <c r="E5" s="73"/>
      <c r="F5" s="73"/>
      <c r="G5" s="73"/>
      <c r="H5" s="73"/>
      <c r="I5" s="73"/>
      <c r="J5" s="125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</row>
    <row r="6" spans="1:44" ht="14" x14ac:dyDescent="0.15">
      <c r="A6" s="124"/>
      <c r="B6" s="73"/>
      <c r="C6" s="73"/>
      <c r="D6" s="73"/>
      <c r="E6" s="73"/>
      <c r="F6" s="73"/>
      <c r="G6" s="73"/>
      <c r="H6" s="73"/>
      <c r="I6" s="73"/>
      <c r="J6" s="125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</row>
    <row r="7" spans="1:44" ht="30" x14ac:dyDescent="0.15">
      <c r="A7" s="173" t="s">
        <v>114</v>
      </c>
      <c r="B7" s="174" t="s">
        <v>97</v>
      </c>
      <c r="C7" s="175" t="s">
        <v>103</v>
      </c>
      <c r="D7" s="175" t="s">
        <v>93</v>
      </c>
      <c r="E7" s="175" t="s">
        <v>98</v>
      </c>
      <c r="F7" s="176" t="s">
        <v>99</v>
      </c>
      <c r="G7" s="176" t="s">
        <v>100</v>
      </c>
      <c r="H7" s="176" t="s">
        <v>207</v>
      </c>
      <c r="I7" s="177" t="s">
        <v>94</v>
      </c>
      <c r="J7" s="178" t="s">
        <v>101</v>
      </c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</row>
    <row r="8" spans="1:44" ht="20" customHeight="1" x14ac:dyDescent="0.15">
      <c r="A8" s="126" t="str">
        <f>'Tariffs 2017'!F2</f>
        <v>AGL</v>
      </c>
      <c r="B8" s="22" t="str">
        <f>'Tariffs 2017'!D2</f>
        <v>Envestra SA</v>
      </c>
      <c r="C8" s="127">
        <f>'Tariffs 2017'!E2</f>
        <v>41457</v>
      </c>
      <c r="D8" s="92">
        <f>91*'Tariffs 2017'!H2/100</f>
        <v>62.79</v>
      </c>
      <c r="E8" s="92">
        <f>C5*'Tariffs 2017'!O2/100</f>
        <v>183.75</v>
      </c>
      <c r="F8" s="92">
        <v>0</v>
      </c>
      <c r="G8" s="92">
        <v>0</v>
      </c>
      <c r="H8" s="92">
        <f>SUM(D8:G8)</f>
        <v>246.54</v>
      </c>
      <c r="I8" s="128">
        <f>H8*4</f>
        <v>986.16</v>
      </c>
      <c r="J8" s="129">
        <f>I8*1.1</f>
        <v>1084.7760000000001</v>
      </c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</row>
    <row r="9" spans="1:44" ht="20" customHeight="1" x14ac:dyDescent="0.15">
      <c r="A9" s="126" t="str">
        <f>'Tariffs 2017'!F3</f>
        <v xml:space="preserve">Alinta Energy </v>
      </c>
      <c r="B9" s="22" t="str">
        <f>'Tariffs 2017'!D3</f>
        <v>Envestra Adelaide</v>
      </c>
      <c r="C9" s="127">
        <f>'Tariffs 2017'!E3</f>
        <v>41455</v>
      </c>
      <c r="D9" s="92">
        <f>91*'Tariffs 2017'!H3/100</f>
        <v>63.335999999999991</v>
      </c>
      <c r="E9" s="92">
        <f>IF($C$5&gt;='Tariffs 2017'!J3,('Tariffs 2017'!J3*'Tariffs 2017'!O3/100),($C$5*'Tariffs 2017'!O3/100))</f>
        <v>176.85</v>
      </c>
      <c r="F9" s="92">
        <v>0</v>
      </c>
      <c r="G9" s="92">
        <f>IF(($C$5&lt;'Tariffs 2017'!K3),(0),($C$5-'Tariffs 2017'!K3)*'Tariffs 2017'!P3/100)</f>
        <v>15.3</v>
      </c>
      <c r="H9" s="92">
        <f t="shared" ref="H9:H21" si="0">SUM(D9:G9)</f>
        <v>255.48599999999999</v>
      </c>
      <c r="I9" s="128">
        <f t="shared" ref="I9:I21" si="1">H9*4</f>
        <v>1021.944</v>
      </c>
      <c r="J9" s="129">
        <f t="shared" ref="J9:J21" si="2">I9*1.1</f>
        <v>1124.1384</v>
      </c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</row>
    <row r="10" spans="1:44" ht="20" customHeight="1" x14ac:dyDescent="0.15">
      <c r="A10" s="126" t="str">
        <f>'Tariffs 2017'!F4</f>
        <v>EnergyAustralia</v>
      </c>
      <c r="B10" s="22" t="str">
        <f>'Tariffs 2017'!D4</f>
        <v>Envestra Adelaide</v>
      </c>
      <c r="C10" s="127">
        <f>'Tariffs 2017'!E4</f>
        <v>41467</v>
      </c>
      <c r="D10" s="92">
        <f>91*'Tariffs 2017'!H4/100</f>
        <v>74.256</v>
      </c>
      <c r="E10" s="92">
        <f>IF($C$5&gt;='Tariffs 2017'!J4,('Tariffs 2017'!J4*'Tariffs 2017'!O4/100),($C$5*'Tariffs 2017'!O4/100))</f>
        <v>113.75</v>
      </c>
      <c r="F10" s="92">
        <f>IF($C$5&lt;'Tariffs 2017'!J4,0,IF(($C$5-'Tariffs 2017'!J4)&lt;='Tariffs 2017'!K4,(($C$5-'Tariffs 2017'!J4)*'Tariffs 2017'!P4/100),(('Tariffs 2017'!K4-'Tariffs 2017'!J4)*'Tariffs 2017'!P4/100)))</f>
        <v>108.075</v>
      </c>
      <c r="G10" s="92">
        <f>IF(($C$5&lt;'Tariffs 2017'!K4),(0),($C$5-'Tariffs 2017'!K4)*'Tariffs 2017'!Q4/100)</f>
        <v>17.55</v>
      </c>
      <c r="H10" s="92">
        <f t="shared" si="0"/>
        <v>313.63100000000003</v>
      </c>
      <c r="I10" s="128">
        <f t="shared" si="1"/>
        <v>1254.5240000000001</v>
      </c>
      <c r="J10" s="129">
        <f t="shared" si="2"/>
        <v>1379.9764000000002</v>
      </c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</row>
    <row r="11" spans="1:44" ht="20" customHeight="1" x14ac:dyDescent="0.15">
      <c r="A11" s="126" t="str">
        <f>'Tariffs 2017'!F5</f>
        <v>Origin Energy</v>
      </c>
      <c r="B11" s="22" t="str">
        <f>'Tariffs 2017'!D5</f>
        <v>Envestra Adelaide</v>
      </c>
      <c r="C11" s="127">
        <f>'Tariffs 2017'!E5</f>
        <v>41455</v>
      </c>
      <c r="D11" s="92">
        <f>91*'Tariffs 2017'!H5/100</f>
        <v>64.61</v>
      </c>
      <c r="E11" s="92">
        <f>IF($C$5&gt;='Tariffs 2017'!J5,('Tariffs 2017'!J5*'Tariffs 2017'!O5/100),($C$5*'Tariffs 2017'!O5/100))</f>
        <v>175.5</v>
      </c>
      <c r="F11" s="92">
        <v>0</v>
      </c>
      <c r="G11" s="92">
        <f>IF(($C$5&lt;'Tariffs 2017'!K5),(0),($C$5-'Tariffs 2017'!K5)*'Tariffs 2017'!P5/100)</f>
        <v>14.25</v>
      </c>
      <c r="H11" s="92">
        <f t="shared" si="0"/>
        <v>254.36</v>
      </c>
      <c r="I11" s="128">
        <f t="shared" si="1"/>
        <v>1017.44</v>
      </c>
      <c r="J11" s="129">
        <f t="shared" si="2"/>
        <v>1119.1840000000002</v>
      </c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</row>
    <row r="12" spans="1:44" ht="20" customHeight="1" x14ac:dyDescent="0.15">
      <c r="A12" s="126" t="str">
        <f>'Tariffs 2017'!F6</f>
        <v>Simply Energy</v>
      </c>
      <c r="B12" s="22" t="str">
        <f>'Tariffs 2017'!D6</f>
        <v>Envestra Adelaide</v>
      </c>
      <c r="C12" s="127">
        <f>'Tariffs 2017'!E6</f>
        <v>41459</v>
      </c>
      <c r="D12" s="92">
        <f>91*'Tariffs 2017'!H6/100</f>
        <v>63.518000000000001</v>
      </c>
      <c r="E12" s="92">
        <f>IF($C$5&gt;='Tariffs 2017'!J6,('Tariffs 2017'!J6*'Tariffs 2017'!O6/100),($C$5*'Tariffs 2017'!O6/100))</f>
        <v>102.75</v>
      </c>
      <c r="F12" s="92">
        <f>IF($C$5&lt;'Tariffs 2017'!J6,0,IF(($C$5-'Tariffs 2017'!J6)&lt;='Tariffs 2017'!K6,(($C$5-'Tariffs 2017'!J6)*'Tariffs 2017'!P6/100),(('Tariffs 2017'!K6-'Tariffs 2017'!J6)*'Tariffs 2017'!P6/100)))</f>
        <v>68.2</v>
      </c>
      <c r="G12" s="92">
        <f>IF(($C$5&lt;'Tariffs 2017'!K6),(0),($C$5-'Tariffs 2017'!K6)*'Tariffs 2017'!Q6/100)</f>
        <v>10.95</v>
      </c>
      <c r="H12" s="92">
        <f t="shared" si="0"/>
        <v>245.41800000000001</v>
      </c>
      <c r="I12" s="128">
        <f t="shared" si="1"/>
        <v>981.67200000000003</v>
      </c>
      <c r="J12" s="129">
        <f t="shared" si="2"/>
        <v>1079.8392000000001</v>
      </c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</row>
    <row r="13" spans="1:44" ht="20" customHeight="1" x14ac:dyDescent="0.15">
      <c r="A13" s="126" t="str">
        <f>'Tariffs 2017'!F7</f>
        <v>Red Energy</v>
      </c>
      <c r="B13" s="22" t="str">
        <f>'Tariffs 2017'!D7</f>
        <v>Envestra Adelaide</v>
      </c>
      <c r="C13" s="127">
        <f>'Tariffs 2017'!E7</f>
        <v>41461</v>
      </c>
      <c r="D13" s="92">
        <f>91*'Tariffs 2017'!H7/100</f>
        <v>65.52</v>
      </c>
      <c r="E13" s="92">
        <f>IF($C$5&gt;='Tariffs 2017'!J7,('Tariffs 2017'!J7*'Tariffs 2017'!O7/100),($C$5*'Tariffs 2017'!O7/100))</f>
        <v>176.4</v>
      </c>
      <c r="F13" s="92">
        <v>0</v>
      </c>
      <c r="G13" s="92">
        <f>IF(($C$5&lt;'Tariffs 2017'!K7),(0),($C$5-'Tariffs 2017'!K7)*'Tariffs 2017'!P7/100)</f>
        <v>14.175000000000001</v>
      </c>
      <c r="H13" s="92">
        <f t="shared" ref="H13" si="3">SUM(D13:G13)</f>
        <v>256.09500000000003</v>
      </c>
      <c r="I13" s="128">
        <f t="shared" ref="I13" si="4">H13*4</f>
        <v>1024.3800000000001</v>
      </c>
      <c r="J13" s="129">
        <f t="shared" ref="J13" si="5">I13*1.1</f>
        <v>1126.8180000000002</v>
      </c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</row>
    <row r="14" spans="1:44" ht="10" customHeight="1" x14ac:dyDescent="0.15">
      <c r="A14" s="168"/>
      <c r="B14" s="169"/>
      <c r="C14" s="169"/>
      <c r="D14" s="169"/>
      <c r="E14" s="169"/>
      <c r="F14" s="169"/>
      <c r="G14" s="169"/>
      <c r="H14" s="169"/>
      <c r="I14" s="170"/>
      <c r="J14" s="171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</row>
    <row r="15" spans="1:44" ht="20" customHeight="1" x14ac:dyDescent="0.15">
      <c r="A15" s="126" t="str">
        <f>'Tariffs 2017'!F8</f>
        <v>Origin Energy</v>
      </c>
      <c r="B15" s="22" t="str">
        <f>'Tariffs 2017'!D8</f>
        <v>Envestra Port Pirie</v>
      </c>
      <c r="C15" s="127">
        <f>'Tariffs 2017'!E8</f>
        <v>41455</v>
      </c>
      <c r="D15" s="92">
        <f>91*'Tariffs 2017'!H8/100</f>
        <v>64.61</v>
      </c>
      <c r="E15" s="92">
        <f>IF($C$5&gt;='Tariffs 2017'!J8,('Tariffs 2017'!J8*'Tariffs 2017'!O8/100),($C$5*'Tariffs 2017'!O8/100))</f>
        <v>175.5</v>
      </c>
      <c r="F15" s="92">
        <v>0</v>
      </c>
      <c r="G15" s="92">
        <f>IF(($C$5&lt;'Tariffs 2017'!K8),(0),($C$5-'Tariffs 2017'!K8)*'Tariffs 2017'!P8/100)</f>
        <v>14.25</v>
      </c>
      <c r="H15" s="92">
        <f t="shared" si="0"/>
        <v>254.36</v>
      </c>
      <c r="I15" s="128">
        <f t="shared" si="1"/>
        <v>1017.44</v>
      </c>
      <c r="J15" s="129">
        <f t="shared" si="2"/>
        <v>1119.1840000000002</v>
      </c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</row>
    <row r="16" spans="1:44" ht="10" customHeight="1" x14ac:dyDescent="0.15">
      <c r="A16" s="168"/>
      <c r="B16" s="169"/>
      <c r="C16" s="169"/>
      <c r="D16" s="169"/>
      <c r="E16" s="169"/>
      <c r="F16" s="169"/>
      <c r="G16" s="169"/>
      <c r="H16" s="169"/>
      <c r="I16" s="170"/>
      <c r="J16" s="171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</row>
    <row r="17" spans="1:44" ht="20" customHeight="1" x14ac:dyDescent="0.15">
      <c r="A17" s="126" t="str">
        <f>'Tariffs 2017'!F9</f>
        <v>Origin Energy</v>
      </c>
      <c r="B17" s="22" t="str">
        <f>'Tariffs 2017'!D9</f>
        <v>Envestra Whyalla</v>
      </c>
      <c r="C17" s="127">
        <f>'Tariffs 2017'!E9</f>
        <v>41455</v>
      </c>
      <c r="D17" s="92">
        <f>91*'Tariffs 2017'!H9/100</f>
        <v>64.61</v>
      </c>
      <c r="E17" s="92">
        <f>IF($C$5&gt;='Tariffs 2017'!J9,('Tariffs 2017'!J9*'Tariffs 2017'!O9/100),($C$5*'Tariffs 2017'!O9/100))</f>
        <v>175.5</v>
      </c>
      <c r="F17" s="92">
        <v>0</v>
      </c>
      <c r="G17" s="92">
        <f>IF(($C$5&lt;'Tariffs 2017'!K9),(0),($C$5-'Tariffs 2017'!K9)*'Tariffs 2017'!P9/100)</f>
        <v>14.25</v>
      </c>
      <c r="H17" s="92">
        <f t="shared" si="0"/>
        <v>254.36</v>
      </c>
      <c r="I17" s="128">
        <f t="shared" si="1"/>
        <v>1017.44</v>
      </c>
      <c r="J17" s="129">
        <f t="shared" si="2"/>
        <v>1119.1840000000002</v>
      </c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</row>
    <row r="18" spans="1:44" ht="10" customHeight="1" x14ac:dyDescent="0.15">
      <c r="A18" s="168"/>
      <c r="B18" s="169"/>
      <c r="C18" s="169"/>
      <c r="D18" s="169"/>
      <c r="E18" s="169"/>
      <c r="F18" s="169"/>
      <c r="G18" s="169"/>
      <c r="H18" s="169"/>
      <c r="I18" s="170"/>
      <c r="J18" s="171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</row>
    <row r="19" spans="1:44" ht="20" customHeight="1" x14ac:dyDescent="0.15">
      <c r="A19" s="126" t="str">
        <f>'Tariffs 2017'!F10</f>
        <v>Origin Energy</v>
      </c>
      <c r="B19" s="22" t="str">
        <f>'Tariffs 2017'!D10</f>
        <v>Envestra Mt Gambier</v>
      </c>
      <c r="C19" s="127">
        <f>'Tariffs 2017'!E10</f>
        <v>41455</v>
      </c>
      <c r="D19" s="92">
        <f>91*'Tariffs 2017'!H10/100</f>
        <v>64.61</v>
      </c>
      <c r="E19" s="92">
        <f>IF($C$5&gt;='Tariffs 2017'!J10,('Tariffs 2017'!J10*'Tariffs 2017'!O10/100),($C$5*'Tariffs 2017'!O10/100))</f>
        <v>175.5</v>
      </c>
      <c r="F19" s="92">
        <v>0</v>
      </c>
      <c r="G19" s="92">
        <f>IF(($C$5&lt;'Tariffs 2017'!K10),(0),($C$5-'Tariffs 2017'!K10)*'Tariffs 2017'!P10/100)</f>
        <v>14.25</v>
      </c>
      <c r="H19" s="92">
        <f t="shared" si="0"/>
        <v>254.36</v>
      </c>
      <c r="I19" s="128">
        <f t="shared" si="1"/>
        <v>1017.44</v>
      </c>
      <c r="J19" s="129">
        <f t="shared" si="2"/>
        <v>1119.1840000000002</v>
      </c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</row>
    <row r="20" spans="1:44" ht="10" customHeight="1" x14ac:dyDescent="0.15">
      <c r="A20" s="168"/>
      <c r="B20" s="169"/>
      <c r="C20" s="169"/>
      <c r="D20" s="169"/>
      <c r="E20" s="169"/>
      <c r="F20" s="169"/>
      <c r="G20" s="169"/>
      <c r="H20" s="169"/>
      <c r="I20" s="170"/>
      <c r="J20" s="171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</row>
    <row r="21" spans="1:44" ht="20" customHeight="1" thickBot="1" x14ac:dyDescent="0.2">
      <c r="A21" s="130" t="str">
        <f>'Tariffs 2017'!F11</f>
        <v>Origin Energy</v>
      </c>
      <c r="B21" s="131" t="str">
        <f>'Tariffs 2017'!D11</f>
        <v>Envestra Riverland</v>
      </c>
      <c r="C21" s="132">
        <f>'Tariffs 2017'!E11</f>
        <v>41455</v>
      </c>
      <c r="D21" s="133">
        <f>91*'Tariffs 2017'!H11/100</f>
        <v>64.61</v>
      </c>
      <c r="E21" s="133">
        <f>IF($C$5&gt;='Tariffs 2017'!J11,('Tariffs 2017'!J11*'Tariffs 2017'!O11/100),($C$5*'Tariffs 2017'!O11/100))</f>
        <v>175.5</v>
      </c>
      <c r="F21" s="133">
        <v>0</v>
      </c>
      <c r="G21" s="133">
        <f>IF(($C$5&lt;'Tariffs 2017'!K11),(0),($C$5-'Tariffs 2017'!K11)*'Tariffs 2017'!P11/100)</f>
        <v>14.25</v>
      </c>
      <c r="H21" s="133">
        <f t="shared" si="0"/>
        <v>254.36</v>
      </c>
      <c r="I21" s="134">
        <f t="shared" si="1"/>
        <v>1017.44</v>
      </c>
      <c r="J21" s="135">
        <f t="shared" si="2"/>
        <v>1119.1840000000002</v>
      </c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</row>
    <row r="22" spans="1:44" s="144" customFormat="1" x14ac:dyDescent="0.15">
      <c r="C22" s="146"/>
    </row>
    <row r="23" spans="1:44" s="144" customFormat="1" x14ac:dyDescent="0.15"/>
    <row r="24" spans="1:44" s="144" customFormat="1" x14ac:dyDescent="0.15"/>
    <row r="25" spans="1:44" s="144" customFormat="1" x14ac:dyDescent="0.15"/>
    <row r="26" spans="1:44" s="144" customFormat="1" x14ac:dyDescent="0.15"/>
    <row r="27" spans="1:44" s="144" customFormat="1" x14ac:dyDescent="0.15"/>
    <row r="28" spans="1:44" s="144" customFormat="1" x14ac:dyDescent="0.15"/>
    <row r="29" spans="1:44" s="144" customFormat="1" x14ac:dyDescent="0.15"/>
    <row r="30" spans="1:44" s="144" customFormat="1" x14ac:dyDescent="0.15"/>
    <row r="31" spans="1:44" s="144" customFormat="1" x14ac:dyDescent="0.15"/>
    <row r="32" spans="1:44" s="144" customFormat="1" x14ac:dyDescent="0.15"/>
    <row r="33" s="144" customFormat="1" x14ac:dyDescent="0.15"/>
    <row r="34" s="144" customFormat="1" x14ac:dyDescent="0.15"/>
    <row r="35" s="144" customFormat="1" x14ac:dyDescent="0.15"/>
    <row r="36" s="144" customFormat="1" x14ac:dyDescent="0.15"/>
    <row r="37" s="144" customFormat="1" x14ac:dyDescent="0.15"/>
    <row r="38" s="144" customFormat="1" x14ac:dyDescent="0.15"/>
    <row r="39" s="144" customFormat="1" x14ac:dyDescent="0.15"/>
    <row r="40" s="144" customFormat="1" x14ac:dyDescent="0.15"/>
    <row r="41" s="144" customFormat="1" x14ac:dyDescent="0.15"/>
    <row r="42" s="144" customFormat="1" x14ac:dyDescent="0.15"/>
    <row r="43" s="144" customFormat="1" x14ac:dyDescent="0.15"/>
    <row r="44" s="144" customFormat="1" x14ac:dyDescent="0.15"/>
    <row r="45" s="144" customFormat="1" x14ac:dyDescent="0.15"/>
    <row r="46" s="144" customFormat="1" x14ac:dyDescent="0.15"/>
    <row r="47" s="144" customFormat="1" x14ac:dyDescent="0.15"/>
    <row r="48" s="144" customFormat="1" x14ac:dyDescent="0.15"/>
    <row r="49" s="144" customFormat="1" x14ac:dyDescent="0.15"/>
    <row r="50" s="144" customFormat="1" x14ac:dyDescent="0.15"/>
    <row r="51" s="144" customFormat="1" x14ac:dyDescent="0.15"/>
    <row r="52" s="144" customFormat="1" x14ac:dyDescent="0.15"/>
    <row r="53" s="144" customFormat="1" x14ac:dyDescent="0.15"/>
    <row r="54" s="144" customFormat="1" x14ac:dyDescent="0.15"/>
    <row r="55" s="144" customFormat="1" x14ac:dyDescent="0.15"/>
    <row r="56" s="144" customFormat="1" x14ac:dyDescent="0.15"/>
    <row r="57" s="144" customFormat="1" x14ac:dyDescent="0.15"/>
    <row r="58" s="144" customFormat="1" x14ac:dyDescent="0.15"/>
    <row r="59" s="144" customFormat="1" x14ac:dyDescent="0.15"/>
    <row r="60" s="144" customFormat="1" x14ac:dyDescent="0.15"/>
    <row r="61" s="144" customFormat="1" x14ac:dyDescent="0.15"/>
    <row r="62" s="144" customFormat="1" x14ac:dyDescent="0.15"/>
    <row r="63" s="144" customFormat="1" x14ac:dyDescent="0.15"/>
    <row r="64" s="144" customFormat="1" x14ac:dyDescent="0.15"/>
    <row r="65" s="144" customFormat="1" x14ac:dyDescent="0.15"/>
    <row r="66" s="144" customFormat="1" x14ac:dyDescent="0.15"/>
    <row r="67" s="144" customFormat="1" x14ac:dyDescent="0.15"/>
    <row r="68" s="144" customFormat="1" x14ac:dyDescent="0.15"/>
    <row r="69" s="144" customFormat="1" x14ac:dyDescent="0.15"/>
    <row r="70" s="144" customFormat="1" x14ac:dyDescent="0.15"/>
    <row r="71" s="144" customFormat="1" x14ac:dyDescent="0.15"/>
    <row r="72" s="144" customFormat="1" x14ac:dyDescent="0.15"/>
    <row r="73" s="144" customFormat="1" x14ac:dyDescent="0.15"/>
    <row r="74" s="144" customFormat="1" x14ac:dyDescent="0.15"/>
    <row r="75" s="144" customFormat="1" x14ac:dyDescent="0.15"/>
    <row r="76" s="144" customFormat="1" x14ac:dyDescent="0.15"/>
    <row r="77" s="144" customFormat="1" x14ac:dyDescent="0.15"/>
    <row r="78" s="144" customFormat="1" x14ac:dyDescent="0.15"/>
    <row r="79" s="144" customFormat="1" x14ac:dyDescent="0.15"/>
    <row r="80" s="144" customFormat="1" x14ac:dyDescent="0.15"/>
    <row r="81" s="144" customFormat="1" x14ac:dyDescent="0.15"/>
    <row r="82" s="144" customFormat="1" x14ac:dyDescent="0.15"/>
    <row r="83" s="144" customFormat="1" x14ac:dyDescent="0.15"/>
    <row r="84" s="144" customFormat="1" x14ac:dyDescent="0.15"/>
    <row r="85" s="144" customFormat="1" x14ac:dyDescent="0.15"/>
    <row r="86" s="144" customFormat="1" x14ac:dyDescent="0.15"/>
    <row r="87" s="144" customFormat="1" x14ac:dyDescent="0.15"/>
    <row r="88" s="144" customFormat="1" x14ac:dyDescent="0.15"/>
    <row r="89" s="144" customFormat="1" x14ac:dyDescent="0.15"/>
    <row r="90" s="144" customFormat="1" x14ac:dyDescent="0.15"/>
    <row r="91" s="144" customFormat="1" x14ac:dyDescent="0.15"/>
    <row r="92" s="144" customFormat="1" x14ac:dyDescent="0.15"/>
    <row r="93" s="144" customFormat="1" x14ac:dyDescent="0.15"/>
    <row r="94" s="144" customFormat="1" x14ac:dyDescent="0.15"/>
    <row r="95" s="144" customFormat="1" x14ac:dyDescent="0.15"/>
    <row r="96" s="144" customFormat="1" x14ac:dyDescent="0.15"/>
    <row r="97" s="144" customFormat="1" x14ac:dyDescent="0.15"/>
    <row r="98" s="144" customFormat="1" x14ac:dyDescent="0.15"/>
    <row r="99" s="144" customFormat="1" x14ac:dyDescent="0.15"/>
    <row r="100" s="144" customFormat="1" x14ac:dyDescent="0.15"/>
    <row r="101" s="144" customFormat="1" x14ac:dyDescent="0.15"/>
    <row r="102" s="144" customFormat="1" x14ac:dyDescent="0.15"/>
    <row r="103" s="144" customFormat="1" x14ac:dyDescent="0.15"/>
    <row r="104" s="144" customFormat="1" x14ac:dyDescent="0.15"/>
    <row r="105" s="144" customFormat="1" x14ac:dyDescent="0.15"/>
    <row r="106" s="144" customFormat="1" x14ac:dyDescent="0.15"/>
    <row r="107" s="144" customFormat="1" x14ac:dyDescent="0.15"/>
    <row r="108" s="144" customFormat="1" x14ac:dyDescent="0.15"/>
    <row r="109" s="144" customFormat="1" x14ac:dyDescent="0.15"/>
    <row r="110" s="144" customFormat="1" x14ac:dyDescent="0.15"/>
    <row r="111" s="144" customFormat="1" x14ac:dyDescent="0.15"/>
    <row r="112" s="144" customFormat="1" x14ac:dyDescent="0.15"/>
    <row r="113" s="144" customFormat="1" x14ac:dyDescent="0.15"/>
    <row r="114" s="144" customFormat="1" x14ac:dyDescent="0.15"/>
    <row r="115" s="144" customFormat="1" x14ac:dyDescent="0.15"/>
    <row r="116" s="144" customFormat="1" x14ac:dyDescent="0.15"/>
    <row r="117" s="144" customFormat="1" x14ac:dyDescent="0.15"/>
    <row r="118" s="144" customFormat="1" x14ac:dyDescent="0.15"/>
    <row r="119" s="144" customFormat="1" x14ac:dyDescent="0.15"/>
    <row r="120" s="144" customFormat="1" x14ac:dyDescent="0.15"/>
    <row r="121" s="144" customFormat="1" x14ac:dyDescent="0.15"/>
    <row r="122" s="144" customFormat="1" x14ac:dyDescent="0.15"/>
    <row r="123" s="144" customFormat="1" x14ac:dyDescent="0.15"/>
    <row r="124" s="144" customFormat="1" x14ac:dyDescent="0.15"/>
    <row r="125" s="144" customFormat="1" x14ac:dyDescent="0.15"/>
    <row r="126" s="144" customFormat="1" x14ac:dyDescent="0.15"/>
    <row r="127" s="144" customFormat="1" x14ac:dyDescent="0.15"/>
    <row r="128" s="144" customFormat="1" x14ac:dyDescent="0.15"/>
    <row r="129" s="144" customFormat="1" x14ac:dyDescent="0.15"/>
    <row r="130" s="144" customFormat="1" x14ac:dyDescent="0.15"/>
    <row r="131" s="144" customFormat="1" x14ac:dyDescent="0.15"/>
    <row r="132" s="144" customFormat="1" x14ac:dyDescent="0.15"/>
    <row r="133" s="144" customFormat="1" x14ac:dyDescent="0.15"/>
    <row r="134" s="144" customFormat="1" x14ac:dyDescent="0.15"/>
    <row r="135" s="144" customFormat="1" x14ac:dyDescent="0.15"/>
    <row r="136" s="144" customFormat="1" x14ac:dyDescent="0.15"/>
    <row r="137" s="144" customFormat="1" x14ac:dyDescent="0.15"/>
    <row r="138" s="144" customFormat="1" x14ac:dyDescent="0.15"/>
    <row r="139" s="144" customFormat="1" x14ac:dyDescent="0.15"/>
    <row r="140" s="144" customFormat="1" x14ac:dyDescent="0.15"/>
    <row r="141" s="144" customFormat="1" x14ac:dyDescent="0.15"/>
    <row r="142" s="144" customFormat="1" x14ac:dyDescent="0.15"/>
    <row r="143" s="144" customFormat="1" x14ac:dyDescent="0.15"/>
    <row r="144" s="144" customFormat="1" x14ac:dyDescent="0.15"/>
    <row r="145" s="144" customFormat="1" x14ac:dyDescent="0.15"/>
    <row r="146" s="144" customFormat="1" x14ac:dyDescent="0.15"/>
    <row r="147" s="144" customFormat="1" x14ac:dyDescent="0.15"/>
    <row r="148" s="144" customFormat="1" x14ac:dyDescent="0.15"/>
    <row r="149" s="144" customFormat="1" x14ac:dyDescent="0.15"/>
    <row r="150" s="144" customFormat="1" x14ac:dyDescent="0.15"/>
    <row r="151" s="144" customFormat="1" x14ac:dyDescent="0.15"/>
    <row r="152" s="144" customFormat="1" x14ac:dyDescent="0.15"/>
    <row r="153" s="144" customFormat="1" x14ac:dyDescent="0.15"/>
    <row r="154" s="144" customFormat="1" x14ac:dyDescent="0.15"/>
    <row r="155" s="144" customFormat="1" x14ac:dyDescent="0.15"/>
    <row r="156" s="144" customFormat="1" x14ac:dyDescent="0.15"/>
    <row r="157" s="144" customFormat="1" x14ac:dyDescent="0.15"/>
    <row r="158" s="144" customFormat="1" x14ac:dyDescent="0.15"/>
    <row r="159" s="144" customFormat="1" x14ac:dyDescent="0.15"/>
    <row r="160" s="144" customFormat="1" x14ac:dyDescent="0.15"/>
    <row r="161" s="144" customFormat="1" x14ac:dyDescent="0.15"/>
    <row r="162" s="144" customFormat="1" x14ac:dyDescent="0.15"/>
    <row r="163" s="144" customFormat="1" x14ac:dyDescent="0.15"/>
    <row r="164" s="144" customFormat="1" x14ac:dyDescent="0.15"/>
    <row r="165" s="144" customFormat="1" x14ac:dyDescent="0.15"/>
    <row r="166" s="144" customFormat="1" x14ac:dyDescent="0.15"/>
    <row r="167" s="144" customFormat="1" x14ac:dyDescent="0.15"/>
    <row r="168" s="144" customFormat="1" x14ac:dyDescent="0.15"/>
    <row r="169" s="144" customFormat="1" x14ac:dyDescent="0.15"/>
    <row r="170" s="144" customFormat="1" x14ac:dyDescent="0.15"/>
    <row r="171" s="144" customFormat="1" x14ac:dyDescent="0.15"/>
    <row r="172" s="144" customFormat="1" x14ac:dyDescent="0.15"/>
    <row r="173" s="144" customFormat="1" x14ac:dyDescent="0.15"/>
    <row r="174" s="144" customFormat="1" x14ac:dyDescent="0.15"/>
    <row r="175" s="144" customFormat="1" x14ac:dyDescent="0.15"/>
    <row r="176" s="144" customFormat="1" x14ac:dyDescent="0.15"/>
    <row r="177" s="144" customFormat="1" x14ac:dyDescent="0.15"/>
    <row r="178" s="144" customFormat="1" x14ac:dyDescent="0.15"/>
    <row r="179" s="144" customFormat="1" x14ac:dyDescent="0.15"/>
    <row r="180" s="144" customFormat="1" x14ac:dyDescent="0.15"/>
    <row r="181" s="144" customFormat="1" x14ac:dyDescent="0.15"/>
    <row r="182" s="144" customFormat="1" x14ac:dyDescent="0.15"/>
    <row r="183" s="144" customFormat="1" x14ac:dyDescent="0.15"/>
    <row r="184" s="144" customFormat="1" x14ac:dyDescent="0.15"/>
    <row r="185" s="144" customFormat="1" x14ac:dyDescent="0.15"/>
    <row r="186" s="144" customFormat="1" x14ac:dyDescent="0.15"/>
    <row r="187" s="144" customFormat="1" x14ac:dyDescent="0.15"/>
    <row r="188" s="144" customFormat="1" x14ac:dyDescent="0.15"/>
    <row r="189" s="144" customFormat="1" x14ac:dyDescent="0.15"/>
    <row r="190" s="144" customFormat="1" x14ac:dyDescent="0.15"/>
    <row r="191" s="144" customFormat="1" x14ac:dyDescent="0.15"/>
    <row r="192" s="144" customFormat="1" x14ac:dyDescent="0.15"/>
    <row r="193" s="144" customFormat="1" x14ac:dyDescent="0.15"/>
    <row r="194" s="144" customFormat="1" x14ac:dyDescent="0.15"/>
    <row r="195" s="144" customFormat="1" x14ac:dyDescent="0.15"/>
    <row r="196" s="144" customFormat="1" x14ac:dyDescent="0.15"/>
    <row r="197" s="144" customFormat="1" x14ac:dyDescent="0.15"/>
    <row r="198" s="144" customFormat="1" x14ac:dyDescent="0.15"/>
    <row r="199" s="144" customFormat="1" x14ac:dyDescent="0.15"/>
    <row r="200" s="144" customFormat="1" x14ac:dyDescent="0.15"/>
    <row r="201" s="144" customFormat="1" x14ac:dyDescent="0.15"/>
    <row r="202" s="144" customFormat="1" x14ac:dyDescent="0.15"/>
    <row r="203" s="144" customFormat="1" x14ac:dyDescent="0.15"/>
    <row r="204" s="144" customFormat="1" x14ac:dyDescent="0.15"/>
    <row r="205" s="144" customFormat="1" x14ac:dyDescent="0.15"/>
    <row r="206" s="144" customFormat="1" x14ac:dyDescent="0.15"/>
    <row r="207" s="144" customFormat="1" x14ac:dyDescent="0.15"/>
    <row r="208" s="144" customFormat="1" x14ac:dyDescent="0.15"/>
    <row r="209" s="144" customFormat="1" x14ac:dyDescent="0.15"/>
    <row r="210" s="144" customFormat="1" x14ac:dyDescent="0.15"/>
    <row r="211" s="144" customFormat="1" x14ac:dyDescent="0.15"/>
    <row r="212" s="144" customFormat="1" x14ac:dyDescent="0.15"/>
    <row r="213" s="144" customFormat="1" x14ac:dyDescent="0.15"/>
    <row r="214" s="144" customFormat="1" x14ac:dyDescent="0.15"/>
    <row r="215" s="144" customFormat="1" x14ac:dyDescent="0.15"/>
    <row r="216" s="144" customFormat="1" x14ac:dyDescent="0.15"/>
    <row r="217" s="144" customFormat="1" x14ac:dyDescent="0.15"/>
    <row r="218" s="144" customFormat="1" x14ac:dyDescent="0.15"/>
    <row r="219" s="144" customFormat="1" x14ac:dyDescent="0.15"/>
    <row r="220" s="144" customFormat="1" x14ac:dyDescent="0.15"/>
    <row r="221" s="144" customFormat="1" x14ac:dyDescent="0.15"/>
    <row r="222" s="144" customFormat="1" x14ac:dyDescent="0.15"/>
    <row r="223" s="144" customFormat="1" x14ac:dyDescent="0.15"/>
    <row r="224" s="144" customFormat="1" x14ac:dyDescent="0.15"/>
    <row r="225" s="144" customFormat="1" x14ac:dyDescent="0.15"/>
    <row r="226" s="144" customFormat="1" x14ac:dyDescent="0.15"/>
    <row r="227" s="144" customFormat="1" x14ac:dyDescent="0.15"/>
    <row r="228" s="144" customFormat="1" x14ac:dyDescent="0.15"/>
    <row r="229" s="144" customFormat="1" x14ac:dyDescent="0.15"/>
    <row r="230" s="144" customFormat="1" x14ac:dyDescent="0.15"/>
    <row r="231" s="144" customFormat="1" x14ac:dyDescent="0.15"/>
    <row r="232" s="144" customFormat="1" x14ac:dyDescent="0.15"/>
    <row r="233" s="144" customFormat="1" x14ac:dyDescent="0.15"/>
    <row r="234" s="144" customFormat="1" x14ac:dyDescent="0.15"/>
    <row r="235" s="144" customFormat="1" x14ac:dyDescent="0.15"/>
    <row r="236" s="144" customFormat="1" x14ac:dyDescent="0.15"/>
    <row r="237" s="144" customFormat="1" x14ac:dyDescent="0.15"/>
    <row r="238" s="144" customFormat="1" x14ac:dyDescent="0.15"/>
    <row r="239" s="144" customFormat="1" x14ac:dyDescent="0.15"/>
    <row r="240" s="144" customFormat="1" x14ac:dyDescent="0.15"/>
    <row r="241" s="144" customFormat="1" x14ac:dyDescent="0.15"/>
    <row r="242" s="144" customFormat="1" x14ac:dyDescent="0.15"/>
    <row r="243" s="144" customFormat="1" x14ac:dyDescent="0.15"/>
    <row r="244" s="144" customFormat="1" x14ac:dyDescent="0.15"/>
    <row r="245" s="144" customFormat="1" x14ac:dyDescent="0.15"/>
    <row r="246" s="144" customFormat="1" x14ac:dyDescent="0.15"/>
    <row r="247" s="144" customFormat="1" x14ac:dyDescent="0.15"/>
    <row r="248" s="144" customFormat="1" x14ac:dyDescent="0.15"/>
    <row r="249" s="144" customFormat="1" x14ac:dyDescent="0.15"/>
    <row r="250" s="144" customFormat="1" x14ac:dyDescent="0.15"/>
    <row r="251" s="144" customFormat="1" x14ac:dyDescent="0.15"/>
    <row r="252" s="144" customFormat="1" x14ac:dyDescent="0.15"/>
    <row r="253" s="144" customFormat="1" x14ac:dyDescent="0.15"/>
    <row r="254" s="144" customFormat="1" x14ac:dyDescent="0.15"/>
    <row r="255" s="144" customFormat="1" x14ac:dyDescent="0.15"/>
    <row r="256" s="144" customFormat="1" x14ac:dyDescent="0.15"/>
    <row r="257" s="144" customFormat="1" x14ac:dyDescent="0.15"/>
    <row r="258" s="144" customFormat="1" x14ac:dyDescent="0.15"/>
    <row r="259" s="144" customFormat="1" x14ac:dyDescent="0.15"/>
    <row r="260" s="144" customFormat="1" x14ac:dyDescent="0.15"/>
    <row r="261" s="144" customFormat="1" x14ac:dyDescent="0.15"/>
    <row r="262" s="144" customFormat="1" x14ac:dyDescent="0.15"/>
    <row r="263" s="144" customFormat="1" x14ac:dyDescent="0.15"/>
    <row r="264" s="144" customFormat="1" x14ac:dyDescent="0.15"/>
    <row r="265" s="144" customFormat="1" x14ac:dyDescent="0.15"/>
    <row r="266" s="144" customFormat="1" x14ac:dyDescent="0.15"/>
    <row r="267" s="144" customFormat="1" x14ac:dyDescent="0.15"/>
    <row r="268" s="144" customFormat="1" x14ac:dyDescent="0.15"/>
    <row r="269" s="144" customFormat="1" x14ac:dyDescent="0.15"/>
    <row r="270" s="144" customFormat="1" x14ac:dyDescent="0.15"/>
    <row r="271" s="144" customFormat="1" x14ac:dyDescent="0.15"/>
    <row r="272" s="144" customFormat="1" x14ac:dyDescent="0.15"/>
    <row r="273" s="144" customFormat="1" x14ac:dyDescent="0.15"/>
    <row r="274" s="144" customFormat="1" x14ac:dyDescent="0.15"/>
    <row r="275" s="144" customFormat="1" x14ac:dyDescent="0.15"/>
    <row r="276" s="144" customFormat="1" x14ac:dyDescent="0.15"/>
    <row r="277" s="144" customFormat="1" x14ac:dyDescent="0.15"/>
    <row r="278" s="144" customFormat="1" x14ac:dyDescent="0.15"/>
    <row r="279" s="144" customFormat="1" x14ac:dyDescent="0.15"/>
    <row r="280" s="144" customFormat="1" x14ac:dyDescent="0.15"/>
    <row r="281" s="144" customFormat="1" x14ac:dyDescent="0.15"/>
    <row r="282" s="144" customFormat="1" x14ac:dyDescent="0.15"/>
    <row r="283" s="144" customFormat="1" x14ac:dyDescent="0.15"/>
    <row r="284" s="144" customFormat="1" x14ac:dyDescent="0.15"/>
    <row r="285" s="144" customFormat="1" x14ac:dyDescent="0.15"/>
    <row r="286" s="144" customFormat="1" x14ac:dyDescent="0.15"/>
    <row r="287" s="144" customFormat="1" x14ac:dyDescent="0.15"/>
    <row r="288" s="144" customFormat="1" x14ac:dyDescent="0.15"/>
    <row r="289" s="144" customFormat="1" x14ac:dyDescent="0.15"/>
    <row r="290" s="144" customFormat="1" x14ac:dyDescent="0.15"/>
    <row r="291" s="144" customFormat="1" x14ac:dyDescent="0.15"/>
    <row r="292" s="144" customFormat="1" x14ac:dyDescent="0.15"/>
    <row r="293" s="144" customFormat="1" x14ac:dyDescent="0.15"/>
    <row r="294" s="144" customFormat="1" x14ac:dyDescent="0.15"/>
    <row r="295" s="144" customFormat="1" x14ac:dyDescent="0.15"/>
    <row r="296" s="144" customFormat="1" x14ac:dyDescent="0.15"/>
    <row r="297" s="144" customFormat="1" x14ac:dyDescent="0.15"/>
    <row r="298" s="144" customFormat="1" x14ac:dyDescent="0.15"/>
    <row r="299" s="144" customFormat="1" x14ac:dyDescent="0.15"/>
    <row r="300" s="144" customFormat="1" x14ac:dyDescent="0.15"/>
    <row r="301" s="144" customFormat="1" x14ac:dyDescent="0.15"/>
    <row r="302" s="144" customFormat="1" x14ac:dyDescent="0.15"/>
    <row r="303" s="144" customFormat="1" x14ac:dyDescent="0.15"/>
    <row r="304" s="144" customFormat="1" x14ac:dyDescent="0.15"/>
    <row r="305" s="144" customFormat="1" x14ac:dyDescent="0.15"/>
    <row r="306" s="144" customFormat="1" x14ac:dyDescent="0.15"/>
    <row r="307" s="144" customFormat="1" x14ac:dyDescent="0.15"/>
    <row r="308" s="144" customFormat="1" x14ac:dyDescent="0.15"/>
    <row r="309" s="144" customFormat="1" x14ac:dyDescent="0.15"/>
    <row r="310" s="144" customFormat="1" x14ac:dyDescent="0.15"/>
    <row r="311" s="144" customFormat="1" x14ac:dyDescent="0.15"/>
    <row r="312" s="144" customFormat="1" x14ac:dyDescent="0.15"/>
    <row r="313" s="144" customFormat="1" x14ac:dyDescent="0.15"/>
    <row r="314" s="144" customFormat="1" x14ac:dyDescent="0.15"/>
    <row r="315" s="144" customFormat="1" x14ac:dyDescent="0.15"/>
    <row r="316" s="144" customFormat="1" x14ac:dyDescent="0.15"/>
    <row r="317" s="144" customFormat="1" x14ac:dyDescent="0.15"/>
    <row r="318" s="144" customFormat="1" x14ac:dyDescent="0.15"/>
    <row r="319" s="144" customFormat="1" x14ac:dyDescent="0.15"/>
    <row r="320" s="144" customFormat="1" x14ac:dyDescent="0.15"/>
    <row r="321" s="144" customFormat="1" x14ac:dyDescent="0.15"/>
    <row r="322" s="144" customFormat="1" x14ac:dyDescent="0.15"/>
    <row r="323" s="144" customFormat="1" x14ac:dyDescent="0.15"/>
    <row r="324" s="144" customFormat="1" x14ac:dyDescent="0.15"/>
    <row r="325" s="144" customFormat="1" x14ac:dyDescent="0.15"/>
    <row r="326" s="144" customFormat="1" x14ac:dyDescent="0.15"/>
    <row r="327" s="144" customFormat="1" x14ac:dyDescent="0.15"/>
    <row r="328" s="144" customFormat="1" x14ac:dyDescent="0.15"/>
    <row r="329" s="144" customFormat="1" x14ac:dyDescent="0.15"/>
    <row r="330" s="144" customFormat="1" x14ac:dyDescent="0.15"/>
    <row r="331" s="144" customFormat="1" x14ac:dyDescent="0.15"/>
    <row r="332" s="144" customFormat="1" x14ac:dyDescent="0.15"/>
    <row r="333" s="144" customFormat="1" x14ac:dyDescent="0.15"/>
    <row r="334" s="144" customFormat="1" x14ac:dyDescent="0.15"/>
    <row r="335" s="144" customFormat="1" x14ac:dyDescent="0.15"/>
    <row r="336" s="144" customFormat="1" x14ac:dyDescent="0.15"/>
    <row r="337" s="144" customFormat="1" x14ac:dyDescent="0.15"/>
    <row r="338" s="144" customFormat="1" x14ac:dyDescent="0.15"/>
    <row r="339" s="144" customFormat="1" x14ac:dyDescent="0.15"/>
    <row r="340" s="144" customFormat="1" x14ac:dyDescent="0.15"/>
    <row r="341" s="144" customFormat="1" x14ac:dyDescent="0.15"/>
    <row r="342" s="144" customFormat="1" x14ac:dyDescent="0.15"/>
    <row r="343" s="144" customFormat="1" x14ac:dyDescent="0.15"/>
    <row r="344" s="144" customFormat="1" x14ac:dyDescent="0.15"/>
    <row r="345" s="144" customFormat="1" x14ac:dyDescent="0.15"/>
    <row r="346" s="144" customFormat="1" x14ac:dyDescent="0.15"/>
    <row r="347" s="144" customFormat="1" x14ac:dyDescent="0.15"/>
    <row r="348" s="144" customFormat="1" x14ac:dyDescent="0.15"/>
    <row r="349" s="144" customFormat="1" x14ac:dyDescent="0.15"/>
    <row r="350" s="144" customFormat="1" x14ac:dyDescent="0.15"/>
    <row r="351" s="144" customFormat="1" x14ac:dyDescent="0.15"/>
    <row r="352" s="144" customFormat="1" x14ac:dyDescent="0.15"/>
    <row r="353" s="144" customFormat="1" x14ac:dyDescent="0.15"/>
    <row r="354" s="144" customFormat="1" x14ac:dyDescent="0.15"/>
    <row r="355" s="144" customFormat="1" x14ac:dyDescent="0.15"/>
    <row r="356" s="144" customFormat="1" x14ac:dyDescent="0.15"/>
    <row r="357" s="144" customFormat="1" x14ac:dyDescent="0.15"/>
    <row r="358" s="144" customFormat="1" x14ac:dyDescent="0.15"/>
    <row r="359" s="144" customFormat="1" x14ac:dyDescent="0.15"/>
    <row r="360" s="144" customFormat="1" x14ac:dyDescent="0.15"/>
    <row r="361" s="144" customFormat="1" x14ac:dyDescent="0.15"/>
    <row r="362" s="144" customFormat="1" x14ac:dyDescent="0.15"/>
    <row r="363" s="144" customFormat="1" x14ac:dyDescent="0.15"/>
    <row r="364" s="144" customFormat="1" x14ac:dyDescent="0.15"/>
    <row r="365" s="144" customFormat="1" x14ac:dyDescent="0.15"/>
    <row r="366" s="144" customFormat="1" x14ac:dyDescent="0.15"/>
    <row r="367" s="144" customFormat="1" x14ac:dyDescent="0.15"/>
    <row r="368" s="144" customFormat="1" x14ac:dyDescent="0.15"/>
    <row r="369" s="144" customFormat="1" x14ac:dyDescent="0.15"/>
    <row r="370" s="144" customFormat="1" x14ac:dyDescent="0.15"/>
    <row r="371" s="144" customFormat="1" x14ac:dyDescent="0.15"/>
    <row r="372" s="144" customFormat="1" x14ac:dyDescent="0.15"/>
    <row r="373" s="144" customFormat="1" x14ac:dyDescent="0.15"/>
    <row r="374" s="144" customFormat="1" x14ac:dyDescent="0.15"/>
    <row r="375" s="144" customFormat="1" x14ac:dyDescent="0.15"/>
    <row r="376" s="144" customFormat="1" x14ac:dyDescent="0.15"/>
    <row r="377" s="144" customFormat="1" x14ac:dyDescent="0.15"/>
    <row r="378" s="144" customFormat="1" x14ac:dyDescent="0.15"/>
    <row r="379" s="144" customFormat="1" x14ac:dyDescent="0.15"/>
    <row r="380" s="144" customFormat="1" x14ac:dyDescent="0.15"/>
    <row r="381" s="144" customFormat="1" x14ac:dyDescent="0.15"/>
    <row r="382" s="144" customFormat="1" x14ac:dyDescent="0.15"/>
    <row r="383" s="144" customFormat="1" x14ac:dyDescent="0.15"/>
    <row r="384" s="144" customFormat="1" x14ac:dyDescent="0.15"/>
    <row r="385" s="144" customFormat="1" x14ac:dyDescent="0.15"/>
    <row r="386" s="144" customFormat="1" x14ac:dyDescent="0.15"/>
    <row r="387" s="144" customFormat="1" x14ac:dyDescent="0.15"/>
    <row r="388" s="144" customFormat="1" x14ac:dyDescent="0.15"/>
    <row r="389" s="144" customFormat="1" x14ac:dyDescent="0.15"/>
    <row r="390" s="144" customFormat="1" x14ac:dyDescent="0.15"/>
    <row r="391" s="144" customFormat="1" x14ac:dyDescent="0.15"/>
    <row r="392" s="144" customFormat="1" x14ac:dyDescent="0.15"/>
    <row r="393" s="144" customFormat="1" x14ac:dyDescent="0.15"/>
    <row r="394" s="144" customFormat="1" x14ac:dyDescent="0.15"/>
    <row r="395" s="144" customFormat="1" x14ac:dyDescent="0.15"/>
    <row r="396" s="144" customFormat="1" x14ac:dyDescent="0.15"/>
    <row r="397" s="144" customFormat="1" x14ac:dyDescent="0.15"/>
    <row r="398" s="144" customFormat="1" x14ac:dyDescent="0.15"/>
    <row r="399" s="144" customFormat="1" x14ac:dyDescent="0.15"/>
    <row r="400" s="144" customFormat="1" x14ac:dyDescent="0.15"/>
    <row r="401" s="144" customFormat="1" x14ac:dyDescent="0.15"/>
    <row r="402" s="144" customFormat="1" x14ac:dyDescent="0.15"/>
    <row r="403" s="144" customFormat="1" x14ac:dyDescent="0.15"/>
    <row r="404" s="144" customFormat="1" x14ac:dyDescent="0.15"/>
    <row r="405" s="144" customFormat="1" x14ac:dyDescent="0.15"/>
    <row r="406" s="144" customFormat="1" x14ac:dyDescent="0.15"/>
    <row r="407" s="144" customFormat="1" x14ac:dyDescent="0.15"/>
    <row r="408" s="144" customFormat="1" x14ac:dyDescent="0.15"/>
    <row r="409" s="144" customFormat="1" x14ac:dyDescent="0.15"/>
    <row r="410" s="144" customFormat="1" x14ac:dyDescent="0.15"/>
    <row r="411" s="144" customFormat="1" x14ac:dyDescent="0.15"/>
    <row r="412" s="144" customFormat="1" x14ac:dyDescent="0.15"/>
    <row r="413" s="144" customFormat="1" x14ac:dyDescent="0.15"/>
    <row r="414" s="144" customFormat="1" x14ac:dyDescent="0.15"/>
    <row r="415" s="144" customFormat="1" x14ac:dyDescent="0.15"/>
    <row r="416" s="144" customFormat="1" x14ac:dyDescent="0.15"/>
    <row r="417" s="144" customFormat="1" x14ac:dyDescent="0.15"/>
    <row r="418" s="144" customFormat="1" x14ac:dyDescent="0.15"/>
    <row r="419" s="144" customFormat="1" x14ac:dyDescent="0.15"/>
    <row r="420" s="144" customFormat="1" x14ac:dyDescent="0.15"/>
    <row r="421" s="144" customFormat="1" x14ac:dyDescent="0.15"/>
    <row r="422" s="144" customFormat="1" x14ac:dyDescent="0.15"/>
    <row r="423" s="144" customFormat="1" x14ac:dyDescent="0.15"/>
    <row r="424" s="144" customFormat="1" x14ac:dyDescent="0.15"/>
    <row r="425" s="144" customFormat="1" x14ac:dyDescent="0.15"/>
    <row r="426" s="144" customFormat="1" x14ac:dyDescent="0.15"/>
    <row r="427" s="144" customFormat="1" x14ac:dyDescent="0.15"/>
    <row r="428" s="144" customFormat="1" x14ac:dyDescent="0.15"/>
    <row r="429" s="144" customFormat="1" x14ac:dyDescent="0.15"/>
    <row r="430" s="144" customFormat="1" x14ac:dyDescent="0.15"/>
    <row r="431" s="144" customFormat="1" x14ac:dyDescent="0.15"/>
    <row r="432" s="144" customFormat="1" x14ac:dyDescent="0.15"/>
    <row r="433" s="144" customFormat="1" x14ac:dyDescent="0.15"/>
    <row r="434" s="144" customFormat="1" x14ac:dyDescent="0.15"/>
    <row r="435" s="144" customFormat="1" x14ac:dyDescent="0.15"/>
    <row r="436" s="144" customFormat="1" x14ac:dyDescent="0.15"/>
    <row r="437" s="144" customFormat="1" x14ac:dyDescent="0.15"/>
    <row r="438" s="144" customFormat="1" x14ac:dyDescent="0.15"/>
    <row r="439" s="144" customFormat="1" x14ac:dyDescent="0.15"/>
    <row r="440" s="144" customFormat="1" x14ac:dyDescent="0.15"/>
    <row r="441" s="144" customFormat="1" x14ac:dyDescent="0.15"/>
    <row r="442" s="144" customFormat="1" x14ac:dyDescent="0.15"/>
    <row r="443" s="144" customFormat="1" x14ac:dyDescent="0.15"/>
    <row r="444" s="144" customFormat="1" x14ac:dyDescent="0.15"/>
    <row r="445" s="144" customFormat="1" x14ac:dyDescent="0.15"/>
    <row r="446" s="144" customFormat="1" x14ac:dyDescent="0.15"/>
  </sheetData>
  <sheetProtection algorithmName="SHA-512" hashValue="8gu+3CnLf/A6rPcM/rJ1OnNehLNWSYHKblrzj0R9mpIMumHTnnz/AgfikmINUxbtbKZw+JFS5KFKMzSC1UcpEw==" saltValue="YuVmiEqiIQCS2qS6iFu/HQ==" spinCount="100000" sheet="1" objects="1" scenarios="1"/>
  <phoneticPr fontId="9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DV168"/>
  <sheetViews>
    <sheetView zoomScale="120" zoomScaleNormal="120" workbookViewId="0">
      <selection activeCell="C5" sqref="C5"/>
    </sheetView>
  </sheetViews>
  <sheetFormatPr baseColWidth="10" defaultRowHeight="13" x14ac:dyDescent="0.15"/>
  <cols>
    <col min="1" max="1" width="15.33203125" style="22" customWidth="1"/>
    <col min="2" max="2" width="19.33203125" style="22" customWidth="1"/>
    <col min="3" max="3" width="11.83203125" style="22" customWidth="1"/>
    <col min="4" max="10" width="12.1640625" style="22" customWidth="1"/>
    <col min="11" max="16384" width="10.83203125" style="22"/>
  </cols>
  <sheetData>
    <row r="1" spans="1:126" ht="14" x14ac:dyDescent="0.15">
      <c r="A1" s="117" t="s">
        <v>102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</row>
    <row r="2" spans="1:126" ht="14" x14ac:dyDescent="0.15">
      <c r="A2" s="119" t="s">
        <v>95</v>
      </c>
      <c r="B2" s="119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</row>
    <row r="3" spans="1:126" ht="15" thickBot="1" x14ac:dyDescent="0.2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</row>
    <row r="4" spans="1:126" ht="14" x14ac:dyDescent="0.15">
      <c r="A4" s="120" t="s">
        <v>96</v>
      </c>
      <c r="B4" s="121"/>
      <c r="C4" s="122"/>
      <c r="D4" s="122"/>
      <c r="E4" s="122"/>
      <c r="F4" s="122"/>
      <c r="G4" s="122"/>
      <c r="H4" s="122"/>
      <c r="I4" s="122"/>
      <c r="J4" s="123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</row>
    <row r="5" spans="1:126" ht="14" x14ac:dyDescent="0.15">
      <c r="A5" s="124" t="s">
        <v>181</v>
      </c>
      <c r="B5" s="73"/>
      <c r="C5" s="172">
        <v>5250</v>
      </c>
      <c r="E5" s="73"/>
      <c r="F5" s="73"/>
      <c r="G5" s="73"/>
      <c r="H5" s="73"/>
      <c r="I5" s="73"/>
      <c r="J5" s="125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</row>
    <row r="6" spans="1:126" ht="14" x14ac:dyDescent="0.15">
      <c r="A6" s="124"/>
      <c r="B6" s="73"/>
      <c r="C6" s="73"/>
      <c r="D6" s="73"/>
      <c r="E6" s="73"/>
      <c r="F6" s="73"/>
      <c r="G6" s="73"/>
      <c r="H6" s="73"/>
      <c r="I6" s="73"/>
      <c r="J6" s="125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</row>
    <row r="7" spans="1:126" ht="30" x14ac:dyDescent="0.15">
      <c r="A7" s="183" t="s">
        <v>114</v>
      </c>
      <c r="B7" s="174" t="s">
        <v>97</v>
      </c>
      <c r="C7" s="174" t="s">
        <v>103</v>
      </c>
      <c r="D7" s="175" t="s">
        <v>93</v>
      </c>
      <c r="E7" s="175" t="s">
        <v>98</v>
      </c>
      <c r="F7" s="176" t="s">
        <v>99</v>
      </c>
      <c r="G7" s="176" t="s">
        <v>100</v>
      </c>
      <c r="H7" s="176" t="s">
        <v>207</v>
      </c>
      <c r="I7" s="177" t="s">
        <v>94</v>
      </c>
      <c r="J7" s="184" t="s">
        <v>101</v>
      </c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</row>
    <row r="8" spans="1:126" ht="20" customHeight="1" x14ac:dyDescent="0.15">
      <c r="A8" s="126" t="str">
        <f>'Tariffs 2016'!F2</f>
        <v>AGL</v>
      </c>
      <c r="B8" s="22" t="str">
        <f>'Tariffs 2016'!D2</f>
        <v>Envestra Adelaide</v>
      </c>
      <c r="C8" s="127">
        <f>'Tariffs 2016'!E2</f>
        <v>41090</v>
      </c>
      <c r="D8" s="92">
        <f>91*'Tariffs 2016'!H2/100</f>
        <v>59.805199999999992</v>
      </c>
      <c r="E8" s="92">
        <f>IF($C$5&gt;='Tariffs 2016'!J2,('Tariffs 2016'!J2*'Tariffs 2016'!O2/100),($C$5*'Tariffs 2016'!O2/100))</f>
        <v>96.275000000000006</v>
      </c>
      <c r="F8" s="92">
        <f>IF($C$5&lt;'Tariffs 2016'!J2,0,IF(($C$5-'Tariffs 2016'!J2)&lt;='Tariffs 2016'!K2,(($C$5-'Tariffs 2016'!J2)*'Tariffs 2016'!P2/100),(('Tariffs 2016'!K2-'Tariffs 2016'!J2)*'Tariffs 2016'!P2/100)))</f>
        <v>82.362499999999997</v>
      </c>
      <c r="G8" s="92">
        <f>IF(($C$5&lt;'Tariffs 2016'!K2),(0),($C$5-'Tariffs 2016'!K2)*'Tariffs 2016'!Q2/100)</f>
        <v>11.685</v>
      </c>
      <c r="H8" s="92">
        <f>SUM(D8:G8)</f>
        <v>250.1277</v>
      </c>
      <c r="I8" s="128">
        <f>H8*4</f>
        <v>1000.5108</v>
      </c>
      <c r="J8" s="129">
        <f>I8*1.1</f>
        <v>1100.5618800000002</v>
      </c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</row>
    <row r="9" spans="1:126" ht="20" customHeight="1" x14ac:dyDescent="0.15">
      <c r="A9" s="126" t="str">
        <f>'Tariffs 2016'!F3</f>
        <v xml:space="preserve">Alinta Energy </v>
      </c>
      <c r="B9" s="22" t="str">
        <f>'Tariffs 2016'!D3</f>
        <v>Envestra Adelaide</v>
      </c>
      <c r="C9" s="127">
        <f>'Tariffs 2016'!E3</f>
        <v>41111</v>
      </c>
      <c r="D9" s="92">
        <f>91*'Tariffs 2016'!H3/100</f>
        <v>58.103500000000004</v>
      </c>
      <c r="E9" s="92">
        <f>IF($C$5&gt;='Tariffs 2016'!J3,('Tariffs 2016'!J3*'Tariffs 2016'!O3/100),($C$5*'Tariffs 2016'!O3/100))</f>
        <v>107.10989010989012</v>
      </c>
      <c r="F9" s="92">
        <v>0</v>
      </c>
      <c r="G9" s="92">
        <f>IF(($C$5&lt;'Tariffs 2016'!K3),(0),($C$5-'Tariffs 2016'!K3)*'Tariffs 2016'!P3/100)</f>
        <v>42.691483516483522</v>
      </c>
      <c r="H9" s="92">
        <f t="shared" ref="H9:H20" si="0">SUM(D9:G9)</f>
        <v>207.90487362637364</v>
      </c>
      <c r="I9" s="128">
        <f t="shared" ref="I9:I20" si="1">H9*4</f>
        <v>831.61949450549457</v>
      </c>
      <c r="J9" s="129">
        <f t="shared" ref="J9:J20" si="2">I9*1.1</f>
        <v>914.78144395604409</v>
      </c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17"/>
      <c r="CQ9" s="117"/>
      <c r="CR9" s="117"/>
      <c r="CS9" s="117"/>
      <c r="CT9" s="117"/>
      <c r="CU9" s="117"/>
      <c r="CV9" s="117"/>
      <c r="CW9" s="117"/>
      <c r="CX9" s="117"/>
      <c r="CY9" s="117"/>
      <c r="CZ9" s="117"/>
      <c r="DA9" s="117"/>
      <c r="DB9" s="117"/>
      <c r="DC9" s="117"/>
      <c r="DD9" s="117"/>
      <c r="DE9" s="117"/>
      <c r="DF9" s="117"/>
      <c r="DG9" s="117"/>
      <c r="DH9" s="117"/>
      <c r="DI9" s="117"/>
      <c r="DJ9" s="117"/>
      <c r="DK9" s="117"/>
      <c r="DL9" s="117"/>
      <c r="DM9" s="117"/>
      <c r="DN9" s="117"/>
      <c r="DO9" s="117"/>
      <c r="DP9" s="117"/>
      <c r="DQ9" s="117"/>
      <c r="DR9" s="117"/>
      <c r="DS9" s="117"/>
      <c r="DT9" s="117"/>
      <c r="DU9" s="117"/>
      <c r="DV9" s="117"/>
    </row>
    <row r="10" spans="1:126" ht="20" customHeight="1" x14ac:dyDescent="0.15">
      <c r="A10" s="126" t="str">
        <f>'Tariffs 2016'!F4</f>
        <v>EnergyAustralia</v>
      </c>
      <c r="B10" s="22" t="str">
        <f>'Tariffs 2016'!D4</f>
        <v>Envestra Adelaide</v>
      </c>
      <c r="C10" s="127">
        <f>'Tariffs 2016'!E4</f>
        <v>41090</v>
      </c>
      <c r="D10" s="92">
        <f>91*'Tariffs 2016'!H4/100</f>
        <v>73.127600000000001</v>
      </c>
      <c r="E10" s="92">
        <f>IF($C$5&gt;='Tariffs 2016'!J4,('Tariffs 2016'!J4*'Tariffs 2016'!O4/100),($C$5*'Tariffs 2016'!O4/100))</f>
        <v>93.01</v>
      </c>
      <c r="F10" s="92">
        <f>IF($C$5&lt;'Tariffs 2016'!J4,0,IF(($C$5-'Tariffs 2016'!J4)&lt;='Tariffs 2016'!K4,(($C$5-'Tariffs 2016'!J4)*'Tariffs 2016'!P4/100),(('Tariffs 2016'!K4-'Tariffs 2016'!J4)*'Tariffs 2016'!P4/100)))</f>
        <v>101.79950000000001</v>
      </c>
      <c r="G10" s="92">
        <f>IF(($C$5&lt;'Tariffs 2016'!K4),(0),($C$5-'Tariffs 2016'!K4)*'Tariffs 2016'!Q4/100)</f>
        <v>17.439</v>
      </c>
      <c r="H10" s="92">
        <f t="shared" si="0"/>
        <v>285.37610000000006</v>
      </c>
      <c r="I10" s="128">
        <f t="shared" si="1"/>
        <v>1141.5044000000003</v>
      </c>
      <c r="J10" s="129">
        <f t="shared" si="2"/>
        <v>1255.6548400000004</v>
      </c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</row>
    <row r="11" spans="1:126" ht="20" customHeight="1" x14ac:dyDescent="0.15">
      <c r="A11" s="126" t="str">
        <f>'Tariffs 2016'!F5</f>
        <v>Origin Energy</v>
      </c>
      <c r="B11" s="22" t="str">
        <f>'Tariffs 2016'!D5</f>
        <v>Envestra Adelaide</v>
      </c>
      <c r="C11" s="127">
        <f>'Tariffs 2016'!E5</f>
        <v>41090</v>
      </c>
      <c r="D11" s="92">
        <f>91*'Tariffs 2016'!H5/100</f>
        <v>59.15</v>
      </c>
      <c r="E11" s="92">
        <f>IF($C$5&gt;='Tariffs 2016'!J5,('Tariffs 2016'!J5*'Tariffs 2016'!O5/100),($C$5*'Tariffs 2016'!O5/100))</f>
        <v>164.02500000000001</v>
      </c>
      <c r="F11" s="92">
        <v>0</v>
      </c>
      <c r="G11" s="92">
        <f>IF(($C$5&lt;'Tariffs 2016'!K5),(0),($C$5-'Tariffs 2016'!K5)*'Tariffs 2016'!P5/100)</f>
        <v>12.2475</v>
      </c>
      <c r="H11" s="92">
        <f t="shared" si="0"/>
        <v>235.42250000000001</v>
      </c>
      <c r="I11" s="128">
        <f t="shared" si="1"/>
        <v>941.69</v>
      </c>
      <c r="J11" s="129">
        <f t="shared" si="2"/>
        <v>1035.8590000000002</v>
      </c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</row>
    <row r="12" spans="1:126" ht="20" customHeight="1" x14ac:dyDescent="0.15">
      <c r="A12" s="126" t="str">
        <f>'Tariffs 2016'!F6</f>
        <v>Simply Energy</v>
      </c>
      <c r="B12" s="22" t="str">
        <f>'Tariffs 2016'!D6</f>
        <v>Envestra Adelaide</v>
      </c>
      <c r="C12" s="127">
        <f>'Tariffs 2016'!E6</f>
        <v>41094</v>
      </c>
      <c r="D12" s="92">
        <f>91*'Tariffs 2016'!H6/100</f>
        <v>70.506799999999998</v>
      </c>
      <c r="E12" s="92">
        <f>IF($C$5&gt;='Tariffs 2016'!J6,('Tariffs 2016'!J6*'Tariffs 2016'!O6/100),($C$5*'Tariffs 2016'!O6/100))</f>
        <v>117.25000000000001</v>
      </c>
      <c r="F12" s="92">
        <f>IF($C$5&lt;'Tariffs 2016'!J6,0,IF(($C$5-'Tariffs 2016'!J6)&lt;='Tariffs 2016'!K6,(($C$5-'Tariffs 2016'!J6)*'Tariffs 2016'!P6/100),(('Tariffs 2016'!K6-'Tariffs 2016'!J6)*'Tariffs 2016'!P6/100)))</f>
        <v>77.825000000000003</v>
      </c>
      <c r="G12" s="92">
        <f>IF(($C$5&lt;'Tariffs 2016'!K6),(0),($C$5-'Tariffs 2016'!K6)*'Tariffs 2016'!Q6/100)</f>
        <v>12.525</v>
      </c>
      <c r="H12" s="92">
        <f t="shared" si="0"/>
        <v>278.10679999999996</v>
      </c>
      <c r="I12" s="128">
        <f t="shared" si="1"/>
        <v>1112.4271999999999</v>
      </c>
      <c r="J12" s="129">
        <f t="shared" si="2"/>
        <v>1223.66992</v>
      </c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</row>
    <row r="13" spans="1:126" ht="10" customHeight="1" x14ac:dyDescent="0.15">
      <c r="A13" s="185"/>
      <c r="B13" s="169"/>
      <c r="C13" s="169"/>
      <c r="D13" s="169"/>
      <c r="E13" s="169"/>
      <c r="F13" s="169"/>
      <c r="G13" s="169"/>
      <c r="H13" s="169"/>
      <c r="I13" s="170"/>
      <c r="J13" s="186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</row>
    <row r="14" spans="1:126" ht="20" customHeight="1" x14ac:dyDescent="0.15">
      <c r="A14" s="126" t="str">
        <f>'Tariffs 2016'!F7</f>
        <v>Origin Energy</v>
      </c>
      <c r="B14" s="22" t="str">
        <f>'Tariffs 2016'!D7</f>
        <v>Envestra Port Pirie</v>
      </c>
      <c r="C14" s="127">
        <f>'Tariffs 2016'!E7</f>
        <v>41090</v>
      </c>
      <c r="D14" s="92">
        <f>91*'Tariffs 2016'!H7/100</f>
        <v>59.15</v>
      </c>
      <c r="E14" s="92">
        <f>IF($C$5&gt;='Tariffs 2016'!J7,('Tariffs 2016'!J7*'Tariffs 2016'!O7/100),($C$5*'Tariffs 2016'!O7/100))</f>
        <v>164.02500000000001</v>
      </c>
      <c r="F14" s="92">
        <v>0</v>
      </c>
      <c r="G14" s="92">
        <f>IF(($C$5&lt;'Tariffs 2016'!K7),(0),($C$5-'Tariffs 2016'!K7)*'Tariffs 2016'!P7/100)</f>
        <v>12.2475</v>
      </c>
      <c r="H14" s="92">
        <f t="shared" si="0"/>
        <v>235.42250000000001</v>
      </c>
      <c r="I14" s="128">
        <f t="shared" si="1"/>
        <v>941.69</v>
      </c>
      <c r="J14" s="129">
        <f t="shared" si="2"/>
        <v>1035.8590000000002</v>
      </c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</row>
    <row r="15" spans="1:126" ht="10" customHeight="1" x14ac:dyDescent="0.15">
      <c r="A15" s="185"/>
      <c r="B15" s="169"/>
      <c r="C15" s="169"/>
      <c r="D15" s="169"/>
      <c r="E15" s="169"/>
      <c r="F15" s="169"/>
      <c r="G15" s="169"/>
      <c r="H15" s="169"/>
      <c r="I15" s="170"/>
      <c r="J15" s="186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</row>
    <row r="16" spans="1:126" ht="20" customHeight="1" x14ac:dyDescent="0.15">
      <c r="A16" s="126" t="str">
        <f>'Tariffs 2016'!F8</f>
        <v>Origin Energy</v>
      </c>
      <c r="B16" s="22" t="str">
        <f>'Tariffs 2016'!D8</f>
        <v>Envestra Whyalla</v>
      </c>
      <c r="C16" s="127">
        <f>'Tariffs 2016'!E8</f>
        <v>41090</v>
      </c>
      <c r="D16" s="92">
        <f>91*'Tariffs 2016'!H8/100</f>
        <v>59.15</v>
      </c>
      <c r="E16" s="92">
        <f>IF($C$5&gt;='Tariffs 2016'!J8,('Tariffs 2016'!J8*'Tariffs 2016'!O8/100),($C$5*'Tariffs 2016'!O8/100))</f>
        <v>164.02500000000001</v>
      </c>
      <c r="F16" s="92">
        <v>0</v>
      </c>
      <c r="G16" s="92">
        <f>IF(($C$5&lt;'Tariffs 2016'!K8),(0),($C$5-'Tariffs 2016'!K8)*'Tariffs 2016'!P8/100)</f>
        <v>12.2475</v>
      </c>
      <c r="H16" s="92">
        <f t="shared" si="0"/>
        <v>235.42250000000001</v>
      </c>
      <c r="I16" s="128">
        <f t="shared" si="1"/>
        <v>941.69</v>
      </c>
      <c r="J16" s="129">
        <f t="shared" si="2"/>
        <v>1035.8590000000002</v>
      </c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</row>
    <row r="17" spans="1:126" ht="10" customHeight="1" x14ac:dyDescent="0.15">
      <c r="A17" s="185"/>
      <c r="B17" s="169"/>
      <c r="C17" s="169"/>
      <c r="D17" s="169"/>
      <c r="E17" s="169"/>
      <c r="F17" s="169"/>
      <c r="G17" s="169"/>
      <c r="H17" s="169"/>
      <c r="I17" s="170"/>
      <c r="J17" s="186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</row>
    <row r="18" spans="1:126" ht="20" customHeight="1" x14ac:dyDescent="0.15">
      <c r="A18" s="126" t="str">
        <f>'Tariffs 2016'!F9</f>
        <v>Origin Energy</v>
      </c>
      <c r="B18" s="22" t="str">
        <f>'Tariffs 2016'!D9</f>
        <v>Envestra Mt Gambier</v>
      </c>
      <c r="C18" s="127">
        <f>'Tariffs 2016'!E9</f>
        <v>41090</v>
      </c>
      <c r="D18" s="92">
        <f>91*'Tariffs 2016'!H9/100</f>
        <v>59.15</v>
      </c>
      <c r="E18" s="92">
        <f>IF($C$5&gt;='Tariffs 2016'!J9,('Tariffs 2016'!J9*'Tariffs 2016'!O9/100),($C$5*'Tariffs 2016'!O9/100))</f>
        <v>164.02500000000001</v>
      </c>
      <c r="F18" s="92">
        <v>0</v>
      </c>
      <c r="G18" s="92">
        <f>IF(($C$5&lt;'Tariffs 2016'!K9),(0),($C$5-'Tariffs 2016'!K9)*'Tariffs 2016'!P9/100)</f>
        <v>12.2475</v>
      </c>
      <c r="H18" s="92">
        <f t="shared" si="0"/>
        <v>235.42250000000001</v>
      </c>
      <c r="I18" s="128">
        <f t="shared" si="1"/>
        <v>941.69</v>
      </c>
      <c r="J18" s="129">
        <f t="shared" si="2"/>
        <v>1035.8590000000002</v>
      </c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</row>
    <row r="19" spans="1:126" ht="10" customHeight="1" x14ac:dyDescent="0.15">
      <c r="A19" s="185"/>
      <c r="B19" s="169"/>
      <c r="C19" s="169"/>
      <c r="D19" s="169"/>
      <c r="E19" s="169"/>
      <c r="F19" s="169"/>
      <c r="G19" s="169"/>
      <c r="H19" s="169"/>
      <c r="I19" s="170"/>
      <c r="J19" s="186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</row>
    <row r="20" spans="1:126" ht="20" customHeight="1" thickBot="1" x14ac:dyDescent="0.2">
      <c r="A20" s="130" t="str">
        <f>'Tariffs 2016'!F10</f>
        <v>Origin Energy</v>
      </c>
      <c r="B20" s="131" t="str">
        <f>'Tariffs 2016'!D10</f>
        <v>Envestra Riverland</v>
      </c>
      <c r="C20" s="132">
        <f>'Tariffs 2016'!E10</f>
        <v>41090</v>
      </c>
      <c r="D20" s="133">
        <f>91*'Tariffs 2016'!H10/100</f>
        <v>59.15</v>
      </c>
      <c r="E20" s="133">
        <f>IF($C$5&gt;='Tariffs 2016'!J10,('Tariffs 2016'!J10*'Tariffs 2016'!O10/100),($C$5*'Tariffs 2016'!O10/100))</f>
        <v>164.02500000000001</v>
      </c>
      <c r="F20" s="133">
        <v>0</v>
      </c>
      <c r="G20" s="133">
        <f>IF(($C$5&lt;'Tariffs 2016'!K10),(0),($C$5-'Tariffs 2016'!K10)*'Tariffs 2016'!P10/100)</f>
        <v>12.2475</v>
      </c>
      <c r="H20" s="133">
        <f t="shared" si="0"/>
        <v>235.42250000000001</v>
      </c>
      <c r="I20" s="134">
        <f t="shared" si="1"/>
        <v>941.69</v>
      </c>
      <c r="J20" s="135">
        <f t="shared" si="2"/>
        <v>1035.8590000000002</v>
      </c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</row>
    <row r="21" spans="1:126" s="118" customFormat="1" x14ac:dyDescent="0.15">
      <c r="C21" s="136"/>
    </row>
    <row r="22" spans="1:126" s="118" customFormat="1" x14ac:dyDescent="0.15"/>
    <row r="23" spans="1:126" s="118" customFormat="1" x14ac:dyDescent="0.15"/>
    <row r="24" spans="1:126" s="118" customFormat="1" x14ac:dyDescent="0.15"/>
    <row r="25" spans="1:126" s="118" customFormat="1" x14ac:dyDescent="0.15"/>
    <row r="26" spans="1:126" s="118" customFormat="1" x14ac:dyDescent="0.15"/>
    <row r="27" spans="1:126" s="118" customFormat="1" x14ac:dyDescent="0.15"/>
    <row r="28" spans="1:126" s="118" customFormat="1" x14ac:dyDescent="0.15"/>
    <row r="29" spans="1:126" s="118" customFormat="1" x14ac:dyDescent="0.15"/>
    <row r="30" spans="1:126" s="118" customFormat="1" x14ac:dyDescent="0.15"/>
    <row r="31" spans="1:126" s="118" customFormat="1" x14ac:dyDescent="0.15"/>
    <row r="32" spans="1:126" s="118" customFormat="1" x14ac:dyDescent="0.15"/>
    <row r="33" s="118" customFormat="1" x14ac:dyDescent="0.15"/>
    <row r="34" s="118" customFormat="1" x14ac:dyDescent="0.15"/>
    <row r="35" s="118" customFormat="1" x14ac:dyDescent="0.15"/>
    <row r="36" s="118" customFormat="1" x14ac:dyDescent="0.15"/>
    <row r="37" s="118" customFormat="1" x14ac:dyDescent="0.15"/>
    <row r="38" s="118" customFormat="1" x14ac:dyDescent="0.15"/>
    <row r="39" s="118" customFormat="1" x14ac:dyDescent="0.15"/>
    <row r="40" s="118" customFormat="1" x14ac:dyDescent="0.15"/>
    <row r="41" s="118" customFormat="1" x14ac:dyDescent="0.15"/>
    <row r="42" s="118" customFormat="1" x14ac:dyDescent="0.15"/>
    <row r="43" s="118" customFormat="1" x14ac:dyDescent="0.15"/>
    <row r="44" s="118" customFormat="1" x14ac:dyDescent="0.15"/>
    <row r="45" s="118" customFormat="1" x14ac:dyDescent="0.15"/>
    <row r="46" s="118" customFormat="1" x14ac:dyDescent="0.15"/>
    <row r="47" s="118" customFormat="1" x14ac:dyDescent="0.15"/>
    <row r="48" s="118" customFormat="1" x14ac:dyDescent="0.15"/>
    <row r="49" s="118" customFormat="1" x14ac:dyDescent="0.15"/>
    <row r="50" s="118" customFormat="1" x14ac:dyDescent="0.15"/>
    <row r="51" s="118" customFormat="1" x14ac:dyDescent="0.15"/>
    <row r="52" s="118" customFormat="1" x14ac:dyDescent="0.15"/>
    <row r="53" s="118" customFormat="1" x14ac:dyDescent="0.15"/>
    <row r="54" s="118" customFormat="1" x14ac:dyDescent="0.15"/>
    <row r="55" s="118" customFormat="1" x14ac:dyDescent="0.15"/>
    <row r="56" s="118" customFormat="1" x14ac:dyDescent="0.15"/>
    <row r="57" s="118" customFormat="1" x14ac:dyDescent="0.15"/>
    <row r="58" s="118" customFormat="1" x14ac:dyDescent="0.15"/>
    <row r="59" s="118" customFormat="1" x14ac:dyDescent="0.15"/>
    <row r="60" s="118" customFormat="1" x14ac:dyDescent="0.15"/>
    <row r="61" s="118" customFormat="1" x14ac:dyDescent="0.15"/>
    <row r="62" s="118" customFormat="1" x14ac:dyDescent="0.15"/>
    <row r="63" s="118" customFormat="1" x14ac:dyDescent="0.15"/>
    <row r="64" s="118" customFormat="1" x14ac:dyDescent="0.15"/>
    <row r="65" s="118" customFormat="1" x14ac:dyDescent="0.15"/>
    <row r="66" s="118" customFormat="1" x14ac:dyDescent="0.15"/>
    <row r="67" s="118" customFormat="1" x14ac:dyDescent="0.15"/>
    <row r="68" s="118" customFormat="1" x14ac:dyDescent="0.15"/>
    <row r="69" s="118" customFormat="1" x14ac:dyDescent="0.15"/>
    <row r="70" s="118" customFormat="1" x14ac:dyDescent="0.15"/>
    <row r="71" s="118" customFormat="1" x14ac:dyDescent="0.15"/>
    <row r="72" s="118" customFormat="1" x14ac:dyDescent="0.15"/>
    <row r="73" s="118" customFormat="1" x14ac:dyDescent="0.15"/>
    <row r="74" s="118" customFormat="1" x14ac:dyDescent="0.15"/>
    <row r="75" s="118" customFormat="1" x14ac:dyDescent="0.15"/>
    <row r="76" s="118" customFormat="1" x14ac:dyDescent="0.15"/>
    <row r="77" s="118" customFormat="1" x14ac:dyDescent="0.15"/>
    <row r="78" s="118" customFormat="1" x14ac:dyDescent="0.15"/>
    <row r="79" s="118" customFormat="1" x14ac:dyDescent="0.15"/>
    <row r="80" s="118" customFormat="1" x14ac:dyDescent="0.15"/>
    <row r="81" s="118" customFormat="1" x14ac:dyDescent="0.15"/>
    <row r="82" s="118" customFormat="1" x14ac:dyDescent="0.15"/>
    <row r="83" s="118" customFormat="1" x14ac:dyDescent="0.15"/>
    <row r="84" s="118" customFormat="1" x14ac:dyDescent="0.15"/>
    <row r="85" s="118" customFormat="1" x14ac:dyDescent="0.15"/>
    <row r="86" s="118" customFormat="1" x14ac:dyDescent="0.15"/>
    <row r="87" s="118" customFormat="1" x14ac:dyDescent="0.15"/>
    <row r="88" s="118" customFormat="1" x14ac:dyDescent="0.15"/>
    <row r="89" s="118" customFormat="1" x14ac:dyDescent="0.15"/>
    <row r="90" s="118" customFormat="1" x14ac:dyDescent="0.15"/>
    <row r="91" s="118" customFormat="1" x14ac:dyDescent="0.15"/>
    <row r="92" s="118" customFormat="1" x14ac:dyDescent="0.15"/>
    <row r="93" s="118" customFormat="1" x14ac:dyDescent="0.15"/>
    <row r="94" s="118" customFormat="1" x14ac:dyDescent="0.15"/>
    <row r="95" s="118" customFormat="1" x14ac:dyDescent="0.15"/>
    <row r="96" s="118" customFormat="1" x14ac:dyDescent="0.15"/>
    <row r="97" s="118" customFormat="1" x14ac:dyDescent="0.15"/>
    <row r="98" s="118" customFormat="1" x14ac:dyDescent="0.15"/>
    <row r="99" s="118" customFormat="1" x14ac:dyDescent="0.15"/>
    <row r="100" s="118" customFormat="1" x14ac:dyDescent="0.15"/>
    <row r="101" s="118" customFormat="1" x14ac:dyDescent="0.15"/>
    <row r="102" s="118" customFormat="1" x14ac:dyDescent="0.15"/>
    <row r="103" s="118" customFormat="1" x14ac:dyDescent="0.15"/>
    <row r="104" s="118" customFormat="1" x14ac:dyDescent="0.15"/>
    <row r="105" s="118" customFormat="1" x14ac:dyDescent="0.15"/>
    <row r="106" s="118" customFormat="1" x14ac:dyDescent="0.15"/>
    <row r="107" s="118" customFormat="1" x14ac:dyDescent="0.15"/>
    <row r="108" s="118" customFormat="1" x14ac:dyDescent="0.15"/>
    <row r="109" s="118" customFormat="1" x14ac:dyDescent="0.15"/>
    <row r="110" s="118" customFormat="1" x14ac:dyDescent="0.15"/>
    <row r="111" s="118" customFormat="1" x14ac:dyDescent="0.15"/>
    <row r="112" s="118" customFormat="1" x14ac:dyDescent="0.15"/>
    <row r="113" s="118" customFormat="1" x14ac:dyDescent="0.15"/>
    <row r="114" s="118" customFormat="1" x14ac:dyDescent="0.15"/>
    <row r="115" s="118" customFormat="1" x14ac:dyDescent="0.15"/>
    <row r="116" s="118" customFormat="1" x14ac:dyDescent="0.15"/>
    <row r="117" s="118" customFormat="1" x14ac:dyDescent="0.15"/>
    <row r="118" s="118" customFormat="1" x14ac:dyDescent="0.15"/>
    <row r="119" s="118" customFormat="1" x14ac:dyDescent="0.15"/>
    <row r="120" s="118" customFormat="1" x14ac:dyDescent="0.15"/>
    <row r="121" s="118" customFormat="1" x14ac:dyDescent="0.15"/>
    <row r="122" s="118" customFormat="1" x14ac:dyDescent="0.15"/>
    <row r="123" s="118" customFormat="1" x14ac:dyDescent="0.15"/>
    <row r="124" s="118" customFormat="1" x14ac:dyDescent="0.15"/>
    <row r="125" s="118" customFormat="1" x14ac:dyDescent="0.15"/>
    <row r="126" s="118" customFormat="1" x14ac:dyDescent="0.15"/>
    <row r="127" s="118" customFormat="1" x14ac:dyDescent="0.15"/>
    <row r="128" s="118" customFormat="1" x14ac:dyDescent="0.15"/>
    <row r="129" s="118" customFormat="1" x14ac:dyDescent="0.15"/>
    <row r="130" s="118" customFormat="1" x14ac:dyDescent="0.15"/>
    <row r="131" s="118" customFormat="1" x14ac:dyDescent="0.15"/>
    <row r="132" s="118" customFormat="1" x14ac:dyDescent="0.15"/>
    <row r="133" s="118" customFormat="1" x14ac:dyDescent="0.15"/>
    <row r="134" s="118" customFormat="1" x14ac:dyDescent="0.15"/>
    <row r="135" s="118" customFormat="1" x14ac:dyDescent="0.15"/>
    <row r="136" s="118" customFormat="1" x14ac:dyDescent="0.15"/>
    <row r="137" s="118" customFormat="1" x14ac:dyDescent="0.15"/>
    <row r="138" s="118" customFormat="1" x14ac:dyDescent="0.15"/>
    <row r="139" s="118" customFormat="1" x14ac:dyDescent="0.15"/>
    <row r="140" s="118" customFormat="1" x14ac:dyDescent="0.15"/>
    <row r="141" s="118" customFormat="1" x14ac:dyDescent="0.15"/>
    <row r="142" s="118" customFormat="1" x14ac:dyDescent="0.15"/>
    <row r="143" s="118" customFormat="1" x14ac:dyDescent="0.15"/>
    <row r="144" s="118" customFormat="1" x14ac:dyDescent="0.15"/>
    <row r="145" s="118" customFormat="1" x14ac:dyDescent="0.15"/>
    <row r="146" s="118" customFormat="1" x14ac:dyDescent="0.15"/>
    <row r="147" s="118" customFormat="1" x14ac:dyDescent="0.15"/>
    <row r="148" s="118" customFormat="1" x14ac:dyDescent="0.15"/>
    <row r="149" s="118" customFormat="1" x14ac:dyDescent="0.15"/>
    <row r="150" s="118" customFormat="1" x14ac:dyDescent="0.15"/>
    <row r="151" s="118" customFormat="1" x14ac:dyDescent="0.15"/>
    <row r="152" s="118" customFormat="1" x14ac:dyDescent="0.15"/>
    <row r="153" s="118" customFormat="1" x14ac:dyDescent="0.15"/>
    <row r="154" s="118" customFormat="1" x14ac:dyDescent="0.15"/>
    <row r="155" s="118" customFormat="1" x14ac:dyDescent="0.15"/>
    <row r="156" s="118" customFormat="1" x14ac:dyDescent="0.15"/>
    <row r="157" s="118" customFormat="1" x14ac:dyDescent="0.15"/>
    <row r="158" s="118" customFormat="1" x14ac:dyDescent="0.15"/>
    <row r="159" s="118" customFormat="1" x14ac:dyDescent="0.15"/>
    <row r="160" s="118" customFormat="1" x14ac:dyDescent="0.15"/>
    <row r="161" s="118" customFormat="1" x14ac:dyDescent="0.15"/>
    <row r="162" s="118" customFormat="1" x14ac:dyDescent="0.15"/>
    <row r="163" s="118" customFormat="1" x14ac:dyDescent="0.15"/>
    <row r="164" s="118" customFormat="1" x14ac:dyDescent="0.15"/>
    <row r="165" s="118" customFormat="1" x14ac:dyDescent="0.15"/>
    <row r="166" s="118" customFormat="1" x14ac:dyDescent="0.15"/>
    <row r="167" s="118" customFormat="1" x14ac:dyDescent="0.15"/>
    <row r="168" s="118" customFormat="1" x14ac:dyDescent="0.15"/>
  </sheetData>
  <sheetProtection algorithmName="SHA-512" hashValue="AmP7MSeWNxBYbiYgTpCE8W8Hm12K4SRFBHrI53cUOO7CmkeXYR5fhte8gJPL726z6mvkNFPoIAbC1V+szhZh7g==" saltValue="++cPZDKMXengyRqPtwzwLg==" spinCount="100000" sheet="1" objects="1" scenarios="1"/>
  <phoneticPr fontId="9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BBA24A-214B-499B-9E78-E66019A4F4FC}"/>
</file>

<file path=customXml/itemProps2.xml><?xml version="1.0" encoding="utf-8"?>
<ds:datastoreItem xmlns:ds="http://schemas.openxmlformats.org/officeDocument/2006/customXml" ds:itemID="{AF8E3AAE-610E-4FB9-8487-DF41771B9D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Summary</vt:lpstr>
      <vt:lpstr>Bills Jul'23</vt:lpstr>
      <vt:lpstr>Bills Jul'22</vt:lpstr>
      <vt:lpstr>Bills Jul'21</vt:lpstr>
      <vt:lpstr>Bills Jul'20</vt:lpstr>
      <vt:lpstr>Bills Jul'19</vt:lpstr>
      <vt:lpstr>Bills Jul'18</vt:lpstr>
      <vt:lpstr>Bills Jul'17</vt:lpstr>
      <vt:lpstr>Bills Jul'16</vt:lpstr>
      <vt:lpstr>Bills Jul'15</vt:lpstr>
      <vt:lpstr>Bills Jul'14</vt:lpstr>
      <vt:lpstr>Bills Jul'13</vt:lpstr>
      <vt:lpstr>Bills Jul'12</vt:lpstr>
      <vt:lpstr>Bills Jul'11</vt:lpstr>
      <vt:lpstr>Bills Jul'10</vt:lpstr>
      <vt:lpstr>Bills Jul'09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Tariffs Jul'15</vt:lpstr>
      <vt:lpstr>Tariffs Jul'14</vt:lpstr>
      <vt:lpstr>Tariffs Jul'13</vt:lpstr>
      <vt:lpstr>Tariffs Jul'12</vt:lpstr>
      <vt:lpstr>Tariffs Jul'11</vt:lpstr>
      <vt:lpstr>Tariffs Jul'10</vt:lpstr>
      <vt:lpstr>Tariffs Jul'09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Johnston</dc:creator>
  <cp:lastModifiedBy>May Mauseth</cp:lastModifiedBy>
  <dcterms:created xsi:type="dcterms:W3CDTF">2012-06-21T05:33:35Z</dcterms:created>
  <dcterms:modified xsi:type="dcterms:W3CDTF">2023-09-04T03:27:09Z</dcterms:modified>
</cp:coreProperties>
</file>